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file\data\Korisnici\ivo\Documents\Delphi 10\LigaV60\"/>
    </mc:Choice>
  </mc:AlternateContent>
  <xr:revisionPtr revIDLastSave="0" documentId="8_{BD5900D2-FC00-407C-B02C-5ACD821033EB}" xr6:coauthVersionLast="46" xr6:coauthVersionMax="46" xr10:uidLastSave="{00000000-0000-0000-0000-000000000000}"/>
  <bookViews>
    <workbookView xWindow="-120" yWindow="-120" windowWidth="29040" windowHeight="17640" tabRatio="613" activeTab="1" xr2:uid="{B5D62083-8B00-4307-935B-864944963F7D}"/>
  </bookViews>
  <sheets>
    <sheet name="data" sheetId="8" r:id="rId1"/>
    <sheet name="natjecanje" sheetId="1" r:id="rId2"/>
    <sheet name="natjecanje-staze" sheetId="5" r:id="rId3"/>
    <sheet name="natjecanje-kategorije" sheetId="15" r:id="rId4"/>
    <sheet name="registar-natjecatelji" sheetId="3" r:id="rId5"/>
    <sheet name="registar-klubovi" sheetId="4" r:id="rId6"/>
    <sheet name="registar-države" sheetId="14" r:id="rId7"/>
    <sheet name="registar-kategorije" sheetId="7" r:id="rId8"/>
    <sheet name="registar-uparivanje" sheetId="12" state="hidden" r:id="rId9"/>
    <sheet name="registar-status-rezultat" sheetId="13" state="hidden" r:id="rId10"/>
    <sheet name="csv" sheetId="16" r:id="rId11"/>
  </sheets>
  <definedNames>
    <definedName name="csv">csv!$B$3:$DA$402</definedName>
    <definedName name="data_datum_natjecanja">data!$C$6</definedName>
    <definedName name="data_dnevnik_id">data!$C$19</definedName>
    <definedName name="data_grana_id">data!$C$11</definedName>
    <definedName name="data_liga_id">data!$C$13</definedName>
    <definedName name="data_max_imePrezime_id">data!$C$23</definedName>
    <definedName name="data_max_kategorijaAlias_id">data!$C$29</definedName>
    <definedName name="data_max_minuta">data!$C$35</definedName>
    <definedName name="data_max_natjecatelj_id">data!$C$25</definedName>
    <definedName name="data_max_osoba_id">data!$C$21</definedName>
    <definedName name="data_max_rezultat_id">data!$C$33</definedName>
    <definedName name="data_max_staza_id">data!$C$27</definedName>
    <definedName name="data_max_stazaKategorija_id">data!$C$31</definedName>
    <definedName name="data_trka_id">data!$C$15</definedName>
    <definedName name="data_trka_je_rangirana">data!$C$17</definedName>
    <definedName name="nat_aliasZaKlub">natjecanje!$BV$13:$BV$412</definedName>
    <definedName name="nat_kategorija">natjecanje!$Q$13:$Q$412</definedName>
    <definedName name="nat_katnatid">natjecanje!$R$13:$R$412</definedName>
    <definedName name="nat_klubAliasId">natjecanje!$CC$13:$CC$412</definedName>
    <definedName name="nat_kluboviAliasi">natjecanje!$CR$13:$CR$412</definedName>
    <definedName name="nat_noviKluboviAliasi">natjecanje!$BT$13:$BT$412</definedName>
    <definedName name="natKategorija_alias_Id">'natjecanje-kategorije'!$K$8:$K$57</definedName>
    <definedName name="natKategorija_kategorija">'natjecanje-kategorije'!$D$8:$D$57</definedName>
    <definedName name="natKategorija_katRegId">'natjecanje-kategorije'!$R$8:$R$57</definedName>
    <definedName name="natKategorija_stazaKatId">'natjecanje-kategorije'!$P$8:$P$57</definedName>
    <definedName name="natStaza_alias">'natjecanje-staze'!$H$8:$H$57</definedName>
    <definedName name="natStaza_id">'natjecanje-staze'!$N$8:$N$57</definedName>
    <definedName name="natStaza_kategorija">'natjecanje-staze'!$G$8:$G$57</definedName>
    <definedName name="natStaza_naziv">'natjecanje-staze'!$P$8:$P$57</definedName>
    <definedName name="natStaza_trka">'natjecanje-staze'!$G$8:$G$57</definedName>
    <definedName name="regDrzava_id">'registar-države'!$B$10:$B$109</definedName>
    <definedName name="regDrzava_oznaka">'registar-države'!$D$10:$D$109</definedName>
    <definedName name="regKategorija_alias_id">'registar-kategorije'!$O$10:$O$59</definedName>
    <definedName name="regKategorija_alias_oznaka">'registar-kategorije'!$P$10:$P$59</definedName>
    <definedName name="regKategorija_id">'registar-kategorije'!$B$10:$B$59</definedName>
    <definedName name="regKategorija_oznaka">'registar-kategorije'!$C$10:$C$59</definedName>
    <definedName name="regKategorija_rbr">'registar-kategorije'!$K$10:$K$59</definedName>
    <definedName name="regKlub_alias_alias">'registar-klubovi'!$F$10:$F$109</definedName>
    <definedName name="regKlub_alias_id">'registar-klubovi'!$E$10:$E$109</definedName>
    <definedName name="regKlub_alias_klubId">'registar-klubovi'!$G$10:$G$109</definedName>
    <definedName name="regKlub_id">'registar-klubovi'!$B$10:$B$109</definedName>
    <definedName name="regKlub_naziv">'registar-klubovi'!$C$10:$C$109</definedName>
    <definedName name="regNatjecatelj_alias_alias">'registar-natjecatelji'!$O$10:$O$1209</definedName>
    <definedName name="regNatjecatelj_alias_id">'registar-natjecatelji'!$N$10:$N$1209</definedName>
    <definedName name="regNatjecatelj_alias_natjecateljId">'registar-natjecatelji'!$P$10:$P$1209</definedName>
    <definedName name="regNatjecatelj_id">'registar-natjecatelji'!$B$10:$B$1209</definedName>
    <definedName name="regNatjecatelj_ime">'registar-natjecatelji'!$C$10:$C$1209</definedName>
    <definedName name="regNatjecatelj_imePrezime">'registar-natjecatelji'!$L$10:$L$1209</definedName>
    <definedName name="regNatjecatelj_imePrezimeKlub">'registar-natjecatelji'!$J$10:$J$1209</definedName>
    <definedName name="regNatjecatelj_imePrezimeKlubKategorija">'registar-natjecatelji'!$H$10:$H$1209</definedName>
    <definedName name="regNatjecatelj_klub">'registar-natjecatelji'!$E$10:$E$1209</definedName>
    <definedName name="regNatjecatelj_prezime">'registar-natjecatelji'!$D$10:$D$1209</definedName>
    <definedName name="regStatusRezultat_id">'registar-status-rezultat'!$B$10:$B$29</definedName>
    <definedName name="regStatusRezultat_oEvent">'registar-status-rezultat'!$E$10:$E$29</definedName>
    <definedName name="regUparivanje_id">'registar-uparivanje'!$B$10:$B$59</definedName>
    <definedName name="regUparivanje_oznaka">'registar-uparivanje'!$C$10:$C$59</definedName>
    <definedName name="trka_id">data!$C$13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M20" i="1" l="1"/>
  <c r="BM18" i="1"/>
  <c r="BA412" i="1"/>
  <c r="BA411" i="1"/>
  <c r="BA410" i="1"/>
  <c r="BA409" i="1"/>
  <c r="BA408" i="1"/>
  <c r="BA407" i="1"/>
  <c r="BA406" i="1"/>
  <c r="BA405" i="1"/>
  <c r="BA404" i="1"/>
  <c r="BA403" i="1"/>
  <c r="BA402" i="1"/>
  <c r="BA401" i="1"/>
  <c r="BA400" i="1"/>
  <c r="BA399" i="1"/>
  <c r="BA398" i="1"/>
  <c r="BA397" i="1"/>
  <c r="BA396" i="1"/>
  <c r="BA395" i="1"/>
  <c r="BA394" i="1"/>
  <c r="BA393" i="1"/>
  <c r="BA392" i="1"/>
  <c r="BA391" i="1"/>
  <c r="BA390" i="1"/>
  <c r="BA389" i="1"/>
  <c r="BA388" i="1"/>
  <c r="BA387" i="1"/>
  <c r="BA386" i="1"/>
  <c r="BA385" i="1"/>
  <c r="BA384" i="1"/>
  <c r="BA383" i="1"/>
  <c r="BA382" i="1"/>
  <c r="BA381" i="1"/>
  <c r="BA380" i="1"/>
  <c r="BA379" i="1"/>
  <c r="BA378" i="1"/>
  <c r="BA377" i="1"/>
  <c r="BA376" i="1"/>
  <c r="BA375" i="1"/>
  <c r="BA374" i="1"/>
  <c r="BA373" i="1"/>
  <c r="BA372" i="1"/>
  <c r="BA371" i="1"/>
  <c r="BA370" i="1"/>
  <c r="BA369" i="1"/>
  <c r="BA368" i="1"/>
  <c r="BA367" i="1"/>
  <c r="BA366" i="1"/>
  <c r="BA365" i="1"/>
  <c r="BA364" i="1"/>
  <c r="BA363" i="1"/>
  <c r="BA362" i="1"/>
  <c r="BA361" i="1"/>
  <c r="BA360" i="1"/>
  <c r="BA359" i="1"/>
  <c r="BA358" i="1"/>
  <c r="BA357" i="1"/>
  <c r="BA356" i="1"/>
  <c r="BA355" i="1"/>
  <c r="BA354" i="1"/>
  <c r="BA353" i="1"/>
  <c r="BA352" i="1"/>
  <c r="BA351" i="1"/>
  <c r="BA350" i="1"/>
  <c r="BA349" i="1"/>
  <c r="BA348" i="1"/>
  <c r="BA347" i="1"/>
  <c r="BA346" i="1"/>
  <c r="BA345" i="1"/>
  <c r="BA344" i="1"/>
  <c r="BA343" i="1"/>
  <c r="BA342" i="1"/>
  <c r="BA341" i="1"/>
  <c r="BA340" i="1"/>
  <c r="BA339" i="1"/>
  <c r="BA338" i="1"/>
  <c r="BA337" i="1"/>
  <c r="BA336" i="1"/>
  <c r="BA335" i="1"/>
  <c r="BA334" i="1"/>
  <c r="BA333" i="1"/>
  <c r="BA332" i="1"/>
  <c r="BA331" i="1"/>
  <c r="BA330" i="1"/>
  <c r="BA329" i="1"/>
  <c r="BA327" i="1"/>
  <c r="BA326" i="1"/>
  <c r="BA325" i="1"/>
  <c r="BA324" i="1"/>
  <c r="BA323" i="1"/>
  <c r="BA322" i="1"/>
  <c r="BA321" i="1"/>
  <c r="BA320" i="1"/>
  <c r="BA319" i="1"/>
  <c r="BA318" i="1"/>
  <c r="BA317" i="1"/>
  <c r="BA316" i="1"/>
  <c r="BA315" i="1"/>
  <c r="BA314" i="1"/>
  <c r="BA313" i="1"/>
  <c r="BA312" i="1"/>
  <c r="BA311" i="1"/>
  <c r="BA310" i="1"/>
  <c r="BA309" i="1"/>
  <c r="BA308" i="1"/>
  <c r="BA307" i="1"/>
  <c r="BA306" i="1"/>
  <c r="BA305" i="1"/>
  <c r="BA304" i="1"/>
  <c r="BA303" i="1"/>
  <c r="BA302" i="1"/>
  <c r="BA301" i="1"/>
  <c r="BA300" i="1"/>
  <c r="BA299" i="1"/>
  <c r="BA298" i="1"/>
  <c r="BA297" i="1"/>
  <c r="BA296" i="1"/>
  <c r="BA295" i="1"/>
  <c r="BA294" i="1"/>
  <c r="BA293" i="1"/>
  <c r="BA292" i="1"/>
  <c r="BA291" i="1"/>
  <c r="BA290" i="1"/>
  <c r="BA289" i="1"/>
  <c r="BA288" i="1"/>
  <c r="BA287" i="1"/>
  <c r="BA286" i="1"/>
  <c r="BA285" i="1"/>
  <c r="BA284" i="1"/>
  <c r="BA283" i="1"/>
  <c r="BA282" i="1"/>
  <c r="BA281" i="1"/>
  <c r="BA280" i="1"/>
  <c r="BA279" i="1"/>
  <c r="BA278" i="1"/>
  <c r="BA277" i="1"/>
  <c r="BA276" i="1"/>
  <c r="BA275" i="1"/>
  <c r="BA274" i="1"/>
  <c r="BA273" i="1"/>
  <c r="BA272" i="1"/>
  <c r="BA271" i="1"/>
  <c r="BA270" i="1"/>
  <c r="BA269" i="1"/>
  <c r="BA268" i="1"/>
  <c r="BA267" i="1"/>
  <c r="BA266" i="1"/>
  <c r="BA265" i="1"/>
  <c r="BA264" i="1"/>
  <c r="BA263" i="1"/>
  <c r="BA262" i="1"/>
  <c r="BA261" i="1"/>
  <c r="BA260" i="1"/>
  <c r="BA259" i="1"/>
  <c r="BA258" i="1"/>
  <c r="BA257" i="1"/>
  <c r="BA256" i="1"/>
  <c r="BA255" i="1"/>
  <c r="BA254" i="1"/>
  <c r="BA253" i="1"/>
  <c r="BA252" i="1"/>
  <c r="BA251" i="1"/>
  <c r="BA250" i="1"/>
  <c r="BA249" i="1"/>
  <c r="BA248" i="1"/>
  <c r="BA247" i="1"/>
  <c r="BA246" i="1"/>
  <c r="BA245" i="1"/>
  <c r="BA244" i="1"/>
  <c r="BA243" i="1"/>
  <c r="BA242" i="1"/>
  <c r="BA241" i="1"/>
  <c r="BA240" i="1"/>
  <c r="BA239" i="1"/>
  <c r="BA238" i="1"/>
  <c r="BA237" i="1"/>
  <c r="BA236" i="1"/>
  <c r="BA235" i="1"/>
  <c r="BA234" i="1"/>
  <c r="BA233" i="1"/>
  <c r="BA232" i="1"/>
  <c r="BA231" i="1"/>
  <c r="BA230" i="1"/>
  <c r="BA229" i="1"/>
  <c r="BA228" i="1"/>
  <c r="BA227" i="1"/>
  <c r="BA226" i="1"/>
  <c r="BA225" i="1"/>
  <c r="BA224" i="1"/>
  <c r="BA223" i="1"/>
  <c r="BA222" i="1"/>
  <c r="BA221" i="1"/>
  <c r="BA220" i="1"/>
  <c r="BA219" i="1"/>
  <c r="BA218" i="1"/>
  <c r="BA217" i="1"/>
  <c r="BA216" i="1"/>
  <c r="BA215" i="1"/>
  <c r="BA214" i="1"/>
  <c r="BA213" i="1"/>
  <c r="BA212" i="1"/>
  <c r="BA211" i="1"/>
  <c r="BA210" i="1"/>
  <c r="BA209" i="1"/>
  <c r="BA208" i="1"/>
  <c r="BA207" i="1"/>
  <c r="BA206" i="1"/>
  <c r="BA205" i="1"/>
  <c r="BA204" i="1"/>
  <c r="BA203" i="1"/>
  <c r="BA202" i="1"/>
  <c r="BA201" i="1"/>
  <c r="BA200" i="1"/>
  <c r="BA199" i="1"/>
  <c r="BA198" i="1"/>
  <c r="BA197" i="1"/>
  <c r="BA196" i="1"/>
  <c r="BA195" i="1"/>
  <c r="BA194" i="1"/>
  <c r="BA193" i="1"/>
  <c r="BA192" i="1"/>
  <c r="BA191" i="1"/>
  <c r="BA190" i="1"/>
  <c r="BA189" i="1"/>
  <c r="BA188" i="1"/>
  <c r="BA187" i="1"/>
  <c r="BA186" i="1"/>
  <c r="BA185" i="1"/>
  <c r="BA184" i="1"/>
  <c r="BA183" i="1"/>
  <c r="BA182" i="1"/>
  <c r="BA181" i="1"/>
  <c r="BA180" i="1"/>
  <c r="BA179" i="1"/>
  <c r="BA178" i="1"/>
  <c r="BA177" i="1"/>
  <c r="BA176" i="1"/>
  <c r="BA175" i="1"/>
  <c r="BA174" i="1"/>
  <c r="BA173" i="1"/>
  <c r="BA172" i="1"/>
  <c r="BA171" i="1"/>
  <c r="BA170" i="1"/>
  <c r="BA169" i="1"/>
  <c r="BA168" i="1"/>
  <c r="BA167" i="1"/>
  <c r="BA166" i="1"/>
  <c r="BA165" i="1"/>
  <c r="BA164" i="1"/>
  <c r="BA163" i="1"/>
  <c r="BA162" i="1"/>
  <c r="BA161" i="1"/>
  <c r="BA160" i="1"/>
  <c r="BA159" i="1"/>
  <c r="BA158" i="1"/>
  <c r="BA157" i="1"/>
  <c r="BA156" i="1"/>
  <c r="BA155" i="1"/>
  <c r="BA154" i="1"/>
  <c r="BA153" i="1"/>
  <c r="BA152" i="1"/>
  <c r="BA151" i="1"/>
  <c r="BA150" i="1"/>
  <c r="BA149" i="1"/>
  <c r="BA148" i="1"/>
  <c r="BA147" i="1"/>
  <c r="BA146" i="1"/>
  <c r="BA145" i="1"/>
  <c r="BA144" i="1"/>
  <c r="BA143" i="1"/>
  <c r="BA142" i="1"/>
  <c r="BA141" i="1"/>
  <c r="BA140" i="1"/>
  <c r="BA139" i="1"/>
  <c r="BA138" i="1"/>
  <c r="BA137" i="1"/>
  <c r="BA136" i="1"/>
  <c r="BA135" i="1"/>
  <c r="BA134" i="1"/>
  <c r="BA133" i="1"/>
  <c r="BA132" i="1"/>
  <c r="BA131" i="1"/>
  <c r="BA130" i="1"/>
  <c r="BA129" i="1"/>
  <c r="BA128" i="1"/>
  <c r="BA127" i="1"/>
  <c r="BA126" i="1"/>
  <c r="BA125" i="1"/>
  <c r="BA124" i="1"/>
  <c r="BA123" i="1"/>
  <c r="BA122" i="1"/>
  <c r="BA121" i="1"/>
  <c r="BA120" i="1"/>
  <c r="BA119" i="1"/>
  <c r="BA118" i="1"/>
  <c r="BA117" i="1"/>
  <c r="BA116" i="1"/>
  <c r="BA115" i="1"/>
  <c r="BA114" i="1"/>
  <c r="BA113" i="1"/>
  <c r="BA112" i="1"/>
  <c r="BA111" i="1"/>
  <c r="BA110" i="1"/>
  <c r="BA109" i="1"/>
  <c r="BA108" i="1"/>
  <c r="BA107" i="1"/>
  <c r="BA106" i="1"/>
  <c r="BA105" i="1"/>
  <c r="BA104" i="1"/>
  <c r="BA103" i="1"/>
  <c r="BA102" i="1"/>
  <c r="BA101" i="1"/>
  <c r="BA100" i="1"/>
  <c r="BA99" i="1"/>
  <c r="BA98" i="1"/>
  <c r="BA97" i="1"/>
  <c r="BA96" i="1"/>
  <c r="BA95" i="1"/>
  <c r="BA94" i="1"/>
  <c r="BA93" i="1"/>
  <c r="BA92" i="1"/>
  <c r="BA91" i="1"/>
  <c r="BA90" i="1"/>
  <c r="BA89" i="1"/>
  <c r="BA88" i="1"/>
  <c r="BA87" i="1"/>
  <c r="BA86" i="1"/>
  <c r="BA85" i="1"/>
  <c r="BA84" i="1"/>
  <c r="BA83" i="1"/>
  <c r="BA82" i="1"/>
  <c r="BA81" i="1"/>
  <c r="BA80" i="1"/>
  <c r="BA79" i="1"/>
  <c r="BA78" i="1"/>
  <c r="BA77" i="1"/>
  <c r="BA76" i="1"/>
  <c r="BA75" i="1"/>
  <c r="BA74" i="1"/>
  <c r="BA73" i="1"/>
  <c r="BA72" i="1"/>
  <c r="BA71" i="1"/>
  <c r="BA70" i="1"/>
  <c r="BA69" i="1"/>
  <c r="BA68" i="1"/>
  <c r="BA67" i="1"/>
  <c r="BA66" i="1"/>
  <c r="BA65" i="1"/>
  <c r="BA64" i="1"/>
  <c r="BA63" i="1"/>
  <c r="BA62" i="1"/>
  <c r="BA61" i="1"/>
  <c r="BA60" i="1"/>
  <c r="BA59" i="1"/>
  <c r="BA58" i="1"/>
  <c r="BA57" i="1"/>
  <c r="BA56" i="1"/>
  <c r="BA55" i="1"/>
  <c r="BA54" i="1"/>
  <c r="BA53" i="1"/>
  <c r="BA52" i="1"/>
  <c r="BA51" i="1"/>
  <c r="BA50" i="1"/>
  <c r="BA49" i="1"/>
  <c r="BA48" i="1"/>
  <c r="BA47" i="1"/>
  <c r="BA46" i="1"/>
  <c r="BA45" i="1"/>
  <c r="BA44" i="1"/>
  <c r="BA43" i="1"/>
  <c r="BA42" i="1"/>
  <c r="BA41" i="1"/>
  <c r="BA40" i="1"/>
  <c r="BA39" i="1"/>
  <c r="BA38" i="1"/>
  <c r="BA37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C25" i="8"/>
  <c r="B35" i="8" l="1"/>
  <c r="DP412" i="1"/>
  <c r="DP411" i="1"/>
  <c r="DP410" i="1"/>
  <c r="DP409" i="1"/>
  <c r="DP408" i="1"/>
  <c r="DP407" i="1"/>
  <c r="DP406" i="1"/>
  <c r="DP405" i="1"/>
  <c r="DP404" i="1"/>
  <c r="DP403" i="1"/>
  <c r="DP402" i="1"/>
  <c r="DP401" i="1"/>
  <c r="DP400" i="1"/>
  <c r="DP399" i="1"/>
  <c r="DP398" i="1"/>
  <c r="DP397" i="1"/>
  <c r="DP396" i="1"/>
  <c r="DP395" i="1"/>
  <c r="DP394" i="1"/>
  <c r="DP393" i="1"/>
  <c r="DP392" i="1"/>
  <c r="DP391" i="1"/>
  <c r="DP390" i="1"/>
  <c r="DP389" i="1"/>
  <c r="DP388" i="1"/>
  <c r="DP387" i="1"/>
  <c r="DP386" i="1"/>
  <c r="DP385" i="1"/>
  <c r="DP384" i="1"/>
  <c r="DP383" i="1"/>
  <c r="DP382" i="1"/>
  <c r="DP381" i="1"/>
  <c r="DP380" i="1"/>
  <c r="DP379" i="1"/>
  <c r="DP378" i="1"/>
  <c r="DP377" i="1"/>
  <c r="DP376" i="1"/>
  <c r="DP375" i="1"/>
  <c r="DP374" i="1"/>
  <c r="DP373" i="1"/>
  <c r="DP372" i="1"/>
  <c r="DP371" i="1"/>
  <c r="DP370" i="1"/>
  <c r="DP369" i="1"/>
  <c r="DP368" i="1"/>
  <c r="DP367" i="1"/>
  <c r="DP366" i="1"/>
  <c r="DP365" i="1"/>
  <c r="DP364" i="1"/>
  <c r="DP363" i="1"/>
  <c r="DP362" i="1"/>
  <c r="DP361" i="1"/>
  <c r="DP360" i="1"/>
  <c r="DP359" i="1"/>
  <c r="DP358" i="1"/>
  <c r="DP357" i="1"/>
  <c r="DP356" i="1"/>
  <c r="DP355" i="1"/>
  <c r="DP354" i="1"/>
  <c r="DP353" i="1"/>
  <c r="DP352" i="1"/>
  <c r="DP351" i="1"/>
  <c r="DP350" i="1"/>
  <c r="DP349" i="1"/>
  <c r="DP348" i="1"/>
  <c r="DP347" i="1"/>
  <c r="DP346" i="1"/>
  <c r="DP345" i="1"/>
  <c r="DP344" i="1"/>
  <c r="DP343" i="1"/>
  <c r="DP342" i="1"/>
  <c r="DP341" i="1"/>
  <c r="DP340" i="1"/>
  <c r="DP339" i="1"/>
  <c r="DP338" i="1"/>
  <c r="DP337" i="1"/>
  <c r="DP336" i="1"/>
  <c r="DP335" i="1"/>
  <c r="DP334" i="1"/>
  <c r="DP333" i="1"/>
  <c r="DP332" i="1"/>
  <c r="DP331" i="1"/>
  <c r="DP330" i="1"/>
  <c r="DP329" i="1"/>
  <c r="DP327" i="1"/>
  <c r="DP326" i="1"/>
  <c r="DP325" i="1"/>
  <c r="DP324" i="1"/>
  <c r="DP323" i="1"/>
  <c r="DP322" i="1"/>
  <c r="DP321" i="1"/>
  <c r="DP320" i="1"/>
  <c r="DP319" i="1"/>
  <c r="DP318" i="1"/>
  <c r="DP317" i="1"/>
  <c r="DP316" i="1"/>
  <c r="DP315" i="1"/>
  <c r="DP314" i="1"/>
  <c r="DP313" i="1"/>
  <c r="DP312" i="1"/>
  <c r="DP311" i="1"/>
  <c r="DP310" i="1"/>
  <c r="DP309" i="1"/>
  <c r="DP308" i="1"/>
  <c r="DP307" i="1"/>
  <c r="DP306" i="1"/>
  <c r="DP305" i="1"/>
  <c r="DP304" i="1"/>
  <c r="DP303" i="1"/>
  <c r="DP302" i="1"/>
  <c r="DP301" i="1"/>
  <c r="DP300" i="1"/>
  <c r="DP299" i="1"/>
  <c r="DP298" i="1"/>
  <c r="DP297" i="1"/>
  <c r="DP296" i="1"/>
  <c r="DP295" i="1"/>
  <c r="DP294" i="1"/>
  <c r="DP293" i="1"/>
  <c r="DP292" i="1"/>
  <c r="DP291" i="1"/>
  <c r="DP290" i="1"/>
  <c r="DP289" i="1"/>
  <c r="DP288" i="1"/>
  <c r="DP287" i="1"/>
  <c r="DP286" i="1"/>
  <c r="DP285" i="1"/>
  <c r="DP284" i="1"/>
  <c r="DP283" i="1"/>
  <c r="DP282" i="1"/>
  <c r="DP281" i="1"/>
  <c r="DP280" i="1"/>
  <c r="DP279" i="1"/>
  <c r="DP278" i="1"/>
  <c r="DP277" i="1"/>
  <c r="DP276" i="1"/>
  <c r="DP275" i="1"/>
  <c r="DP274" i="1"/>
  <c r="DP273" i="1"/>
  <c r="DP272" i="1"/>
  <c r="DP271" i="1"/>
  <c r="DP270" i="1"/>
  <c r="DP269" i="1"/>
  <c r="DP268" i="1"/>
  <c r="DP267" i="1"/>
  <c r="DP266" i="1"/>
  <c r="DP265" i="1"/>
  <c r="DP264" i="1"/>
  <c r="DP263" i="1"/>
  <c r="DP262" i="1"/>
  <c r="DP261" i="1"/>
  <c r="DP260" i="1"/>
  <c r="DP259" i="1"/>
  <c r="DP258" i="1"/>
  <c r="DP257" i="1"/>
  <c r="DP256" i="1"/>
  <c r="DP255" i="1"/>
  <c r="DP254" i="1"/>
  <c r="DP253" i="1"/>
  <c r="DP252" i="1"/>
  <c r="DP251" i="1"/>
  <c r="DP250" i="1"/>
  <c r="DP249" i="1"/>
  <c r="DP248" i="1"/>
  <c r="DP247" i="1"/>
  <c r="DP246" i="1"/>
  <c r="DP245" i="1"/>
  <c r="DP244" i="1"/>
  <c r="DP243" i="1"/>
  <c r="DP242" i="1"/>
  <c r="DP241" i="1"/>
  <c r="DP240" i="1"/>
  <c r="DP239" i="1"/>
  <c r="DP238" i="1"/>
  <c r="DP237" i="1"/>
  <c r="DP236" i="1"/>
  <c r="DP235" i="1"/>
  <c r="DP234" i="1"/>
  <c r="DP233" i="1"/>
  <c r="DP232" i="1"/>
  <c r="DP231" i="1"/>
  <c r="DP230" i="1"/>
  <c r="DP229" i="1"/>
  <c r="DP228" i="1"/>
  <c r="DP227" i="1"/>
  <c r="DP226" i="1"/>
  <c r="DP225" i="1"/>
  <c r="DP224" i="1"/>
  <c r="DP223" i="1"/>
  <c r="DP222" i="1"/>
  <c r="DP221" i="1"/>
  <c r="DP220" i="1"/>
  <c r="DP219" i="1"/>
  <c r="DP218" i="1"/>
  <c r="DP217" i="1"/>
  <c r="DP216" i="1"/>
  <c r="DP215" i="1"/>
  <c r="DP214" i="1"/>
  <c r="DP213" i="1"/>
  <c r="DP212" i="1"/>
  <c r="DP211" i="1"/>
  <c r="DP210" i="1"/>
  <c r="DP209" i="1"/>
  <c r="DP208" i="1"/>
  <c r="DP205" i="1"/>
  <c r="DP204" i="1"/>
  <c r="DP202" i="1"/>
  <c r="DP201" i="1"/>
  <c r="DP200" i="1"/>
  <c r="DP199" i="1"/>
  <c r="DP198" i="1"/>
  <c r="DP197" i="1"/>
  <c r="DP196" i="1"/>
  <c r="DP195" i="1"/>
  <c r="DP194" i="1"/>
  <c r="DP193" i="1"/>
  <c r="DP192" i="1"/>
  <c r="DP191" i="1"/>
  <c r="DP190" i="1"/>
  <c r="DP189" i="1"/>
  <c r="DP188" i="1"/>
  <c r="DP187" i="1"/>
  <c r="DP186" i="1"/>
  <c r="DP185" i="1"/>
  <c r="DP184" i="1"/>
  <c r="DP183" i="1"/>
  <c r="DP182" i="1"/>
  <c r="DP181" i="1"/>
  <c r="DP180" i="1"/>
  <c r="DP179" i="1"/>
  <c r="DP178" i="1"/>
  <c r="DP177" i="1"/>
  <c r="DP176" i="1"/>
  <c r="DP175" i="1"/>
  <c r="DP174" i="1"/>
  <c r="DP173" i="1"/>
  <c r="DP172" i="1"/>
  <c r="DP171" i="1"/>
  <c r="DP170" i="1"/>
  <c r="DP169" i="1"/>
  <c r="DP168" i="1"/>
  <c r="DP167" i="1"/>
  <c r="DP166" i="1"/>
  <c r="DP165" i="1"/>
  <c r="DP164" i="1"/>
  <c r="DP163" i="1"/>
  <c r="DP162" i="1"/>
  <c r="DP161" i="1"/>
  <c r="DP160" i="1"/>
  <c r="DP159" i="1"/>
  <c r="DP158" i="1"/>
  <c r="DP157" i="1"/>
  <c r="DP156" i="1"/>
  <c r="DP155" i="1"/>
  <c r="DP154" i="1"/>
  <c r="DP153" i="1"/>
  <c r="DP152" i="1"/>
  <c r="DP151" i="1"/>
  <c r="DP150" i="1"/>
  <c r="DP149" i="1"/>
  <c r="DP148" i="1"/>
  <c r="DP147" i="1"/>
  <c r="DP146" i="1"/>
  <c r="DP145" i="1"/>
  <c r="DP144" i="1"/>
  <c r="DP143" i="1"/>
  <c r="DP142" i="1"/>
  <c r="DP141" i="1"/>
  <c r="DP140" i="1"/>
  <c r="DP139" i="1"/>
  <c r="DP138" i="1"/>
  <c r="DP137" i="1"/>
  <c r="DP136" i="1"/>
  <c r="DP135" i="1"/>
  <c r="DP134" i="1"/>
  <c r="DP133" i="1"/>
  <c r="DP132" i="1"/>
  <c r="DP131" i="1"/>
  <c r="DP130" i="1"/>
  <c r="DP129" i="1"/>
  <c r="DP128" i="1"/>
  <c r="DP127" i="1"/>
  <c r="DP126" i="1"/>
  <c r="DP125" i="1"/>
  <c r="DP124" i="1"/>
  <c r="DP123" i="1"/>
  <c r="DP122" i="1"/>
  <c r="DP121" i="1"/>
  <c r="DP120" i="1"/>
  <c r="DP119" i="1"/>
  <c r="DP118" i="1"/>
  <c r="DP117" i="1"/>
  <c r="DP116" i="1"/>
  <c r="DP115" i="1"/>
  <c r="DP114" i="1"/>
  <c r="DP113" i="1"/>
  <c r="DP112" i="1"/>
  <c r="DP111" i="1"/>
  <c r="DP110" i="1"/>
  <c r="DP109" i="1"/>
  <c r="DP108" i="1"/>
  <c r="DP107" i="1"/>
  <c r="DP106" i="1"/>
  <c r="DP104" i="1"/>
  <c r="DP103" i="1"/>
  <c r="DP102" i="1"/>
  <c r="DP101" i="1"/>
  <c r="DP100" i="1"/>
  <c r="DP99" i="1"/>
  <c r="DP98" i="1"/>
  <c r="DP97" i="1"/>
  <c r="DP96" i="1"/>
  <c r="DP95" i="1"/>
  <c r="DP94" i="1"/>
  <c r="DP93" i="1"/>
  <c r="DP92" i="1"/>
  <c r="DP91" i="1"/>
  <c r="DP90" i="1"/>
  <c r="DP89" i="1"/>
  <c r="DP88" i="1"/>
  <c r="DP87" i="1"/>
  <c r="DP86" i="1"/>
  <c r="DP85" i="1"/>
  <c r="DP84" i="1"/>
  <c r="DP83" i="1"/>
  <c r="DP82" i="1"/>
  <c r="DP81" i="1"/>
  <c r="DP80" i="1"/>
  <c r="DP79" i="1"/>
  <c r="DP78" i="1"/>
  <c r="DP77" i="1"/>
  <c r="DP76" i="1"/>
  <c r="DP75" i="1"/>
  <c r="DP74" i="1"/>
  <c r="DP73" i="1"/>
  <c r="DP72" i="1"/>
  <c r="DP71" i="1"/>
  <c r="DP70" i="1"/>
  <c r="DP69" i="1"/>
  <c r="DP68" i="1"/>
  <c r="DP67" i="1"/>
  <c r="DP66" i="1"/>
  <c r="DP65" i="1"/>
  <c r="DP64" i="1"/>
  <c r="DP63" i="1"/>
  <c r="DP62" i="1"/>
  <c r="DP61" i="1"/>
  <c r="DP60" i="1"/>
  <c r="DP59" i="1"/>
  <c r="DP58" i="1"/>
  <c r="DP57" i="1"/>
  <c r="DP56" i="1"/>
  <c r="DP55" i="1"/>
  <c r="DP54" i="1"/>
  <c r="DP53" i="1"/>
  <c r="DP52" i="1"/>
  <c r="DP51" i="1"/>
  <c r="DP50" i="1"/>
  <c r="DP49" i="1"/>
  <c r="DP48" i="1"/>
  <c r="DP47" i="1"/>
  <c r="DP46" i="1"/>
  <c r="DP45" i="1"/>
  <c r="DP44" i="1"/>
  <c r="DP43" i="1"/>
  <c r="DP42" i="1"/>
  <c r="DP41" i="1"/>
  <c r="DP40" i="1"/>
  <c r="DP39" i="1"/>
  <c r="DP38" i="1"/>
  <c r="DP37" i="1"/>
  <c r="DP36" i="1"/>
  <c r="DP35" i="1"/>
  <c r="DP34" i="1"/>
  <c r="DP33" i="1"/>
  <c r="DP32" i="1"/>
  <c r="DP31" i="1"/>
  <c r="DP30" i="1"/>
  <c r="DP29" i="1"/>
  <c r="DP28" i="1"/>
  <c r="DP27" i="1"/>
  <c r="DP26" i="1"/>
  <c r="DP25" i="1"/>
  <c r="DP24" i="1"/>
  <c r="DP23" i="1"/>
  <c r="DP22" i="1"/>
  <c r="DP21" i="1"/>
  <c r="DP19" i="1"/>
  <c r="DP18" i="1"/>
  <c r="DP17" i="1"/>
  <c r="DP16" i="1"/>
  <c r="DP15" i="1"/>
  <c r="DP14" i="1"/>
  <c r="DP13" i="1"/>
  <c r="BD12" i="1" a="1"/>
  <c r="BD12" i="1" s="1"/>
  <c r="BC412" i="1" l="1"/>
  <c r="BB412" i="1"/>
  <c r="BC411" i="1"/>
  <c r="BB411" i="1"/>
  <c r="BC410" i="1"/>
  <c r="BB410" i="1"/>
  <c r="BC409" i="1"/>
  <c r="BB409" i="1"/>
  <c r="BC408" i="1"/>
  <c r="BB408" i="1"/>
  <c r="BC407" i="1"/>
  <c r="BB407" i="1"/>
  <c r="BC406" i="1"/>
  <c r="BB406" i="1"/>
  <c r="BC405" i="1"/>
  <c r="BB405" i="1"/>
  <c r="BC404" i="1"/>
  <c r="BB404" i="1"/>
  <c r="BC403" i="1"/>
  <c r="BB403" i="1"/>
  <c r="BC402" i="1"/>
  <c r="BB402" i="1"/>
  <c r="BC401" i="1"/>
  <c r="BB401" i="1"/>
  <c r="BC400" i="1"/>
  <c r="BB400" i="1"/>
  <c r="BC399" i="1"/>
  <c r="BB399" i="1"/>
  <c r="BC398" i="1"/>
  <c r="BB398" i="1"/>
  <c r="BC397" i="1"/>
  <c r="BB397" i="1"/>
  <c r="BC396" i="1"/>
  <c r="BB396" i="1"/>
  <c r="BC395" i="1"/>
  <c r="BB395" i="1"/>
  <c r="BC394" i="1"/>
  <c r="BB394" i="1"/>
  <c r="BC393" i="1"/>
  <c r="BB393" i="1"/>
  <c r="BC392" i="1"/>
  <c r="BB392" i="1"/>
  <c r="BC391" i="1"/>
  <c r="BB391" i="1"/>
  <c r="BC390" i="1"/>
  <c r="BB390" i="1"/>
  <c r="BC389" i="1"/>
  <c r="BB389" i="1"/>
  <c r="BC388" i="1"/>
  <c r="BB388" i="1"/>
  <c r="BC387" i="1"/>
  <c r="BB387" i="1"/>
  <c r="BC386" i="1"/>
  <c r="BB386" i="1"/>
  <c r="BC385" i="1"/>
  <c r="BB385" i="1"/>
  <c r="BC384" i="1"/>
  <c r="BB384" i="1"/>
  <c r="BC383" i="1"/>
  <c r="BB383" i="1"/>
  <c r="BC382" i="1"/>
  <c r="BB382" i="1"/>
  <c r="BC381" i="1"/>
  <c r="BB381" i="1"/>
  <c r="BC380" i="1"/>
  <c r="BB380" i="1"/>
  <c r="BC379" i="1"/>
  <c r="BB379" i="1"/>
  <c r="BC378" i="1"/>
  <c r="BB378" i="1"/>
  <c r="BC377" i="1"/>
  <c r="BB377" i="1"/>
  <c r="BC376" i="1"/>
  <c r="BB376" i="1"/>
  <c r="BC375" i="1"/>
  <c r="BB375" i="1"/>
  <c r="BC374" i="1"/>
  <c r="BB374" i="1"/>
  <c r="BC373" i="1"/>
  <c r="BB373" i="1"/>
  <c r="BC372" i="1"/>
  <c r="BB372" i="1"/>
  <c r="BC371" i="1"/>
  <c r="BB371" i="1"/>
  <c r="BC370" i="1"/>
  <c r="BB370" i="1"/>
  <c r="BC369" i="1"/>
  <c r="BB369" i="1"/>
  <c r="BC368" i="1"/>
  <c r="BB368" i="1"/>
  <c r="BC367" i="1"/>
  <c r="BB367" i="1"/>
  <c r="BC366" i="1"/>
  <c r="BB366" i="1"/>
  <c r="BC365" i="1"/>
  <c r="BB365" i="1"/>
  <c r="BC364" i="1"/>
  <c r="BB364" i="1"/>
  <c r="BC363" i="1"/>
  <c r="BB363" i="1"/>
  <c r="BC362" i="1"/>
  <c r="BB362" i="1"/>
  <c r="BC361" i="1"/>
  <c r="BB361" i="1"/>
  <c r="BC360" i="1"/>
  <c r="BB360" i="1"/>
  <c r="BC359" i="1"/>
  <c r="BB359" i="1"/>
  <c r="BC358" i="1"/>
  <c r="BB358" i="1"/>
  <c r="BC357" i="1"/>
  <c r="BB357" i="1"/>
  <c r="BC356" i="1"/>
  <c r="BB356" i="1"/>
  <c r="BC355" i="1"/>
  <c r="BB355" i="1"/>
  <c r="BC354" i="1"/>
  <c r="BB354" i="1"/>
  <c r="BC353" i="1"/>
  <c r="BB353" i="1"/>
  <c r="BC352" i="1"/>
  <c r="BB352" i="1"/>
  <c r="BC351" i="1"/>
  <c r="BB351" i="1"/>
  <c r="BC350" i="1"/>
  <c r="BB350" i="1"/>
  <c r="BC349" i="1"/>
  <c r="BB349" i="1"/>
  <c r="BC348" i="1"/>
  <c r="BB348" i="1"/>
  <c r="BC347" i="1"/>
  <c r="BB347" i="1"/>
  <c r="BC346" i="1"/>
  <c r="BB346" i="1"/>
  <c r="BC345" i="1"/>
  <c r="BB345" i="1"/>
  <c r="BC344" i="1"/>
  <c r="BB344" i="1"/>
  <c r="BC343" i="1"/>
  <c r="BB343" i="1"/>
  <c r="BC342" i="1"/>
  <c r="BB342" i="1"/>
  <c r="BC341" i="1"/>
  <c r="BB341" i="1"/>
  <c r="BC340" i="1"/>
  <c r="BB340" i="1"/>
  <c r="BC339" i="1"/>
  <c r="BB339" i="1"/>
  <c r="BC338" i="1"/>
  <c r="BB338" i="1"/>
  <c r="BC337" i="1"/>
  <c r="BB337" i="1"/>
  <c r="BC336" i="1"/>
  <c r="BB336" i="1"/>
  <c r="BC335" i="1"/>
  <c r="BB335" i="1"/>
  <c r="BC334" i="1"/>
  <c r="BB334" i="1"/>
  <c r="BC333" i="1"/>
  <c r="BB333" i="1"/>
  <c r="BC332" i="1"/>
  <c r="BB332" i="1"/>
  <c r="BC331" i="1"/>
  <c r="BB331" i="1"/>
  <c r="BC330" i="1"/>
  <c r="BB330" i="1"/>
  <c r="BC329" i="1"/>
  <c r="BB329" i="1"/>
  <c r="BC328" i="1"/>
  <c r="BC327" i="1"/>
  <c r="BB327" i="1"/>
  <c r="BC326" i="1"/>
  <c r="BB326" i="1"/>
  <c r="BC325" i="1"/>
  <c r="BB325" i="1"/>
  <c r="BC324" i="1"/>
  <c r="BB324" i="1"/>
  <c r="BC323" i="1"/>
  <c r="BB323" i="1"/>
  <c r="BC322" i="1"/>
  <c r="BB322" i="1"/>
  <c r="BC321" i="1"/>
  <c r="BB321" i="1"/>
  <c r="BC320" i="1"/>
  <c r="BB320" i="1"/>
  <c r="BC319" i="1"/>
  <c r="BB319" i="1"/>
  <c r="BC318" i="1"/>
  <c r="BB318" i="1"/>
  <c r="BC317" i="1"/>
  <c r="BB317" i="1"/>
  <c r="BC316" i="1"/>
  <c r="BB316" i="1"/>
  <c r="BC315" i="1"/>
  <c r="BB315" i="1"/>
  <c r="BC314" i="1"/>
  <c r="BB314" i="1"/>
  <c r="BC313" i="1"/>
  <c r="BB313" i="1"/>
  <c r="BC312" i="1"/>
  <c r="BB312" i="1"/>
  <c r="BC311" i="1"/>
  <c r="BB311" i="1"/>
  <c r="BC310" i="1"/>
  <c r="BB310" i="1"/>
  <c r="BC309" i="1"/>
  <c r="BB309" i="1"/>
  <c r="BC308" i="1"/>
  <c r="BB308" i="1"/>
  <c r="BC307" i="1"/>
  <c r="BB307" i="1"/>
  <c r="BC306" i="1"/>
  <c r="BB306" i="1"/>
  <c r="BC305" i="1"/>
  <c r="BB305" i="1"/>
  <c r="BC304" i="1"/>
  <c r="BB304" i="1"/>
  <c r="BC303" i="1"/>
  <c r="BB303" i="1"/>
  <c r="BC302" i="1"/>
  <c r="BB302" i="1"/>
  <c r="BC301" i="1"/>
  <c r="BB301" i="1"/>
  <c r="BC300" i="1"/>
  <c r="BB300" i="1"/>
  <c r="BC299" i="1"/>
  <c r="BB299" i="1"/>
  <c r="BC298" i="1"/>
  <c r="BB298" i="1"/>
  <c r="BC297" i="1"/>
  <c r="BB297" i="1"/>
  <c r="BC296" i="1"/>
  <c r="BB296" i="1"/>
  <c r="BC295" i="1"/>
  <c r="BB295" i="1"/>
  <c r="BC294" i="1"/>
  <c r="BB294" i="1"/>
  <c r="BC293" i="1"/>
  <c r="BB293" i="1"/>
  <c r="BC292" i="1"/>
  <c r="BB292" i="1"/>
  <c r="BC291" i="1"/>
  <c r="BB291" i="1"/>
  <c r="BC290" i="1"/>
  <c r="BB290" i="1"/>
  <c r="BC289" i="1"/>
  <c r="BB289" i="1"/>
  <c r="BC288" i="1"/>
  <c r="BB288" i="1"/>
  <c r="BC287" i="1"/>
  <c r="BB287" i="1"/>
  <c r="BC286" i="1"/>
  <c r="BB286" i="1"/>
  <c r="BC285" i="1"/>
  <c r="BB285" i="1"/>
  <c r="BC284" i="1"/>
  <c r="BB284" i="1"/>
  <c r="BC283" i="1"/>
  <c r="BB283" i="1"/>
  <c r="BC282" i="1"/>
  <c r="BB282" i="1"/>
  <c r="BC281" i="1"/>
  <c r="BB281" i="1"/>
  <c r="BC280" i="1"/>
  <c r="BB280" i="1"/>
  <c r="BC279" i="1"/>
  <c r="BB279" i="1"/>
  <c r="BC278" i="1"/>
  <c r="BB278" i="1"/>
  <c r="BC277" i="1"/>
  <c r="BB277" i="1"/>
  <c r="BC276" i="1"/>
  <c r="BB276" i="1"/>
  <c r="BC275" i="1"/>
  <c r="BB275" i="1"/>
  <c r="BC274" i="1"/>
  <c r="BB274" i="1"/>
  <c r="BC273" i="1"/>
  <c r="BB273" i="1"/>
  <c r="BC272" i="1"/>
  <c r="BB272" i="1"/>
  <c r="BC271" i="1"/>
  <c r="BB271" i="1"/>
  <c r="BC270" i="1"/>
  <c r="BB270" i="1"/>
  <c r="BC269" i="1"/>
  <c r="BB269" i="1"/>
  <c r="BC268" i="1"/>
  <c r="BB268" i="1"/>
  <c r="BC267" i="1"/>
  <c r="BB267" i="1"/>
  <c r="BC266" i="1"/>
  <c r="BB266" i="1"/>
  <c r="BC265" i="1"/>
  <c r="BB265" i="1"/>
  <c r="BC264" i="1"/>
  <c r="BB264" i="1"/>
  <c r="BC263" i="1"/>
  <c r="BB263" i="1"/>
  <c r="BC262" i="1"/>
  <c r="BB262" i="1"/>
  <c r="BC261" i="1"/>
  <c r="BB261" i="1"/>
  <c r="BC260" i="1"/>
  <c r="BB260" i="1"/>
  <c r="BC259" i="1"/>
  <c r="BB259" i="1"/>
  <c r="BC258" i="1"/>
  <c r="BB258" i="1"/>
  <c r="BC257" i="1"/>
  <c r="BB257" i="1"/>
  <c r="BC256" i="1"/>
  <c r="BB256" i="1"/>
  <c r="BC255" i="1"/>
  <c r="BB255" i="1"/>
  <c r="BC254" i="1"/>
  <c r="BB254" i="1"/>
  <c r="BC253" i="1"/>
  <c r="BB253" i="1"/>
  <c r="BC252" i="1"/>
  <c r="BB252" i="1"/>
  <c r="BC251" i="1"/>
  <c r="BB251" i="1"/>
  <c r="BC250" i="1"/>
  <c r="BB250" i="1"/>
  <c r="BC249" i="1"/>
  <c r="BB249" i="1"/>
  <c r="BC248" i="1"/>
  <c r="BB248" i="1"/>
  <c r="BC247" i="1"/>
  <c r="BB247" i="1"/>
  <c r="BC246" i="1"/>
  <c r="BB246" i="1"/>
  <c r="BC245" i="1"/>
  <c r="BB245" i="1"/>
  <c r="BC244" i="1"/>
  <c r="BB244" i="1"/>
  <c r="BC243" i="1"/>
  <c r="BB243" i="1"/>
  <c r="BC242" i="1"/>
  <c r="BB242" i="1"/>
  <c r="BC241" i="1"/>
  <c r="BB241" i="1"/>
  <c r="BC240" i="1"/>
  <c r="BB240" i="1"/>
  <c r="BC239" i="1"/>
  <c r="BB239" i="1"/>
  <c r="BC238" i="1"/>
  <c r="BB238" i="1"/>
  <c r="BC237" i="1"/>
  <c r="BB237" i="1"/>
  <c r="BC236" i="1"/>
  <c r="BB236" i="1"/>
  <c r="BC235" i="1"/>
  <c r="BB235" i="1"/>
  <c r="BC234" i="1"/>
  <c r="BB234" i="1"/>
  <c r="BC233" i="1"/>
  <c r="BB233" i="1"/>
  <c r="BC232" i="1"/>
  <c r="BB232" i="1"/>
  <c r="BC231" i="1"/>
  <c r="BB231" i="1"/>
  <c r="BC230" i="1"/>
  <c r="BB230" i="1"/>
  <c r="BC229" i="1"/>
  <c r="BB229" i="1"/>
  <c r="BC228" i="1"/>
  <c r="BB228" i="1"/>
  <c r="BC227" i="1"/>
  <c r="BB227" i="1"/>
  <c r="BC226" i="1"/>
  <c r="BB226" i="1"/>
  <c r="BC225" i="1"/>
  <c r="BB225" i="1"/>
  <c r="BC224" i="1"/>
  <c r="BB224" i="1"/>
  <c r="BC223" i="1"/>
  <c r="BB223" i="1"/>
  <c r="BC222" i="1"/>
  <c r="BB222" i="1"/>
  <c r="BC221" i="1"/>
  <c r="BB221" i="1"/>
  <c r="BC220" i="1"/>
  <c r="BB220" i="1"/>
  <c r="BC219" i="1"/>
  <c r="BB219" i="1"/>
  <c r="BC218" i="1"/>
  <c r="BB218" i="1"/>
  <c r="BC217" i="1"/>
  <c r="BB217" i="1"/>
  <c r="BC216" i="1"/>
  <c r="BB216" i="1"/>
  <c r="BC215" i="1"/>
  <c r="BB215" i="1"/>
  <c r="BC214" i="1"/>
  <c r="BB214" i="1"/>
  <c r="BC213" i="1"/>
  <c r="BB213" i="1"/>
  <c r="BC212" i="1"/>
  <c r="BB212" i="1"/>
  <c r="BC211" i="1"/>
  <c r="BB211" i="1"/>
  <c r="BC210" i="1"/>
  <c r="BB210" i="1"/>
  <c r="BC209" i="1"/>
  <c r="BB209" i="1"/>
  <c r="BC208" i="1"/>
  <c r="BB208" i="1"/>
  <c r="BC207" i="1"/>
  <c r="BB207" i="1"/>
  <c r="BC206" i="1"/>
  <c r="BB206" i="1"/>
  <c r="BC205" i="1"/>
  <c r="BB205" i="1"/>
  <c r="BC204" i="1"/>
  <c r="BB204" i="1"/>
  <c r="BC203" i="1"/>
  <c r="BB203" i="1"/>
  <c r="BC202" i="1"/>
  <c r="BB202" i="1"/>
  <c r="BC201" i="1"/>
  <c r="BB201" i="1"/>
  <c r="BC200" i="1"/>
  <c r="BB200" i="1"/>
  <c r="BC199" i="1"/>
  <c r="BB199" i="1"/>
  <c r="BC198" i="1"/>
  <c r="BB198" i="1"/>
  <c r="BC197" i="1"/>
  <c r="BB197" i="1"/>
  <c r="BC196" i="1"/>
  <c r="BB196" i="1"/>
  <c r="BC195" i="1"/>
  <c r="BB195" i="1"/>
  <c r="BC194" i="1"/>
  <c r="BB194" i="1"/>
  <c r="BC193" i="1"/>
  <c r="BB193" i="1"/>
  <c r="BC192" i="1"/>
  <c r="BB192" i="1"/>
  <c r="BC191" i="1"/>
  <c r="BB191" i="1"/>
  <c r="BC190" i="1"/>
  <c r="BB190" i="1"/>
  <c r="BC189" i="1"/>
  <c r="BB189" i="1"/>
  <c r="BC188" i="1"/>
  <c r="BB188" i="1"/>
  <c r="BC187" i="1"/>
  <c r="BB187" i="1"/>
  <c r="BC186" i="1"/>
  <c r="BB186" i="1"/>
  <c r="BC185" i="1"/>
  <c r="BB185" i="1"/>
  <c r="BC184" i="1"/>
  <c r="BB184" i="1"/>
  <c r="BC183" i="1"/>
  <c r="BB183" i="1"/>
  <c r="BC182" i="1"/>
  <c r="BB182" i="1"/>
  <c r="BC181" i="1"/>
  <c r="BB181" i="1"/>
  <c r="BC180" i="1"/>
  <c r="BB180" i="1"/>
  <c r="BC179" i="1"/>
  <c r="BB179" i="1"/>
  <c r="BC178" i="1"/>
  <c r="BB178" i="1"/>
  <c r="BC177" i="1"/>
  <c r="BB177" i="1"/>
  <c r="BC176" i="1"/>
  <c r="BB176" i="1"/>
  <c r="BC175" i="1"/>
  <c r="BB175" i="1"/>
  <c r="BC174" i="1"/>
  <c r="BB174" i="1"/>
  <c r="BC173" i="1"/>
  <c r="BB173" i="1"/>
  <c r="BC172" i="1"/>
  <c r="BB172" i="1"/>
  <c r="BC171" i="1"/>
  <c r="BB171" i="1"/>
  <c r="BC170" i="1"/>
  <c r="BB170" i="1"/>
  <c r="BC169" i="1"/>
  <c r="BB169" i="1"/>
  <c r="BC168" i="1"/>
  <c r="BB168" i="1"/>
  <c r="BC167" i="1"/>
  <c r="BB167" i="1"/>
  <c r="BC166" i="1"/>
  <c r="BB166" i="1"/>
  <c r="BC165" i="1"/>
  <c r="BB165" i="1"/>
  <c r="BC164" i="1"/>
  <c r="BB164" i="1"/>
  <c r="BC163" i="1"/>
  <c r="BB163" i="1"/>
  <c r="BC162" i="1"/>
  <c r="BB162" i="1"/>
  <c r="BC161" i="1"/>
  <c r="BB161" i="1"/>
  <c r="BC160" i="1"/>
  <c r="BB160" i="1"/>
  <c r="BC159" i="1"/>
  <c r="BB159" i="1"/>
  <c r="BC158" i="1"/>
  <c r="BB158" i="1"/>
  <c r="BC157" i="1"/>
  <c r="BB157" i="1"/>
  <c r="BC156" i="1"/>
  <c r="BB156" i="1"/>
  <c r="BC155" i="1"/>
  <c r="BB155" i="1"/>
  <c r="BC154" i="1"/>
  <c r="BB154" i="1"/>
  <c r="BC153" i="1"/>
  <c r="BB153" i="1"/>
  <c r="BC152" i="1"/>
  <c r="BB152" i="1"/>
  <c r="BC151" i="1"/>
  <c r="BB151" i="1"/>
  <c r="BC150" i="1"/>
  <c r="BB150" i="1"/>
  <c r="BC149" i="1"/>
  <c r="BB149" i="1"/>
  <c r="BC148" i="1"/>
  <c r="BB148" i="1"/>
  <c r="BC147" i="1"/>
  <c r="BB147" i="1"/>
  <c r="BC146" i="1"/>
  <c r="BB146" i="1"/>
  <c r="BC145" i="1"/>
  <c r="BB145" i="1"/>
  <c r="BC144" i="1"/>
  <c r="BB144" i="1"/>
  <c r="BC143" i="1"/>
  <c r="BB143" i="1"/>
  <c r="BC142" i="1"/>
  <c r="BB142" i="1"/>
  <c r="BC141" i="1"/>
  <c r="BB141" i="1"/>
  <c r="BC140" i="1"/>
  <c r="BB140" i="1"/>
  <c r="BC139" i="1"/>
  <c r="BB139" i="1"/>
  <c r="BC138" i="1"/>
  <c r="BB138" i="1"/>
  <c r="BC137" i="1"/>
  <c r="BB137" i="1"/>
  <c r="BC136" i="1"/>
  <c r="BB136" i="1"/>
  <c r="BC135" i="1"/>
  <c r="BB135" i="1"/>
  <c r="BC134" i="1"/>
  <c r="BB134" i="1"/>
  <c r="BC133" i="1"/>
  <c r="BB133" i="1"/>
  <c r="BC132" i="1"/>
  <c r="BB132" i="1"/>
  <c r="BC131" i="1"/>
  <c r="BB131" i="1"/>
  <c r="BC130" i="1"/>
  <c r="BB130" i="1"/>
  <c r="BC129" i="1"/>
  <c r="BB129" i="1"/>
  <c r="BC128" i="1"/>
  <c r="BB128" i="1"/>
  <c r="BC127" i="1"/>
  <c r="BB127" i="1"/>
  <c r="BC126" i="1"/>
  <c r="BB126" i="1"/>
  <c r="BC125" i="1"/>
  <c r="BB125" i="1"/>
  <c r="BC124" i="1"/>
  <c r="BB124" i="1"/>
  <c r="BC123" i="1"/>
  <c r="BB123" i="1"/>
  <c r="BC122" i="1"/>
  <c r="BB122" i="1"/>
  <c r="BC121" i="1"/>
  <c r="BB121" i="1"/>
  <c r="BC120" i="1"/>
  <c r="BB120" i="1"/>
  <c r="BC119" i="1"/>
  <c r="BB119" i="1"/>
  <c r="BC118" i="1"/>
  <c r="BB118" i="1"/>
  <c r="BC117" i="1"/>
  <c r="BB117" i="1"/>
  <c r="BC116" i="1"/>
  <c r="BB116" i="1"/>
  <c r="BC115" i="1"/>
  <c r="BB115" i="1"/>
  <c r="BC114" i="1"/>
  <c r="BB114" i="1"/>
  <c r="BC113" i="1"/>
  <c r="BB113" i="1"/>
  <c r="BC112" i="1"/>
  <c r="BB112" i="1"/>
  <c r="BC111" i="1"/>
  <c r="BB111" i="1"/>
  <c r="BC110" i="1"/>
  <c r="BB110" i="1"/>
  <c r="BC109" i="1"/>
  <c r="BB109" i="1"/>
  <c r="BC108" i="1"/>
  <c r="BB108" i="1"/>
  <c r="BC107" i="1"/>
  <c r="BB107" i="1"/>
  <c r="BC106" i="1"/>
  <c r="BB106" i="1"/>
  <c r="BC105" i="1"/>
  <c r="BC104" i="1"/>
  <c r="BB104" i="1"/>
  <c r="BC103" i="1"/>
  <c r="BB103" i="1"/>
  <c r="BC102" i="1"/>
  <c r="BB102" i="1"/>
  <c r="BC101" i="1"/>
  <c r="BB101" i="1"/>
  <c r="BC100" i="1"/>
  <c r="BB100" i="1"/>
  <c r="BC99" i="1"/>
  <c r="BB99" i="1"/>
  <c r="BC98" i="1"/>
  <c r="BB98" i="1"/>
  <c r="BC97" i="1"/>
  <c r="BB97" i="1"/>
  <c r="BC96" i="1"/>
  <c r="BB96" i="1"/>
  <c r="BC95" i="1"/>
  <c r="BB95" i="1"/>
  <c r="BC94" i="1"/>
  <c r="BB94" i="1"/>
  <c r="BC93" i="1"/>
  <c r="BB93" i="1"/>
  <c r="BC92" i="1"/>
  <c r="BB92" i="1"/>
  <c r="BC91" i="1"/>
  <c r="BB91" i="1"/>
  <c r="BC90" i="1"/>
  <c r="BB90" i="1"/>
  <c r="BC89" i="1"/>
  <c r="BB89" i="1"/>
  <c r="BC88" i="1"/>
  <c r="BB88" i="1"/>
  <c r="BC87" i="1"/>
  <c r="BB87" i="1"/>
  <c r="BC86" i="1"/>
  <c r="BB86" i="1"/>
  <c r="BC85" i="1"/>
  <c r="BB85" i="1"/>
  <c r="BC84" i="1"/>
  <c r="BB84" i="1"/>
  <c r="BC83" i="1"/>
  <c r="BB83" i="1"/>
  <c r="BC82" i="1"/>
  <c r="BB82" i="1"/>
  <c r="BC81" i="1"/>
  <c r="BB81" i="1"/>
  <c r="BC80" i="1"/>
  <c r="BB80" i="1"/>
  <c r="BC79" i="1"/>
  <c r="BB79" i="1"/>
  <c r="BC78" i="1"/>
  <c r="BB78" i="1"/>
  <c r="BC77" i="1"/>
  <c r="BB77" i="1"/>
  <c r="BC76" i="1"/>
  <c r="BB76" i="1"/>
  <c r="BC75" i="1"/>
  <c r="BB75" i="1"/>
  <c r="BC74" i="1"/>
  <c r="BB74" i="1"/>
  <c r="BC73" i="1"/>
  <c r="BB73" i="1"/>
  <c r="BC72" i="1"/>
  <c r="BB72" i="1"/>
  <c r="BC71" i="1"/>
  <c r="BB71" i="1"/>
  <c r="BC70" i="1"/>
  <c r="BB70" i="1"/>
  <c r="BC69" i="1"/>
  <c r="BB69" i="1"/>
  <c r="BC68" i="1"/>
  <c r="BB68" i="1"/>
  <c r="BC67" i="1"/>
  <c r="BB67" i="1"/>
  <c r="BC66" i="1"/>
  <c r="BB66" i="1"/>
  <c r="BC65" i="1"/>
  <c r="BB65" i="1"/>
  <c r="BC64" i="1"/>
  <c r="BB64" i="1"/>
  <c r="BC63" i="1"/>
  <c r="BB63" i="1"/>
  <c r="BC62" i="1"/>
  <c r="BB62" i="1"/>
  <c r="BC61" i="1"/>
  <c r="BB61" i="1"/>
  <c r="BC60" i="1"/>
  <c r="BB60" i="1"/>
  <c r="BC59" i="1"/>
  <c r="BB59" i="1"/>
  <c r="BC58" i="1"/>
  <c r="BB58" i="1"/>
  <c r="BC57" i="1"/>
  <c r="BB57" i="1"/>
  <c r="BC56" i="1"/>
  <c r="BB56" i="1"/>
  <c r="BC55" i="1"/>
  <c r="BB55" i="1"/>
  <c r="BC54" i="1"/>
  <c r="BB54" i="1"/>
  <c r="BC53" i="1"/>
  <c r="BB53" i="1"/>
  <c r="BC52" i="1"/>
  <c r="BB52" i="1"/>
  <c r="BC51" i="1"/>
  <c r="BB51" i="1"/>
  <c r="BC50" i="1"/>
  <c r="BB50" i="1"/>
  <c r="BC49" i="1"/>
  <c r="BB49" i="1"/>
  <c r="BC48" i="1"/>
  <c r="BB48" i="1"/>
  <c r="BC47" i="1"/>
  <c r="BB47" i="1"/>
  <c r="BC46" i="1"/>
  <c r="BB46" i="1"/>
  <c r="BC45" i="1"/>
  <c r="BB45" i="1"/>
  <c r="BC44" i="1"/>
  <c r="BB44" i="1"/>
  <c r="BC43" i="1"/>
  <c r="BB43" i="1"/>
  <c r="BC42" i="1"/>
  <c r="BB42" i="1"/>
  <c r="BC41" i="1"/>
  <c r="BB41" i="1"/>
  <c r="BC40" i="1"/>
  <c r="BB40" i="1"/>
  <c r="BC39" i="1"/>
  <c r="BB39" i="1"/>
  <c r="BC38" i="1"/>
  <c r="BB38" i="1"/>
  <c r="BC37" i="1"/>
  <c r="BB37" i="1"/>
  <c r="BC36" i="1"/>
  <c r="BB36" i="1"/>
  <c r="BC35" i="1"/>
  <c r="BB35" i="1"/>
  <c r="BC34" i="1"/>
  <c r="BB34" i="1"/>
  <c r="BC33" i="1"/>
  <c r="BB33" i="1"/>
  <c r="BC32" i="1"/>
  <c r="BB32" i="1"/>
  <c r="BC31" i="1"/>
  <c r="BB31" i="1"/>
  <c r="BC30" i="1"/>
  <c r="BB30" i="1"/>
  <c r="BC29" i="1"/>
  <c r="BB29" i="1"/>
  <c r="BC28" i="1"/>
  <c r="BB28" i="1"/>
  <c r="BC27" i="1"/>
  <c r="BB27" i="1"/>
  <c r="BC26" i="1"/>
  <c r="BB26" i="1"/>
  <c r="BC25" i="1"/>
  <c r="BB25" i="1"/>
  <c r="BC24" i="1"/>
  <c r="BB24" i="1"/>
  <c r="BC23" i="1"/>
  <c r="BB23" i="1"/>
  <c r="BC22" i="1"/>
  <c r="BB22" i="1"/>
  <c r="BC21" i="1"/>
  <c r="BB21" i="1"/>
  <c r="BC19" i="1"/>
  <c r="BB19" i="1"/>
  <c r="BC18" i="1"/>
  <c r="BB18" i="1"/>
  <c r="BC17" i="1"/>
  <c r="BB17" i="1"/>
  <c r="BC16" i="1"/>
  <c r="BB16" i="1"/>
  <c r="BC15" i="1"/>
  <c r="BB15" i="1"/>
  <c r="BC14" i="1"/>
  <c r="BB14" i="1"/>
  <c r="BC13" i="1"/>
  <c r="BB13" i="1"/>
  <c r="BC20" i="1"/>
  <c r="CE412" i="1" l="1"/>
  <c r="CD412" i="1"/>
  <c r="CC412" i="1"/>
  <c r="BX412" i="1"/>
  <c r="CE411" i="1"/>
  <c r="CD411" i="1"/>
  <c r="CC411" i="1"/>
  <c r="BX411" i="1"/>
  <c r="CE410" i="1"/>
  <c r="CD410" i="1"/>
  <c r="CC410" i="1"/>
  <c r="BX410" i="1"/>
  <c r="CE409" i="1"/>
  <c r="CD409" i="1"/>
  <c r="CC409" i="1"/>
  <c r="BX409" i="1"/>
  <c r="CE408" i="1"/>
  <c r="CD408" i="1"/>
  <c r="CC408" i="1"/>
  <c r="BX408" i="1"/>
  <c r="CE407" i="1"/>
  <c r="CD407" i="1"/>
  <c r="CC407" i="1"/>
  <c r="BX407" i="1"/>
  <c r="CE406" i="1"/>
  <c r="CD406" i="1"/>
  <c r="CC406" i="1"/>
  <c r="BX406" i="1"/>
  <c r="CE405" i="1"/>
  <c r="CD405" i="1"/>
  <c r="CC405" i="1"/>
  <c r="BX405" i="1"/>
  <c r="CE404" i="1"/>
  <c r="CD404" i="1"/>
  <c r="CC404" i="1"/>
  <c r="BX404" i="1"/>
  <c r="CE403" i="1"/>
  <c r="CD403" i="1"/>
  <c r="CC403" i="1"/>
  <c r="BX403" i="1"/>
  <c r="CE402" i="1"/>
  <c r="CD402" i="1"/>
  <c r="CC402" i="1"/>
  <c r="BX402" i="1"/>
  <c r="CE401" i="1"/>
  <c r="CD401" i="1"/>
  <c r="CC401" i="1"/>
  <c r="BX401" i="1"/>
  <c r="CE400" i="1"/>
  <c r="CD400" i="1"/>
  <c r="CC400" i="1"/>
  <c r="BX400" i="1"/>
  <c r="CE399" i="1"/>
  <c r="CD399" i="1"/>
  <c r="CC399" i="1"/>
  <c r="BX399" i="1"/>
  <c r="CE398" i="1"/>
  <c r="CD398" i="1"/>
  <c r="CC398" i="1"/>
  <c r="BX398" i="1"/>
  <c r="CE397" i="1"/>
  <c r="CD397" i="1"/>
  <c r="CC397" i="1"/>
  <c r="BX397" i="1"/>
  <c r="CE396" i="1"/>
  <c r="CD396" i="1"/>
  <c r="CC396" i="1"/>
  <c r="BX396" i="1"/>
  <c r="CE395" i="1"/>
  <c r="CD395" i="1"/>
  <c r="CC395" i="1"/>
  <c r="BX395" i="1"/>
  <c r="CE394" i="1"/>
  <c r="CD394" i="1"/>
  <c r="CC394" i="1"/>
  <c r="BX394" i="1"/>
  <c r="CE393" i="1"/>
  <c r="CD393" i="1"/>
  <c r="CC393" i="1"/>
  <c r="BX393" i="1"/>
  <c r="CE392" i="1"/>
  <c r="CD392" i="1"/>
  <c r="CC392" i="1"/>
  <c r="BX392" i="1"/>
  <c r="CE391" i="1"/>
  <c r="CD391" i="1"/>
  <c r="CC391" i="1"/>
  <c r="BX391" i="1"/>
  <c r="CE390" i="1"/>
  <c r="CD390" i="1"/>
  <c r="CC390" i="1"/>
  <c r="BX390" i="1"/>
  <c r="CE389" i="1"/>
  <c r="CD389" i="1"/>
  <c r="CC389" i="1"/>
  <c r="BX389" i="1"/>
  <c r="CE388" i="1"/>
  <c r="CD388" i="1"/>
  <c r="CC388" i="1"/>
  <c r="BX388" i="1"/>
  <c r="CE387" i="1"/>
  <c r="CD387" i="1"/>
  <c r="CC387" i="1"/>
  <c r="BX387" i="1"/>
  <c r="CE386" i="1"/>
  <c r="CD386" i="1"/>
  <c r="CC386" i="1"/>
  <c r="BX386" i="1"/>
  <c r="CE385" i="1"/>
  <c r="CD385" i="1"/>
  <c r="CC385" i="1"/>
  <c r="BX385" i="1"/>
  <c r="CE384" i="1"/>
  <c r="CD384" i="1"/>
  <c r="CC384" i="1"/>
  <c r="BX384" i="1"/>
  <c r="CE383" i="1"/>
  <c r="CD383" i="1"/>
  <c r="CC383" i="1"/>
  <c r="BX383" i="1"/>
  <c r="CE382" i="1"/>
  <c r="CD382" i="1"/>
  <c r="CC382" i="1"/>
  <c r="BX382" i="1"/>
  <c r="CE381" i="1"/>
  <c r="CD381" i="1"/>
  <c r="CC381" i="1"/>
  <c r="BX381" i="1"/>
  <c r="CE380" i="1"/>
  <c r="CD380" i="1"/>
  <c r="CC380" i="1"/>
  <c r="BX380" i="1"/>
  <c r="CE379" i="1"/>
  <c r="CD379" i="1"/>
  <c r="CC379" i="1"/>
  <c r="BX379" i="1"/>
  <c r="CE378" i="1"/>
  <c r="CD378" i="1"/>
  <c r="CC378" i="1"/>
  <c r="BX378" i="1"/>
  <c r="CE377" i="1"/>
  <c r="CD377" i="1"/>
  <c r="CC377" i="1"/>
  <c r="BX377" i="1"/>
  <c r="CE376" i="1"/>
  <c r="CD376" i="1"/>
  <c r="CC376" i="1"/>
  <c r="BX376" i="1"/>
  <c r="CE375" i="1"/>
  <c r="CD375" i="1"/>
  <c r="CC375" i="1"/>
  <c r="BX375" i="1"/>
  <c r="CE374" i="1"/>
  <c r="CD374" i="1"/>
  <c r="CC374" i="1"/>
  <c r="BX374" i="1"/>
  <c r="CE373" i="1"/>
  <c r="CD373" i="1"/>
  <c r="CC373" i="1"/>
  <c r="BX373" i="1"/>
  <c r="CE372" i="1"/>
  <c r="CD372" i="1"/>
  <c r="CC372" i="1"/>
  <c r="BX372" i="1"/>
  <c r="CE371" i="1"/>
  <c r="CD371" i="1"/>
  <c r="CC371" i="1"/>
  <c r="BX371" i="1"/>
  <c r="CE370" i="1"/>
  <c r="CD370" i="1"/>
  <c r="CC370" i="1"/>
  <c r="BX370" i="1"/>
  <c r="CE369" i="1"/>
  <c r="CD369" i="1"/>
  <c r="CC369" i="1"/>
  <c r="BX369" i="1"/>
  <c r="CE368" i="1"/>
  <c r="CD368" i="1"/>
  <c r="CC368" i="1"/>
  <c r="BX368" i="1"/>
  <c r="CE367" i="1"/>
  <c r="CD367" i="1"/>
  <c r="CC367" i="1"/>
  <c r="BX367" i="1"/>
  <c r="CE366" i="1"/>
  <c r="CD366" i="1"/>
  <c r="CC366" i="1"/>
  <c r="BX366" i="1"/>
  <c r="CE365" i="1"/>
  <c r="CD365" i="1"/>
  <c r="CC365" i="1"/>
  <c r="BX365" i="1"/>
  <c r="CE364" i="1"/>
  <c r="CD364" i="1"/>
  <c r="CC364" i="1"/>
  <c r="BX364" i="1"/>
  <c r="CE363" i="1"/>
  <c r="CD363" i="1"/>
  <c r="CC363" i="1"/>
  <c r="BX363" i="1"/>
  <c r="CE362" i="1"/>
  <c r="CD362" i="1"/>
  <c r="CC362" i="1"/>
  <c r="BX362" i="1"/>
  <c r="CE361" i="1"/>
  <c r="CD361" i="1"/>
  <c r="CC361" i="1"/>
  <c r="BX361" i="1"/>
  <c r="CE360" i="1"/>
  <c r="CD360" i="1"/>
  <c r="CC360" i="1"/>
  <c r="BX360" i="1"/>
  <c r="CE359" i="1"/>
  <c r="CD359" i="1"/>
  <c r="CC359" i="1"/>
  <c r="BX359" i="1"/>
  <c r="CE358" i="1"/>
  <c r="CD358" i="1"/>
  <c r="CC358" i="1"/>
  <c r="BX358" i="1"/>
  <c r="CE357" i="1"/>
  <c r="CD357" i="1"/>
  <c r="CC357" i="1"/>
  <c r="BX357" i="1"/>
  <c r="CE356" i="1"/>
  <c r="CD356" i="1"/>
  <c r="CC356" i="1"/>
  <c r="BX356" i="1"/>
  <c r="CE355" i="1"/>
  <c r="CD355" i="1"/>
  <c r="CC355" i="1"/>
  <c r="BX355" i="1"/>
  <c r="CE354" i="1"/>
  <c r="CD354" i="1"/>
  <c r="CC354" i="1"/>
  <c r="BX354" i="1"/>
  <c r="CE353" i="1"/>
  <c r="CD353" i="1"/>
  <c r="CC353" i="1"/>
  <c r="BX353" i="1"/>
  <c r="CE352" i="1"/>
  <c r="CD352" i="1"/>
  <c r="CC352" i="1"/>
  <c r="BX352" i="1"/>
  <c r="CE351" i="1"/>
  <c r="CD351" i="1"/>
  <c r="CC351" i="1"/>
  <c r="BX351" i="1"/>
  <c r="CE350" i="1"/>
  <c r="CD350" i="1"/>
  <c r="CC350" i="1"/>
  <c r="BX350" i="1"/>
  <c r="CE349" i="1"/>
  <c r="CD349" i="1"/>
  <c r="CC349" i="1"/>
  <c r="BX349" i="1"/>
  <c r="CE348" i="1"/>
  <c r="CD348" i="1"/>
  <c r="CC348" i="1"/>
  <c r="BX348" i="1"/>
  <c r="CE347" i="1"/>
  <c r="CD347" i="1"/>
  <c r="CC347" i="1"/>
  <c r="BX347" i="1"/>
  <c r="CE346" i="1"/>
  <c r="CD346" i="1"/>
  <c r="CC346" i="1"/>
  <c r="BX346" i="1"/>
  <c r="CE345" i="1"/>
  <c r="CD345" i="1"/>
  <c r="CC345" i="1"/>
  <c r="BX345" i="1"/>
  <c r="CE344" i="1"/>
  <c r="CD344" i="1"/>
  <c r="CC344" i="1"/>
  <c r="BX344" i="1"/>
  <c r="CE343" i="1"/>
  <c r="CD343" i="1"/>
  <c r="CC343" i="1"/>
  <c r="BX343" i="1"/>
  <c r="CE342" i="1"/>
  <c r="CD342" i="1"/>
  <c r="CC342" i="1"/>
  <c r="BX342" i="1"/>
  <c r="CE341" i="1"/>
  <c r="CD341" i="1"/>
  <c r="CC341" i="1"/>
  <c r="BX341" i="1"/>
  <c r="CE340" i="1"/>
  <c r="CD340" i="1"/>
  <c r="CC340" i="1"/>
  <c r="BX340" i="1"/>
  <c r="CE339" i="1"/>
  <c r="CD339" i="1"/>
  <c r="CC339" i="1"/>
  <c r="BX339" i="1"/>
  <c r="CE338" i="1"/>
  <c r="CD338" i="1"/>
  <c r="CC338" i="1"/>
  <c r="BX338" i="1"/>
  <c r="CE337" i="1"/>
  <c r="CD337" i="1"/>
  <c r="CC337" i="1"/>
  <c r="BX337" i="1"/>
  <c r="CE336" i="1"/>
  <c r="CD336" i="1"/>
  <c r="CC336" i="1"/>
  <c r="BX336" i="1"/>
  <c r="CE335" i="1"/>
  <c r="CD335" i="1"/>
  <c r="CC335" i="1"/>
  <c r="BX335" i="1"/>
  <c r="CE334" i="1"/>
  <c r="CD334" i="1"/>
  <c r="CC334" i="1"/>
  <c r="BX334" i="1"/>
  <c r="CE333" i="1"/>
  <c r="CD333" i="1"/>
  <c r="CC333" i="1"/>
  <c r="BX333" i="1"/>
  <c r="CE332" i="1"/>
  <c r="CD332" i="1"/>
  <c r="CC332" i="1"/>
  <c r="BX332" i="1"/>
  <c r="CE331" i="1"/>
  <c r="CD331" i="1"/>
  <c r="CC331" i="1"/>
  <c r="BX331" i="1"/>
  <c r="CE330" i="1"/>
  <c r="CD330" i="1"/>
  <c r="CC330" i="1"/>
  <c r="BX330" i="1"/>
  <c r="CE329" i="1"/>
  <c r="CD329" i="1"/>
  <c r="CC329" i="1"/>
  <c r="BX329" i="1"/>
  <c r="CE328" i="1"/>
  <c r="CD328" i="1"/>
  <c r="CC328" i="1"/>
  <c r="BX328" i="1"/>
  <c r="CE327" i="1"/>
  <c r="CD327" i="1"/>
  <c r="CC327" i="1"/>
  <c r="BX327" i="1"/>
  <c r="CE326" i="1"/>
  <c r="CD326" i="1"/>
  <c r="CC326" i="1"/>
  <c r="BX326" i="1"/>
  <c r="CE325" i="1"/>
  <c r="CD325" i="1"/>
  <c r="CC325" i="1"/>
  <c r="BX325" i="1"/>
  <c r="CE324" i="1"/>
  <c r="CD324" i="1"/>
  <c r="CC324" i="1"/>
  <c r="BX324" i="1"/>
  <c r="CE323" i="1"/>
  <c r="CD323" i="1"/>
  <c r="CC323" i="1"/>
  <c r="BX323" i="1"/>
  <c r="CE322" i="1"/>
  <c r="CD322" i="1"/>
  <c r="CC322" i="1"/>
  <c r="BX322" i="1"/>
  <c r="CE321" i="1"/>
  <c r="CD321" i="1"/>
  <c r="CC321" i="1"/>
  <c r="BX321" i="1"/>
  <c r="CE320" i="1"/>
  <c r="CD320" i="1"/>
  <c r="CC320" i="1"/>
  <c r="BX320" i="1"/>
  <c r="CE319" i="1"/>
  <c r="CD319" i="1"/>
  <c r="CC319" i="1"/>
  <c r="BX319" i="1"/>
  <c r="CE318" i="1"/>
  <c r="CD318" i="1"/>
  <c r="CC318" i="1"/>
  <c r="BX318" i="1"/>
  <c r="CE317" i="1"/>
  <c r="CD317" i="1"/>
  <c r="CC317" i="1"/>
  <c r="BX317" i="1"/>
  <c r="CE316" i="1"/>
  <c r="CD316" i="1"/>
  <c r="CC316" i="1"/>
  <c r="BX316" i="1"/>
  <c r="CE315" i="1"/>
  <c r="CD315" i="1"/>
  <c r="CC315" i="1"/>
  <c r="BX315" i="1"/>
  <c r="CE314" i="1"/>
  <c r="CD314" i="1"/>
  <c r="CC314" i="1"/>
  <c r="BX314" i="1"/>
  <c r="CE313" i="1"/>
  <c r="CD313" i="1"/>
  <c r="CC313" i="1"/>
  <c r="BX313" i="1"/>
  <c r="CE312" i="1"/>
  <c r="CD312" i="1"/>
  <c r="CC312" i="1"/>
  <c r="BX312" i="1"/>
  <c r="CE311" i="1"/>
  <c r="CD311" i="1"/>
  <c r="CC311" i="1"/>
  <c r="BX311" i="1"/>
  <c r="CE310" i="1"/>
  <c r="CD310" i="1"/>
  <c r="CC310" i="1"/>
  <c r="BX310" i="1"/>
  <c r="CE309" i="1"/>
  <c r="CD309" i="1"/>
  <c r="CC309" i="1"/>
  <c r="BX309" i="1"/>
  <c r="CE308" i="1"/>
  <c r="CD308" i="1"/>
  <c r="CC308" i="1"/>
  <c r="BX308" i="1"/>
  <c r="CE307" i="1"/>
  <c r="CD307" i="1"/>
  <c r="CC307" i="1"/>
  <c r="BX307" i="1"/>
  <c r="CE306" i="1"/>
  <c r="CD306" i="1"/>
  <c r="CC306" i="1"/>
  <c r="BX306" i="1"/>
  <c r="CE305" i="1"/>
  <c r="CD305" i="1"/>
  <c r="CC305" i="1"/>
  <c r="BX305" i="1"/>
  <c r="CE304" i="1"/>
  <c r="CD304" i="1"/>
  <c r="CC304" i="1"/>
  <c r="BX304" i="1"/>
  <c r="CE303" i="1"/>
  <c r="CD303" i="1"/>
  <c r="CC303" i="1"/>
  <c r="BX303" i="1"/>
  <c r="CE302" i="1"/>
  <c r="CD302" i="1"/>
  <c r="CC302" i="1"/>
  <c r="BX302" i="1"/>
  <c r="CE301" i="1"/>
  <c r="CD301" i="1"/>
  <c r="CC301" i="1"/>
  <c r="BX301" i="1"/>
  <c r="CE300" i="1"/>
  <c r="CD300" i="1"/>
  <c r="CC300" i="1"/>
  <c r="BX300" i="1"/>
  <c r="CE299" i="1"/>
  <c r="CD299" i="1"/>
  <c r="CC299" i="1"/>
  <c r="BX299" i="1"/>
  <c r="CE298" i="1"/>
  <c r="CD298" i="1"/>
  <c r="CC298" i="1"/>
  <c r="BX298" i="1"/>
  <c r="CE297" i="1"/>
  <c r="CD297" i="1"/>
  <c r="CC297" i="1"/>
  <c r="BX297" i="1"/>
  <c r="CE296" i="1"/>
  <c r="CD296" i="1"/>
  <c r="CC296" i="1"/>
  <c r="BX296" i="1"/>
  <c r="CE295" i="1"/>
  <c r="CD295" i="1"/>
  <c r="CC295" i="1"/>
  <c r="BX295" i="1"/>
  <c r="CE294" i="1"/>
  <c r="CD294" i="1"/>
  <c r="CC294" i="1"/>
  <c r="BX294" i="1"/>
  <c r="CE293" i="1"/>
  <c r="CD293" i="1"/>
  <c r="CC293" i="1"/>
  <c r="BX293" i="1"/>
  <c r="CE292" i="1"/>
  <c r="CD292" i="1"/>
  <c r="CC292" i="1"/>
  <c r="BX292" i="1"/>
  <c r="CE291" i="1"/>
  <c r="CD291" i="1"/>
  <c r="CC291" i="1"/>
  <c r="BX291" i="1"/>
  <c r="CE290" i="1"/>
  <c r="CD290" i="1"/>
  <c r="CC290" i="1"/>
  <c r="BX290" i="1"/>
  <c r="CE289" i="1"/>
  <c r="CD289" i="1"/>
  <c r="CC289" i="1"/>
  <c r="BX289" i="1"/>
  <c r="CE288" i="1"/>
  <c r="CD288" i="1"/>
  <c r="CC288" i="1"/>
  <c r="BX288" i="1"/>
  <c r="CE287" i="1"/>
  <c r="CD287" i="1"/>
  <c r="CC287" i="1"/>
  <c r="BX287" i="1"/>
  <c r="CE286" i="1"/>
  <c r="CD286" i="1"/>
  <c r="CC286" i="1"/>
  <c r="BX286" i="1"/>
  <c r="CE285" i="1"/>
  <c r="CD285" i="1"/>
  <c r="CC285" i="1"/>
  <c r="BX285" i="1"/>
  <c r="CE284" i="1"/>
  <c r="CD284" i="1"/>
  <c r="CC284" i="1"/>
  <c r="BX284" i="1"/>
  <c r="CE283" i="1"/>
  <c r="CD283" i="1"/>
  <c r="CC283" i="1"/>
  <c r="BX283" i="1"/>
  <c r="CE282" i="1"/>
  <c r="CD282" i="1"/>
  <c r="CC282" i="1"/>
  <c r="BX282" i="1"/>
  <c r="CE281" i="1"/>
  <c r="CD281" i="1"/>
  <c r="CC281" i="1"/>
  <c r="BX281" i="1"/>
  <c r="CE280" i="1"/>
  <c r="CD280" i="1"/>
  <c r="CC280" i="1"/>
  <c r="BX280" i="1"/>
  <c r="CE279" i="1"/>
  <c r="CD279" i="1"/>
  <c r="CC279" i="1"/>
  <c r="BX279" i="1"/>
  <c r="CE278" i="1"/>
  <c r="CD278" i="1"/>
  <c r="CC278" i="1"/>
  <c r="BX278" i="1"/>
  <c r="CE277" i="1"/>
  <c r="CD277" i="1"/>
  <c r="CC277" i="1"/>
  <c r="BX277" i="1"/>
  <c r="CE276" i="1"/>
  <c r="CD276" i="1"/>
  <c r="CC276" i="1"/>
  <c r="BX276" i="1"/>
  <c r="CE275" i="1"/>
  <c r="CD275" i="1"/>
  <c r="CC275" i="1"/>
  <c r="BX275" i="1"/>
  <c r="CE274" i="1"/>
  <c r="CD274" i="1"/>
  <c r="CC274" i="1"/>
  <c r="BX274" i="1"/>
  <c r="CE273" i="1"/>
  <c r="CD273" i="1"/>
  <c r="CC273" i="1"/>
  <c r="BX273" i="1"/>
  <c r="CE272" i="1"/>
  <c r="CD272" i="1"/>
  <c r="CC272" i="1"/>
  <c r="BX272" i="1"/>
  <c r="CE271" i="1"/>
  <c r="CD271" i="1"/>
  <c r="CC271" i="1"/>
  <c r="BX271" i="1"/>
  <c r="CE270" i="1"/>
  <c r="CD270" i="1"/>
  <c r="CC270" i="1"/>
  <c r="BX270" i="1"/>
  <c r="CE269" i="1"/>
  <c r="CD269" i="1"/>
  <c r="CC269" i="1"/>
  <c r="BX269" i="1"/>
  <c r="CE268" i="1"/>
  <c r="CD268" i="1"/>
  <c r="CC268" i="1"/>
  <c r="BX268" i="1"/>
  <c r="CE267" i="1"/>
  <c r="CD267" i="1"/>
  <c r="CC267" i="1"/>
  <c r="BX267" i="1"/>
  <c r="CE266" i="1"/>
  <c r="CD266" i="1"/>
  <c r="CC266" i="1"/>
  <c r="BX266" i="1"/>
  <c r="CE265" i="1"/>
  <c r="CD265" i="1"/>
  <c r="CC265" i="1"/>
  <c r="BX265" i="1"/>
  <c r="CE264" i="1"/>
  <c r="CD264" i="1"/>
  <c r="CC264" i="1"/>
  <c r="BX264" i="1"/>
  <c r="CE263" i="1"/>
  <c r="CD263" i="1"/>
  <c r="CC263" i="1"/>
  <c r="BX263" i="1"/>
  <c r="CE262" i="1"/>
  <c r="CD262" i="1"/>
  <c r="CC262" i="1"/>
  <c r="BX262" i="1"/>
  <c r="CE261" i="1"/>
  <c r="CD261" i="1"/>
  <c r="CC261" i="1"/>
  <c r="BX261" i="1"/>
  <c r="CE260" i="1"/>
  <c r="CD260" i="1"/>
  <c r="CC260" i="1"/>
  <c r="BX260" i="1"/>
  <c r="CE259" i="1"/>
  <c r="CD259" i="1"/>
  <c r="CC259" i="1"/>
  <c r="BX259" i="1"/>
  <c r="CE258" i="1"/>
  <c r="CD258" i="1"/>
  <c r="CC258" i="1"/>
  <c r="BX258" i="1"/>
  <c r="CE257" i="1"/>
  <c r="CD257" i="1"/>
  <c r="CC257" i="1"/>
  <c r="BX257" i="1"/>
  <c r="CE256" i="1"/>
  <c r="CD256" i="1"/>
  <c r="CC256" i="1"/>
  <c r="BX256" i="1"/>
  <c r="CE255" i="1"/>
  <c r="CD255" i="1"/>
  <c r="CC255" i="1"/>
  <c r="BX255" i="1"/>
  <c r="CE254" i="1"/>
  <c r="CD254" i="1"/>
  <c r="CC254" i="1"/>
  <c r="BX254" i="1"/>
  <c r="CE253" i="1"/>
  <c r="CD253" i="1"/>
  <c r="CC253" i="1"/>
  <c r="BX253" i="1"/>
  <c r="CE252" i="1"/>
  <c r="CD252" i="1"/>
  <c r="CC252" i="1"/>
  <c r="BX252" i="1"/>
  <c r="CE251" i="1"/>
  <c r="CD251" i="1"/>
  <c r="CC251" i="1"/>
  <c r="BX251" i="1"/>
  <c r="CE250" i="1"/>
  <c r="CD250" i="1"/>
  <c r="CC250" i="1"/>
  <c r="BX250" i="1"/>
  <c r="CE249" i="1"/>
  <c r="CD249" i="1"/>
  <c r="CC249" i="1"/>
  <c r="BX249" i="1"/>
  <c r="CE248" i="1"/>
  <c r="CD248" i="1"/>
  <c r="CC248" i="1"/>
  <c r="BX248" i="1"/>
  <c r="CE247" i="1"/>
  <c r="CD247" i="1"/>
  <c r="CC247" i="1"/>
  <c r="BX247" i="1"/>
  <c r="CE246" i="1"/>
  <c r="CD246" i="1"/>
  <c r="CC246" i="1"/>
  <c r="BX246" i="1"/>
  <c r="CE245" i="1"/>
  <c r="CD245" i="1"/>
  <c r="CC245" i="1"/>
  <c r="BX245" i="1"/>
  <c r="CE244" i="1"/>
  <c r="CD244" i="1"/>
  <c r="CC244" i="1"/>
  <c r="BX244" i="1"/>
  <c r="CE243" i="1"/>
  <c r="CD243" i="1"/>
  <c r="CC243" i="1"/>
  <c r="BX243" i="1"/>
  <c r="CE242" i="1"/>
  <c r="CD242" i="1"/>
  <c r="CC242" i="1"/>
  <c r="BX242" i="1"/>
  <c r="CE241" i="1"/>
  <c r="CD241" i="1"/>
  <c r="CC241" i="1"/>
  <c r="BX241" i="1"/>
  <c r="CE240" i="1"/>
  <c r="CD240" i="1"/>
  <c r="CC240" i="1"/>
  <c r="BX240" i="1"/>
  <c r="CE239" i="1"/>
  <c r="CD239" i="1"/>
  <c r="CC239" i="1"/>
  <c r="BX239" i="1"/>
  <c r="CE238" i="1"/>
  <c r="CD238" i="1"/>
  <c r="CC238" i="1"/>
  <c r="BX238" i="1"/>
  <c r="CE237" i="1"/>
  <c r="CD237" i="1"/>
  <c r="CC237" i="1"/>
  <c r="BX237" i="1"/>
  <c r="CE236" i="1"/>
  <c r="CD236" i="1"/>
  <c r="CC236" i="1"/>
  <c r="BX236" i="1"/>
  <c r="CE235" i="1"/>
  <c r="CD235" i="1"/>
  <c r="CC235" i="1"/>
  <c r="BX235" i="1"/>
  <c r="CE234" i="1"/>
  <c r="CD234" i="1"/>
  <c r="CC234" i="1"/>
  <c r="BX234" i="1"/>
  <c r="CE233" i="1"/>
  <c r="CD233" i="1"/>
  <c r="CC233" i="1"/>
  <c r="BX233" i="1"/>
  <c r="CE232" i="1"/>
  <c r="CD232" i="1"/>
  <c r="CC232" i="1"/>
  <c r="BX232" i="1"/>
  <c r="CE231" i="1"/>
  <c r="CD231" i="1"/>
  <c r="CC231" i="1"/>
  <c r="BX231" i="1"/>
  <c r="CE230" i="1"/>
  <c r="CD230" i="1"/>
  <c r="CC230" i="1"/>
  <c r="BX230" i="1"/>
  <c r="CE229" i="1"/>
  <c r="CD229" i="1"/>
  <c r="CC229" i="1"/>
  <c r="BX229" i="1"/>
  <c r="CE228" i="1"/>
  <c r="CD228" i="1"/>
  <c r="CC228" i="1"/>
  <c r="BX228" i="1"/>
  <c r="CE227" i="1"/>
  <c r="CD227" i="1"/>
  <c r="CC227" i="1"/>
  <c r="BX227" i="1"/>
  <c r="CE226" i="1"/>
  <c r="CD226" i="1"/>
  <c r="CC226" i="1"/>
  <c r="BX226" i="1"/>
  <c r="CE225" i="1"/>
  <c r="CD225" i="1"/>
  <c r="CC225" i="1"/>
  <c r="BX225" i="1"/>
  <c r="CE224" i="1"/>
  <c r="CD224" i="1"/>
  <c r="CC224" i="1"/>
  <c r="BX224" i="1"/>
  <c r="CE223" i="1"/>
  <c r="CD223" i="1"/>
  <c r="CC223" i="1"/>
  <c r="BX223" i="1"/>
  <c r="CE222" i="1"/>
  <c r="CD222" i="1"/>
  <c r="CC222" i="1"/>
  <c r="BX222" i="1"/>
  <c r="CE221" i="1"/>
  <c r="CD221" i="1"/>
  <c r="CC221" i="1"/>
  <c r="BX221" i="1"/>
  <c r="CE220" i="1"/>
  <c r="CD220" i="1"/>
  <c r="CC220" i="1"/>
  <c r="BX220" i="1"/>
  <c r="CE219" i="1"/>
  <c r="CD219" i="1"/>
  <c r="CC219" i="1"/>
  <c r="BX219" i="1"/>
  <c r="CE218" i="1"/>
  <c r="CD218" i="1"/>
  <c r="CC218" i="1"/>
  <c r="BX218" i="1"/>
  <c r="CE217" i="1"/>
  <c r="CD217" i="1"/>
  <c r="CC217" i="1"/>
  <c r="BX217" i="1"/>
  <c r="CE216" i="1"/>
  <c r="CD216" i="1"/>
  <c r="CC216" i="1"/>
  <c r="BX216" i="1"/>
  <c r="CE215" i="1"/>
  <c r="CD215" i="1"/>
  <c r="CC215" i="1"/>
  <c r="BX215" i="1"/>
  <c r="CE214" i="1"/>
  <c r="CD214" i="1"/>
  <c r="CC214" i="1"/>
  <c r="BX214" i="1"/>
  <c r="CE213" i="1"/>
  <c r="CD213" i="1"/>
  <c r="CC213" i="1"/>
  <c r="BX213" i="1"/>
  <c r="CE212" i="1"/>
  <c r="CD212" i="1"/>
  <c r="CC212" i="1"/>
  <c r="BX212" i="1"/>
  <c r="CE211" i="1"/>
  <c r="CD211" i="1"/>
  <c r="CC211" i="1"/>
  <c r="BX211" i="1"/>
  <c r="CE210" i="1"/>
  <c r="CD210" i="1"/>
  <c r="CC210" i="1"/>
  <c r="BX210" i="1"/>
  <c r="CE209" i="1"/>
  <c r="CD209" i="1"/>
  <c r="CC209" i="1"/>
  <c r="BX209" i="1"/>
  <c r="CE208" i="1"/>
  <c r="CD208" i="1"/>
  <c r="CC208" i="1"/>
  <c r="BX208" i="1"/>
  <c r="CE207" i="1"/>
  <c r="CD207" i="1"/>
  <c r="CC207" i="1"/>
  <c r="BX207" i="1"/>
  <c r="CE206" i="1"/>
  <c r="CD206" i="1"/>
  <c r="CC206" i="1"/>
  <c r="BX206" i="1"/>
  <c r="CE205" i="1"/>
  <c r="CD205" i="1"/>
  <c r="CC205" i="1"/>
  <c r="BX205" i="1"/>
  <c r="CE204" i="1"/>
  <c r="CD204" i="1"/>
  <c r="CC204" i="1"/>
  <c r="BX204" i="1"/>
  <c r="CE203" i="1"/>
  <c r="CD203" i="1"/>
  <c r="CC203" i="1"/>
  <c r="BX203" i="1"/>
  <c r="CE202" i="1"/>
  <c r="CD202" i="1"/>
  <c r="CC202" i="1"/>
  <c r="BX202" i="1"/>
  <c r="CE201" i="1"/>
  <c r="CD201" i="1"/>
  <c r="CC201" i="1"/>
  <c r="BX201" i="1"/>
  <c r="CE200" i="1"/>
  <c r="CD200" i="1"/>
  <c r="CC200" i="1"/>
  <c r="BX200" i="1"/>
  <c r="CE199" i="1"/>
  <c r="CD199" i="1"/>
  <c r="CC199" i="1"/>
  <c r="BX199" i="1"/>
  <c r="CE198" i="1"/>
  <c r="CD198" i="1"/>
  <c r="CC198" i="1"/>
  <c r="BX198" i="1"/>
  <c r="CE197" i="1"/>
  <c r="CD197" i="1"/>
  <c r="CC197" i="1"/>
  <c r="BX197" i="1"/>
  <c r="CE196" i="1"/>
  <c r="CD196" i="1"/>
  <c r="CC196" i="1"/>
  <c r="BX196" i="1"/>
  <c r="CE195" i="1"/>
  <c r="CD195" i="1"/>
  <c r="CC195" i="1"/>
  <c r="BX195" i="1"/>
  <c r="CE194" i="1"/>
  <c r="CD194" i="1"/>
  <c r="CC194" i="1"/>
  <c r="BX194" i="1"/>
  <c r="CE193" i="1"/>
  <c r="CD193" i="1"/>
  <c r="CC193" i="1"/>
  <c r="BX193" i="1"/>
  <c r="CE192" i="1"/>
  <c r="CD192" i="1"/>
  <c r="CC192" i="1"/>
  <c r="BX192" i="1"/>
  <c r="CE191" i="1"/>
  <c r="CD191" i="1"/>
  <c r="CC191" i="1"/>
  <c r="BX191" i="1"/>
  <c r="CE190" i="1"/>
  <c r="CD190" i="1"/>
  <c r="CC190" i="1"/>
  <c r="BX190" i="1"/>
  <c r="CE189" i="1"/>
  <c r="CD189" i="1"/>
  <c r="CC189" i="1"/>
  <c r="BX189" i="1"/>
  <c r="CE188" i="1"/>
  <c r="CD188" i="1"/>
  <c r="CC188" i="1"/>
  <c r="BX188" i="1"/>
  <c r="CE187" i="1"/>
  <c r="CD187" i="1"/>
  <c r="CC187" i="1"/>
  <c r="BX187" i="1"/>
  <c r="CE186" i="1"/>
  <c r="CD186" i="1"/>
  <c r="CC186" i="1"/>
  <c r="BX186" i="1"/>
  <c r="CE185" i="1"/>
  <c r="CD185" i="1"/>
  <c r="CC185" i="1"/>
  <c r="BX185" i="1"/>
  <c r="CE184" i="1"/>
  <c r="CD184" i="1"/>
  <c r="CC184" i="1"/>
  <c r="BX184" i="1"/>
  <c r="CE183" i="1"/>
  <c r="CD183" i="1"/>
  <c r="CC183" i="1"/>
  <c r="BX183" i="1"/>
  <c r="CE182" i="1"/>
  <c r="CD182" i="1"/>
  <c r="CC182" i="1"/>
  <c r="BX182" i="1"/>
  <c r="CE181" i="1"/>
  <c r="CD181" i="1"/>
  <c r="CC181" i="1"/>
  <c r="BX181" i="1"/>
  <c r="CE180" i="1"/>
  <c r="CD180" i="1"/>
  <c r="CC180" i="1"/>
  <c r="BX180" i="1"/>
  <c r="CE179" i="1"/>
  <c r="CD179" i="1"/>
  <c r="CC179" i="1"/>
  <c r="BX179" i="1"/>
  <c r="CE178" i="1"/>
  <c r="CD178" i="1"/>
  <c r="CC178" i="1"/>
  <c r="BX178" i="1"/>
  <c r="CE177" i="1"/>
  <c r="CD177" i="1"/>
  <c r="CC177" i="1"/>
  <c r="BX177" i="1"/>
  <c r="CE176" i="1"/>
  <c r="CD176" i="1"/>
  <c r="CC176" i="1"/>
  <c r="BX176" i="1"/>
  <c r="CE175" i="1"/>
  <c r="CD175" i="1"/>
  <c r="CC175" i="1"/>
  <c r="BX175" i="1"/>
  <c r="CE174" i="1"/>
  <c r="CD174" i="1"/>
  <c r="CC174" i="1"/>
  <c r="BX174" i="1"/>
  <c r="CE173" i="1"/>
  <c r="CD173" i="1"/>
  <c r="CC173" i="1"/>
  <c r="BX173" i="1"/>
  <c r="CE172" i="1"/>
  <c r="CD172" i="1"/>
  <c r="CC172" i="1"/>
  <c r="BX172" i="1"/>
  <c r="CE171" i="1"/>
  <c r="CD171" i="1"/>
  <c r="CC171" i="1"/>
  <c r="BX171" i="1"/>
  <c r="CE170" i="1"/>
  <c r="CD170" i="1"/>
  <c r="CC170" i="1"/>
  <c r="BX170" i="1"/>
  <c r="CE169" i="1"/>
  <c r="CD169" i="1"/>
  <c r="CC169" i="1"/>
  <c r="BX169" i="1"/>
  <c r="CE168" i="1"/>
  <c r="CD168" i="1"/>
  <c r="CC168" i="1"/>
  <c r="BX168" i="1"/>
  <c r="CE167" i="1"/>
  <c r="CD167" i="1"/>
  <c r="CC167" i="1"/>
  <c r="BX167" i="1"/>
  <c r="CE166" i="1"/>
  <c r="CD166" i="1"/>
  <c r="CC166" i="1"/>
  <c r="BX166" i="1"/>
  <c r="CE165" i="1"/>
  <c r="CD165" i="1"/>
  <c r="CC165" i="1"/>
  <c r="BX165" i="1"/>
  <c r="CE164" i="1"/>
  <c r="CD164" i="1"/>
  <c r="CC164" i="1"/>
  <c r="BX164" i="1"/>
  <c r="CE163" i="1"/>
  <c r="CD163" i="1"/>
  <c r="CC163" i="1"/>
  <c r="BX163" i="1"/>
  <c r="CE162" i="1"/>
  <c r="CD162" i="1"/>
  <c r="CC162" i="1"/>
  <c r="BX162" i="1"/>
  <c r="CE161" i="1"/>
  <c r="CD161" i="1"/>
  <c r="CC161" i="1"/>
  <c r="BX161" i="1"/>
  <c r="CE160" i="1"/>
  <c r="CD160" i="1"/>
  <c r="CC160" i="1"/>
  <c r="BX160" i="1"/>
  <c r="CE159" i="1"/>
  <c r="CD159" i="1"/>
  <c r="CC159" i="1"/>
  <c r="BX159" i="1"/>
  <c r="CE158" i="1"/>
  <c r="CD158" i="1"/>
  <c r="CC158" i="1"/>
  <c r="BX158" i="1"/>
  <c r="CE157" i="1"/>
  <c r="CD157" i="1"/>
  <c r="CC157" i="1"/>
  <c r="BX157" i="1"/>
  <c r="CE156" i="1"/>
  <c r="CD156" i="1"/>
  <c r="CC156" i="1"/>
  <c r="BX156" i="1"/>
  <c r="CE155" i="1"/>
  <c r="CD155" i="1"/>
  <c r="CC155" i="1"/>
  <c r="BX155" i="1"/>
  <c r="CE154" i="1"/>
  <c r="CD154" i="1"/>
  <c r="CC154" i="1"/>
  <c r="BX154" i="1"/>
  <c r="CE153" i="1"/>
  <c r="CD153" i="1"/>
  <c r="CC153" i="1"/>
  <c r="BX153" i="1"/>
  <c r="CE152" i="1"/>
  <c r="CD152" i="1"/>
  <c r="CC152" i="1"/>
  <c r="BX152" i="1"/>
  <c r="CE151" i="1"/>
  <c r="CD151" i="1"/>
  <c r="CC151" i="1"/>
  <c r="BX151" i="1"/>
  <c r="CE150" i="1"/>
  <c r="CD150" i="1"/>
  <c r="CC150" i="1"/>
  <c r="BX150" i="1"/>
  <c r="CE149" i="1"/>
  <c r="CD149" i="1"/>
  <c r="CC149" i="1"/>
  <c r="BX149" i="1"/>
  <c r="CE148" i="1"/>
  <c r="CD148" i="1"/>
  <c r="CC148" i="1"/>
  <c r="BX148" i="1"/>
  <c r="CE147" i="1"/>
  <c r="CD147" i="1"/>
  <c r="CC147" i="1"/>
  <c r="BX147" i="1"/>
  <c r="CE146" i="1"/>
  <c r="CD146" i="1"/>
  <c r="CC146" i="1"/>
  <c r="BX146" i="1"/>
  <c r="CE145" i="1"/>
  <c r="CD145" i="1"/>
  <c r="CC145" i="1"/>
  <c r="BX145" i="1"/>
  <c r="CE144" i="1"/>
  <c r="CD144" i="1"/>
  <c r="CC144" i="1"/>
  <c r="BX144" i="1"/>
  <c r="CE143" i="1"/>
  <c r="CD143" i="1"/>
  <c r="CC143" i="1"/>
  <c r="BX143" i="1"/>
  <c r="CE142" i="1"/>
  <c r="CD142" i="1"/>
  <c r="CC142" i="1"/>
  <c r="BX142" i="1"/>
  <c r="CE141" i="1"/>
  <c r="CD141" i="1"/>
  <c r="CC141" i="1"/>
  <c r="BX141" i="1"/>
  <c r="CE140" i="1"/>
  <c r="CD140" i="1"/>
  <c r="CC140" i="1"/>
  <c r="BX140" i="1"/>
  <c r="CE139" i="1"/>
  <c r="CD139" i="1"/>
  <c r="CC139" i="1"/>
  <c r="BX139" i="1"/>
  <c r="CE138" i="1"/>
  <c r="CD138" i="1"/>
  <c r="CC138" i="1"/>
  <c r="BX138" i="1"/>
  <c r="CE137" i="1"/>
  <c r="CD137" i="1"/>
  <c r="CC137" i="1"/>
  <c r="BX137" i="1"/>
  <c r="CE136" i="1"/>
  <c r="CD136" i="1"/>
  <c r="CC136" i="1"/>
  <c r="BX136" i="1"/>
  <c r="CE135" i="1"/>
  <c r="CD135" i="1"/>
  <c r="CC135" i="1"/>
  <c r="BX135" i="1"/>
  <c r="CE134" i="1"/>
  <c r="CD134" i="1"/>
  <c r="CC134" i="1"/>
  <c r="BX134" i="1"/>
  <c r="CE133" i="1"/>
  <c r="CD133" i="1"/>
  <c r="CC133" i="1"/>
  <c r="BX133" i="1"/>
  <c r="CE132" i="1"/>
  <c r="CD132" i="1"/>
  <c r="CC132" i="1"/>
  <c r="BX132" i="1"/>
  <c r="CE131" i="1"/>
  <c r="CD131" i="1"/>
  <c r="CC131" i="1"/>
  <c r="BX131" i="1"/>
  <c r="CE130" i="1"/>
  <c r="CD130" i="1"/>
  <c r="CC130" i="1"/>
  <c r="BX130" i="1"/>
  <c r="CE129" i="1"/>
  <c r="CD129" i="1"/>
  <c r="CC129" i="1"/>
  <c r="BX129" i="1"/>
  <c r="CE128" i="1"/>
  <c r="CD128" i="1"/>
  <c r="CC128" i="1"/>
  <c r="BX128" i="1"/>
  <c r="CE127" i="1"/>
  <c r="CD127" i="1"/>
  <c r="CC127" i="1"/>
  <c r="BX127" i="1"/>
  <c r="CE126" i="1"/>
  <c r="CD126" i="1"/>
  <c r="CC126" i="1"/>
  <c r="BX126" i="1"/>
  <c r="CE125" i="1"/>
  <c r="CD125" i="1"/>
  <c r="CC125" i="1"/>
  <c r="BX125" i="1"/>
  <c r="CE124" i="1"/>
  <c r="CD124" i="1"/>
  <c r="CC124" i="1"/>
  <c r="BX124" i="1"/>
  <c r="CE123" i="1"/>
  <c r="CD123" i="1"/>
  <c r="CC123" i="1"/>
  <c r="BX123" i="1"/>
  <c r="CE122" i="1"/>
  <c r="CD122" i="1"/>
  <c r="CC122" i="1"/>
  <c r="BX122" i="1"/>
  <c r="CE121" i="1"/>
  <c r="CD121" i="1"/>
  <c r="CC121" i="1"/>
  <c r="BX121" i="1"/>
  <c r="CE120" i="1"/>
  <c r="CD120" i="1"/>
  <c r="CC120" i="1"/>
  <c r="BX120" i="1"/>
  <c r="CE119" i="1"/>
  <c r="CD119" i="1"/>
  <c r="CC119" i="1"/>
  <c r="BX119" i="1"/>
  <c r="CE118" i="1"/>
  <c r="CD118" i="1"/>
  <c r="CC118" i="1"/>
  <c r="BX118" i="1"/>
  <c r="CE117" i="1"/>
  <c r="CD117" i="1"/>
  <c r="CC117" i="1"/>
  <c r="BX117" i="1"/>
  <c r="CE116" i="1"/>
  <c r="CD116" i="1"/>
  <c r="CC116" i="1"/>
  <c r="BX116" i="1"/>
  <c r="CE115" i="1"/>
  <c r="CD115" i="1"/>
  <c r="CC115" i="1"/>
  <c r="BX115" i="1"/>
  <c r="CE114" i="1"/>
  <c r="CD114" i="1"/>
  <c r="CC114" i="1"/>
  <c r="BX114" i="1"/>
  <c r="CE113" i="1"/>
  <c r="CD113" i="1"/>
  <c r="CC113" i="1"/>
  <c r="BX113" i="1"/>
  <c r="CE112" i="1"/>
  <c r="CD112" i="1"/>
  <c r="CC112" i="1"/>
  <c r="BX112" i="1"/>
  <c r="CE111" i="1"/>
  <c r="CD111" i="1"/>
  <c r="CC111" i="1"/>
  <c r="BX111" i="1"/>
  <c r="CE110" i="1"/>
  <c r="CD110" i="1"/>
  <c r="CC110" i="1"/>
  <c r="BX110" i="1"/>
  <c r="CE109" i="1"/>
  <c r="CD109" i="1"/>
  <c r="CC109" i="1"/>
  <c r="BX109" i="1"/>
  <c r="CE108" i="1"/>
  <c r="CD108" i="1"/>
  <c r="CC108" i="1"/>
  <c r="BX108" i="1"/>
  <c r="CE107" i="1"/>
  <c r="CD107" i="1"/>
  <c r="CC107" i="1"/>
  <c r="BX107" i="1"/>
  <c r="CE106" i="1"/>
  <c r="CD106" i="1"/>
  <c r="CC106" i="1"/>
  <c r="BX106" i="1"/>
  <c r="CE105" i="1"/>
  <c r="CD105" i="1"/>
  <c r="CC105" i="1"/>
  <c r="BX105" i="1"/>
  <c r="CE104" i="1"/>
  <c r="CD104" i="1"/>
  <c r="CC104" i="1"/>
  <c r="BX104" i="1"/>
  <c r="CE103" i="1"/>
  <c r="CD103" i="1"/>
  <c r="CC103" i="1"/>
  <c r="BX103" i="1"/>
  <c r="CE102" i="1"/>
  <c r="CD102" i="1"/>
  <c r="CC102" i="1"/>
  <c r="BX102" i="1"/>
  <c r="CE101" i="1"/>
  <c r="CD101" i="1"/>
  <c r="CC101" i="1"/>
  <c r="BX101" i="1"/>
  <c r="CE100" i="1"/>
  <c r="CD100" i="1"/>
  <c r="CC100" i="1"/>
  <c r="BX100" i="1"/>
  <c r="CE99" i="1"/>
  <c r="CD99" i="1"/>
  <c r="CC99" i="1"/>
  <c r="BX99" i="1"/>
  <c r="CE98" i="1"/>
  <c r="CD98" i="1"/>
  <c r="CC98" i="1"/>
  <c r="BX98" i="1"/>
  <c r="CE97" i="1"/>
  <c r="CD97" i="1"/>
  <c r="CC97" i="1"/>
  <c r="BX97" i="1"/>
  <c r="CE96" i="1"/>
  <c r="CD96" i="1"/>
  <c r="CC96" i="1"/>
  <c r="BX96" i="1"/>
  <c r="CE95" i="1"/>
  <c r="CD95" i="1"/>
  <c r="CC95" i="1"/>
  <c r="BX95" i="1"/>
  <c r="CE94" i="1"/>
  <c r="CD94" i="1"/>
  <c r="CC94" i="1"/>
  <c r="BX94" i="1"/>
  <c r="CE93" i="1"/>
  <c r="CD93" i="1"/>
  <c r="CC93" i="1"/>
  <c r="BX93" i="1"/>
  <c r="CE92" i="1"/>
  <c r="CD92" i="1"/>
  <c r="CC92" i="1"/>
  <c r="BX92" i="1"/>
  <c r="CE91" i="1"/>
  <c r="CD91" i="1"/>
  <c r="CC91" i="1"/>
  <c r="BX91" i="1"/>
  <c r="CE90" i="1"/>
  <c r="CD90" i="1"/>
  <c r="CC90" i="1"/>
  <c r="BX90" i="1"/>
  <c r="CE89" i="1"/>
  <c r="CD89" i="1"/>
  <c r="CC89" i="1"/>
  <c r="BX89" i="1"/>
  <c r="CE88" i="1"/>
  <c r="CD88" i="1"/>
  <c r="CC88" i="1"/>
  <c r="BX88" i="1"/>
  <c r="CE87" i="1"/>
  <c r="CD87" i="1"/>
  <c r="CC87" i="1"/>
  <c r="BX87" i="1"/>
  <c r="CE86" i="1"/>
  <c r="CD86" i="1"/>
  <c r="CC86" i="1"/>
  <c r="BX86" i="1"/>
  <c r="CE85" i="1"/>
  <c r="CD85" i="1"/>
  <c r="CC85" i="1"/>
  <c r="BX85" i="1"/>
  <c r="CE84" i="1"/>
  <c r="CD84" i="1"/>
  <c r="CC84" i="1"/>
  <c r="BX84" i="1"/>
  <c r="CE83" i="1"/>
  <c r="CD83" i="1"/>
  <c r="CC83" i="1"/>
  <c r="BX83" i="1"/>
  <c r="CE82" i="1"/>
  <c r="CD82" i="1"/>
  <c r="CC82" i="1"/>
  <c r="BX82" i="1"/>
  <c r="CE81" i="1"/>
  <c r="CD81" i="1"/>
  <c r="CC81" i="1"/>
  <c r="BX81" i="1"/>
  <c r="CE80" i="1"/>
  <c r="CD80" i="1"/>
  <c r="CC80" i="1"/>
  <c r="BX80" i="1"/>
  <c r="CE79" i="1"/>
  <c r="CD79" i="1"/>
  <c r="CC79" i="1"/>
  <c r="BX79" i="1"/>
  <c r="CE78" i="1"/>
  <c r="CD78" i="1"/>
  <c r="CC78" i="1"/>
  <c r="BX78" i="1"/>
  <c r="CE77" i="1"/>
  <c r="CD77" i="1"/>
  <c r="CC77" i="1"/>
  <c r="BX77" i="1"/>
  <c r="CE76" i="1"/>
  <c r="CD76" i="1"/>
  <c r="CC76" i="1"/>
  <c r="BX76" i="1"/>
  <c r="CE75" i="1"/>
  <c r="CD75" i="1"/>
  <c r="CC75" i="1"/>
  <c r="BX75" i="1"/>
  <c r="CE74" i="1"/>
  <c r="CD74" i="1"/>
  <c r="CC74" i="1"/>
  <c r="BX74" i="1"/>
  <c r="CE73" i="1"/>
  <c r="CD73" i="1"/>
  <c r="CC73" i="1"/>
  <c r="BX73" i="1"/>
  <c r="CE72" i="1"/>
  <c r="CD72" i="1"/>
  <c r="CC72" i="1"/>
  <c r="BX72" i="1"/>
  <c r="CE71" i="1"/>
  <c r="CD71" i="1"/>
  <c r="CC71" i="1"/>
  <c r="BX71" i="1"/>
  <c r="CE70" i="1"/>
  <c r="CD70" i="1"/>
  <c r="CC70" i="1"/>
  <c r="BX70" i="1"/>
  <c r="CE69" i="1"/>
  <c r="CD69" i="1"/>
  <c r="CC69" i="1"/>
  <c r="BX69" i="1"/>
  <c r="CE68" i="1"/>
  <c r="CD68" i="1"/>
  <c r="CC68" i="1"/>
  <c r="BX68" i="1"/>
  <c r="CE67" i="1"/>
  <c r="CD67" i="1"/>
  <c r="CC67" i="1"/>
  <c r="BX67" i="1"/>
  <c r="CE66" i="1"/>
  <c r="CD66" i="1"/>
  <c r="CC66" i="1"/>
  <c r="BX66" i="1"/>
  <c r="CE65" i="1"/>
  <c r="CD65" i="1"/>
  <c r="CC65" i="1"/>
  <c r="BX65" i="1"/>
  <c r="CE64" i="1"/>
  <c r="CD64" i="1"/>
  <c r="CC64" i="1"/>
  <c r="BX64" i="1"/>
  <c r="CE63" i="1"/>
  <c r="CD63" i="1"/>
  <c r="CC63" i="1"/>
  <c r="BX63" i="1"/>
  <c r="CE62" i="1"/>
  <c r="CD62" i="1"/>
  <c r="CC62" i="1"/>
  <c r="BX62" i="1"/>
  <c r="CE61" i="1"/>
  <c r="CD61" i="1"/>
  <c r="CC61" i="1"/>
  <c r="BX61" i="1"/>
  <c r="CE60" i="1"/>
  <c r="CD60" i="1"/>
  <c r="CC60" i="1"/>
  <c r="BX60" i="1"/>
  <c r="CE59" i="1"/>
  <c r="CD59" i="1"/>
  <c r="CC59" i="1"/>
  <c r="BX59" i="1"/>
  <c r="CE58" i="1"/>
  <c r="CD58" i="1"/>
  <c r="CC58" i="1"/>
  <c r="BX58" i="1"/>
  <c r="CE57" i="1"/>
  <c r="CD57" i="1"/>
  <c r="CC57" i="1"/>
  <c r="BX57" i="1"/>
  <c r="CE56" i="1"/>
  <c r="CD56" i="1"/>
  <c r="CC56" i="1"/>
  <c r="BX56" i="1"/>
  <c r="CE55" i="1"/>
  <c r="CD55" i="1"/>
  <c r="CC55" i="1"/>
  <c r="BX55" i="1"/>
  <c r="CE54" i="1"/>
  <c r="CD54" i="1"/>
  <c r="CC54" i="1"/>
  <c r="BX54" i="1"/>
  <c r="CE53" i="1"/>
  <c r="CD53" i="1"/>
  <c r="CC53" i="1"/>
  <c r="BX53" i="1"/>
  <c r="CE52" i="1"/>
  <c r="CD52" i="1"/>
  <c r="CC52" i="1"/>
  <c r="BX52" i="1"/>
  <c r="CE51" i="1"/>
  <c r="CD51" i="1"/>
  <c r="CC51" i="1"/>
  <c r="BX51" i="1"/>
  <c r="CE50" i="1"/>
  <c r="CD50" i="1"/>
  <c r="CC50" i="1"/>
  <c r="BX50" i="1"/>
  <c r="CE49" i="1"/>
  <c r="CD49" i="1"/>
  <c r="CC49" i="1"/>
  <c r="BX49" i="1"/>
  <c r="CE48" i="1"/>
  <c r="CD48" i="1"/>
  <c r="CC48" i="1"/>
  <c r="BX48" i="1"/>
  <c r="CE47" i="1"/>
  <c r="CD47" i="1"/>
  <c r="CC47" i="1"/>
  <c r="BX47" i="1"/>
  <c r="CE46" i="1"/>
  <c r="CD46" i="1"/>
  <c r="CC46" i="1"/>
  <c r="BX46" i="1"/>
  <c r="CE45" i="1"/>
  <c r="CD45" i="1"/>
  <c r="CC45" i="1"/>
  <c r="BX45" i="1"/>
  <c r="CE44" i="1"/>
  <c r="CD44" i="1"/>
  <c r="CC44" i="1"/>
  <c r="BX44" i="1"/>
  <c r="CE43" i="1"/>
  <c r="CD43" i="1"/>
  <c r="CC43" i="1"/>
  <c r="BX43" i="1"/>
  <c r="CE42" i="1"/>
  <c r="CD42" i="1"/>
  <c r="CC42" i="1"/>
  <c r="BX42" i="1"/>
  <c r="CE41" i="1"/>
  <c r="CD41" i="1"/>
  <c r="CC41" i="1"/>
  <c r="BX41" i="1"/>
  <c r="CE40" i="1"/>
  <c r="CD40" i="1"/>
  <c r="CC40" i="1"/>
  <c r="BX40" i="1"/>
  <c r="CE39" i="1"/>
  <c r="CD39" i="1"/>
  <c r="CC39" i="1"/>
  <c r="BX39" i="1"/>
  <c r="CE38" i="1"/>
  <c r="CD38" i="1"/>
  <c r="CC38" i="1"/>
  <c r="BX38" i="1"/>
  <c r="CE37" i="1"/>
  <c r="CD37" i="1"/>
  <c r="CC37" i="1"/>
  <c r="BX37" i="1"/>
  <c r="CE36" i="1"/>
  <c r="CD36" i="1"/>
  <c r="CC36" i="1"/>
  <c r="BX36" i="1"/>
  <c r="CE35" i="1"/>
  <c r="CD35" i="1"/>
  <c r="CC35" i="1"/>
  <c r="BX35" i="1"/>
  <c r="CE34" i="1"/>
  <c r="CD34" i="1"/>
  <c r="CC34" i="1"/>
  <c r="BX34" i="1"/>
  <c r="CE33" i="1"/>
  <c r="CD33" i="1"/>
  <c r="CC33" i="1"/>
  <c r="BX33" i="1"/>
  <c r="CE32" i="1"/>
  <c r="CD32" i="1"/>
  <c r="CC32" i="1"/>
  <c r="BX32" i="1"/>
  <c r="CE31" i="1"/>
  <c r="CD31" i="1"/>
  <c r="CC31" i="1"/>
  <c r="BX31" i="1"/>
  <c r="CE30" i="1"/>
  <c r="CD30" i="1"/>
  <c r="CC30" i="1"/>
  <c r="BX30" i="1"/>
  <c r="CE29" i="1"/>
  <c r="CD29" i="1"/>
  <c r="CC29" i="1"/>
  <c r="BX29" i="1"/>
  <c r="CE28" i="1"/>
  <c r="CD28" i="1"/>
  <c r="CC28" i="1"/>
  <c r="BX28" i="1"/>
  <c r="CE27" i="1"/>
  <c r="CD27" i="1"/>
  <c r="CC27" i="1"/>
  <c r="BX27" i="1"/>
  <c r="CE26" i="1"/>
  <c r="CD26" i="1"/>
  <c r="CC26" i="1"/>
  <c r="BX26" i="1"/>
  <c r="CE25" i="1"/>
  <c r="CD25" i="1"/>
  <c r="CC25" i="1"/>
  <c r="BX25" i="1"/>
  <c r="CE24" i="1"/>
  <c r="CD24" i="1"/>
  <c r="CC24" i="1"/>
  <c r="BX24" i="1"/>
  <c r="CE23" i="1"/>
  <c r="CD23" i="1"/>
  <c r="CC23" i="1"/>
  <c r="BX23" i="1"/>
  <c r="CE22" i="1"/>
  <c r="CD22" i="1"/>
  <c r="CC22" i="1"/>
  <c r="BX22" i="1"/>
  <c r="CE21" i="1"/>
  <c r="CD21" i="1"/>
  <c r="CC21" i="1"/>
  <c r="BX21" i="1"/>
  <c r="CE20" i="1"/>
  <c r="CD20" i="1"/>
  <c r="CC20" i="1"/>
  <c r="BX20" i="1"/>
  <c r="CE19" i="1"/>
  <c r="CD19" i="1"/>
  <c r="CC19" i="1"/>
  <c r="BX19" i="1"/>
  <c r="CE18" i="1"/>
  <c r="CD18" i="1"/>
  <c r="CC18" i="1"/>
  <c r="BX18" i="1"/>
  <c r="CE17" i="1"/>
  <c r="CD17" i="1"/>
  <c r="CC17" i="1"/>
  <c r="BX17" i="1"/>
  <c r="CE16" i="1"/>
  <c r="CD16" i="1"/>
  <c r="CC16" i="1"/>
  <c r="BX16" i="1"/>
  <c r="CE15" i="1"/>
  <c r="CD15" i="1"/>
  <c r="CC15" i="1"/>
  <c r="BX15" i="1"/>
  <c r="CE14" i="1"/>
  <c r="CD14" i="1"/>
  <c r="CC14" i="1"/>
  <c r="BX14" i="1"/>
  <c r="O410" i="5" l="1"/>
  <c r="O409" i="5"/>
  <c r="O408" i="5"/>
  <c r="O407" i="5"/>
  <c r="O406" i="5"/>
  <c r="O405" i="5"/>
  <c r="O404" i="5"/>
  <c r="O403" i="5"/>
  <c r="O402" i="5"/>
  <c r="O401" i="5"/>
  <c r="O400" i="5"/>
  <c r="O399" i="5"/>
  <c r="O398" i="5"/>
  <c r="O397" i="5"/>
  <c r="O396" i="5"/>
  <c r="O395" i="5"/>
  <c r="O394" i="5"/>
  <c r="O393" i="5"/>
  <c r="O392" i="5"/>
  <c r="O391" i="5"/>
  <c r="O390" i="5"/>
  <c r="O389" i="5"/>
  <c r="O388" i="5"/>
  <c r="O387" i="5"/>
  <c r="O386" i="5"/>
  <c r="O385" i="5"/>
  <c r="O384" i="5"/>
  <c r="O383" i="5"/>
  <c r="O382" i="5"/>
  <c r="O381" i="5"/>
  <c r="O380" i="5"/>
  <c r="O379" i="5"/>
  <c r="O378" i="5"/>
  <c r="O377" i="5"/>
  <c r="O376" i="5"/>
  <c r="O375" i="5"/>
  <c r="O374" i="5"/>
  <c r="O373" i="5"/>
  <c r="O372" i="5"/>
  <c r="O371" i="5"/>
  <c r="O370" i="5"/>
  <c r="O369" i="5"/>
  <c r="O368" i="5"/>
  <c r="O367" i="5"/>
  <c r="O366" i="5"/>
  <c r="O365" i="5"/>
  <c r="O364" i="5"/>
  <c r="O363" i="5"/>
  <c r="O362" i="5"/>
  <c r="O361" i="5"/>
  <c r="O360" i="5"/>
  <c r="O359" i="5"/>
  <c r="O358" i="5"/>
  <c r="O357" i="5"/>
  <c r="O356" i="5"/>
  <c r="O355" i="5"/>
  <c r="O354" i="5"/>
  <c r="O353" i="5"/>
  <c r="O352" i="5"/>
  <c r="O351" i="5"/>
  <c r="O350" i="5"/>
  <c r="O349" i="5"/>
  <c r="O348" i="5"/>
  <c r="O347" i="5"/>
  <c r="O346" i="5"/>
  <c r="O345" i="5"/>
  <c r="O344" i="5"/>
  <c r="O343" i="5"/>
  <c r="O342" i="5"/>
  <c r="O341" i="5"/>
  <c r="O340" i="5"/>
  <c r="O339" i="5"/>
  <c r="O338" i="5"/>
  <c r="O337" i="5"/>
  <c r="O336" i="5"/>
  <c r="O335" i="5"/>
  <c r="O334" i="5"/>
  <c r="O333" i="5"/>
  <c r="O332" i="5"/>
  <c r="O331" i="5"/>
  <c r="O330" i="5"/>
  <c r="O329" i="5"/>
  <c r="O328" i="5"/>
  <c r="O327" i="5"/>
  <c r="O326" i="5"/>
  <c r="O325" i="5"/>
  <c r="O324" i="5"/>
  <c r="O323" i="5"/>
  <c r="O322" i="5"/>
  <c r="O321" i="5"/>
  <c r="O320" i="5"/>
  <c r="O319" i="5"/>
  <c r="O318" i="5"/>
  <c r="O317" i="5"/>
  <c r="O316" i="5"/>
  <c r="O315" i="5"/>
  <c r="O314" i="5"/>
  <c r="O313" i="5"/>
  <c r="O312" i="5"/>
  <c r="O311" i="5"/>
  <c r="O310" i="5"/>
  <c r="O309" i="5"/>
  <c r="O308" i="5"/>
  <c r="O307" i="5"/>
  <c r="O306" i="5"/>
  <c r="O305" i="5"/>
  <c r="O304" i="5"/>
  <c r="O303" i="5"/>
  <c r="O302" i="5"/>
  <c r="O301" i="5"/>
  <c r="O300" i="5"/>
  <c r="O299" i="5"/>
  <c r="O298" i="5"/>
  <c r="O297" i="5"/>
  <c r="O296" i="5"/>
  <c r="O295" i="5"/>
  <c r="O294" i="5"/>
  <c r="O293" i="5"/>
  <c r="O292" i="5"/>
  <c r="O291" i="5"/>
  <c r="O290" i="5"/>
  <c r="O289" i="5"/>
  <c r="O288" i="5"/>
  <c r="O287" i="5"/>
  <c r="O286" i="5"/>
  <c r="O285" i="5"/>
  <c r="O284" i="5"/>
  <c r="O283" i="5"/>
  <c r="O282" i="5"/>
  <c r="O281" i="5"/>
  <c r="O280" i="5"/>
  <c r="O279" i="5"/>
  <c r="O278" i="5"/>
  <c r="O277" i="5"/>
  <c r="O276" i="5"/>
  <c r="O275" i="5"/>
  <c r="O274" i="5"/>
  <c r="O273" i="5"/>
  <c r="O272" i="5"/>
  <c r="O271" i="5"/>
  <c r="O270" i="5"/>
  <c r="O269" i="5"/>
  <c r="O268" i="5"/>
  <c r="O267" i="5"/>
  <c r="O266" i="5"/>
  <c r="O265" i="5"/>
  <c r="O264" i="5"/>
  <c r="O263" i="5"/>
  <c r="O262" i="5"/>
  <c r="O261" i="5"/>
  <c r="O260" i="5"/>
  <c r="O259" i="5"/>
  <c r="O258" i="5"/>
  <c r="O257" i="5"/>
  <c r="O256" i="5"/>
  <c r="O255" i="5"/>
  <c r="O254" i="5"/>
  <c r="O253" i="5"/>
  <c r="O252" i="5"/>
  <c r="O251" i="5"/>
  <c r="O250" i="5"/>
  <c r="O249" i="5"/>
  <c r="O248" i="5"/>
  <c r="O247" i="5"/>
  <c r="O246" i="5"/>
  <c r="O245" i="5"/>
  <c r="O244" i="5"/>
  <c r="O243" i="5"/>
  <c r="O242" i="5"/>
  <c r="O241" i="5"/>
  <c r="O240" i="5"/>
  <c r="O239" i="5"/>
  <c r="O238" i="5"/>
  <c r="O237" i="5"/>
  <c r="O236" i="5"/>
  <c r="O235" i="5"/>
  <c r="O234" i="5"/>
  <c r="O233" i="5"/>
  <c r="O232" i="5"/>
  <c r="O231" i="5"/>
  <c r="O230" i="5"/>
  <c r="O229" i="5"/>
  <c r="O228" i="5"/>
  <c r="O227" i="5"/>
  <c r="O226" i="5"/>
  <c r="O225" i="5"/>
  <c r="O224" i="5"/>
  <c r="O223" i="5"/>
  <c r="O222" i="5"/>
  <c r="O221" i="5"/>
  <c r="O220" i="5"/>
  <c r="O219" i="5"/>
  <c r="O218" i="5"/>
  <c r="O217" i="5"/>
  <c r="O216" i="5"/>
  <c r="O215" i="5"/>
  <c r="O214" i="5"/>
  <c r="O213" i="5"/>
  <c r="O212" i="5"/>
  <c r="O211" i="5"/>
  <c r="O210" i="5"/>
  <c r="O209" i="5"/>
  <c r="O208" i="5"/>
  <c r="O207" i="5"/>
  <c r="O206" i="5"/>
  <c r="O205" i="5"/>
  <c r="O204" i="5"/>
  <c r="O203" i="5"/>
  <c r="O202" i="5"/>
  <c r="O201" i="5"/>
  <c r="O200" i="5"/>
  <c r="O19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M412" i="1" l="1"/>
  <c r="K412" i="1"/>
  <c r="J412" i="1"/>
  <c r="H412" i="1"/>
  <c r="CU412" i="1" s="1"/>
  <c r="G412" i="1"/>
  <c r="CT412" i="1" s="1"/>
  <c r="CW412" i="1" s="1"/>
  <c r="E412" i="1"/>
  <c r="D412" i="1"/>
  <c r="B412" i="1"/>
  <c r="M411" i="1"/>
  <c r="K411" i="1"/>
  <c r="J411" i="1"/>
  <c r="H411" i="1"/>
  <c r="CU411" i="1" s="1"/>
  <c r="G411" i="1"/>
  <c r="CT411" i="1" s="1"/>
  <c r="CW411" i="1" s="1"/>
  <c r="E411" i="1"/>
  <c r="D411" i="1"/>
  <c r="B411" i="1"/>
  <c r="Q411" i="1" s="1"/>
  <c r="M410" i="1"/>
  <c r="K410" i="1"/>
  <c r="J410" i="1"/>
  <c r="H410" i="1"/>
  <c r="CU410" i="1" s="1"/>
  <c r="G410" i="1"/>
  <c r="CT410" i="1" s="1"/>
  <c r="E410" i="1"/>
  <c r="D410" i="1"/>
  <c r="B410" i="1"/>
  <c r="Q410" i="1" s="1"/>
  <c r="M409" i="1"/>
  <c r="K409" i="1"/>
  <c r="J409" i="1"/>
  <c r="H409" i="1"/>
  <c r="CU409" i="1" s="1"/>
  <c r="G409" i="1"/>
  <c r="CT409" i="1" s="1"/>
  <c r="CW409" i="1" s="1"/>
  <c r="EM409" i="1" s="1"/>
  <c r="E409" i="1"/>
  <c r="D409" i="1"/>
  <c r="B409" i="1"/>
  <c r="Q409" i="1" s="1"/>
  <c r="M408" i="1"/>
  <c r="K408" i="1"/>
  <c r="J408" i="1"/>
  <c r="H408" i="1"/>
  <c r="CU408" i="1" s="1"/>
  <c r="G408" i="1"/>
  <c r="CT408" i="1" s="1"/>
  <c r="CW408" i="1" s="1"/>
  <c r="EM408" i="1" s="1"/>
  <c r="E408" i="1"/>
  <c r="D408" i="1"/>
  <c r="B408" i="1"/>
  <c r="Q408" i="1" s="1"/>
  <c r="M407" i="1"/>
  <c r="K407" i="1"/>
  <c r="J407" i="1"/>
  <c r="H407" i="1"/>
  <c r="CU407" i="1" s="1"/>
  <c r="G407" i="1"/>
  <c r="CT407" i="1" s="1"/>
  <c r="CW407" i="1" s="1"/>
  <c r="EM407" i="1" s="1"/>
  <c r="E407" i="1"/>
  <c r="D407" i="1"/>
  <c r="B407" i="1"/>
  <c r="Q407" i="1" s="1"/>
  <c r="M406" i="1"/>
  <c r="K406" i="1"/>
  <c r="J406" i="1"/>
  <c r="H406" i="1"/>
  <c r="CU406" i="1" s="1"/>
  <c r="G406" i="1"/>
  <c r="CT406" i="1" s="1"/>
  <c r="E406" i="1"/>
  <c r="D406" i="1"/>
  <c r="B406" i="1"/>
  <c r="Q406" i="1" s="1"/>
  <c r="M405" i="1"/>
  <c r="K405" i="1"/>
  <c r="J405" i="1"/>
  <c r="H405" i="1"/>
  <c r="CU405" i="1" s="1"/>
  <c r="G405" i="1"/>
  <c r="CT405" i="1" s="1"/>
  <c r="CW405" i="1" s="1"/>
  <c r="E405" i="1"/>
  <c r="D405" i="1"/>
  <c r="B405" i="1"/>
  <c r="Q405" i="1" s="1"/>
  <c r="M404" i="1"/>
  <c r="K404" i="1"/>
  <c r="J404" i="1"/>
  <c r="H404" i="1"/>
  <c r="CU404" i="1" s="1"/>
  <c r="G404" i="1"/>
  <c r="CT404" i="1" s="1"/>
  <c r="CW404" i="1" s="1"/>
  <c r="E404" i="1"/>
  <c r="D404" i="1"/>
  <c r="B404" i="1"/>
  <c r="Q404" i="1" s="1"/>
  <c r="M403" i="1"/>
  <c r="K403" i="1"/>
  <c r="J403" i="1"/>
  <c r="H403" i="1"/>
  <c r="CU403" i="1" s="1"/>
  <c r="G403" i="1"/>
  <c r="CT403" i="1" s="1"/>
  <c r="CW403" i="1" s="1"/>
  <c r="E403" i="1"/>
  <c r="D403" i="1"/>
  <c r="B403" i="1"/>
  <c r="M402" i="1"/>
  <c r="K402" i="1"/>
  <c r="J402" i="1"/>
  <c r="H402" i="1"/>
  <c r="CU402" i="1" s="1"/>
  <c r="G402" i="1"/>
  <c r="CT402" i="1" s="1"/>
  <c r="E402" i="1"/>
  <c r="D402" i="1"/>
  <c r="B402" i="1"/>
  <c r="Q402" i="1" s="1"/>
  <c r="M401" i="1"/>
  <c r="K401" i="1"/>
  <c r="J401" i="1"/>
  <c r="H401" i="1"/>
  <c r="CU401" i="1" s="1"/>
  <c r="G401" i="1"/>
  <c r="CT401" i="1" s="1"/>
  <c r="E401" i="1"/>
  <c r="D401" i="1"/>
  <c r="B401" i="1"/>
  <c r="Q401" i="1" s="1"/>
  <c r="M400" i="1"/>
  <c r="K400" i="1"/>
  <c r="J400" i="1"/>
  <c r="H400" i="1"/>
  <c r="CU400" i="1" s="1"/>
  <c r="G400" i="1"/>
  <c r="CT400" i="1" s="1"/>
  <c r="CW400" i="1" s="1"/>
  <c r="E400" i="1"/>
  <c r="D400" i="1"/>
  <c r="B400" i="1"/>
  <c r="Q400" i="1" s="1"/>
  <c r="M399" i="1"/>
  <c r="K399" i="1"/>
  <c r="J399" i="1"/>
  <c r="H399" i="1"/>
  <c r="CU399" i="1" s="1"/>
  <c r="G399" i="1"/>
  <c r="CT399" i="1" s="1"/>
  <c r="CW399" i="1" s="1"/>
  <c r="EM399" i="1" s="1"/>
  <c r="E399" i="1"/>
  <c r="D399" i="1"/>
  <c r="B399" i="1"/>
  <c r="Q399" i="1" s="1"/>
  <c r="M398" i="1"/>
  <c r="K398" i="1"/>
  <c r="J398" i="1"/>
  <c r="H398" i="1"/>
  <c r="CU398" i="1" s="1"/>
  <c r="G398" i="1"/>
  <c r="CT398" i="1" s="1"/>
  <c r="E398" i="1"/>
  <c r="D398" i="1"/>
  <c r="B398" i="1"/>
  <c r="Q398" i="1" s="1"/>
  <c r="M397" i="1"/>
  <c r="K397" i="1"/>
  <c r="J397" i="1"/>
  <c r="H397" i="1"/>
  <c r="CU397" i="1" s="1"/>
  <c r="G397" i="1"/>
  <c r="CT397" i="1" s="1"/>
  <c r="CW397" i="1" s="1"/>
  <c r="E397" i="1"/>
  <c r="D397" i="1"/>
  <c r="B397" i="1"/>
  <c r="Q397" i="1" s="1"/>
  <c r="M396" i="1"/>
  <c r="K396" i="1"/>
  <c r="J396" i="1"/>
  <c r="H396" i="1"/>
  <c r="CU396" i="1" s="1"/>
  <c r="G396" i="1"/>
  <c r="CT396" i="1" s="1"/>
  <c r="E396" i="1"/>
  <c r="D396" i="1"/>
  <c r="B396" i="1"/>
  <c r="Q396" i="1" s="1"/>
  <c r="M395" i="1"/>
  <c r="K395" i="1"/>
  <c r="J395" i="1"/>
  <c r="H395" i="1"/>
  <c r="CU395" i="1" s="1"/>
  <c r="G395" i="1"/>
  <c r="CT395" i="1" s="1"/>
  <c r="CW395" i="1" s="1"/>
  <c r="E395" i="1"/>
  <c r="D395" i="1"/>
  <c r="B395" i="1"/>
  <c r="Q395" i="1" s="1"/>
  <c r="M394" i="1"/>
  <c r="K394" i="1"/>
  <c r="J394" i="1"/>
  <c r="H394" i="1"/>
  <c r="CU394" i="1" s="1"/>
  <c r="G394" i="1"/>
  <c r="CT394" i="1" s="1"/>
  <c r="E394" i="1"/>
  <c r="D394" i="1"/>
  <c r="B394" i="1"/>
  <c r="Q394" i="1" s="1"/>
  <c r="M393" i="1"/>
  <c r="K393" i="1"/>
  <c r="J393" i="1"/>
  <c r="H393" i="1"/>
  <c r="CU393" i="1" s="1"/>
  <c r="G393" i="1"/>
  <c r="CT393" i="1" s="1"/>
  <c r="CW393" i="1" s="1"/>
  <c r="EM393" i="1" s="1"/>
  <c r="E393" i="1"/>
  <c r="D393" i="1"/>
  <c r="B393" i="1"/>
  <c r="Q393" i="1" s="1"/>
  <c r="M392" i="1"/>
  <c r="K392" i="1"/>
  <c r="J392" i="1"/>
  <c r="H392" i="1"/>
  <c r="CU392" i="1" s="1"/>
  <c r="G392" i="1"/>
  <c r="CT392" i="1" s="1"/>
  <c r="E392" i="1"/>
  <c r="D392" i="1"/>
  <c r="B392" i="1"/>
  <c r="Q392" i="1" s="1"/>
  <c r="M391" i="1"/>
  <c r="K391" i="1"/>
  <c r="J391" i="1"/>
  <c r="H391" i="1"/>
  <c r="CU391" i="1" s="1"/>
  <c r="G391" i="1"/>
  <c r="CT391" i="1" s="1"/>
  <c r="CW391" i="1" s="1"/>
  <c r="E391" i="1"/>
  <c r="D391" i="1"/>
  <c r="B391" i="1"/>
  <c r="M390" i="1"/>
  <c r="K390" i="1"/>
  <c r="J390" i="1"/>
  <c r="H390" i="1"/>
  <c r="CU390" i="1" s="1"/>
  <c r="G390" i="1"/>
  <c r="CT390" i="1" s="1"/>
  <c r="E390" i="1"/>
  <c r="D390" i="1"/>
  <c r="B390" i="1"/>
  <c r="Q390" i="1" s="1"/>
  <c r="M389" i="1"/>
  <c r="K389" i="1"/>
  <c r="J389" i="1"/>
  <c r="H389" i="1"/>
  <c r="CU389" i="1" s="1"/>
  <c r="G389" i="1"/>
  <c r="CT389" i="1" s="1"/>
  <c r="CW389" i="1" s="1"/>
  <c r="EM389" i="1" s="1"/>
  <c r="E389" i="1"/>
  <c r="D389" i="1"/>
  <c r="B389" i="1"/>
  <c r="Q389" i="1" s="1"/>
  <c r="M388" i="1"/>
  <c r="K388" i="1"/>
  <c r="J388" i="1"/>
  <c r="H388" i="1"/>
  <c r="CU388" i="1" s="1"/>
  <c r="G388" i="1"/>
  <c r="CT388" i="1" s="1"/>
  <c r="CW388" i="1" s="1"/>
  <c r="EM388" i="1" s="1"/>
  <c r="E388" i="1"/>
  <c r="D388" i="1"/>
  <c r="B388" i="1"/>
  <c r="Q388" i="1" s="1"/>
  <c r="M387" i="1"/>
  <c r="K387" i="1"/>
  <c r="J387" i="1"/>
  <c r="H387" i="1"/>
  <c r="CU387" i="1" s="1"/>
  <c r="G387" i="1"/>
  <c r="CT387" i="1" s="1"/>
  <c r="E387" i="1"/>
  <c r="D387" i="1"/>
  <c r="B387" i="1"/>
  <c r="Q387" i="1" s="1"/>
  <c r="M386" i="1"/>
  <c r="K386" i="1"/>
  <c r="J386" i="1"/>
  <c r="H386" i="1"/>
  <c r="CU386" i="1" s="1"/>
  <c r="G386" i="1"/>
  <c r="CT386" i="1" s="1"/>
  <c r="E386" i="1"/>
  <c r="D386" i="1"/>
  <c r="B386" i="1"/>
  <c r="Q386" i="1" s="1"/>
  <c r="M385" i="1"/>
  <c r="K385" i="1"/>
  <c r="J385" i="1"/>
  <c r="H385" i="1"/>
  <c r="CU385" i="1" s="1"/>
  <c r="G385" i="1"/>
  <c r="CT385" i="1" s="1"/>
  <c r="E385" i="1"/>
  <c r="D385" i="1"/>
  <c r="B385" i="1"/>
  <c r="M384" i="1"/>
  <c r="K384" i="1"/>
  <c r="J384" i="1"/>
  <c r="H384" i="1"/>
  <c r="CU384" i="1" s="1"/>
  <c r="G384" i="1"/>
  <c r="CT384" i="1" s="1"/>
  <c r="CW384" i="1" s="1"/>
  <c r="E384" i="1"/>
  <c r="D384" i="1"/>
  <c r="B384" i="1"/>
  <c r="M383" i="1"/>
  <c r="K383" i="1"/>
  <c r="J383" i="1"/>
  <c r="H383" i="1"/>
  <c r="CU383" i="1" s="1"/>
  <c r="G383" i="1"/>
  <c r="CT383" i="1" s="1"/>
  <c r="CW383" i="1" s="1"/>
  <c r="E383" i="1"/>
  <c r="D383" i="1"/>
  <c r="B383" i="1"/>
  <c r="Q383" i="1" s="1"/>
  <c r="M382" i="1"/>
  <c r="K382" i="1"/>
  <c r="J382" i="1"/>
  <c r="H382" i="1"/>
  <c r="CU382" i="1" s="1"/>
  <c r="G382" i="1"/>
  <c r="CT382" i="1" s="1"/>
  <c r="CW382" i="1" s="1"/>
  <c r="E382" i="1"/>
  <c r="D382" i="1"/>
  <c r="B382" i="1"/>
  <c r="Q382" i="1" s="1"/>
  <c r="M381" i="1"/>
  <c r="K381" i="1"/>
  <c r="J381" i="1"/>
  <c r="H381" i="1"/>
  <c r="CU381" i="1" s="1"/>
  <c r="G381" i="1"/>
  <c r="CT381" i="1" s="1"/>
  <c r="CW381" i="1" s="1"/>
  <c r="EM381" i="1" s="1"/>
  <c r="E381" i="1"/>
  <c r="D381" i="1"/>
  <c r="B381" i="1"/>
  <c r="Q381" i="1" s="1"/>
  <c r="M380" i="1"/>
  <c r="K380" i="1"/>
  <c r="J380" i="1"/>
  <c r="H380" i="1"/>
  <c r="CU380" i="1" s="1"/>
  <c r="G380" i="1"/>
  <c r="CT380" i="1" s="1"/>
  <c r="E380" i="1"/>
  <c r="D380" i="1"/>
  <c r="B380" i="1"/>
  <c r="Q380" i="1" s="1"/>
  <c r="M379" i="1"/>
  <c r="K379" i="1"/>
  <c r="J379" i="1"/>
  <c r="H379" i="1"/>
  <c r="CU379" i="1" s="1"/>
  <c r="G379" i="1"/>
  <c r="CT379" i="1" s="1"/>
  <c r="CW379" i="1" s="1"/>
  <c r="E379" i="1"/>
  <c r="D379" i="1"/>
  <c r="B379" i="1"/>
  <c r="Q379" i="1" s="1"/>
  <c r="M378" i="1"/>
  <c r="K378" i="1"/>
  <c r="J378" i="1"/>
  <c r="H378" i="1"/>
  <c r="CU378" i="1" s="1"/>
  <c r="G378" i="1"/>
  <c r="CT378" i="1" s="1"/>
  <c r="CW378" i="1" s="1"/>
  <c r="EM378" i="1" s="1"/>
  <c r="E378" i="1"/>
  <c r="D378" i="1"/>
  <c r="B378" i="1"/>
  <c r="Q378" i="1" s="1"/>
  <c r="M377" i="1"/>
  <c r="K377" i="1"/>
  <c r="J377" i="1"/>
  <c r="H377" i="1"/>
  <c r="CU377" i="1" s="1"/>
  <c r="G377" i="1"/>
  <c r="CT377" i="1" s="1"/>
  <c r="CW377" i="1" s="1"/>
  <c r="E377" i="1"/>
  <c r="D377" i="1"/>
  <c r="B377" i="1"/>
  <c r="Q377" i="1" s="1"/>
  <c r="M376" i="1"/>
  <c r="K376" i="1"/>
  <c r="J376" i="1"/>
  <c r="H376" i="1"/>
  <c r="CU376" i="1" s="1"/>
  <c r="G376" i="1"/>
  <c r="CT376" i="1" s="1"/>
  <c r="E376" i="1"/>
  <c r="D376" i="1"/>
  <c r="B376" i="1"/>
  <c r="Q376" i="1" s="1"/>
  <c r="M375" i="1"/>
  <c r="K375" i="1"/>
  <c r="J375" i="1"/>
  <c r="H375" i="1"/>
  <c r="CU375" i="1" s="1"/>
  <c r="G375" i="1"/>
  <c r="CT375" i="1" s="1"/>
  <c r="CW375" i="1" s="1"/>
  <c r="E375" i="1"/>
  <c r="D375" i="1"/>
  <c r="B375" i="1"/>
  <c r="Q375" i="1" s="1"/>
  <c r="M374" i="1"/>
  <c r="K374" i="1"/>
  <c r="J374" i="1"/>
  <c r="H374" i="1"/>
  <c r="CU374" i="1" s="1"/>
  <c r="G374" i="1"/>
  <c r="CT374" i="1" s="1"/>
  <c r="E374" i="1"/>
  <c r="D374" i="1"/>
  <c r="B374" i="1"/>
  <c r="Q374" i="1" s="1"/>
  <c r="M373" i="1"/>
  <c r="K373" i="1"/>
  <c r="J373" i="1"/>
  <c r="H373" i="1"/>
  <c r="CU373" i="1" s="1"/>
  <c r="G373" i="1"/>
  <c r="CT373" i="1" s="1"/>
  <c r="E373" i="1"/>
  <c r="D373" i="1"/>
  <c r="B373" i="1"/>
  <c r="M372" i="1"/>
  <c r="K372" i="1"/>
  <c r="J372" i="1"/>
  <c r="H372" i="1"/>
  <c r="CU372" i="1" s="1"/>
  <c r="G372" i="1"/>
  <c r="CT372" i="1" s="1"/>
  <c r="CW372" i="1" s="1"/>
  <c r="EM372" i="1" s="1"/>
  <c r="E372" i="1"/>
  <c r="D372" i="1"/>
  <c r="B372" i="1"/>
  <c r="Q372" i="1" s="1"/>
  <c r="M371" i="1"/>
  <c r="K371" i="1"/>
  <c r="J371" i="1"/>
  <c r="H371" i="1"/>
  <c r="CU371" i="1" s="1"/>
  <c r="G371" i="1"/>
  <c r="CT371" i="1" s="1"/>
  <c r="E371" i="1"/>
  <c r="D371" i="1"/>
  <c r="B371" i="1"/>
  <c r="Q371" i="1" s="1"/>
  <c r="M370" i="1"/>
  <c r="K370" i="1"/>
  <c r="J370" i="1"/>
  <c r="H370" i="1"/>
  <c r="CU370" i="1" s="1"/>
  <c r="G370" i="1"/>
  <c r="CT370" i="1" s="1"/>
  <c r="E370" i="1"/>
  <c r="O370" i="1" s="1"/>
  <c r="D370" i="1"/>
  <c r="B370" i="1"/>
  <c r="Q370" i="1" s="1"/>
  <c r="M369" i="1"/>
  <c r="K369" i="1"/>
  <c r="J369" i="1"/>
  <c r="H369" i="1"/>
  <c r="CU369" i="1" s="1"/>
  <c r="G369" i="1"/>
  <c r="CT369" i="1" s="1"/>
  <c r="E369" i="1"/>
  <c r="D369" i="1"/>
  <c r="B369" i="1"/>
  <c r="Q369" i="1" s="1"/>
  <c r="M368" i="1"/>
  <c r="K368" i="1"/>
  <c r="J368" i="1"/>
  <c r="H368" i="1"/>
  <c r="CU368" i="1" s="1"/>
  <c r="G368" i="1"/>
  <c r="CT368" i="1" s="1"/>
  <c r="CW368" i="1" s="1"/>
  <c r="EM368" i="1" s="1"/>
  <c r="E368" i="1"/>
  <c r="D368" i="1"/>
  <c r="B368" i="1"/>
  <c r="Q368" i="1" s="1"/>
  <c r="M367" i="1"/>
  <c r="K367" i="1"/>
  <c r="J367" i="1"/>
  <c r="H367" i="1"/>
  <c r="CU367" i="1" s="1"/>
  <c r="G367" i="1"/>
  <c r="CT367" i="1" s="1"/>
  <c r="CW367" i="1" s="1"/>
  <c r="E367" i="1"/>
  <c r="D367" i="1"/>
  <c r="B367" i="1"/>
  <c r="Q367" i="1" s="1"/>
  <c r="M366" i="1"/>
  <c r="K366" i="1"/>
  <c r="J366" i="1"/>
  <c r="H366" i="1"/>
  <c r="CU366" i="1" s="1"/>
  <c r="G366" i="1"/>
  <c r="CT366" i="1" s="1"/>
  <c r="E366" i="1"/>
  <c r="D366" i="1"/>
  <c r="B366" i="1"/>
  <c r="Q366" i="1" s="1"/>
  <c r="M365" i="1"/>
  <c r="K365" i="1"/>
  <c r="J365" i="1"/>
  <c r="H365" i="1"/>
  <c r="CU365" i="1" s="1"/>
  <c r="G365" i="1"/>
  <c r="CT365" i="1" s="1"/>
  <c r="CW365" i="1" s="1"/>
  <c r="EM365" i="1" s="1"/>
  <c r="E365" i="1"/>
  <c r="D365" i="1"/>
  <c r="B365" i="1"/>
  <c r="Q365" i="1" s="1"/>
  <c r="M364" i="1"/>
  <c r="K364" i="1"/>
  <c r="J364" i="1"/>
  <c r="H364" i="1"/>
  <c r="CU364" i="1" s="1"/>
  <c r="G364" i="1"/>
  <c r="CT364" i="1" s="1"/>
  <c r="E364" i="1"/>
  <c r="D364" i="1"/>
  <c r="B364" i="1"/>
  <c r="M363" i="1"/>
  <c r="K363" i="1"/>
  <c r="J363" i="1"/>
  <c r="H363" i="1"/>
  <c r="CU363" i="1" s="1"/>
  <c r="G363" i="1"/>
  <c r="CT363" i="1" s="1"/>
  <c r="CW363" i="1" s="1"/>
  <c r="E363" i="1"/>
  <c r="D363" i="1"/>
  <c r="B363" i="1"/>
  <c r="M362" i="1"/>
  <c r="K362" i="1"/>
  <c r="J362" i="1"/>
  <c r="H362" i="1"/>
  <c r="CU362" i="1" s="1"/>
  <c r="G362" i="1"/>
  <c r="CT362" i="1" s="1"/>
  <c r="E362" i="1"/>
  <c r="D362" i="1"/>
  <c r="B362" i="1"/>
  <c r="Q362" i="1" s="1"/>
  <c r="M361" i="1"/>
  <c r="K361" i="1"/>
  <c r="J361" i="1"/>
  <c r="H361" i="1"/>
  <c r="CU361" i="1" s="1"/>
  <c r="G361" i="1"/>
  <c r="CT361" i="1" s="1"/>
  <c r="CW361" i="1" s="1"/>
  <c r="EM361" i="1" s="1"/>
  <c r="E361" i="1"/>
  <c r="D361" i="1"/>
  <c r="B361" i="1"/>
  <c r="Q361" i="1" s="1"/>
  <c r="M360" i="1"/>
  <c r="K360" i="1"/>
  <c r="J360" i="1"/>
  <c r="H360" i="1"/>
  <c r="CU360" i="1" s="1"/>
  <c r="G360" i="1"/>
  <c r="CT360" i="1" s="1"/>
  <c r="E360" i="1"/>
  <c r="D360" i="1"/>
  <c r="B360" i="1"/>
  <c r="M359" i="1"/>
  <c r="K359" i="1"/>
  <c r="J359" i="1"/>
  <c r="H359" i="1"/>
  <c r="CU359" i="1" s="1"/>
  <c r="G359" i="1"/>
  <c r="CT359" i="1" s="1"/>
  <c r="CW359" i="1" s="1"/>
  <c r="E359" i="1"/>
  <c r="D359" i="1"/>
  <c r="B359" i="1"/>
  <c r="Q359" i="1" s="1"/>
  <c r="M358" i="1"/>
  <c r="K358" i="1"/>
  <c r="J358" i="1"/>
  <c r="H358" i="1"/>
  <c r="CU358" i="1" s="1"/>
  <c r="G358" i="1"/>
  <c r="CT358" i="1" s="1"/>
  <c r="E358" i="1"/>
  <c r="D358" i="1"/>
  <c r="B358" i="1"/>
  <c r="M357" i="1"/>
  <c r="K357" i="1"/>
  <c r="J357" i="1"/>
  <c r="H357" i="1"/>
  <c r="CU357" i="1" s="1"/>
  <c r="G357" i="1"/>
  <c r="CT357" i="1" s="1"/>
  <c r="CW357" i="1" s="1"/>
  <c r="EM357" i="1" s="1"/>
  <c r="E357" i="1"/>
  <c r="D357" i="1"/>
  <c r="B357" i="1"/>
  <c r="Q357" i="1" s="1"/>
  <c r="M356" i="1"/>
  <c r="K356" i="1"/>
  <c r="J356" i="1"/>
  <c r="H356" i="1"/>
  <c r="CU356" i="1" s="1"/>
  <c r="G356" i="1"/>
  <c r="CT356" i="1" s="1"/>
  <c r="CW356" i="1" s="1"/>
  <c r="E356" i="1"/>
  <c r="D356" i="1"/>
  <c r="B356" i="1"/>
  <c r="Q356" i="1" s="1"/>
  <c r="M355" i="1"/>
  <c r="K355" i="1"/>
  <c r="J355" i="1"/>
  <c r="H355" i="1"/>
  <c r="CU355" i="1" s="1"/>
  <c r="G355" i="1"/>
  <c r="CT355" i="1" s="1"/>
  <c r="E355" i="1"/>
  <c r="D355" i="1"/>
  <c r="B355" i="1"/>
  <c r="Q355" i="1" s="1"/>
  <c r="M354" i="1"/>
  <c r="K354" i="1"/>
  <c r="J354" i="1"/>
  <c r="H354" i="1"/>
  <c r="CU354" i="1" s="1"/>
  <c r="G354" i="1"/>
  <c r="CT354" i="1" s="1"/>
  <c r="E354" i="1"/>
  <c r="D354" i="1"/>
  <c r="B354" i="1"/>
  <c r="Q354" i="1" s="1"/>
  <c r="M353" i="1"/>
  <c r="K353" i="1"/>
  <c r="J353" i="1"/>
  <c r="H353" i="1"/>
  <c r="CU353" i="1" s="1"/>
  <c r="G353" i="1"/>
  <c r="CT353" i="1" s="1"/>
  <c r="E353" i="1"/>
  <c r="D353" i="1"/>
  <c r="B353" i="1"/>
  <c r="Q353" i="1" s="1"/>
  <c r="M352" i="1"/>
  <c r="K352" i="1"/>
  <c r="J352" i="1"/>
  <c r="H352" i="1"/>
  <c r="CU352" i="1" s="1"/>
  <c r="G352" i="1"/>
  <c r="CT352" i="1" s="1"/>
  <c r="CW352" i="1" s="1"/>
  <c r="EM352" i="1" s="1"/>
  <c r="E352" i="1"/>
  <c r="D352" i="1"/>
  <c r="B352" i="1"/>
  <c r="M351" i="1"/>
  <c r="K351" i="1"/>
  <c r="J351" i="1"/>
  <c r="H351" i="1"/>
  <c r="CU351" i="1" s="1"/>
  <c r="G351" i="1"/>
  <c r="CT351" i="1" s="1"/>
  <c r="CW351" i="1" s="1"/>
  <c r="EM351" i="1" s="1"/>
  <c r="E351" i="1"/>
  <c r="D351" i="1"/>
  <c r="B351" i="1"/>
  <c r="Q351" i="1" s="1"/>
  <c r="M350" i="1"/>
  <c r="K350" i="1"/>
  <c r="J350" i="1"/>
  <c r="H350" i="1"/>
  <c r="CU350" i="1" s="1"/>
  <c r="G350" i="1"/>
  <c r="CT350" i="1" s="1"/>
  <c r="E350" i="1"/>
  <c r="D350" i="1"/>
  <c r="B350" i="1"/>
  <c r="Q350" i="1" s="1"/>
  <c r="M349" i="1"/>
  <c r="K349" i="1"/>
  <c r="J349" i="1"/>
  <c r="H349" i="1"/>
  <c r="CU349" i="1" s="1"/>
  <c r="G349" i="1"/>
  <c r="CT349" i="1" s="1"/>
  <c r="CW349" i="1" s="1"/>
  <c r="E349" i="1"/>
  <c r="D349" i="1"/>
  <c r="B349" i="1"/>
  <c r="Q349" i="1" s="1"/>
  <c r="M348" i="1"/>
  <c r="K348" i="1"/>
  <c r="J348" i="1"/>
  <c r="H348" i="1"/>
  <c r="CU348" i="1" s="1"/>
  <c r="G348" i="1"/>
  <c r="CT348" i="1" s="1"/>
  <c r="E348" i="1"/>
  <c r="D348" i="1"/>
  <c r="B348" i="1"/>
  <c r="M347" i="1"/>
  <c r="K347" i="1"/>
  <c r="J347" i="1"/>
  <c r="H347" i="1"/>
  <c r="CU347" i="1" s="1"/>
  <c r="G347" i="1"/>
  <c r="CT347" i="1" s="1"/>
  <c r="CW347" i="1" s="1"/>
  <c r="EM347" i="1" s="1"/>
  <c r="E347" i="1"/>
  <c r="D347" i="1"/>
  <c r="B347" i="1"/>
  <c r="Q347" i="1" s="1"/>
  <c r="M346" i="1"/>
  <c r="K346" i="1"/>
  <c r="J346" i="1"/>
  <c r="H346" i="1"/>
  <c r="CU346" i="1" s="1"/>
  <c r="G346" i="1"/>
  <c r="E346" i="1"/>
  <c r="D346" i="1"/>
  <c r="B346" i="1"/>
  <c r="Q346" i="1" s="1"/>
  <c r="T346" i="1" s="1"/>
  <c r="U346" i="1" s="1"/>
  <c r="M345" i="1"/>
  <c r="K345" i="1"/>
  <c r="J345" i="1"/>
  <c r="H345" i="1"/>
  <c r="CU345" i="1" s="1"/>
  <c r="G345" i="1"/>
  <c r="E345" i="1"/>
  <c r="D345" i="1"/>
  <c r="B345" i="1"/>
  <c r="Q345" i="1" s="1"/>
  <c r="T345" i="1" s="1"/>
  <c r="U345" i="1" s="1"/>
  <c r="M344" i="1"/>
  <c r="K344" i="1"/>
  <c r="J344" i="1"/>
  <c r="H344" i="1"/>
  <c r="CU344" i="1" s="1"/>
  <c r="G344" i="1"/>
  <c r="E344" i="1"/>
  <c r="D344" i="1"/>
  <c r="B344" i="1"/>
  <c r="Q344" i="1" s="1"/>
  <c r="S344" i="1" s="1"/>
  <c r="DI344" i="1" s="1"/>
  <c r="M343" i="1"/>
  <c r="K343" i="1"/>
  <c r="J343" i="1"/>
  <c r="H343" i="1"/>
  <c r="CU343" i="1" s="1"/>
  <c r="G343" i="1"/>
  <c r="CT343" i="1" s="1"/>
  <c r="CW343" i="1" s="1"/>
  <c r="E343" i="1"/>
  <c r="D343" i="1"/>
  <c r="B343" i="1"/>
  <c r="Q343" i="1" s="1"/>
  <c r="S343" i="1" s="1"/>
  <c r="DI343" i="1" s="1"/>
  <c r="M342" i="1"/>
  <c r="K342" i="1"/>
  <c r="J342" i="1"/>
  <c r="H342" i="1"/>
  <c r="CU342" i="1" s="1"/>
  <c r="G342" i="1"/>
  <c r="CT342" i="1" s="1"/>
  <c r="E342" i="1"/>
  <c r="D342" i="1"/>
  <c r="B342" i="1"/>
  <c r="Q342" i="1" s="1"/>
  <c r="S342" i="1" s="1"/>
  <c r="DI342" i="1" s="1"/>
  <c r="M341" i="1"/>
  <c r="K341" i="1"/>
  <c r="J341" i="1"/>
  <c r="H341" i="1"/>
  <c r="CU341" i="1" s="1"/>
  <c r="G341" i="1"/>
  <c r="CT341" i="1" s="1"/>
  <c r="E341" i="1"/>
  <c r="D341" i="1"/>
  <c r="B341" i="1"/>
  <c r="Q341" i="1" s="1"/>
  <c r="S341" i="1" s="1"/>
  <c r="DI341" i="1" s="1"/>
  <c r="M340" i="1"/>
  <c r="K340" i="1"/>
  <c r="J340" i="1"/>
  <c r="H340" i="1"/>
  <c r="CU340" i="1" s="1"/>
  <c r="G340" i="1"/>
  <c r="CT340" i="1" s="1"/>
  <c r="CW340" i="1" s="1"/>
  <c r="E340" i="1"/>
  <c r="D340" i="1"/>
  <c r="B340" i="1"/>
  <c r="Q340" i="1" s="1"/>
  <c r="S340" i="1" s="1"/>
  <c r="DI340" i="1" s="1"/>
  <c r="M339" i="1"/>
  <c r="K339" i="1"/>
  <c r="J339" i="1"/>
  <c r="H339" i="1"/>
  <c r="CU339" i="1" s="1"/>
  <c r="G339" i="1"/>
  <c r="CT339" i="1" s="1"/>
  <c r="E339" i="1"/>
  <c r="D339" i="1"/>
  <c r="B339" i="1"/>
  <c r="Q339" i="1" s="1"/>
  <c r="S339" i="1" s="1"/>
  <c r="DI339" i="1" s="1"/>
  <c r="M338" i="1"/>
  <c r="K338" i="1"/>
  <c r="J338" i="1"/>
  <c r="H338" i="1"/>
  <c r="CU338" i="1" s="1"/>
  <c r="G338" i="1"/>
  <c r="CT338" i="1" s="1"/>
  <c r="E338" i="1"/>
  <c r="D338" i="1"/>
  <c r="B338" i="1"/>
  <c r="Q338" i="1" s="1"/>
  <c r="S338" i="1" s="1"/>
  <c r="DI338" i="1" s="1"/>
  <c r="M337" i="1"/>
  <c r="K337" i="1"/>
  <c r="J337" i="1"/>
  <c r="H337" i="1"/>
  <c r="CU337" i="1" s="1"/>
  <c r="G337" i="1"/>
  <c r="CT337" i="1" s="1"/>
  <c r="E337" i="1"/>
  <c r="D337" i="1"/>
  <c r="B337" i="1"/>
  <c r="Q337" i="1" s="1"/>
  <c r="S337" i="1" s="1"/>
  <c r="DI337" i="1" s="1"/>
  <c r="M336" i="1"/>
  <c r="K336" i="1"/>
  <c r="J336" i="1"/>
  <c r="H336" i="1"/>
  <c r="CU336" i="1" s="1"/>
  <c r="G336" i="1"/>
  <c r="CT336" i="1" s="1"/>
  <c r="CW336" i="1" s="1"/>
  <c r="E336" i="1"/>
  <c r="D336" i="1"/>
  <c r="B336" i="1"/>
  <c r="Q336" i="1" s="1"/>
  <c r="S336" i="1" s="1"/>
  <c r="DI336" i="1" s="1"/>
  <c r="M335" i="1"/>
  <c r="K335" i="1"/>
  <c r="J335" i="1"/>
  <c r="H335" i="1"/>
  <c r="CU335" i="1" s="1"/>
  <c r="G335" i="1"/>
  <c r="CT335" i="1" s="1"/>
  <c r="CW335" i="1" s="1"/>
  <c r="E335" i="1"/>
  <c r="D335" i="1"/>
  <c r="B335" i="1"/>
  <c r="Q335" i="1" s="1"/>
  <c r="S335" i="1" s="1"/>
  <c r="DI335" i="1" s="1"/>
  <c r="M334" i="1"/>
  <c r="K334" i="1"/>
  <c r="J334" i="1"/>
  <c r="H334" i="1"/>
  <c r="CU334" i="1" s="1"/>
  <c r="G334" i="1"/>
  <c r="CT334" i="1" s="1"/>
  <c r="E334" i="1"/>
  <c r="D334" i="1"/>
  <c r="B334" i="1"/>
  <c r="Q334" i="1" s="1"/>
  <c r="S334" i="1" s="1"/>
  <c r="DI334" i="1" s="1"/>
  <c r="M333" i="1"/>
  <c r="K333" i="1"/>
  <c r="J333" i="1"/>
  <c r="H333" i="1"/>
  <c r="CU333" i="1" s="1"/>
  <c r="G333" i="1"/>
  <c r="CT333" i="1" s="1"/>
  <c r="CW333" i="1" s="1"/>
  <c r="E333" i="1"/>
  <c r="D333" i="1"/>
  <c r="B333" i="1"/>
  <c r="Q333" i="1" s="1"/>
  <c r="S333" i="1" s="1"/>
  <c r="DI333" i="1" s="1"/>
  <c r="M332" i="1"/>
  <c r="K332" i="1"/>
  <c r="J332" i="1"/>
  <c r="H332" i="1"/>
  <c r="CU332" i="1" s="1"/>
  <c r="G332" i="1"/>
  <c r="CT332" i="1" s="1"/>
  <c r="E332" i="1"/>
  <c r="D332" i="1"/>
  <c r="B332" i="1"/>
  <c r="Q332" i="1" s="1"/>
  <c r="S332" i="1" s="1"/>
  <c r="DI332" i="1" s="1"/>
  <c r="M331" i="1"/>
  <c r="K331" i="1"/>
  <c r="J331" i="1"/>
  <c r="H331" i="1"/>
  <c r="CU331" i="1" s="1"/>
  <c r="G331" i="1"/>
  <c r="CT331" i="1" s="1"/>
  <c r="CW331" i="1" s="1"/>
  <c r="E331" i="1"/>
  <c r="D331" i="1"/>
  <c r="B331" i="1"/>
  <c r="Q331" i="1" s="1"/>
  <c r="S331" i="1" s="1"/>
  <c r="DI331" i="1" s="1"/>
  <c r="M330" i="1"/>
  <c r="K330" i="1"/>
  <c r="J330" i="1"/>
  <c r="H330" i="1"/>
  <c r="CU330" i="1" s="1"/>
  <c r="G330" i="1"/>
  <c r="CT330" i="1" s="1"/>
  <c r="E330" i="1"/>
  <c r="D330" i="1"/>
  <c r="B330" i="1"/>
  <c r="Q330" i="1" s="1"/>
  <c r="S330" i="1" s="1"/>
  <c r="DI330" i="1" s="1"/>
  <c r="M329" i="1"/>
  <c r="K329" i="1"/>
  <c r="J329" i="1"/>
  <c r="H329" i="1"/>
  <c r="CU329" i="1" s="1"/>
  <c r="G329" i="1"/>
  <c r="E329" i="1"/>
  <c r="D329" i="1"/>
  <c r="B329" i="1"/>
  <c r="Q329" i="1" s="1"/>
  <c r="S329" i="1" s="1"/>
  <c r="DI329" i="1" s="1"/>
  <c r="M328" i="1"/>
  <c r="K328" i="1"/>
  <c r="J328" i="1"/>
  <c r="H328" i="1"/>
  <c r="CU328" i="1" s="1"/>
  <c r="G328" i="1"/>
  <c r="CT328" i="1" s="1"/>
  <c r="E328" i="1"/>
  <c r="D328" i="1"/>
  <c r="B328" i="1"/>
  <c r="Q328" i="1" s="1"/>
  <c r="S328" i="1" s="1"/>
  <c r="DI328" i="1" s="1"/>
  <c r="M327" i="1"/>
  <c r="K327" i="1"/>
  <c r="J327" i="1"/>
  <c r="H327" i="1"/>
  <c r="CU327" i="1" s="1"/>
  <c r="G327" i="1"/>
  <c r="CT327" i="1" s="1"/>
  <c r="E327" i="1"/>
  <c r="D327" i="1"/>
  <c r="B327" i="1"/>
  <c r="Q327" i="1" s="1"/>
  <c r="S327" i="1" s="1"/>
  <c r="DI327" i="1" s="1"/>
  <c r="M326" i="1"/>
  <c r="K326" i="1"/>
  <c r="J326" i="1"/>
  <c r="H326" i="1"/>
  <c r="CU326" i="1" s="1"/>
  <c r="G326" i="1"/>
  <c r="CT326" i="1" s="1"/>
  <c r="E326" i="1"/>
  <c r="D326" i="1"/>
  <c r="B326" i="1"/>
  <c r="Q326" i="1" s="1"/>
  <c r="S326" i="1" s="1"/>
  <c r="DI326" i="1" s="1"/>
  <c r="M325" i="1"/>
  <c r="K325" i="1"/>
  <c r="J325" i="1"/>
  <c r="H325" i="1"/>
  <c r="CU325" i="1" s="1"/>
  <c r="G325" i="1"/>
  <c r="CT325" i="1" s="1"/>
  <c r="E325" i="1"/>
  <c r="D325" i="1"/>
  <c r="B325" i="1"/>
  <c r="Q325" i="1" s="1"/>
  <c r="S325" i="1" s="1"/>
  <c r="DI325" i="1" s="1"/>
  <c r="M324" i="1"/>
  <c r="K324" i="1"/>
  <c r="J324" i="1"/>
  <c r="H324" i="1"/>
  <c r="CU324" i="1" s="1"/>
  <c r="G324" i="1"/>
  <c r="CT324" i="1" s="1"/>
  <c r="CW324" i="1" s="1"/>
  <c r="E324" i="1"/>
  <c r="D324" i="1"/>
  <c r="B324" i="1"/>
  <c r="Q324" i="1" s="1"/>
  <c r="S324" i="1" s="1"/>
  <c r="DI324" i="1" s="1"/>
  <c r="M323" i="1"/>
  <c r="K323" i="1"/>
  <c r="J323" i="1"/>
  <c r="H323" i="1"/>
  <c r="CU323" i="1" s="1"/>
  <c r="G323" i="1"/>
  <c r="CT323" i="1" s="1"/>
  <c r="E323" i="1"/>
  <c r="D323" i="1"/>
  <c r="B323" i="1"/>
  <c r="Q323" i="1" s="1"/>
  <c r="S323" i="1" s="1"/>
  <c r="DI323" i="1" s="1"/>
  <c r="M322" i="1"/>
  <c r="K322" i="1"/>
  <c r="J322" i="1"/>
  <c r="H322" i="1"/>
  <c r="CU322" i="1" s="1"/>
  <c r="G322" i="1"/>
  <c r="CT322" i="1" s="1"/>
  <c r="E322" i="1"/>
  <c r="D322" i="1"/>
  <c r="B322" i="1"/>
  <c r="Q322" i="1" s="1"/>
  <c r="S322" i="1" s="1"/>
  <c r="DI322" i="1" s="1"/>
  <c r="M321" i="1"/>
  <c r="K321" i="1"/>
  <c r="J321" i="1"/>
  <c r="H321" i="1"/>
  <c r="CU321" i="1" s="1"/>
  <c r="G321" i="1"/>
  <c r="CT321" i="1" s="1"/>
  <c r="E321" i="1"/>
  <c r="D321" i="1"/>
  <c r="B321" i="1"/>
  <c r="Q321" i="1" s="1"/>
  <c r="S321" i="1" s="1"/>
  <c r="DI321" i="1" s="1"/>
  <c r="M320" i="1"/>
  <c r="K320" i="1"/>
  <c r="J320" i="1"/>
  <c r="H320" i="1"/>
  <c r="CU320" i="1" s="1"/>
  <c r="G320" i="1"/>
  <c r="CT320" i="1" s="1"/>
  <c r="CW320" i="1" s="1"/>
  <c r="E320" i="1"/>
  <c r="D320" i="1"/>
  <c r="B320" i="1"/>
  <c r="Q320" i="1" s="1"/>
  <c r="S320" i="1" s="1"/>
  <c r="DI320" i="1" s="1"/>
  <c r="M319" i="1"/>
  <c r="K319" i="1"/>
  <c r="J319" i="1"/>
  <c r="H319" i="1"/>
  <c r="CU319" i="1" s="1"/>
  <c r="G319" i="1"/>
  <c r="CT319" i="1" s="1"/>
  <c r="CW319" i="1" s="1"/>
  <c r="E319" i="1"/>
  <c r="D319" i="1"/>
  <c r="B319" i="1"/>
  <c r="Q319" i="1" s="1"/>
  <c r="S319" i="1" s="1"/>
  <c r="DI319" i="1" s="1"/>
  <c r="M318" i="1"/>
  <c r="K318" i="1"/>
  <c r="J318" i="1"/>
  <c r="H318" i="1"/>
  <c r="CU318" i="1" s="1"/>
  <c r="G318" i="1"/>
  <c r="CT318" i="1" s="1"/>
  <c r="E318" i="1"/>
  <c r="D318" i="1"/>
  <c r="B318" i="1"/>
  <c r="Q318" i="1" s="1"/>
  <c r="S318" i="1" s="1"/>
  <c r="DI318" i="1" s="1"/>
  <c r="M317" i="1"/>
  <c r="K317" i="1"/>
  <c r="J317" i="1"/>
  <c r="H317" i="1"/>
  <c r="CU317" i="1" s="1"/>
  <c r="G317" i="1"/>
  <c r="CT317" i="1" s="1"/>
  <c r="CW317" i="1" s="1"/>
  <c r="E317" i="1"/>
  <c r="D317" i="1"/>
  <c r="B317" i="1"/>
  <c r="Q317" i="1" s="1"/>
  <c r="S317" i="1" s="1"/>
  <c r="DI317" i="1" s="1"/>
  <c r="M316" i="1"/>
  <c r="K316" i="1"/>
  <c r="J316" i="1"/>
  <c r="H316" i="1"/>
  <c r="CU316" i="1" s="1"/>
  <c r="G316" i="1"/>
  <c r="CT316" i="1" s="1"/>
  <c r="E316" i="1"/>
  <c r="D316" i="1"/>
  <c r="B316" i="1"/>
  <c r="Q316" i="1" s="1"/>
  <c r="S316" i="1" s="1"/>
  <c r="DI316" i="1" s="1"/>
  <c r="M315" i="1"/>
  <c r="K315" i="1"/>
  <c r="J315" i="1"/>
  <c r="H315" i="1"/>
  <c r="CU315" i="1" s="1"/>
  <c r="G315" i="1"/>
  <c r="CT315" i="1" s="1"/>
  <c r="E315" i="1"/>
  <c r="D315" i="1"/>
  <c r="B315" i="1"/>
  <c r="Q315" i="1" s="1"/>
  <c r="S315" i="1" s="1"/>
  <c r="DI315" i="1" s="1"/>
  <c r="M314" i="1"/>
  <c r="K314" i="1"/>
  <c r="J314" i="1"/>
  <c r="H314" i="1"/>
  <c r="CU314" i="1" s="1"/>
  <c r="G314" i="1"/>
  <c r="CT314" i="1" s="1"/>
  <c r="E314" i="1"/>
  <c r="D314" i="1"/>
  <c r="B314" i="1"/>
  <c r="Q314" i="1" s="1"/>
  <c r="S314" i="1" s="1"/>
  <c r="DI314" i="1" s="1"/>
  <c r="M313" i="1"/>
  <c r="K313" i="1"/>
  <c r="J313" i="1"/>
  <c r="H313" i="1"/>
  <c r="CU313" i="1" s="1"/>
  <c r="G313" i="1"/>
  <c r="CT313" i="1" s="1"/>
  <c r="CW313" i="1" s="1"/>
  <c r="E313" i="1"/>
  <c r="D313" i="1"/>
  <c r="B313" i="1"/>
  <c r="Q313" i="1" s="1"/>
  <c r="S313" i="1" s="1"/>
  <c r="DI313" i="1" s="1"/>
  <c r="M312" i="1"/>
  <c r="K312" i="1"/>
  <c r="J312" i="1"/>
  <c r="H312" i="1"/>
  <c r="CU312" i="1" s="1"/>
  <c r="G312" i="1"/>
  <c r="CT312" i="1" s="1"/>
  <c r="CW312" i="1" s="1"/>
  <c r="E312" i="1"/>
  <c r="D312" i="1"/>
  <c r="B312" i="1"/>
  <c r="Q312" i="1" s="1"/>
  <c r="S312" i="1" s="1"/>
  <c r="DI312" i="1" s="1"/>
  <c r="M311" i="1"/>
  <c r="K311" i="1"/>
  <c r="J311" i="1"/>
  <c r="H311" i="1"/>
  <c r="CU311" i="1" s="1"/>
  <c r="G311" i="1"/>
  <c r="CT311" i="1" s="1"/>
  <c r="E311" i="1"/>
  <c r="D311" i="1"/>
  <c r="B311" i="1"/>
  <c r="Q311" i="1" s="1"/>
  <c r="S311" i="1" s="1"/>
  <c r="DI311" i="1" s="1"/>
  <c r="M310" i="1"/>
  <c r="K310" i="1"/>
  <c r="J310" i="1"/>
  <c r="H310" i="1"/>
  <c r="CU310" i="1" s="1"/>
  <c r="G310" i="1"/>
  <c r="CT310" i="1" s="1"/>
  <c r="E310" i="1"/>
  <c r="D310" i="1"/>
  <c r="B310" i="1"/>
  <c r="Q310" i="1" s="1"/>
  <c r="S310" i="1" s="1"/>
  <c r="DI310" i="1" s="1"/>
  <c r="M309" i="1"/>
  <c r="K309" i="1"/>
  <c r="J309" i="1"/>
  <c r="H309" i="1"/>
  <c r="CU309" i="1" s="1"/>
  <c r="G309" i="1"/>
  <c r="CT309" i="1" s="1"/>
  <c r="E309" i="1"/>
  <c r="D309" i="1"/>
  <c r="B309" i="1"/>
  <c r="Q309" i="1" s="1"/>
  <c r="S309" i="1" s="1"/>
  <c r="DI309" i="1" s="1"/>
  <c r="M308" i="1"/>
  <c r="K308" i="1"/>
  <c r="J308" i="1"/>
  <c r="H308" i="1"/>
  <c r="CU308" i="1" s="1"/>
  <c r="G308" i="1"/>
  <c r="CT308" i="1" s="1"/>
  <c r="CW308" i="1" s="1"/>
  <c r="E308" i="1"/>
  <c r="D308" i="1"/>
  <c r="B308" i="1"/>
  <c r="Q308" i="1" s="1"/>
  <c r="S308" i="1" s="1"/>
  <c r="DI308" i="1" s="1"/>
  <c r="M307" i="1"/>
  <c r="K307" i="1"/>
  <c r="J307" i="1"/>
  <c r="H307" i="1"/>
  <c r="CU307" i="1" s="1"/>
  <c r="G307" i="1"/>
  <c r="CT307" i="1" s="1"/>
  <c r="E307" i="1"/>
  <c r="D307" i="1"/>
  <c r="B307" i="1"/>
  <c r="Q307" i="1" s="1"/>
  <c r="S307" i="1" s="1"/>
  <c r="DI307" i="1" s="1"/>
  <c r="M306" i="1"/>
  <c r="K306" i="1"/>
  <c r="J306" i="1"/>
  <c r="H306" i="1"/>
  <c r="CU306" i="1" s="1"/>
  <c r="G306" i="1"/>
  <c r="CT306" i="1" s="1"/>
  <c r="E306" i="1"/>
  <c r="D306" i="1"/>
  <c r="B306" i="1"/>
  <c r="Q306" i="1" s="1"/>
  <c r="S306" i="1" s="1"/>
  <c r="DI306" i="1" s="1"/>
  <c r="M305" i="1"/>
  <c r="K305" i="1"/>
  <c r="J305" i="1"/>
  <c r="H305" i="1"/>
  <c r="CU305" i="1" s="1"/>
  <c r="G305" i="1"/>
  <c r="CT305" i="1" s="1"/>
  <c r="E305" i="1"/>
  <c r="D305" i="1"/>
  <c r="B305" i="1"/>
  <c r="Q305" i="1" s="1"/>
  <c r="S305" i="1" s="1"/>
  <c r="DI305" i="1" s="1"/>
  <c r="M304" i="1"/>
  <c r="K304" i="1"/>
  <c r="J304" i="1"/>
  <c r="H304" i="1"/>
  <c r="CU304" i="1" s="1"/>
  <c r="G304" i="1"/>
  <c r="CT304" i="1" s="1"/>
  <c r="CW304" i="1" s="1"/>
  <c r="E304" i="1"/>
  <c r="D304" i="1"/>
  <c r="B304" i="1"/>
  <c r="Q304" i="1" s="1"/>
  <c r="S304" i="1" s="1"/>
  <c r="DI304" i="1" s="1"/>
  <c r="M303" i="1"/>
  <c r="K303" i="1"/>
  <c r="J303" i="1"/>
  <c r="H303" i="1"/>
  <c r="CU303" i="1" s="1"/>
  <c r="G303" i="1"/>
  <c r="CT303" i="1" s="1"/>
  <c r="CW303" i="1" s="1"/>
  <c r="E303" i="1"/>
  <c r="D303" i="1"/>
  <c r="B303" i="1"/>
  <c r="Q303" i="1" s="1"/>
  <c r="S303" i="1" s="1"/>
  <c r="DI303" i="1" s="1"/>
  <c r="M302" i="1"/>
  <c r="K302" i="1"/>
  <c r="J302" i="1"/>
  <c r="H302" i="1"/>
  <c r="CU302" i="1" s="1"/>
  <c r="G302" i="1"/>
  <c r="CT302" i="1" s="1"/>
  <c r="E302" i="1"/>
  <c r="D302" i="1"/>
  <c r="B302" i="1"/>
  <c r="Q302" i="1" s="1"/>
  <c r="S302" i="1" s="1"/>
  <c r="DI302" i="1" s="1"/>
  <c r="M301" i="1"/>
  <c r="K301" i="1"/>
  <c r="J301" i="1"/>
  <c r="H301" i="1"/>
  <c r="CU301" i="1" s="1"/>
  <c r="G301" i="1"/>
  <c r="CT301" i="1" s="1"/>
  <c r="CW301" i="1" s="1"/>
  <c r="E301" i="1"/>
  <c r="D301" i="1"/>
  <c r="B301" i="1"/>
  <c r="Q301" i="1" s="1"/>
  <c r="S301" i="1" s="1"/>
  <c r="DI301" i="1" s="1"/>
  <c r="M300" i="1"/>
  <c r="K300" i="1"/>
  <c r="J300" i="1"/>
  <c r="H300" i="1"/>
  <c r="CU300" i="1" s="1"/>
  <c r="G300" i="1"/>
  <c r="CT300" i="1" s="1"/>
  <c r="E300" i="1"/>
  <c r="D300" i="1"/>
  <c r="B300" i="1"/>
  <c r="Q300" i="1" s="1"/>
  <c r="S300" i="1" s="1"/>
  <c r="DI300" i="1" s="1"/>
  <c r="M299" i="1"/>
  <c r="K299" i="1"/>
  <c r="J299" i="1"/>
  <c r="H299" i="1"/>
  <c r="CU299" i="1" s="1"/>
  <c r="G299" i="1"/>
  <c r="CT299" i="1" s="1"/>
  <c r="E299" i="1"/>
  <c r="D299" i="1"/>
  <c r="B299" i="1"/>
  <c r="Q299" i="1" s="1"/>
  <c r="S299" i="1" s="1"/>
  <c r="DI299" i="1" s="1"/>
  <c r="M298" i="1"/>
  <c r="K298" i="1"/>
  <c r="J298" i="1"/>
  <c r="H298" i="1"/>
  <c r="CU298" i="1" s="1"/>
  <c r="G298" i="1"/>
  <c r="CT298" i="1" s="1"/>
  <c r="E298" i="1"/>
  <c r="D298" i="1"/>
  <c r="B298" i="1"/>
  <c r="Q298" i="1" s="1"/>
  <c r="S298" i="1" s="1"/>
  <c r="DI298" i="1" s="1"/>
  <c r="M297" i="1"/>
  <c r="K297" i="1"/>
  <c r="J297" i="1"/>
  <c r="H297" i="1"/>
  <c r="CU297" i="1" s="1"/>
  <c r="G297" i="1"/>
  <c r="CT297" i="1" s="1"/>
  <c r="CW297" i="1" s="1"/>
  <c r="E297" i="1"/>
  <c r="D297" i="1"/>
  <c r="B297" i="1"/>
  <c r="Q297" i="1" s="1"/>
  <c r="S297" i="1" s="1"/>
  <c r="DI297" i="1" s="1"/>
  <c r="M296" i="1"/>
  <c r="K296" i="1"/>
  <c r="J296" i="1"/>
  <c r="H296" i="1"/>
  <c r="CU296" i="1" s="1"/>
  <c r="G296" i="1"/>
  <c r="CT296" i="1" s="1"/>
  <c r="E296" i="1"/>
  <c r="D296" i="1"/>
  <c r="B296" i="1"/>
  <c r="Q296" i="1" s="1"/>
  <c r="S296" i="1" s="1"/>
  <c r="DI296" i="1" s="1"/>
  <c r="M295" i="1"/>
  <c r="K295" i="1"/>
  <c r="J295" i="1"/>
  <c r="H295" i="1"/>
  <c r="CU295" i="1" s="1"/>
  <c r="G295" i="1"/>
  <c r="CT295" i="1" s="1"/>
  <c r="E295" i="1"/>
  <c r="D295" i="1"/>
  <c r="B295" i="1"/>
  <c r="Q295" i="1" s="1"/>
  <c r="S295" i="1" s="1"/>
  <c r="DI295" i="1" s="1"/>
  <c r="M294" i="1"/>
  <c r="K294" i="1"/>
  <c r="J294" i="1"/>
  <c r="H294" i="1"/>
  <c r="CU294" i="1" s="1"/>
  <c r="G294" i="1"/>
  <c r="CT294" i="1" s="1"/>
  <c r="E294" i="1"/>
  <c r="D294" i="1"/>
  <c r="B294" i="1"/>
  <c r="Q294" i="1" s="1"/>
  <c r="S294" i="1" s="1"/>
  <c r="DI294" i="1" s="1"/>
  <c r="M293" i="1"/>
  <c r="K293" i="1"/>
  <c r="J293" i="1"/>
  <c r="H293" i="1"/>
  <c r="CU293" i="1" s="1"/>
  <c r="G293" i="1"/>
  <c r="CT293" i="1" s="1"/>
  <c r="E293" i="1"/>
  <c r="D293" i="1"/>
  <c r="B293" i="1"/>
  <c r="Q293" i="1" s="1"/>
  <c r="S293" i="1" s="1"/>
  <c r="DI293" i="1" s="1"/>
  <c r="M292" i="1"/>
  <c r="K292" i="1"/>
  <c r="J292" i="1"/>
  <c r="H292" i="1"/>
  <c r="CU292" i="1" s="1"/>
  <c r="G292" i="1"/>
  <c r="CT292" i="1" s="1"/>
  <c r="CW292" i="1" s="1"/>
  <c r="E292" i="1"/>
  <c r="D292" i="1"/>
  <c r="B292" i="1"/>
  <c r="Q292" i="1" s="1"/>
  <c r="S292" i="1" s="1"/>
  <c r="DI292" i="1" s="1"/>
  <c r="M291" i="1"/>
  <c r="K291" i="1"/>
  <c r="J291" i="1"/>
  <c r="H291" i="1"/>
  <c r="CU291" i="1" s="1"/>
  <c r="G291" i="1"/>
  <c r="CT291" i="1" s="1"/>
  <c r="E291" i="1"/>
  <c r="D291" i="1"/>
  <c r="B291" i="1"/>
  <c r="Q291" i="1" s="1"/>
  <c r="S291" i="1" s="1"/>
  <c r="DI291" i="1" s="1"/>
  <c r="M290" i="1"/>
  <c r="K290" i="1"/>
  <c r="J290" i="1"/>
  <c r="H290" i="1"/>
  <c r="CU290" i="1" s="1"/>
  <c r="G290" i="1"/>
  <c r="CT290" i="1" s="1"/>
  <c r="E290" i="1"/>
  <c r="D290" i="1"/>
  <c r="B290" i="1"/>
  <c r="Q290" i="1" s="1"/>
  <c r="S290" i="1" s="1"/>
  <c r="DI290" i="1" s="1"/>
  <c r="M289" i="1"/>
  <c r="K289" i="1"/>
  <c r="J289" i="1"/>
  <c r="H289" i="1"/>
  <c r="CU289" i="1" s="1"/>
  <c r="G289" i="1"/>
  <c r="CT289" i="1" s="1"/>
  <c r="E289" i="1"/>
  <c r="D289" i="1"/>
  <c r="B289" i="1"/>
  <c r="Q289" i="1" s="1"/>
  <c r="S289" i="1" s="1"/>
  <c r="DI289" i="1" s="1"/>
  <c r="M288" i="1"/>
  <c r="K288" i="1"/>
  <c r="J288" i="1"/>
  <c r="H288" i="1"/>
  <c r="CU288" i="1" s="1"/>
  <c r="G288" i="1"/>
  <c r="CT288" i="1" s="1"/>
  <c r="CW288" i="1" s="1"/>
  <c r="E288" i="1"/>
  <c r="D288" i="1"/>
  <c r="B288" i="1"/>
  <c r="Q288" i="1" s="1"/>
  <c r="S288" i="1" s="1"/>
  <c r="DI288" i="1" s="1"/>
  <c r="M287" i="1"/>
  <c r="K287" i="1"/>
  <c r="J287" i="1"/>
  <c r="H287" i="1"/>
  <c r="CU287" i="1" s="1"/>
  <c r="G287" i="1"/>
  <c r="CT287" i="1" s="1"/>
  <c r="CW287" i="1" s="1"/>
  <c r="E287" i="1"/>
  <c r="O287" i="1" s="1"/>
  <c r="D287" i="1"/>
  <c r="B287" i="1"/>
  <c r="Q287" i="1" s="1"/>
  <c r="S287" i="1" s="1"/>
  <c r="DI287" i="1" s="1"/>
  <c r="M286" i="1"/>
  <c r="K286" i="1"/>
  <c r="J286" i="1"/>
  <c r="H286" i="1"/>
  <c r="CU286" i="1" s="1"/>
  <c r="G286" i="1"/>
  <c r="CT286" i="1" s="1"/>
  <c r="E286" i="1"/>
  <c r="D286" i="1"/>
  <c r="B286" i="1"/>
  <c r="Q286" i="1" s="1"/>
  <c r="S286" i="1" s="1"/>
  <c r="DI286" i="1" s="1"/>
  <c r="M285" i="1"/>
  <c r="K285" i="1"/>
  <c r="J285" i="1"/>
  <c r="H285" i="1"/>
  <c r="CU285" i="1" s="1"/>
  <c r="G285" i="1"/>
  <c r="CT285" i="1" s="1"/>
  <c r="CW285" i="1" s="1"/>
  <c r="E285" i="1"/>
  <c r="D285" i="1"/>
  <c r="B285" i="1"/>
  <c r="Q285" i="1" s="1"/>
  <c r="S285" i="1" s="1"/>
  <c r="DI285" i="1" s="1"/>
  <c r="M284" i="1"/>
  <c r="K284" i="1"/>
  <c r="J284" i="1"/>
  <c r="H284" i="1"/>
  <c r="CU284" i="1" s="1"/>
  <c r="G284" i="1"/>
  <c r="CT284" i="1" s="1"/>
  <c r="E284" i="1"/>
  <c r="D284" i="1"/>
  <c r="B284" i="1"/>
  <c r="Q284" i="1" s="1"/>
  <c r="S284" i="1" s="1"/>
  <c r="DI284" i="1" s="1"/>
  <c r="M283" i="1"/>
  <c r="K283" i="1"/>
  <c r="J283" i="1"/>
  <c r="H283" i="1"/>
  <c r="CU283" i="1" s="1"/>
  <c r="G283" i="1"/>
  <c r="CT283" i="1" s="1"/>
  <c r="E283" i="1"/>
  <c r="D283" i="1"/>
  <c r="B283" i="1"/>
  <c r="Q283" i="1" s="1"/>
  <c r="S283" i="1" s="1"/>
  <c r="DI283" i="1" s="1"/>
  <c r="M282" i="1"/>
  <c r="K282" i="1"/>
  <c r="J282" i="1"/>
  <c r="H282" i="1"/>
  <c r="CU282" i="1" s="1"/>
  <c r="G282" i="1"/>
  <c r="CT282" i="1" s="1"/>
  <c r="E282" i="1"/>
  <c r="D282" i="1"/>
  <c r="B282" i="1"/>
  <c r="Q282" i="1" s="1"/>
  <c r="S282" i="1" s="1"/>
  <c r="DI282" i="1" s="1"/>
  <c r="M281" i="1"/>
  <c r="K281" i="1"/>
  <c r="J281" i="1"/>
  <c r="H281" i="1"/>
  <c r="CU281" i="1" s="1"/>
  <c r="G281" i="1"/>
  <c r="CT281" i="1" s="1"/>
  <c r="CW281" i="1" s="1"/>
  <c r="E281" i="1"/>
  <c r="D281" i="1"/>
  <c r="B281" i="1"/>
  <c r="Q281" i="1" s="1"/>
  <c r="S281" i="1" s="1"/>
  <c r="DI281" i="1" s="1"/>
  <c r="M280" i="1"/>
  <c r="K280" i="1"/>
  <c r="J280" i="1"/>
  <c r="H280" i="1"/>
  <c r="CU280" i="1" s="1"/>
  <c r="G280" i="1"/>
  <c r="CT280" i="1" s="1"/>
  <c r="E280" i="1"/>
  <c r="D280" i="1"/>
  <c r="B280" i="1"/>
  <c r="Q280" i="1" s="1"/>
  <c r="S280" i="1" s="1"/>
  <c r="DI280" i="1" s="1"/>
  <c r="M279" i="1"/>
  <c r="K279" i="1"/>
  <c r="J279" i="1"/>
  <c r="H279" i="1"/>
  <c r="CU279" i="1" s="1"/>
  <c r="G279" i="1"/>
  <c r="CT279" i="1" s="1"/>
  <c r="E279" i="1"/>
  <c r="D279" i="1"/>
  <c r="B279" i="1"/>
  <c r="Q279" i="1" s="1"/>
  <c r="S279" i="1" s="1"/>
  <c r="DI279" i="1" s="1"/>
  <c r="M278" i="1"/>
  <c r="K278" i="1"/>
  <c r="J278" i="1"/>
  <c r="H278" i="1"/>
  <c r="CU278" i="1" s="1"/>
  <c r="G278" i="1"/>
  <c r="CT278" i="1" s="1"/>
  <c r="E278" i="1"/>
  <c r="D278" i="1"/>
  <c r="B278" i="1"/>
  <c r="Q278" i="1" s="1"/>
  <c r="S278" i="1" s="1"/>
  <c r="DI278" i="1" s="1"/>
  <c r="M277" i="1"/>
  <c r="K277" i="1"/>
  <c r="J277" i="1"/>
  <c r="H277" i="1"/>
  <c r="CU277" i="1" s="1"/>
  <c r="G277" i="1"/>
  <c r="CT277" i="1" s="1"/>
  <c r="E277" i="1"/>
  <c r="D277" i="1"/>
  <c r="B277" i="1"/>
  <c r="Q277" i="1" s="1"/>
  <c r="S277" i="1" s="1"/>
  <c r="DI277" i="1" s="1"/>
  <c r="M276" i="1"/>
  <c r="K276" i="1"/>
  <c r="J276" i="1"/>
  <c r="H276" i="1"/>
  <c r="CU276" i="1" s="1"/>
  <c r="G276" i="1"/>
  <c r="CT276" i="1" s="1"/>
  <c r="CW276" i="1" s="1"/>
  <c r="E276" i="1"/>
  <c r="D276" i="1"/>
  <c r="B276" i="1"/>
  <c r="Q276" i="1" s="1"/>
  <c r="S276" i="1" s="1"/>
  <c r="DI276" i="1" s="1"/>
  <c r="M275" i="1"/>
  <c r="K275" i="1"/>
  <c r="J275" i="1"/>
  <c r="H275" i="1"/>
  <c r="CU275" i="1" s="1"/>
  <c r="G275" i="1"/>
  <c r="CT275" i="1" s="1"/>
  <c r="E275" i="1"/>
  <c r="O275" i="1" s="1"/>
  <c r="D275" i="1"/>
  <c r="B275" i="1"/>
  <c r="Q275" i="1" s="1"/>
  <c r="S275" i="1" s="1"/>
  <c r="DI275" i="1" s="1"/>
  <c r="M274" i="1"/>
  <c r="K274" i="1"/>
  <c r="J274" i="1"/>
  <c r="H274" i="1"/>
  <c r="CU274" i="1" s="1"/>
  <c r="G274" i="1"/>
  <c r="CT274" i="1" s="1"/>
  <c r="E274" i="1"/>
  <c r="D274" i="1"/>
  <c r="B274" i="1"/>
  <c r="Q274" i="1" s="1"/>
  <c r="S274" i="1" s="1"/>
  <c r="DI274" i="1" s="1"/>
  <c r="M273" i="1"/>
  <c r="K273" i="1"/>
  <c r="J273" i="1"/>
  <c r="H273" i="1"/>
  <c r="CU273" i="1" s="1"/>
  <c r="G273" i="1"/>
  <c r="CT273" i="1" s="1"/>
  <c r="E273" i="1"/>
  <c r="D273" i="1"/>
  <c r="B273" i="1"/>
  <c r="Q273" i="1" s="1"/>
  <c r="S273" i="1" s="1"/>
  <c r="DI273" i="1" s="1"/>
  <c r="M272" i="1"/>
  <c r="K272" i="1"/>
  <c r="J272" i="1"/>
  <c r="H272" i="1"/>
  <c r="CU272" i="1" s="1"/>
  <c r="G272" i="1"/>
  <c r="CT272" i="1" s="1"/>
  <c r="CW272" i="1" s="1"/>
  <c r="E272" i="1"/>
  <c r="D272" i="1"/>
  <c r="B272" i="1"/>
  <c r="Q272" i="1" s="1"/>
  <c r="S272" i="1" s="1"/>
  <c r="DI272" i="1" s="1"/>
  <c r="M271" i="1"/>
  <c r="K271" i="1"/>
  <c r="J271" i="1"/>
  <c r="H271" i="1"/>
  <c r="CU271" i="1" s="1"/>
  <c r="G271" i="1"/>
  <c r="CT271" i="1" s="1"/>
  <c r="CW271" i="1" s="1"/>
  <c r="E271" i="1"/>
  <c r="D271" i="1"/>
  <c r="B271" i="1"/>
  <c r="Q271" i="1" s="1"/>
  <c r="S271" i="1" s="1"/>
  <c r="DI271" i="1" s="1"/>
  <c r="M270" i="1"/>
  <c r="K270" i="1"/>
  <c r="J270" i="1"/>
  <c r="H270" i="1"/>
  <c r="CU270" i="1" s="1"/>
  <c r="G270" i="1"/>
  <c r="CT270" i="1" s="1"/>
  <c r="E270" i="1"/>
  <c r="D270" i="1"/>
  <c r="B270" i="1"/>
  <c r="Q270" i="1" s="1"/>
  <c r="S270" i="1" s="1"/>
  <c r="DI270" i="1" s="1"/>
  <c r="M269" i="1"/>
  <c r="K269" i="1"/>
  <c r="J269" i="1"/>
  <c r="H269" i="1"/>
  <c r="CU269" i="1" s="1"/>
  <c r="G269" i="1"/>
  <c r="CT269" i="1" s="1"/>
  <c r="CW269" i="1" s="1"/>
  <c r="E269" i="1"/>
  <c r="D269" i="1"/>
  <c r="B269" i="1"/>
  <c r="Q269" i="1" s="1"/>
  <c r="S269" i="1" s="1"/>
  <c r="DI269" i="1" s="1"/>
  <c r="M268" i="1"/>
  <c r="K268" i="1"/>
  <c r="J268" i="1"/>
  <c r="H268" i="1"/>
  <c r="CU268" i="1" s="1"/>
  <c r="G268" i="1"/>
  <c r="CT268" i="1" s="1"/>
  <c r="E268" i="1"/>
  <c r="D268" i="1"/>
  <c r="B268" i="1"/>
  <c r="Q268" i="1" s="1"/>
  <c r="S268" i="1" s="1"/>
  <c r="DI268" i="1" s="1"/>
  <c r="M267" i="1"/>
  <c r="K267" i="1"/>
  <c r="J267" i="1"/>
  <c r="H267" i="1"/>
  <c r="CU267" i="1" s="1"/>
  <c r="G267" i="1"/>
  <c r="CT267" i="1" s="1"/>
  <c r="E267" i="1"/>
  <c r="D267" i="1"/>
  <c r="B267" i="1"/>
  <c r="Q267" i="1" s="1"/>
  <c r="S267" i="1" s="1"/>
  <c r="DI267" i="1" s="1"/>
  <c r="M266" i="1"/>
  <c r="K266" i="1"/>
  <c r="J266" i="1"/>
  <c r="H266" i="1"/>
  <c r="CU266" i="1" s="1"/>
  <c r="G266" i="1"/>
  <c r="CT266" i="1" s="1"/>
  <c r="E266" i="1"/>
  <c r="D266" i="1"/>
  <c r="B266" i="1"/>
  <c r="Q266" i="1" s="1"/>
  <c r="S266" i="1" s="1"/>
  <c r="DI266" i="1" s="1"/>
  <c r="M265" i="1"/>
  <c r="K265" i="1"/>
  <c r="J265" i="1"/>
  <c r="H265" i="1"/>
  <c r="CU265" i="1" s="1"/>
  <c r="G265" i="1"/>
  <c r="CT265" i="1" s="1"/>
  <c r="CW265" i="1" s="1"/>
  <c r="E265" i="1"/>
  <c r="D265" i="1"/>
  <c r="B265" i="1"/>
  <c r="Q265" i="1" s="1"/>
  <c r="S265" i="1" s="1"/>
  <c r="DI265" i="1" s="1"/>
  <c r="M264" i="1"/>
  <c r="K264" i="1"/>
  <c r="J264" i="1"/>
  <c r="H264" i="1"/>
  <c r="CU264" i="1" s="1"/>
  <c r="G264" i="1"/>
  <c r="CT264" i="1" s="1"/>
  <c r="E264" i="1"/>
  <c r="D264" i="1"/>
  <c r="B264" i="1"/>
  <c r="Q264" i="1" s="1"/>
  <c r="S264" i="1" s="1"/>
  <c r="DI264" i="1" s="1"/>
  <c r="M263" i="1"/>
  <c r="K263" i="1"/>
  <c r="J263" i="1"/>
  <c r="H263" i="1"/>
  <c r="CU263" i="1" s="1"/>
  <c r="G263" i="1"/>
  <c r="CT263" i="1" s="1"/>
  <c r="E263" i="1"/>
  <c r="D263" i="1"/>
  <c r="B263" i="1"/>
  <c r="Q263" i="1" s="1"/>
  <c r="S263" i="1" s="1"/>
  <c r="DI263" i="1" s="1"/>
  <c r="M262" i="1"/>
  <c r="K262" i="1"/>
  <c r="J262" i="1"/>
  <c r="H262" i="1"/>
  <c r="CU262" i="1" s="1"/>
  <c r="G262" i="1"/>
  <c r="CT262" i="1" s="1"/>
  <c r="E262" i="1"/>
  <c r="D262" i="1"/>
  <c r="B262" i="1"/>
  <c r="Q262" i="1" s="1"/>
  <c r="S262" i="1" s="1"/>
  <c r="DI262" i="1" s="1"/>
  <c r="M261" i="1"/>
  <c r="K261" i="1"/>
  <c r="J261" i="1"/>
  <c r="H261" i="1"/>
  <c r="CU261" i="1" s="1"/>
  <c r="G261" i="1"/>
  <c r="CT261" i="1" s="1"/>
  <c r="E261" i="1"/>
  <c r="D261" i="1"/>
  <c r="B261" i="1"/>
  <c r="Q261" i="1" s="1"/>
  <c r="S261" i="1" s="1"/>
  <c r="DI261" i="1" s="1"/>
  <c r="M260" i="1"/>
  <c r="K260" i="1"/>
  <c r="J260" i="1"/>
  <c r="H260" i="1"/>
  <c r="CU260" i="1" s="1"/>
  <c r="G260" i="1"/>
  <c r="CT260" i="1" s="1"/>
  <c r="CW260" i="1" s="1"/>
  <c r="E260" i="1"/>
  <c r="D260" i="1"/>
  <c r="B260" i="1"/>
  <c r="Q260" i="1" s="1"/>
  <c r="S260" i="1" s="1"/>
  <c r="DI260" i="1" s="1"/>
  <c r="M259" i="1"/>
  <c r="K259" i="1"/>
  <c r="J259" i="1"/>
  <c r="H259" i="1"/>
  <c r="CU259" i="1" s="1"/>
  <c r="G259" i="1"/>
  <c r="CT259" i="1" s="1"/>
  <c r="E259" i="1"/>
  <c r="D259" i="1"/>
  <c r="B259" i="1"/>
  <c r="Q259" i="1" s="1"/>
  <c r="S259" i="1" s="1"/>
  <c r="DI259" i="1" s="1"/>
  <c r="M258" i="1"/>
  <c r="K258" i="1"/>
  <c r="J258" i="1"/>
  <c r="H258" i="1"/>
  <c r="CU258" i="1" s="1"/>
  <c r="G258" i="1"/>
  <c r="CT258" i="1" s="1"/>
  <c r="E258" i="1"/>
  <c r="D258" i="1"/>
  <c r="B258" i="1"/>
  <c r="Q258" i="1" s="1"/>
  <c r="S258" i="1" s="1"/>
  <c r="DI258" i="1" s="1"/>
  <c r="M257" i="1"/>
  <c r="K257" i="1"/>
  <c r="J257" i="1"/>
  <c r="H257" i="1"/>
  <c r="CU257" i="1" s="1"/>
  <c r="G257" i="1"/>
  <c r="CT257" i="1" s="1"/>
  <c r="E257" i="1"/>
  <c r="D257" i="1"/>
  <c r="B257" i="1"/>
  <c r="Q257" i="1" s="1"/>
  <c r="S257" i="1" s="1"/>
  <c r="DI257" i="1" s="1"/>
  <c r="M256" i="1"/>
  <c r="K256" i="1"/>
  <c r="J256" i="1"/>
  <c r="H256" i="1"/>
  <c r="CU256" i="1" s="1"/>
  <c r="G256" i="1"/>
  <c r="CT256" i="1" s="1"/>
  <c r="CW256" i="1" s="1"/>
  <c r="E256" i="1"/>
  <c r="D256" i="1"/>
  <c r="B256" i="1"/>
  <c r="Q256" i="1" s="1"/>
  <c r="S256" i="1" s="1"/>
  <c r="DI256" i="1" s="1"/>
  <c r="M255" i="1"/>
  <c r="K255" i="1"/>
  <c r="J255" i="1"/>
  <c r="H255" i="1"/>
  <c r="CU255" i="1" s="1"/>
  <c r="G255" i="1"/>
  <c r="CT255" i="1" s="1"/>
  <c r="CW255" i="1" s="1"/>
  <c r="E255" i="1"/>
  <c r="D255" i="1"/>
  <c r="B255" i="1"/>
  <c r="Q255" i="1" s="1"/>
  <c r="S255" i="1" s="1"/>
  <c r="DI255" i="1" s="1"/>
  <c r="M254" i="1"/>
  <c r="K254" i="1"/>
  <c r="J254" i="1"/>
  <c r="H254" i="1"/>
  <c r="CU254" i="1" s="1"/>
  <c r="G254" i="1"/>
  <c r="CT254" i="1" s="1"/>
  <c r="E254" i="1"/>
  <c r="D254" i="1"/>
  <c r="B254" i="1"/>
  <c r="Q254" i="1" s="1"/>
  <c r="S254" i="1" s="1"/>
  <c r="DI254" i="1" s="1"/>
  <c r="M253" i="1"/>
  <c r="K253" i="1"/>
  <c r="J253" i="1"/>
  <c r="H253" i="1"/>
  <c r="CU253" i="1" s="1"/>
  <c r="G253" i="1"/>
  <c r="CT253" i="1" s="1"/>
  <c r="CW253" i="1" s="1"/>
  <c r="E253" i="1"/>
  <c r="D253" i="1"/>
  <c r="B253" i="1"/>
  <c r="Q253" i="1" s="1"/>
  <c r="S253" i="1" s="1"/>
  <c r="DI253" i="1" s="1"/>
  <c r="M252" i="1"/>
  <c r="K252" i="1"/>
  <c r="J252" i="1"/>
  <c r="H252" i="1"/>
  <c r="CU252" i="1" s="1"/>
  <c r="G252" i="1"/>
  <c r="CT252" i="1" s="1"/>
  <c r="E252" i="1"/>
  <c r="D252" i="1"/>
  <c r="B252" i="1"/>
  <c r="Q252" i="1" s="1"/>
  <c r="S252" i="1" s="1"/>
  <c r="DI252" i="1" s="1"/>
  <c r="M251" i="1"/>
  <c r="K251" i="1"/>
  <c r="J251" i="1"/>
  <c r="H251" i="1"/>
  <c r="CU251" i="1" s="1"/>
  <c r="G251" i="1"/>
  <c r="CT251" i="1" s="1"/>
  <c r="E251" i="1"/>
  <c r="D251" i="1"/>
  <c r="B251" i="1"/>
  <c r="Q251" i="1" s="1"/>
  <c r="S251" i="1" s="1"/>
  <c r="DI251" i="1" s="1"/>
  <c r="M250" i="1"/>
  <c r="K250" i="1"/>
  <c r="J250" i="1"/>
  <c r="H250" i="1"/>
  <c r="CU250" i="1" s="1"/>
  <c r="G250" i="1"/>
  <c r="CT250" i="1" s="1"/>
  <c r="E250" i="1"/>
  <c r="D250" i="1"/>
  <c r="B250" i="1"/>
  <c r="Q250" i="1" s="1"/>
  <c r="S250" i="1" s="1"/>
  <c r="DI250" i="1" s="1"/>
  <c r="M249" i="1"/>
  <c r="K249" i="1"/>
  <c r="J249" i="1"/>
  <c r="H249" i="1"/>
  <c r="CU249" i="1" s="1"/>
  <c r="G249" i="1"/>
  <c r="CT249" i="1" s="1"/>
  <c r="CW249" i="1" s="1"/>
  <c r="E249" i="1"/>
  <c r="D249" i="1"/>
  <c r="B249" i="1"/>
  <c r="Q249" i="1" s="1"/>
  <c r="S249" i="1" s="1"/>
  <c r="DI249" i="1" s="1"/>
  <c r="M248" i="1"/>
  <c r="K248" i="1"/>
  <c r="J248" i="1"/>
  <c r="H248" i="1"/>
  <c r="CU248" i="1" s="1"/>
  <c r="G248" i="1"/>
  <c r="CT248" i="1" s="1"/>
  <c r="E248" i="1"/>
  <c r="D248" i="1"/>
  <c r="B248" i="1"/>
  <c r="Q248" i="1" s="1"/>
  <c r="S248" i="1" s="1"/>
  <c r="DI248" i="1" s="1"/>
  <c r="M247" i="1"/>
  <c r="K247" i="1"/>
  <c r="J247" i="1"/>
  <c r="H247" i="1"/>
  <c r="CU247" i="1" s="1"/>
  <c r="G247" i="1"/>
  <c r="CT247" i="1" s="1"/>
  <c r="E247" i="1"/>
  <c r="D247" i="1"/>
  <c r="B247" i="1"/>
  <c r="Q247" i="1" s="1"/>
  <c r="S247" i="1" s="1"/>
  <c r="DI247" i="1" s="1"/>
  <c r="M246" i="1"/>
  <c r="K246" i="1"/>
  <c r="J246" i="1"/>
  <c r="H246" i="1"/>
  <c r="CU246" i="1" s="1"/>
  <c r="G246" i="1"/>
  <c r="CT246" i="1" s="1"/>
  <c r="E246" i="1"/>
  <c r="D246" i="1"/>
  <c r="B246" i="1"/>
  <c r="Q246" i="1" s="1"/>
  <c r="S246" i="1" s="1"/>
  <c r="DI246" i="1" s="1"/>
  <c r="M245" i="1"/>
  <c r="K245" i="1"/>
  <c r="J245" i="1"/>
  <c r="H245" i="1"/>
  <c r="CU245" i="1" s="1"/>
  <c r="G245" i="1"/>
  <c r="CT245" i="1" s="1"/>
  <c r="E245" i="1"/>
  <c r="D245" i="1"/>
  <c r="B245" i="1"/>
  <c r="Q245" i="1" s="1"/>
  <c r="S245" i="1" s="1"/>
  <c r="DI245" i="1" s="1"/>
  <c r="M244" i="1"/>
  <c r="K244" i="1"/>
  <c r="J244" i="1"/>
  <c r="H244" i="1"/>
  <c r="CU244" i="1" s="1"/>
  <c r="G244" i="1"/>
  <c r="CT244" i="1" s="1"/>
  <c r="CW244" i="1" s="1"/>
  <c r="E244" i="1"/>
  <c r="D244" i="1"/>
  <c r="B244" i="1"/>
  <c r="Q244" i="1" s="1"/>
  <c r="S244" i="1" s="1"/>
  <c r="DI244" i="1" s="1"/>
  <c r="M243" i="1"/>
  <c r="K243" i="1"/>
  <c r="J243" i="1"/>
  <c r="H243" i="1"/>
  <c r="CU243" i="1" s="1"/>
  <c r="G243" i="1"/>
  <c r="CT243" i="1" s="1"/>
  <c r="E243" i="1"/>
  <c r="D243" i="1"/>
  <c r="B243" i="1"/>
  <c r="Q243" i="1" s="1"/>
  <c r="S243" i="1" s="1"/>
  <c r="DI243" i="1" s="1"/>
  <c r="M242" i="1"/>
  <c r="K242" i="1"/>
  <c r="J242" i="1"/>
  <c r="H242" i="1"/>
  <c r="CU242" i="1" s="1"/>
  <c r="G242" i="1"/>
  <c r="CT242" i="1" s="1"/>
  <c r="E242" i="1"/>
  <c r="D242" i="1"/>
  <c r="B242" i="1"/>
  <c r="Q242" i="1" s="1"/>
  <c r="S242" i="1" s="1"/>
  <c r="DI242" i="1" s="1"/>
  <c r="M241" i="1"/>
  <c r="K241" i="1"/>
  <c r="J241" i="1"/>
  <c r="H241" i="1"/>
  <c r="CU241" i="1" s="1"/>
  <c r="G241" i="1"/>
  <c r="CT241" i="1" s="1"/>
  <c r="E241" i="1"/>
  <c r="D241" i="1"/>
  <c r="B241" i="1"/>
  <c r="Q241" i="1" s="1"/>
  <c r="S241" i="1" s="1"/>
  <c r="DI241" i="1" s="1"/>
  <c r="M240" i="1"/>
  <c r="K240" i="1"/>
  <c r="J240" i="1"/>
  <c r="H240" i="1"/>
  <c r="CU240" i="1" s="1"/>
  <c r="G240" i="1"/>
  <c r="CT240" i="1" s="1"/>
  <c r="CW240" i="1" s="1"/>
  <c r="E240" i="1"/>
  <c r="D240" i="1"/>
  <c r="B240" i="1"/>
  <c r="Q240" i="1" s="1"/>
  <c r="S240" i="1" s="1"/>
  <c r="DI240" i="1" s="1"/>
  <c r="M239" i="1"/>
  <c r="K239" i="1"/>
  <c r="J239" i="1"/>
  <c r="H239" i="1"/>
  <c r="CU239" i="1" s="1"/>
  <c r="G239" i="1"/>
  <c r="CT239" i="1" s="1"/>
  <c r="CW239" i="1" s="1"/>
  <c r="E239" i="1"/>
  <c r="D239" i="1"/>
  <c r="B239" i="1"/>
  <c r="Q239" i="1" s="1"/>
  <c r="S239" i="1" s="1"/>
  <c r="DI239" i="1" s="1"/>
  <c r="M238" i="1"/>
  <c r="K238" i="1"/>
  <c r="J238" i="1"/>
  <c r="H238" i="1"/>
  <c r="CU238" i="1" s="1"/>
  <c r="G238" i="1"/>
  <c r="CT238" i="1" s="1"/>
  <c r="E238" i="1"/>
  <c r="D238" i="1"/>
  <c r="B238" i="1"/>
  <c r="Q238" i="1" s="1"/>
  <c r="S238" i="1" s="1"/>
  <c r="DI238" i="1" s="1"/>
  <c r="M237" i="1"/>
  <c r="K237" i="1"/>
  <c r="J237" i="1"/>
  <c r="H237" i="1"/>
  <c r="CU237" i="1" s="1"/>
  <c r="G237" i="1"/>
  <c r="CT237" i="1" s="1"/>
  <c r="CW237" i="1" s="1"/>
  <c r="E237" i="1"/>
  <c r="D237" i="1"/>
  <c r="B237" i="1"/>
  <c r="Q237" i="1" s="1"/>
  <c r="S237" i="1" s="1"/>
  <c r="DI237" i="1" s="1"/>
  <c r="M236" i="1"/>
  <c r="K236" i="1"/>
  <c r="J236" i="1"/>
  <c r="H236" i="1"/>
  <c r="CU236" i="1" s="1"/>
  <c r="G236" i="1"/>
  <c r="E236" i="1"/>
  <c r="D236" i="1"/>
  <c r="B236" i="1"/>
  <c r="Q236" i="1" s="1"/>
  <c r="S236" i="1" s="1"/>
  <c r="DI236" i="1" s="1"/>
  <c r="M235" i="1"/>
  <c r="K235" i="1"/>
  <c r="J235" i="1"/>
  <c r="H235" i="1"/>
  <c r="CU235" i="1" s="1"/>
  <c r="G235" i="1"/>
  <c r="CT235" i="1" s="1"/>
  <c r="E235" i="1"/>
  <c r="D235" i="1"/>
  <c r="B235" i="1"/>
  <c r="Q235" i="1" s="1"/>
  <c r="S235" i="1" s="1"/>
  <c r="DI235" i="1" s="1"/>
  <c r="M234" i="1"/>
  <c r="K234" i="1"/>
  <c r="J234" i="1"/>
  <c r="H234" i="1"/>
  <c r="CU234" i="1" s="1"/>
  <c r="G234" i="1"/>
  <c r="CT234" i="1" s="1"/>
  <c r="E234" i="1"/>
  <c r="D234" i="1"/>
  <c r="B234" i="1"/>
  <c r="Q234" i="1" s="1"/>
  <c r="S234" i="1" s="1"/>
  <c r="DI234" i="1" s="1"/>
  <c r="M233" i="1"/>
  <c r="K233" i="1"/>
  <c r="J233" i="1"/>
  <c r="H233" i="1"/>
  <c r="CU233" i="1" s="1"/>
  <c r="G233" i="1"/>
  <c r="CT233" i="1" s="1"/>
  <c r="CW233" i="1" s="1"/>
  <c r="E233" i="1"/>
  <c r="D233" i="1"/>
  <c r="B233" i="1"/>
  <c r="Q233" i="1" s="1"/>
  <c r="S233" i="1" s="1"/>
  <c r="DI233" i="1" s="1"/>
  <c r="M232" i="1"/>
  <c r="K232" i="1"/>
  <c r="J232" i="1"/>
  <c r="H232" i="1"/>
  <c r="CU232" i="1" s="1"/>
  <c r="G232" i="1"/>
  <c r="CT232" i="1" s="1"/>
  <c r="E232" i="1"/>
  <c r="D232" i="1"/>
  <c r="B232" i="1"/>
  <c r="Q232" i="1" s="1"/>
  <c r="S232" i="1" s="1"/>
  <c r="DI232" i="1" s="1"/>
  <c r="M231" i="1"/>
  <c r="K231" i="1"/>
  <c r="J231" i="1"/>
  <c r="H231" i="1"/>
  <c r="CU231" i="1" s="1"/>
  <c r="G231" i="1"/>
  <c r="CT231" i="1" s="1"/>
  <c r="E231" i="1"/>
  <c r="D231" i="1"/>
  <c r="B231" i="1"/>
  <c r="Q231" i="1" s="1"/>
  <c r="S231" i="1" s="1"/>
  <c r="DI231" i="1" s="1"/>
  <c r="M230" i="1"/>
  <c r="K230" i="1"/>
  <c r="J230" i="1"/>
  <c r="H230" i="1"/>
  <c r="CU230" i="1" s="1"/>
  <c r="G230" i="1"/>
  <c r="CT230" i="1" s="1"/>
  <c r="E230" i="1"/>
  <c r="D230" i="1"/>
  <c r="B230" i="1"/>
  <c r="Q230" i="1" s="1"/>
  <c r="S230" i="1" s="1"/>
  <c r="DI230" i="1" s="1"/>
  <c r="M229" i="1"/>
  <c r="K229" i="1"/>
  <c r="J229" i="1"/>
  <c r="H229" i="1"/>
  <c r="CU229" i="1" s="1"/>
  <c r="G229" i="1"/>
  <c r="CT229" i="1" s="1"/>
  <c r="E229" i="1"/>
  <c r="D229" i="1"/>
  <c r="B229" i="1"/>
  <c r="Q229" i="1" s="1"/>
  <c r="S229" i="1" s="1"/>
  <c r="DI229" i="1" s="1"/>
  <c r="M228" i="1"/>
  <c r="K228" i="1"/>
  <c r="J228" i="1"/>
  <c r="H228" i="1"/>
  <c r="CU228" i="1" s="1"/>
  <c r="G228" i="1"/>
  <c r="CT228" i="1" s="1"/>
  <c r="CW228" i="1" s="1"/>
  <c r="E228" i="1"/>
  <c r="D228" i="1"/>
  <c r="B228" i="1"/>
  <c r="Q228" i="1" s="1"/>
  <c r="S228" i="1" s="1"/>
  <c r="DI228" i="1" s="1"/>
  <c r="M227" i="1"/>
  <c r="K227" i="1"/>
  <c r="J227" i="1"/>
  <c r="H227" i="1"/>
  <c r="CU227" i="1" s="1"/>
  <c r="G227" i="1"/>
  <c r="CT227" i="1" s="1"/>
  <c r="E227" i="1"/>
  <c r="D227" i="1"/>
  <c r="B227" i="1"/>
  <c r="Q227" i="1" s="1"/>
  <c r="S227" i="1" s="1"/>
  <c r="DI227" i="1" s="1"/>
  <c r="M226" i="1"/>
  <c r="K226" i="1"/>
  <c r="J226" i="1"/>
  <c r="H226" i="1"/>
  <c r="CU226" i="1" s="1"/>
  <c r="G226" i="1"/>
  <c r="CT226" i="1" s="1"/>
  <c r="E226" i="1"/>
  <c r="D226" i="1"/>
  <c r="B226" i="1"/>
  <c r="Q226" i="1" s="1"/>
  <c r="S226" i="1" s="1"/>
  <c r="DI226" i="1" s="1"/>
  <c r="M225" i="1"/>
  <c r="K225" i="1"/>
  <c r="J225" i="1"/>
  <c r="H225" i="1"/>
  <c r="CU225" i="1" s="1"/>
  <c r="G225" i="1"/>
  <c r="CT225" i="1" s="1"/>
  <c r="E225" i="1"/>
  <c r="D225" i="1"/>
  <c r="B225" i="1"/>
  <c r="Q225" i="1" s="1"/>
  <c r="S225" i="1" s="1"/>
  <c r="DI225" i="1" s="1"/>
  <c r="M224" i="1"/>
  <c r="K224" i="1"/>
  <c r="J224" i="1"/>
  <c r="H224" i="1"/>
  <c r="CU224" i="1" s="1"/>
  <c r="G224" i="1"/>
  <c r="CT224" i="1" s="1"/>
  <c r="CW224" i="1" s="1"/>
  <c r="E224" i="1"/>
  <c r="D224" i="1"/>
  <c r="B224" i="1"/>
  <c r="Q224" i="1" s="1"/>
  <c r="S224" i="1" s="1"/>
  <c r="DI224" i="1" s="1"/>
  <c r="M223" i="1"/>
  <c r="K223" i="1"/>
  <c r="J223" i="1"/>
  <c r="H223" i="1"/>
  <c r="CU223" i="1" s="1"/>
  <c r="G223" i="1"/>
  <c r="CT223" i="1" s="1"/>
  <c r="CW223" i="1" s="1"/>
  <c r="E223" i="1"/>
  <c r="D223" i="1"/>
  <c r="B223" i="1"/>
  <c r="Q223" i="1" s="1"/>
  <c r="S223" i="1" s="1"/>
  <c r="DI223" i="1" s="1"/>
  <c r="M222" i="1"/>
  <c r="K222" i="1"/>
  <c r="J222" i="1"/>
  <c r="H222" i="1"/>
  <c r="CU222" i="1" s="1"/>
  <c r="G222" i="1"/>
  <c r="CT222" i="1" s="1"/>
  <c r="E222" i="1"/>
  <c r="D222" i="1"/>
  <c r="B222" i="1"/>
  <c r="Q222" i="1" s="1"/>
  <c r="S222" i="1" s="1"/>
  <c r="DI222" i="1" s="1"/>
  <c r="M221" i="1"/>
  <c r="K221" i="1"/>
  <c r="J221" i="1"/>
  <c r="H221" i="1"/>
  <c r="CU221" i="1" s="1"/>
  <c r="G221" i="1"/>
  <c r="CT221" i="1" s="1"/>
  <c r="CW221" i="1" s="1"/>
  <c r="E221" i="1"/>
  <c r="D221" i="1"/>
  <c r="B221" i="1"/>
  <c r="Q221" i="1" s="1"/>
  <c r="S221" i="1" s="1"/>
  <c r="DI221" i="1" s="1"/>
  <c r="M220" i="1"/>
  <c r="K220" i="1"/>
  <c r="J220" i="1"/>
  <c r="H220" i="1"/>
  <c r="CU220" i="1" s="1"/>
  <c r="G220" i="1"/>
  <c r="CT220" i="1" s="1"/>
  <c r="E220" i="1"/>
  <c r="D220" i="1"/>
  <c r="B220" i="1"/>
  <c r="Q220" i="1" s="1"/>
  <c r="S220" i="1" s="1"/>
  <c r="DI220" i="1" s="1"/>
  <c r="M219" i="1"/>
  <c r="K219" i="1"/>
  <c r="J219" i="1"/>
  <c r="H219" i="1"/>
  <c r="CU219" i="1" s="1"/>
  <c r="G219" i="1"/>
  <c r="CT219" i="1" s="1"/>
  <c r="E219" i="1"/>
  <c r="D219" i="1"/>
  <c r="B219" i="1"/>
  <c r="Q219" i="1" s="1"/>
  <c r="S219" i="1" s="1"/>
  <c r="DI219" i="1" s="1"/>
  <c r="M218" i="1"/>
  <c r="K218" i="1"/>
  <c r="J218" i="1"/>
  <c r="H218" i="1"/>
  <c r="CU218" i="1" s="1"/>
  <c r="G218" i="1"/>
  <c r="CT218" i="1" s="1"/>
  <c r="E218" i="1"/>
  <c r="D218" i="1"/>
  <c r="B218" i="1"/>
  <c r="Q218" i="1" s="1"/>
  <c r="S218" i="1" s="1"/>
  <c r="DI218" i="1" s="1"/>
  <c r="M217" i="1"/>
  <c r="K217" i="1"/>
  <c r="J217" i="1"/>
  <c r="H217" i="1"/>
  <c r="CU217" i="1" s="1"/>
  <c r="G217" i="1"/>
  <c r="CT217" i="1" s="1"/>
  <c r="CW217" i="1" s="1"/>
  <c r="E217" i="1"/>
  <c r="D217" i="1"/>
  <c r="B217" i="1"/>
  <c r="Q217" i="1" s="1"/>
  <c r="S217" i="1" s="1"/>
  <c r="DI217" i="1" s="1"/>
  <c r="M216" i="1"/>
  <c r="K216" i="1"/>
  <c r="J216" i="1"/>
  <c r="H216" i="1"/>
  <c r="CU216" i="1" s="1"/>
  <c r="G216" i="1"/>
  <c r="CT216" i="1" s="1"/>
  <c r="E216" i="1"/>
  <c r="D216" i="1"/>
  <c r="B216" i="1"/>
  <c r="Q216" i="1" s="1"/>
  <c r="S216" i="1" s="1"/>
  <c r="DI216" i="1" s="1"/>
  <c r="M215" i="1"/>
  <c r="K215" i="1"/>
  <c r="J215" i="1"/>
  <c r="H215" i="1"/>
  <c r="CU215" i="1" s="1"/>
  <c r="G215" i="1"/>
  <c r="CT215" i="1" s="1"/>
  <c r="E215" i="1"/>
  <c r="D215" i="1"/>
  <c r="B215" i="1"/>
  <c r="Q215" i="1" s="1"/>
  <c r="S215" i="1" s="1"/>
  <c r="DI215" i="1" s="1"/>
  <c r="M214" i="1"/>
  <c r="K214" i="1"/>
  <c r="J214" i="1"/>
  <c r="H214" i="1"/>
  <c r="CU214" i="1" s="1"/>
  <c r="G214" i="1"/>
  <c r="CT214" i="1" s="1"/>
  <c r="E214" i="1"/>
  <c r="D214" i="1"/>
  <c r="B214" i="1"/>
  <c r="Q214" i="1" s="1"/>
  <c r="S214" i="1" s="1"/>
  <c r="DI214" i="1" s="1"/>
  <c r="M213" i="1"/>
  <c r="K213" i="1"/>
  <c r="J213" i="1"/>
  <c r="H213" i="1"/>
  <c r="CU213" i="1" s="1"/>
  <c r="G213" i="1"/>
  <c r="CT213" i="1" s="1"/>
  <c r="E213" i="1"/>
  <c r="D213" i="1"/>
  <c r="B213" i="1"/>
  <c r="Q213" i="1" s="1"/>
  <c r="S213" i="1" s="1"/>
  <c r="DI213" i="1" s="1"/>
  <c r="M212" i="1"/>
  <c r="K212" i="1"/>
  <c r="J212" i="1"/>
  <c r="H212" i="1"/>
  <c r="CU212" i="1" s="1"/>
  <c r="G212" i="1"/>
  <c r="CT212" i="1" s="1"/>
  <c r="CW212" i="1" s="1"/>
  <c r="E212" i="1"/>
  <c r="D212" i="1"/>
  <c r="B212" i="1"/>
  <c r="Q212" i="1" s="1"/>
  <c r="S212" i="1" s="1"/>
  <c r="DI212" i="1" s="1"/>
  <c r="M211" i="1"/>
  <c r="K211" i="1"/>
  <c r="J211" i="1"/>
  <c r="H211" i="1"/>
  <c r="CU211" i="1" s="1"/>
  <c r="G211" i="1"/>
  <c r="CT211" i="1" s="1"/>
  <c r="E211" i="1"/>
  <c r="D211" i="1"/>
  <c r="B211" i="1"/>
  <c r="Q211" i="1" s="1"/>
  <c r="S211" i="1" s="1"/>
  <c r="DI211" i="1" s="1"/>
  <c r="M210" i="1"/>
  <c r="K210" i="1"/>
  <c r="J210" i="1"/>
  <c r="H210" i="1"/>
  <c r="CU210" i="1" s="1"/>
  <c r="G210" i="1"/>
  <c r="CT210" i="1" s="1"/>
  <c r="E210" i="1"/>
  <c r="D210" i="1"/>
  <c r="B210" i="1"/>
  <c r="Q210" i="1" s="1"/>
  <c r="S210" i="1" s="1"/>
  <c r="DI210" i="1" s="1"/>
  <c r="M209" i="1"/>
  <c r="K209" i="1"/>
  <c r="J209" i="1"/>
  <c r="H209" i="1"/>
  <c r="CU209" i="1" s="1"/>
  <c r="G209" i="1"/>
  <c r="CT209" i="1" s="1"/>
  <c r="E209" i="1"/>
  <c r="D209" i="1"/>
  <c r="B209" i="1"/>
  <c r="Q209" i="1" s="1"/>
  <c r="S209" i="1" s="1"/>
  <c r="DI209" i="1" s="1"/>
  <c r="M208" i="1"/>
  <c r="K208" i="1"/>
  <c r="J208" i="1"/>
  <c r="H208" i="1"/>
  <c r="CU208" i="1" s="1"/>
  <c r="G208" i="1"/>
  <c r="CT208" i="1" s="1"/>
  <c r="CW208" i="1" s="1"/>
  <c r="E208" i="1"/>
  <c r="D208" i="1"/>
  <c r="B208" i="1"/>
  <c r="Q208" i="1" s="1"/>
  <c r="M207" i="1"/>
  <c r="K207" i="1"/>
  <c r="J207" i="1"/>
  <c r="H207" i="1"/>
  <c r="CU207" i="1" s="1"/>
  <c r="G207" i="1"/>
  <c r="CT207" i="1" s="1"/>
  <c r="CW207" i="1" s="1"/>
  <c r="E207" i="1"/>
  <c r="D207" i="1"/>
  <c r="B207" i="1"/>
  <c r="Q207" i="1" s="1"/>
  <c r="M206" i="1"/>
  <c r="K206" i="1"/>
  <c r="J206" i="1"/>
  <c r="H206" i="1"/>
  <c r="CU206" i="1" s="1"/>
  <c r="G206" i="1"/>
  <c r="CT206" i="1" s="1"/>
  <c r="E206" i="1"/>
  <c r="D206" i="1"/>
  <c r="B206" i="1"/>
  <c r="Q206" i="1" s="1"/>
  <c r="M205" i="1"/>
  <c r="K205" i="1"/>
  <c r="J205" i="1"/>
  <c r="H205" i="1"/>
  <c r="CU205" i="1" s="1"/>
  <c r="G205" i="1"/>
  <c r="CT205" i="1" s="1"/>
  <c r="CW205" i="1" s="1"/>
  <c r="E205" i="1"/>
  <c r="D205" i="1"/>
  <c r="B205" i="1"/>
  <c r="Q205" i="1" s="1"/>
  <c r="M204" i="1"/>
  <c r="K204" i="1"/>
  <c r="J204" i="1"/>
  <c r="H204" i="1"/>
  <c r="CU204" i="1" s="1"/>
  <c r="G204" i="1"/>
  <c r="CT204" i="1" s="1"/>
  <c r="E204" i="1"/>
  <c r="D204" i="1"/>
  <c r="B204" i="1"/>
  <c r="Q204" i="1" s="1"/>
  <c r="M203" i="1"/>
  <c r="K203" i="1"/>
  <c r="J203" i="1"/>
  <c r="H203" i="1"/>
  <c r="CU203" i="1" s="1"/>
  <c r="G203" i="1"/>
  <c r="CT203" i="1" s="1"/>
  <c r="E203" i="1"/>
  <c r="D203" i="1"/>
  <c r="B203" i="1"/>
  <c r="Q203" i="1" s="1"/>
  <c r="M202" i="1"/>
  <c r="K202" i="1"/>
  <c r="J202" i="1"/>
  <c r="H202" i="1"/>
  <c r="CU202" i="1" s="1"/>
  <c r="G202" i="1"/>
  <c r="E202" i="1"/>
  <c r="D202" i="1"/>
  <c r="B202" i="1"/>
  <c r="Q202" i="1" s="1"/>
  <c r="M201" i="1"/>
  <c r="K201" i="1"/>
  <c r="J201" i="1"/>
  <c r="H201" i="1"/>
  <c r="CU201" i="1" s="1"/>
  <c r="G201" i="1"/>
  <c r="CT201" i="1" s="1"/>
  <c r="CW201" i="1" s="1"/>
  <c r="E201" i="1"/>
  <c r="D201" i="1"/>
  <c r="B201" i="1"/>
  <c r="Q201" i="1" s="1"/>
  <c r="M200" i="1"/>
  <c r="K200" i="1"/>
  <c r="J200" i="1"/>
  <c r="H200" i="1"/>
  <c r="CU200" i="1" s="1"/>
  <c r="G200" i="1"/>
  <c r="CT200" i="1" s="1"/>
  <c r="E200" i="1"/>
  <c r="D200" i="1"/>
  <c r="B200" i="1"/>
  <c r="Q200" i="1" s="1"/>
  <c r="M199" i="1"/>
  <c r="K199" i="1"/>
  <c r="J199" i="1"/>
  <c r="H199" i="1"/>
  <c r="CU199" i="1" s="1"/>
  <c r="G199" i="1"/>
  <c r="CT199" i="1" s="1"/>
  <c r="E199" i="1"/>
  <c r="D199" i="1"/>
  <c r="B199" i="1"/>
  <c r="Q199" i="1" s="1"/>
  <c r="M198" i="1"/>
  <c r="K198" i="1"/>
  <c r="J198" i="1"/>
  <c r="H198" i="1"/>
  <c r="CU198" i="1" s="1"/>
  <c r="G198" i="1"/>
  <c r="CT198" i="1" s="1"/>
  <c r="E198" i="1"/>
  <c r="D198" i="1"/>
  <c r="B198" i="1"/>
  <c r="Q198" i="1" s="1"/>
  <c r="M197" i="1"/>
  <c r="K197" i="1"/>
  <c r="J197" i="1"/>
  <c r="H197" i="1"/>
  <c r="CU197" i="1" s="1"/>
  <c r="G197" i="1"/>
  <c r="CT197" i="1" s="1"/>
  <c r="E197" i="1"/>
  <c r="D197" i="1"/>
  <c r="B197" i="1"/>
  <c r="Q197" i="1" s="1"/>
  <c r="M196" i="1"/>
  <c r="K196" i="1"/>
  <c r="J196" i="1"/>
  <c r="H196" i="1"/>
  <c r="CU196" i="1" s="1"/>
  <c r="G196" i="1"/>
  <c r="CT196" i="1" s="1"/>
  <c r="CW196" i="1" s="1"/>
  <c r="E196" i="1"/>
  <c r="D196" i="1"/>
  <c r="B196" i="1"/>
  <c r="Q196" i="1" s="1"/>
  <c r="M195" i="1"/>
  <c r="K195" i="1"/>
  <c r="J195" i="1"/>
  <c r="H195" i="1"/>
  <c r="CU195" i="1" s="1"/>
  <c r="G195" i="1"/>
  <c r="CT195" i="1" s="1"/>
  <c r="E195" i="1"/>
  <c r="D195" i="1"/>
  <c r="B195" i="1"/>
  <c r="Q195" i="1" s="1"/>
  <c r="M194" i="1"/>
  <c r="K194" i="1"/>
  <c r="J194" i="1"/>
  <c r="H194" i="1"/>
  <c r="CU194" i="1" s="1"/>
  <c r="G194" i="1"/>
  <c r="CT194" i="1" s="1"/>
  <c r="CW194" i="1" s="1"/>
  <c r="E194" i="1"/>
  <c r="D194" i="1"/>
  <c r="B194" i="1"/>
  <c r="Q194" i="1" s="1"/>
  <c r="M193" i="1"/>
  <c r="K193" i="1"/>
  <c r="J193" i="1"/>
  <c r="H193" i="1"/>
  <c r="CU193" i="1" s="1"/>
  <c r="G193" i="1"/>
  <c r="CT193" i="1" s="1"/>
  <c r="E193" i="1"/>
  <c r="D193" i="1"/>
  <c r="B193" i="1"/>
  <c r="Q193" i="1" s="1"/>
  <c r="M192" i="1"/>
  <c r="K192" i="1"/>
  <c r="J192" i="1"/>
  <c r="H192" i="1"/>
  <c r="CU192" i="1" s="1"/>
  <c r="G192" i="1"/>
  <c r="CT192" i="1" s="1"/>
  <c r="CW192" i="1" s="1"/>
  <c r="E192" i="1"/>
  <c r="D192" i="1"/>
  <c r="B192" i="1"/>
  <c r="Q192" i="1" s="1"/>
  <c r="M191" i="1"/>
  <c r="K191" i="1"/>
  <c r="J191" i="1"/>
  <c r="H191" i="1"/>
  <c r="CU191" i="1" s="1"/>
  <c r="G191" i="1"/>
  <c r="CT191" i="1" s="1"/>
  <c r="CW191" i="1" s="1"/>
  <c r="E191" i="1"/>
  <c r="D191" i="1"/>
  <c r="B191" i="1"/>
  <c r="Q191" i="1" s="1"/>
  <c r="M190" i="1"/>
  <c r="K190" i="1"/>
  <c r="J190" i="1"/>
  <c r="H190" i="1"/>
  <c r="CU190" i="1" s="1"/>
  <c r="G190" i="1"/>
  <c r="CT190" i="1" s="1"/>
  <c r="E190" i="1"/>
  <c r="D190" i="1"/>
  <c r="B190" i="1"/>
  <c r="Q190" i="1" s="1"/>
  <c r="M189" i="1"/>
  <c r="K189" i="1"/>
  <c r="J189" i="1"/>
  <c r="H189" i="1"/>
  <c r="CU189" i="1" s="1"/>
  <c r="G189" i="1"/>
  <c r="CT189" i="1" s="1"/>
  <c r="CW189" i="1" s="1"/>
  <c r="E189" i="1"/>
  <c r="D189" i="1"/>
  <c r="B189" i="1"/>
  <c r="Q189" i="1" s="1"/>
  <c r="M188" i="1"/>
  <c r="K188" i="1"/>
  <c r="J188" i="1"/>
  <c r="H188" i="1"/>
  <c r="CU188" i="1" s="1"/>
  <c r="G188" i="1"/>
  <c r="CT188" i="1" s="1"/>
  <c r="E188" i="1"/>
  <c r="D188" i="1"/>
  <c r="B188" i="1"/>
  <c r="Q188" i="1" s="1"/>
  <c r="M187" i="1"/>
  <c r="K187" i="1"/>
  <c r="J187" i="1"/>
  <c r="H187" i="1"/>
  <c r="CU187" i="1" s="1"/>
  <c r="G187" i="1"/>
  <c r="CT187" i="1" s="1"/>
  <c r="E187" i="1"/>
  <c r="D187" i="1"/>
  <c r="B187" i="1"/>
  <c r="Q187" i="1" s="1"/>
  <c r="M186" i="1"/>
  <c r="K186" i="1"/>
  <c r="J186" i="1"/>
  <c r="H186" i="1"/>
  <c r="CU186" i="1" s="1"/>
  <c r="G186" i="1"/>
  <c r="E186" i="1"/>
  <c r="D186" i="1"/>
  <c r="B186" i="1"/>
  <c r="Q186" i="1" s="1"/>
  <c r="M185" i="1"/>
  <c r="K185" i="1"/>
  <c r="J185" i="1"/>
  <c r="H185" i="1"/>
  <c r="CU185" i="1" s="1"/>
  <c r="G185" i="1"/>
  <c r="CT185" i="1" s="1"/>
  <c r="CW185" i="1" s="1"/>
  <c r="E185" i="1"/>
  <c r="D185" i="1"/>
  <c r="B185" i="1"/>
  <c r="Q185" i="1" s="1"/>
  <c r="M184" i="1"/>
  <c r="K184" i="1"/>
  <c r="J184" i="1"/>
  <c r="H184" i="1"/>
  <c r="CU184" i="1" s="1"/>
  <c r="G184" i="1"/>
  <c r="CT184" i="1" s="1"/>
  <c r="E184" i="1"/>
  <c r="D184" i="1"/>
  <c r="B184" i="1"/>
  <c r="Q184" i="1" s="1"/>
  <c r="M183" i="1"/>
  <c r="K183" i="1"/>
  <c r="J183" i="1"/>
  <c r="H183" i="1"/>
  <c r="CU183" i="1" s="1"/>
  <c r="G183" i="1"/>
  <c r="CT183" i="1" s="1"/>
  <c r="E183" i="1"/>
  <c r="D183" i="1"/>
  <c r="B183" i="1"/>
  <c r="Q183" i="1" s="1"/>
  <c r="S183" i="1" s="1"/>
  <c r="DI183" i="1" s="1"/>
  <c r="M182" i="1"/>
  <c r="K182" i="1"/>
  <c r="J182" i="1"/>
  <c r="H182" i="1"/>
  <c r="CU182" i="1" s="1"/>
  <c r="G182" i="1"/>
  <c r="CT182" i="1" s="1"/>
  <c r="E182" i="1"/>
  <c r="D182" i="1"/>
  <c r="B182" i="1"/>
  <c r="Q182" i="1" s="1"/>
  <c r="S182" i="1" s="1"/>
  <c r="DI182" i="1" s="1"/>
  <c r="M181" i="1"/>
  <c r="K181" i="1"/>
  <c r="J181" i="1"/>
  <c r="H181" i="1"/>
  <c r="CU181" i="1" s="1"/>
  <c r="G181" i="1"/>
  <c r="CT181" i="1" s="1"/>
  <c r="E181" i="1"/>
  <c r="D181" i="1"/>
  <c r="B181" i="1"/>
  <c r="Q181" i="1" s="1"/>
  <c r="S181" i="1" s="1"/>
  <c r="DI181" i="1" s="1"/>
  <c r="M180" i="1"/>
  <c r="K180" i="1"/>
  <c r="J180" i="1"/>
  <c r="H180" i="1"/>
  <c r="CU180" i="1" s="1"/>
  <c r="G180" i="1"/>
  <c r="CT180" i="1" s="1"/>
  <c r="CW180" i="1" s="1"/>
  <c r="E180" i="1"/>
  <c r="D180" i="1"/>
  <c r="B180" i="1"/>
  <c r="Q180" i="1" s="1"/>
  <c r="S180" i="1" s="1"/>
  <c r="DI180" i="1" s="1"/>
  <c r="M179" i="1"/>
  <c r="K179" i="1"/>
  <c r="J179" i="1"/>
  <c r="H179" i="1"/>
  <c r="CU179" i="1" s="1"/>
  <c r="G179" i="1"/>
  <c r="CT179" i="1" s="1"/>
  <c r="E179" i="1"/>
  <c r="D179" i="1"/>
  <c r="B179" i="1"/>
  <c r="Q179" i="1" s="1"/>
  <c r="S179" i="1" s="1"/>
  <c r="DI179" i="1" s="1"/>
  <c r="M178" i="1"/>
  <c r="K178" i="1"/>
  <c r="J178" i="1"/>
  <c r="H178" i="1"/>
  <c r="CU178" i="1" s="1"/>
  <c r="G178" i="1"/>
  <c r="CT178" i="1" s="1"/>
  <c r="CW178" i="1" s="1"/>
  <c r="E178" i="1"/>
  <c r="D178" i="1"/>
  <c r="B178" i="1"/>
  <c r="Q178" i="1" s="1"/>
  <c r="S178" i="1" s="1"/>
  <c r="DI178" i="1" s="1"/>
  <c r="M177" i="1"/>
  <c r="K177" i="1"/>
  <c r="J177" i="1"/>
  <c r="H177" i="1"/>
  <c r="CU177" i="1" s="1"/>
  <c r="G177" i="1"/>
  <c r="CT177" i="1" s="1"/>
  <c r="E177" i="1"/>
  <c r="D177" i="1"/>
  <c r="B177" i="1"/>
  <c r="Q177" i="1" s="1"/>
  <c r="S177" i="1" s="1"/>
  <c r="DI177" i="1" s="1"/>
  <c r="M176" i="1"/>
  <c r="K176" i="1"/>
  <c r="J176" i="1"/>
  <c r="H176" i="1"/>
  <c r="CU176" i="1" s="1"/>
  <c r="G176" i="1"/>
  <c r="CT176" i="1" s="1"/>
  <c r="CW176" i="1" s="1"/>
  <c r="E176" i="1"/>
  <c r="D176" i="1"/>
  <c r="B176" i="1"/>
  <c r="Q176" i="1" s="1"/>
  <c r="S176" i="1" s="1"/>
  <c r="DI176" i="1" s="1"/>
  <c r="M175" i="1"/>
  <c r="K175" i="1"/>
  <c r="J175" i="1"/>
  <c r="H175" i="1"/>
  <c r="CU175" i="1" s="1"/>
  <c r="G175" i="1"/>
  <c r="CT175" i="1" s="1"/>
  <c r="CW175" i="1" s="1"/>
  <c r="E175" i="1"/>
  <c r="D175" i="1"/>
  <c r="B175" i="1"/>
  <c r="Q175" i="1" s="1"/>
  <c r="S175" i="1" s="1"/>
  <c r="DI175" i="1" s="1"/>
  <c r="M174" i="1"/>
  <c r="K174" i="1"/>
  <c r="J174" i="1"/>
  <c r="H174" i="1"/>
  <c r="CU174" i="1" s="1"/>
  <c r="G174" i="1"/>
  <c r="CT174" i="1" s="1"/>
  <c r="E174" i="1"/>
  <c r="D174" i="1"/>
  <c r="B174" i="1"/>
  <c r="Q174" i="1" s="1"/>
  <c r="S174" i="1" s="1"/>
  <c r="DI174" i="1" s="1"/>
  <c r="M173" i="1"/>
  <c r="K173" i="1"/>
  <c r="J173" i="1"/>
  <c r="H173" i="1"/>
  <c r="CU173" i="1" s="1"/>
  <c r="G173" i="1"/>
  <c r="CT173" i="1" s="1"/>
  <c r="CW173" i="1" s="1"/>
  <c r="E173" i="1"/>
  <c r="D173" i="1"/>
  <c r="B173" i="1"/>
  <c r="Q173" i="1" s="1"/>
  <c r="S173" i="1" s="1"/>
  <c r="DI173" i="1" s="1"/>
  <c r="M172" i="1"/>
  <c r="K172" i="1"/>
  <c r="J172" i="1"/>
  <c r="H172" i="1"/>
  <c r="CU172" i="1" s="1"/>
  <c r="G172" i="1"/>
  <c r="E172" i="1"/>
  <c r="D172" i="1"/>
  <c r="B172" i="1"/>
  <c r="Q172" i="1" s="1"/>
  <c r="S172" i="1" s="1"/>
  <c r="DI172" i="1" s="1"/>
  <c r="M171" i="1"/>
  <c r="K171" i="1"/>
  <c r="J171" i="1"/>
  <c r="H171" i="1"/>
  <c r="CU171" i="1" s="1"/>
  <c r="G171" i="1"/>
  <c r="CT171" i="1" s="1"/>
  <c r="E171" i="1"/>
  <c r="D171" i="1"/>
  <c r="B171" i="1"/>
  <c r="Q171" i="1" s="1"/>
  <c r="S171" i="1" s="1"/>
  <c r="DI171" i="1" s="1"/>
  <c r="M170" i="1"/>
  <c r="K170" i="1"/>
  <c r="J170" i="1"/>
  <c r="H170" i="1"/>
  <c r="CU170" i="1" s="1"/>
  <c r="G170" i="1"/>
  <c r="CT170" i="1" s="1"/>
  <c r="E170" i="1"/>
  <c r="D170" i="1"/>
  <c r="B170" i="1"/>
  <c r="Q170" i="1" s="1"/>
  <c r="S170" i="1" s="1"/>
  <c r="DI170" i="1" s="1"/>
  <c r="M169" i="1"/>
  <c r="K169" i="1"/>
  <c r="J169" i="1"/>
  <c r="H169" i="1"/>
  <c r="CU169" i="1" s="1"/>
  <c r="G169" i="1"/>
  <c r="CT169" i="1" s="1"/>
  <c r="CW169" i="1" s="1"/>
  <c r="E169" i="1"/>
  <c r="D169" i="1"/>
  <c r="B169" i="1"/>
  <c r="Q169" i="1" s="1"/>
  <c r="S169" i="1" s="1"/>
  <c r="DI169" i="1" s="1"/>
  <c r="M168" i="1"/>
  <c r="K168" i="1"/>
  <c r="J168" i="1"/>
  <c r="H168" i="1"/>
  <c r="CU168" i="1" s="1"/>
  <c r="G168" i="1"/>
  <c r="CT168" i="1" s="1"/>
  <c r="E168" i="1"/>
  <c r="D168" i="1"/>
  <c r="B168" i="1"/>
  <c r="Q168" i="1" s="1"/>
  <c r="S168" i="1" s="1"/>
  <c r="DI168" i="1" s="1"/>
  <c r="M167" i="1"/>
  <c r="K167" i="1"/>
  <c r="J167" i="1"/>
  <c r="H167" i="1"/>
  <c r="CU167" i="1" s="1"/>
  <c r="G167" i="1"/>
  <c r="CT167" i="1" s="1"/>
  <c r="E167" i="1"/>
  <c r="D167" i="1"/>
  <c r="B167" i="1"/>
  <c r="Q167" i="1" s="1"/>
  <c r="S167" i="1" s="1"/>
  <c r="DI167" i="1" s="1"/>
  <c r="M166" i="1"/>
  <c r="K166" i="1"/>
  <c r="J166" i="1"/>
  <c r="H166" i="1"/>
  <c r="CU166" i="1" s="1"/>
  <c r="G166" i="1"/>
  <c r="CT166" i="1" s="1"/>
  <c r="E166" i="1"/>
  <c r="D166" i="1"/>
  <c r="B166" i="1"/>
  <c r="Q166" i="1" s="1"/>
  <c r="S166" i="1" s="1"/>
  <c r="DI166" i="1" s="1"/>
  <c r="M165" i="1"/>
  <c r="K165" i="1"/>
  <c r="J165" i="1"/>
  <c r="H165" i="1"/>
  <c r="CU165" i="1" s="1"/>
  <c r="G165" i="1"/>
  <c r="CT165" i="1" s="1"/>
  <c r="E165" i="1"/>
  <c r="D165" i="1"/>
  <c r="B165" i="1"/>
  <c r="Q165" i="1" s="1"/>
  <c r="S165" i="1" s="1"/>
  <c r="DI165" i="1" s="1"/>
  <c r="M164" i="1"/>
  <c r="K164" i="1"/>
  <c r="J164" i="1"/>
  <c r="H164" i="1"/>
  <c r="CU164" i="1" s="1"/>
  <c r="G164" i="1"/>
  <c r="CT164" i="1" s="1"/>
  <c r="CW164" i="1" s="1"/>
  <c r="E164" i="1"/>
  <c r="D164" i="1"/>
  <c r="B164" i="1"/>
  <c r="Q164" i="1" s="1"/>
  <c r="S164" i="1" s="1"/>
  <c r="DI164" i="1" s="1"/>
  <c r="M163" i="1"/>
  <c r="K163" i="1"/>
  <c r="J163" i="1"/>
  <c r="H163" i="1"/>
  <c r="CU163" i="1" s="1"/>
  <c r="G163" i="1"/>
  <c r="CT163" i="1" s="1"/>
  <c r="E163" i="1"/>
  <c r="D163" i="1"/>
  <c r="B163" i="1"/>
  <c r="Q163" i="1" s="1"/>
  <c r="S163" i="1" s="1"/>
  <c r="DI163" i="1" s="1"/>
  <c r="M162" i="1"/>
  <c r="K162" i="1"/>
  <c r="J162" i="1"/>
  <c r="H162" i="1"/>
  <c r="CU162" i="1" s="1"/>
  <c r="G162" i="1"/>
  <c r="CT162" i="1" s="1"/>
  <c r="CW162" i="1" s="1"/>
  <c r="E162" i="1"/>
  <c r="D162" i="1"/>
  <c r="B162" i="1"/>
  <c r="Q162" i="1" s="1"/>
  <c r="S162" i="1" s="1"/>
  <c r="DI162" i="1" s="1"/>
  <c r="M161" i="1"/>
  <c r="K161" i="1"/>
  <c r="J161" i="1"/>
  <c r="H161" i="1"/>
  <c r="CU161" i="1" s="1"/>
  <c r="G161" i="1"/>
  <c r="CT161" i="1" s="1"/>
  <c r="E161" i="1"/>
  <c r="D161" i="1"/>
  <c r="B161" i="1"/>
  <c r="Q161" i="1" s="1"/>
  <c r="S161" i="1" s="1"/>
  <c r="DI161" i="1" s="1"/>
  <c r="M160" i="1"/>
  <c r="K160" i="1"/>
  <c r="J160" i="1"/>
  <c r="H160" i="1"/>
  <c r="CU160" i="1" s="1"/>
  <c r="G160" i="1"/>
  <c r="CT160" i="1" s="1"/>
  <c r="CW160" i="1" s="1"/>
  <c r="E160" i="1"/>
  <c r="D160" i="1"/>
  <c r="B160" i="1"/>
  <c r="Q160" i="1" s="1"/>
  <c r="S160" i="1" s="1"/>
  <c r="DI160" i="1" s="1"/>
  <c r="M159" i="1"/>
  <c r="K159" i="1"/>
  <c r="J159" i="1"/>
  <c r="H159" i="1"/>
  <c r="CU159" i="1" s="1"/>
  <c r="G159" i="1"/>
  <c r="CT159" i="1" s="1"/>
  <c r="CW159" i="1" s="1"/>
  <c r="E159" i="1"/>
  <c r="D159" i="1"/>
  <c r="B159" i="1"/>
  <c r="Q159" i="1" s="1"/>
  <c r="S159" i="1" s="1"/>
  <c r="DI159" i="1" s="1"/>
  <c r="M158" i="1"/>
  <c r="K158" i="1"/>
  <c r="J158" i="1"/>
  <c r="H158" i="1"/>
  <c r="CU158" i="1" s="1"/>
  <c r="G158" i="1"/>
  <c r="CT158" i="1" s="1"/>
  <c r="E158" i="1"/>
  <c r="D158" i="1"/>
  <c r="B158" i="1"/>
  <c r="Q158" i="1" s="1"/>
  <c r="S158" i="1" s="1"/>
  <c r="DI158" i="1" s="1"/>
  <c r="M157" i="1"/>
  <c r="K157" i="1"/>
  <c r="J157" i="1"/>
  <c r="H157" i="1"/>
  <c r="CU157" i="1" s="1"/>
  <c r="G157" i="1"/>
  <c r="CT157" i="1" s="1"/>
  <c r="CW157" i="1" s="1"/>
  <c r="E157" i="1"/>
  <c r="D157" i="1"/>
  <c r="B157" i="1"/>
  <c r="Q157" i="1" s="1"/>
  <c r="S157" i="1" s="1"/>
  <c r="DI157" i="1" s="1"/>
  <c r="M156" i="1"/>
  <c r="K156" i="1"/>
  <c r="J156" i="1"/>
  <c r="H156" i="1"/>
  <c r="CU156" i="1" s="1"/>
  <c r="G156" i="1"/>
  <c r="CT156" i="1" s="1"/>
  <c r="E156" i="1"/>
  <c r="D156" i="1"/>
  <c r="B156" i="1"/>
  <c r="Q156" i="1" s="1"/>
  <c r="S156" i="1" s="1"/>
  <c r="DI156" i="1" s="1"/>
  <c r="M155" i="1"/>
  <c r="K155" i="1"/>
  <c r="J155" i="1"/>
  <c r="H155" i="1"/>
  <c r="CU155" i="1" s="1"/>
  <c r="G155" i="1"/>
  <c r="CT155" i="1" s="1"/>
  <c r="E155" i="1"/>
  <c r="D155" i="1"/>
  <c r="B155" i="1"/>
  <c r="Q155" i="1" s="1"/>
  <c r="S155" i="1" s="1"/>
  <c r="DI155" i="1" s="1"/>
  <c r="M154" i="1"/>
  <c r="K154" i="1"/>
  <c r="J154" i="1"/>
  <c r="H154" i="1"/>
  <c r="CU154" i="1" s="1"/>
  <c r="G154" i="1"/>
  <c r="CT154" i="1" s="1"/>
  <c r="E154" i="1"/>
  <c r="D154" i="1"/>
  <c r="B154" i="1"/>
  <c r="Q154" i="1" s="1"/>
  <c r="S154" i="1" s="1"/>
  <c r="DI154" i="1" s="1"/>
  <c r="M153" i="1"/>
  <c r="K153" i="1"/>
  <c r="J153" i="1"/>
  <c r="H153" i="1"/>
  <c r="CU153" i="1" s="1"/>
  <c r="G153" i="1"/>
  <c r="CT153" i="1" s="1"/>
  <c r="CW153" i="1" s="1"/>
  <c r="E153" i="1"/>
  <c r="D153" i="1"/>
  <c r="B153" i="1"/>
  <c r="Q153" i="1" s="1"/>
  <c r="S153" i="1" s="1"/>
  <c r="DI153" i="1" s="1"/>
  <c r="M152" i="1"/>
  <c r="K152" i="1"/>
  <c r="J152" i="1"/>
  <c r="H152" i="1"/>
  <c r="CU152" i="1" s="1"/>
  <c r="G152" i="1"/>
  <c r="CT152" i="1" s="1"/>
  <c r="E152" i="1"/>
  <c r="D152" i="1"/>
  <c r="B152" i="1"/>
  <c r="Q152" i="1" s="1"/>
  <c r="S152" i="1" s="1"/>
  <c r="DI152" i="1" s="1"/>
  <c r="M151" i="1"/>
  <c r="K151" i="1"/>
  <c r="J151" i="1"/>
  <c r="H151" i="1"/>
  <c r="CU151" i="1" s="1"/>
  <c r="G151" i="1"/>
  <c r="CT151" i="1" s="1"/>
  <c r="E151" i="1"/>
  <c r="D151" i="1"/>
  <c r="B151" i="1"/>
  <c r="Q151" i="1" s="1"/>
  <c r="S151" i="1" s="1"/>
  <c r="DI151" i="1" s="1"/>
  <c r="M150" i="1"/>
  <c r="K150" i="1"/>
  <c r="J150" i="1"/>
  <c r="H150" i="1"/>
  <c r="CU150" i="1" s="1"/>
  <c r="G150" i="1"/>
  <c r="CT150" i="1" s="1"/>
  <c r="E150" i="1"/>
  <c r="D150" i="1"/>
  <c r="B150" i="1"/>
  <c r="Q150" i="1" s="1"/>
  <c r="S150" i="1" s="1"/>
  <c r="DI150" i="1" s="1"/>
  <c r="M149" i="1"/>
  <c r="K149" i="1"/>
  <c r="J149" i="1"/>
  <c r="H149" i="1"/>
  <c r="CU149" i="1" s="1"/>
  <c r="G149" i="1"/>
  <c r="CT149" i="1" s="1"/>
  <c r="E149" i="1"/>
  <c r="D149" i="1"/>
  <c r="B149" i="1"/>
  <c r="Q149" i="1" s="1"/>
  <c r="S149" i="1" s="1"/>
  <c r="DI149" i="1" s="1"/>
  <c r="M148" i="1"/>
  <c r="K148" i="1"/>
  <c r="J148" i="1"/>
  <c r="H148" i="1"/>
  <c r="CU148" i="1" s="1"/>
  <c r="G148" i="1"/>
  <c r="CT148" i="1" s="1"/>
  <c r="CW148" i="1" s="1"/>
  <c r="E148" i="1"/>
  <c r="D148" i="1"/>
  <c r="B148" i="1"/>
  <c r="Q148" i="1" s="1"/>
  <c r="S148" i="1" s="1"/>
  <c r="DI148" i="1" s="1"/>
  <c r="M147" i="1"/>
  <c r="K147" i="1"/>
  <c r="J147" i="1"/>
  <c r="H147" i="1"/>
  <c r="CU147" i="1" s="1"/>
  <c r="G147" i="1"/>
  <c r="CT147" i="1" s="1"/>
  <c r="E147" i="1"/>
  <c r="D147" i="1"/>
  <c r="B147" i="1"/>
  <c r="Q147" i="1" s="1"/>
  <c r="S147" i="1" s="1"/>
  <c r="DI147" i="1" s="1"/>
  <c r="M146" i="1"/>
  <c r="K146" i="1"/>
  <c r="J146" i="1"/>
  <c r="H146" i="1"/>
  <c r="CU146" i="1" s="1"/>
  <c r="G146" i="1"/>
  <c r="CT146" i="1" s="1"/>
  <c r="CW146" i="1" s="1"/>
  <c r="E146" i="1"/>
  <c r="D146" i="1"/>
  <c r="B146" i="1"/>
  <c r="Q146" i="1" s="1"/>
  <c r="S146" i="1" s="1"/>
  <c r="DI146" i="1" s="1"/>
  <c r="M145" i="1"/>
  <c r="K145" i="1"/>
  <c r="J145" i="1"/>
  <c r="H145" i="1"/>
  <c r="CU145" i="1" s="1"/>
  <c r="G145" i="1"/>
  <c r="CT145" i="1" s="1"/>
  <c r="E145" i="1"/>
  <c r="D145" i="1"/>
  <c r="B145" i="1"/>
  <c r="Q145" i="1" s="1"/>
  <c r="S145" i="1" s="1"/>
  <c r="DI145" i="1" s="1"/>
  <c r="M144" i="1"/>
  <c r="K144" i="1"/>
  <c r="J144" i="1"/>
  <c r="H144" i="1"/>
  <c r="CU144" i="1" s="1"/>
  <c r="G144" i="1"/>
  <c r="CT144" i="1" s="1"/>
  <c r="CW144" i="1" s="1"/>
  <c r="E144" i="1"/>
  <c r="D144" i="1"/>
  <c r="B144" i="1"/>
  <c r="Q144" i="1" s="1"/>
  <c r="S144" i="1" s="1"/>
  <c r="DI144" i="1" s="1"/>
  <c r="M143" i="1"/>
  <c r="K143" i="1"/>
  <c r="J143" i="1"/>
  <c r="H143" i="1"/>
  <c r="CU143" i="1" s="1"/>
  <c r="G143" i="1"/>
  <c r="CT143" i="1" s="1"/>
  <c r="CW143" i="1" s="1"/>
  <c r="E143" i="1"/>
  <c r="D143" i="1"/>
  <c r="B143" i="1"/>
  <c r="Q143" i="1" s="1"/>
  <c r="S143" i="1" s="1"/>
  <c r="DI143" i="1" s="1"/>
  <c r="M142" i="1"/>
  <c r="K142" i="1"/>
  <c r="J142" i="1"/>
  <c r="H142" i="1"/>
  <c r="CU142" i="1" s="1"/>
  <c r="G142" i="1"/>
  <c r="CT142" i="1" s="1"/>
  <c r="E142" i="1"/>
  <c r="D142" i="1"/>
  <c r="B142" i="1"/>
  <c r="Q142" i="1" s="1"/>
  <c r="S142" i="1" s="1"/>
  <c r="DI142" i="1" s="1"/>
  <c r="M141" i="1"/>
  <c r="K141" i="1"/>
  <c r="J141" i="1"/>
  <c r="H141" i="1"/>
  <c r="CU141" i="1" s="1"/>
  <c r="G141" i="1"/>
  <c r="CT141" i="1" s="1"/>
  <c r="CW141" i="1" s="1"/>
  <c r="E141" i="1"/>
  <c r="D141" i="1"/>
  <c r="B141" i="1"/>
  <c r="Q141" i="1" s="1"/>
  <c r="S141" i="1" s="1"/>
  <c r="DI141" i="1" s="1"/>
  <c r="M140" i="1"/>
  <c r="K140" i="1"/>
  <c r="J140" i="1"/>
  <c r="H140" i="1"/>
  <c r="CU140" i="1" s="1"/>
  <c r="G140" i="1"/>
  <c r="CT140" i="1" s="1"/>
  <c r="E140" i="1"/>
  <c r="D140" i="1"/>
  <c r="B140" i="1"/>
  <c r="Q140" i="1" s="1"/>
  <c r="S140" i="1" s="1"/>
  <c r="DI140" i="1" s="1"/>
  <c r="M139" i="1"/>
  <c r="K139" i="1"/>
  <c r="J139" i="1"/>
  <c r="H139" i="1"/>
  <c r="CU139" i="1" s="1"/>
  <c r="G139" i="1"/>
  <c r="CT139" i="1" s="1"/>
  <c r="E139" i="1"/>
  <c r="D139" i="1"/>
  <c r="B139" i="1"/>
  <c r="Q139" i="1" s="1"/>
  <c r="S139" i="1" s="1"/>
  <c r="DI139" i="1" s="1"/>
  <c r="M138" i="1"/>
  <c r="K138" i="1"/>
  <c r="J138" i="1"/>
  <c r="H138" i="1"/>
  <c r="CU138" i="1" s="1"/>
  <c r="G138" i="1"/>
  <c r="CT138" i="1" s="1"/>
  <c r="E138" i="1"/>
  <c r="D138" i="1"/>
  <c r="B138" i="1"/>
  <c r="Q138" i="1" s="1"/>
  <c r="S138" i="1" s="1"/>
  <c r="DI138" i="1" s="1"/>
  <c r="M137" i="1"/>
  <c r="K137" i="1"/>
  <c r="J137" i="1"/>
  <c r="H137" i="1"/>
  <c r="CU137" i="1" s="1"/>
  <c r="G137" i="1"/>
  <c r="CT137" i="1" s="1"/>
  <c r="CW137" i="1" s="1"/>
  <c r="E137" i="1"/>
  <c r="D137" i="1"/>
  <c r="B137" i="1"/>
  <c r="Q137" i="1" s="1"/>
  <c r="S137" i="1" s="1"/>
  <c r="DI137" i="1" s="1"/>
  <c r="M136" i="1"/>
  <c r="K136" i="1"/>
  <c r="J136" i="1"/>
  <c r="H136" i="1"/>
  <c r="CU136" i="1" s="1"/>
  <c r="G136" i="1"/>
  <c r="CT136" i="1" s="1"/>
  <c r="E136" i="1"/>
  <c r="D136" i="1"/>
  <c r="B136" i="1"/>
  <c r="Q136" i="1" s="1"/>
  <c r="S136" i="1" s="1"/>
  <c r="DI136" i="1" s="1"/>
  <c r="M135" i="1"/>
  <c r="K135" i="1"/>
  <c r="J135" i="1"/>
  <c r="H135" i="1"/>
  <c r="CU135" i="1" s="1"/>
  <c r="G135" i="1"/>
  <c r="CT135" i="1" s="1"/>
  <c r="E135" i="1"/>
  <c r="D135" i="1"/>
  <c r="B135" i="1"/>
  <c r="Q135" i="1" s="1"/>
  <c r="S135" i="1" s="1"/>
  <c r="DI135" i="1" s="1"/>
  <c r="M134" i="1"/>
  <c r="K134" i="1"/>
  <c r="J134" i="1"/>
  <c r="H134" i="1"/>
  <c r="CU134" i="1" s="1"/>
  <c r="G134" i="1"/>
  <c r="CT134" i="1" s="1"/>
  <c r="E134" i="1"/>
  <c r="D134" i="1"/>
  <c r="B134" i="1"/>
  <c r="Q134" i="1" s="1"/>
  <c r="S134" i="1" s="1"/>
  <c r="DI134" i="1" s="1"/>
  <c r="M133" i="1"/>
  <c r="K133" i="1"/>
  <c r="J133" i="1"/>
  <c r="H133" i="1"/>
  <c r="CU133" i="1" s="1"/>
  <c r="G133" i="1"/>
  <c r="CT133" i="1" s="1"/>
  <c r="E133" i="1"/>
  <c r="D133" i="1"/>
  <c r="B133" i="1"/>
  <c r="Q133" i="1" s="1"/>
  <c r="S133" i="1" s="1"/>
  <c r="DI133" i="1" s="1"/>
  <c r="M132" i="1"/>
  <c r="K132" i="1"/>
  <c r="J132" i="1"/>
  <c r="H132" i="1"/>
  <c r="CU132" i="1" s="1"/>
  <c r="G132" i="1"/>
  <c r="CT132" i="1" s="1"/>
  <c r="CW132" i="1" s="1"/>
  <c r="E132" i="1"/>
  <c r="D132" i="1"/>
  <c r="B132" i="1"/>
  <c r="Q132" i="1" s="1"/>
  <c r="S132" i="1" s="1"/>
  <c r="DI132" i="1" s="1"/>
  <c r="M131" i="1"/>
  <c r="K131" i="1"/>
  <c r="J131" i="1"/>
  <c r="H131" i="1"/>
  <c r="CU131" i="1" s="1"/>
  <c r="G131" i="1"/>
  <c r="CT131" i="1" s="1"/>
  <c r="E131" i="1"/>
  <c r="D131" i="1"/>
  <c r="B131" i="1"/>
  <c r="Q131" i="1" s="1"/>
  <c r="S131" i="1" s="1"/>
  <c r="DI131" i="1" s="1"/>
  <c r="M130" i="1"/>
  <c r="K130" i="1"/>
  <c r="J130" i="1"/>
  <c r="H130" i="1"/>
  <c r="CU130" i="1" s="1"/>
  <c r="G130" i="1"/>
  <c r="CT130" i="1" s="1"/>
  <c r="CW130" i="1" s="1"/>
  <c r="E130" i="1"/>
  <c r="D130" i="1"/>
  <c r="B130" i="1"/>
  <c r="Q130" i="1" s="1"/>
  <c r="S130" i="1" s="1"/>
  <c r="DI130" i="1" s="1"/>
  <c r="M129" i="1"/>
  <c r="K129" i="1"/>
  <c r="J129" i="1"/>
  <c r="H129" i="1"/>
  <c r="CU129" i="1" s="1"/>
  <c r="G129" i="1"/>
  <c r="CT129" i="1" s="1"/>
  <c r="E129" i="1"/>
  <c r="D129" i="1"/>
  <c r="B129" i="1"/>
  <c r="Q129" i="1" s="1"/>
  <c r="S129" i="1" s="1"/>
  <c r="DI129" i="1" s="1"/>
  <c r="M128" i="1"/>
  <c r="K128" i="1"/>
  <c r="J128" i="1"/>
  <c r="H128" i="1"/>
  <c r="CU128" i="1" s="1"/>
  <c r="G128" i="1"/>
  <c r="CT128" i="1" s="1"/>
  <c r="CW128" i="1" s="1"/>
  <c r="E128" i="1"/>
  <c r="D128" i="1"/>
  <c r="B128" i="1"/>
  <c r="Q128" i="1" s="1"/>
  <c r="S128" i="1" s="1"/>
  <c r="DI128" i="1" s="1"/>
  <c r="M127" i="1"/>
  <c r="K127" i="1"/>
  <c r="J127" i="1"/>
  <c r="H127" i="1"/>
  <c r="CU127" i="1" s="1"/>
  <c r="G127" i="1"/>
  <c r="CT127" i="1" s="1"/>
  <c r="CW127" i="1" s="1"/>
  <c r="E127" i="1"/>
  <c r="D127" i="1"/>
  <c r="B127" i="1"/>
  <c r="Q127" i="1" s="1"/>
  <c r="S127" i="1" s="1"/>
  <c r="DI127" i="1" s="1"/>
  <c r="M126" i="1"/>
  <c r="K126" i="1"/>
  <c r="J126" i="1"/>
  <c r="H126" i="1"/>
  <c r="CU126" i="1" s="1"/>
  <c r="G126" i="1"/>
  <c r="CT126" i="1" s="1"/>
  <c r="E126" i="1"/>
  <c r="D126" i="1"/>
  <c r="B126" i="1"/>
  <c r="Q126" i="1" s="1"/>
  <c r="S126" i="1" s="1"/>
  <c r="DI126" i="1" s="1"/>
  <c r="M125" i="1"/>
  <c r="K125" i="1"/>
  <c r="J125" i="1"/>
  <c r="H125" i="1"/>
  <c r="CU125" i="1" s="1"/>
  <c r="G125" i="1"/>
  <c r="CT125" i="1" s="1"/>
  <c r="CW125" i="1" s="1"/>
  <c r="E125" i="1"/>
  <c r="D125" i="1"/>
  <c r="B125" i="1"/>
  <c r="Q125" i="1" s="1"/>
  <c r="S125" i="1" s="1"/>
  <c r="DI125" i="1" s="1"/>
  <c r="M124" i="1"/>
  <c r="K124" i="1"/>
  <c r="J124" i="1"/>
  <c r="H124" i="1"/>
  <c r="CU124" i="1" s="1"/>
  <c r="G124" i="1"/>
  <c r="CT124" i="1" s="1"/>
  <c r="E124" i="1"/>
  <c r="D124" i="1"/>
  <c r="B124" i="1"/>
  <c r="Q124" i="1" s="1"/>
  <c r="S124" i="1" s="1"/>
  <c r="DI124" i="1" s="1"/>
  <c r="M123" i="1"/>
  <c r="K123" i="1"/>
  <c r="J123" i="1"/>
  <c r="H123" i="1"/>
  <c r="CU123" i="1" s="1"/>
  <c r="G123" i="1"/>
  <c r="CT123" i="1" s="1"/>
  <c r="E123" i="1"/>
  <c r="D123" i="1"/>
  <c r="B123" i="1"/>
  <c r="Q123" i="1" s="1"/>
  <c r="S123" i="1" s="1"/>
  <c r="DI123" i="1" s="1"/>
  <c r="M122" i="1"/>
  <c r="K122" i="1"/>
  <c r="J122" i="1"/>
  <c r="H122" i="1"/>
  <c r="CU122" i="1" s="1"/>
  <c r="G122" i="1"/>
  <c r="CT122" i="1" s="1"/>
  <c r="E122" i="1"/>
  <c r="D122" i="1"/>
  <c r="B122" i="1"/>
  <c r="Q122" i="1" s="1"/>
  <c r="S122" i="1" s="1"/>
  <c r="DI122" i="1" s="1"/>
  <c r="M121" i="1"/>
  <c r="K121" i="1"/>
  <c r="J121" i="1"/>
  <c r="H121" i="1"/>
  <c r="CU121" i="1" s="1"/>
  <c r="G121" i="1"/>
  <c r="CT121" i="1" s="1"/>
  <c r="CW121" i="1" s="1"/>
  <c r="E121" i="1"/>
  <c r="D121" i="1"/>
  <c r="B121" i="1"/>
  <c r="Q121" i="1" s="1"/>
  <c r="S121" i="1" s="1"/>
  <c r="DI121" i="1" s="1"/>
  <c r="M120" i="1"/>
  <c r="K120" i="1"/>
  <c r="J120" i="1"/>
  <c r="H120" i="1"/>
  <c r="CU120" i="1" s="1"/>
  <c r="G120" i="1"/>
  <c r="CT120" i="1" s="1"/>
  <c r="E120" i="1"/>
  <c r="D120" i="1"/>
  <c r="B120" i="1"/>
  <c r="Q120" i="1" s="1"/>
  <c r="S120" i="1" s="1"/>
  <c r="DI120" i="1" s="1"/>
  <c r="M119" i="1"/>
  <c r="K119" i="1"/>
  <c r="J119" i="1"/>
  <c r="H119" i="1"/>
  <c r="CU119" i="1" s="1"/>
  <c r="G119" i="1"/>
  <c r="CT119" i="1" s="1"/>
  <c r="E119" i="1"/>
  <c r="D119" i="1"/>
  <c r="B119" i="1"/>
  <c r="Q119" i="1" s="1"/>
  <c r="S119" i="1" s="1"/>
  <c r="DI119" i="1" s="1"/>
  <c r="M118" i="1"/>
  <c r="K118" i="1"/>
  <c r="J118" i="1"/>
  <c r="H118" i="1"/>
  <c r="CU118" i="1" s="1"/>
  <c r="G118" i="1"/>
  <c r="CT118" i="1" s="1"/>
  <c r="E118" i="1"/>
  <c r="D118" i="1"/>
  <c r="B118" i="1"/>
  <c r="Q118" i="1" s="1"/>
  <c r="S118" i="1" s="1"/>
  <c r="DI118" i="1" s="1"/>
  <c r="M117" i="1"/>
  <c r="K117" i="1"/>
  <c r="J117" i="1"/>
  <c r="H117" i="1"/>
  <c r="CU117" i="1" s="1"/>
  <c r="G117" i="1"/>
  <c r="CT117" i="1" s="1"/>
  <c r="E117" i="1"/>
  <c r="D117" i="1"/>
  <c r="B117" i="1"/>
  <c r="Q117" i="1" s="1"/>
  <c r="S117" i="1" s="1"/>
  <c r="DI117" i="1" s="1"/>
  <c r="M116" i="1"/>
  <c r="K116" i="1"/>
  <c r="J116" i="1"/>
  <c r="H116" i="1"/>
  <c r="CU116" i="1" s="1"/>
  <c r="G116" i="1"/>
  <c r="CT116" i="1" s="1"/>
  <c r="CW116" i="1" s="1"/>
  <c r="E116" i="1"/>
  <c r="D116" i="1"/>
  <c r="B116" i="1"/>
  <c r="Q116" i="1" s="1"/>
  <c r="S116" i="1" s="1"/>
  <c r="DI116" i="1" s="1"/>
  <c r="M115" i="1"/>
  <c r="K115" i="1"/>
  <c r="J115" i="1"/>
  <c r="H115" i="1"/>
  <c r="CU115" i="1" s="1"/>
  <c r="G115" i="1"/>
  <c r="CT115" i="1" s="1"/>
  <c r="E115" i="1"/>
  <c r="D115" i="1"/>
  <c r="B115" i="1"/>
  <c r="Q115" i="1" s="1"/>
  <c r="S115" i="1" s="1"/>
  <c r="DI115" i="1" s="1"/>
  <c r="M114" i="1"/>
  <c r="K114" i="1"/>
  <c r="J114" i="1"/>
  <c r="H114" i="1"/>
  <c r="CU114" i="1" s="1"/>
  <c r="G114" i="1"/>
  <c r="CT114" i="1" s="1"/>
  <c r="CW114" i="1" s="1"/>
  <c r="E114" i="1"/>
  <c r="D114" i="1"/>
  <c r="B114" i="1"/>
  <c r="Q114" i="1" s="1"/>
  <c r="S114" i="1" s="1"/>
  <c r="DI114" i="1" s="1"/>
  <c r="M113" i="1"/>
  <c r="K113" i="1"/>
  <c r="J113" i="1"/>
  <c r="H113" i="1"/>
  <c r="CU113" i="1" s="1"/>
  <c r="G113" i="1"/>
  <c r="CT113" i="1" s="1"/>
  <c r="E113" i="1"/>
  <c r="D113" i="1"/>
  <c r="B113" i="1"/>
  <c r="Q113" i="1" s="1"/>
  <c r="S113" i="1" s="1"/>
  <c r="DI113" i="1" s="1"/>
  <c r="M112" i="1"/>
  <c r="K112" i="1"/>
  <c r="J112" i="1"/>
  <c r="H112" i="1"/>
  <c r="CU112" i="1" s="1"/>
  <c r="G112" i="1"/>
  <c r="CT112" i="1" s="1"/>
  <c r="CW112" i="1" s="1"/>
  <c r="E112" i="1"/>
  <c r="D112" i="1"/>
  <c r="B112" i="1"/>
  <c r="Q112" i="1" s="1"/>
  <c r="S112" i="1" s="1"/>
  <c r="DI112" i="1" s="1"/>
  <c r="M111" i="1"/>
  <c r="K111" i="1"/>
  <c r="J111" i="1"/>
  <c r="H111" i="1"/>
  <c r="CU111" i="1" s="1"/>
  <c r="G111" i="1"/>
  <c r="CT111" i="1" s="1"/>
  <c r="CW111" i="1" s="1"/>
  <c r="E111" i="1"/>
  <c r="D111" i="1"/>
  <c r="B111" i="1"/>
  <c r="Q111" i="1" s="1"/>
  <c r="S111" i="1" s="1"/>
  <c r="DI111" i="1" s="1"/>
  <c r="M110" i="1"/>
  <c r="K110" i="1"/>
  <c r="J110" i="1"/>
  <c r="H110" i="1"/>
  <c r="CU110" i="1" s="1"/>
  <c r="G110" i="1"/>
  <c r="CT110" i="1" s="1"/>
  <c r="E110" i="1"/>
  <c r="D110" i="1"/>
  <c r="B110" i="1"/>
  <c r="Q110" i="1" s="1"/>
  <c r="S110" i="1" s="1"/>
  <c r="DI110" i="1" s="1"/>
  <c r="M109" i="1"/>
  <c r="K109" i="1"/>
  <c r="J109" i="1"/>
  <c r="H109" i="1"/>
  <c r="CU109" i="1" s="1"/>
  <c r="G109" i="1"/>
  <c r="CT109" i="1" s="1"/>
  <c r="CW109" i="1" s="1"/>
  <c r="E109" i="1"/>
  <c r="D109" i="1"/>
  <c r="B109" i="1"/>
  <c r="Q109" i="1" s="1"/>
  <c r="S109" i="1" s="1"/>
  <c r="DI109" i="1" s="1"/>
  <c r="M108" i="1"/>
  <c r="K108" i="1"/>
  <c r="J108" i="1"/>
  <c r="H108" i="1"/>
  <c r="CU108" i="1" s="1"/>
  <c r="G108" i="1"/>
  <c r="CT108" i="1" s="1"/>
  <c r="E108" i="1"/>
  <c r="D108" i="1"/>
  <c r="B108" i="1"/>
  <c r="Q108" i="1" s="1"/>
  <c r="S108" i="1" s="1"/>
  <c r="DI108" i="1" s="1"/>
  <c r="M107" i="1"/>
  <c r="K107" i="1"/>
  <c r="J107" i="1"/>
  <c r="H107" i="1"/>
  <c r="CU107" i="1" s="1"/>
  <c r="G107" i="1"/>
  <c r="E107" i="1"/>
  <c r="D107" i="1"/>
  <c r="B107" i="1"/>
  <c r="Q107" i="1" s="1"/>
  <c r="S107" i="1" s="1"/>
  <c r="DI107" i="1" s="1"/>
  <c r="M106" i="1"/>
  <c r="K106" i="1"/>
  <c r="J106" i="1"/>
  <c r="H106" i="1"/>
  <c r="CU106" i="1" s="1"/>
  <c r="G106" i="1"/>
  <c r="E106" i="1"/>
  <c r="D106" i="1"/>
  <c r="B106" i="1"/>
  <c r="Q106" i="1" s="1"/>
  <c r="S106" i="1" s="1"/>
  <c r="DI106" i="1" s="1"/>
  <c r="M105" i="1"/>
  <c r="K105" i="1"/>
  <c r="J105" i="1"/>
  <c r="H105" i="1"/>
  <c r="CU105" i="1" s="1"/>
  <c r="G105" i="1"/>
  <c r="CT105" i="1" s="1"/>
  <c r="CW105" i="1" s="1"/>
  <c r="E105" i="1"/>
  <c r="D105" i="1"/>
  <c r="B105" i="1"/>
  <c r="Q105" i="1" s="1"/>
  <c r="S105" i="1" s="1"/>
  <c r="DI105" i="1" s="1"/>
  <c r="M104" i="1"/>
  <c r="K104" i="1"/>
  <c r="J104" i="1"/>
  <c r="H104" i="1"/>
  <c r="CU104" i="1" s="1"/>
  <c r="G104" i="1"/>
  <c r="CT104" i="1" s="1"/>
  <c r="E104" i="1"/>
  <c r="D104" i="1"/>
  <c r="B104" i="1"/>
  <c r="Q104" i="1" s="1"/>
  <c r="S104" i="1" s="1"/>
  <c r="DI104" i="1" s="1"/>
  <c r="M103" i="1"/>
  <c r="K103" i="1"/>
  <c r="J103" i="1"/>
  <c r="H103" i="1"/>
  <c r="CU103" i="1" s="1"/>
  <c r="G103" i="1"/>
  <c r="CT103" i="1" s="1"/>
  <c r="E103" i="1"/>
  <c r="D103" i="1"/>
  <c r="B103" i="1"/>
  <c r="Q103" i="1" s="1"/>
  <c r="S103" i="1" s="1"/>
  <c r="DI103" i="1" s="1"/>
  <c r="M102" i="1"/>
  <c r="K102" i="1"/>
  <c r="J102" i="1"/>
  <c r="H102" i="1"/>
  <c r="CU102" i="1" s="1"/>
  <c r="G102" i="1"/>
  <c r="CT102" i="1" s="1"/>
  <c r="E102" i="1"/>
  <c r="D102" i="1"/>
  <c r="B102" i="1"/>
  <c r="Q102" i="1" s="1"/>
  <c r="S102" i="1" s="1"/>
  <c r="DI102" i="1" s="1"/>
  <c r="M101" i="1"/>
  <c r="K101" i="1"/>
  <c r="J101" i="1"/>
  <c r="H101" i="1"/>
  <c r="CU101" i="1" s="1"/>
  <c r="G101" i="1"/>
  <c r="CT101" i="1" s="1"/>
  <c r="E101" i="1"/>
  <c r="D101" i="1"/>
  <c r="B101" i="1"/>
  <c r="Q101" i="1" s="1"/>
  <c r="S101" i="1" s="1"/>
  <c r="DI101" i="1" s="1"/>
  <c r="M100" i="1"/>
  <c r="K100" i="1"/>
  <c r="J100" i="1"/>
  <c r="H100" i="1"/>
  <c r="CU100" i="1" s="1"/>
  <c r="G100" i="1"/>
  <c r="CT100" i="1" s="1"/>
  <c r="CW100" i="1" s="1"/>
  <c r="E100" i="1"/>
  <c r="D100" i="1"/>
  <c r="B100" i="1"/>
  <c r="Q100" i="1" s="1"/>
  <c r="S100" i="1" s="1"/>
  <c r="DI100" i="1" s="1"/>
  <c r="M99" i="1"/>
  <c r="K99" i="1"/>
  <c r="J99" i="1"/>
  <c r="H99" i="1"/>
  <c r="CU99" i="1" s="1"/>
  <c r="G99" i="1"/>
  <c r="CT99" i="1" s="1"/>
  <c r="E99" i="1"/>
  <c r="D99" i="1"/>
  <c r="B99" i="1"/>
  <c r="Q99" i="1" s="1"/>
  <c r="S99" i="1" s="1"/>
  <c r="DI99" i="1" s="1"/>
  <c r="M98" i="1"/>
  <c r="K98" i="1"/>
  <c r="J98" i="1"/>
  <c r="H98" i="1"/>
  <c r="CU98" i="1" s="1"/>
  <c r="G98" i="1"/>
  <c r="CT98" i="1" s="1"/>
  <c r="CW98" i="1" s="1"/>
  <c r="E98" i="1"/>
  <c r="D98" i="1"/>
  <c r="B98" i="1"/>
  <c r="Q98" i="1" s="1"/>
  <c r="S98" i="1" s="1"/>
  <c r="DI98" i="1" s="1"/>
  <c r="M97" i="1"/>
  <c r="K97" i="1"/>
  <c r="J97" i="1"/>
  <c r="H97" i="1"/>
  <c r="CU97" i="1" s="1"/>
  <c r="G97" i="1"/>
  <c r="CT97" i="1" s="1"/>
  <c r="E97" i="1"/>
  <c r="D97" i="1"/>
  <c r="B97" i="1"/>
  <c r="Q97" i="1" s="1"/>
  <c r="S97" i="1" s="1"/>
  <c r="DI97" i="1" s="1"/>
  <c r="M96" i="1"/>
  <c r="K96" i="1"/>
  <c r="J96" i="1"/>
  <c r="H96" i="1"/>
  <c r="CU96" i="1" s="1"/>
  <c r="G96" i="1"/>
  <c r="CT96" i="1" s="1"/>
  <c r="CW96" i="1" s="1"/>
  <c r="E96" i="1"/>
  <c r="D96" i="1"/>
  <c r="B96" i="1"/>
  <c r="Q96" i="1" s="1"/>
  <c r="S96" i="1" s="1"/>
  <c r="DI96" i="1" s="1"/>
  <c r="M95" i="1"/>
  <c r="K95" i="1"/>
  <c r="J95" i="1"/>
  <c r="H95" i="1"/>
  <c r="CU95" i="1" s="1"/>
  <c r="G95" i="1"/>
  <c r="CT95" i="1" s="1"/>
  <c r="CW95" i="1" s="1"/>
  <c r="E95" i="1"/>
  <c r="D95" i="1"/>
  <c r="B95" i="1"/>
  <c r="Q95" i="1" s="1"/>
  <c r="S95" i="1" s="1"/>
  <c r="DI95" i="1" s="1"/>
  <c r="M94" i="1"/>
  <c r="K94" i="1"/>
  <c r="J94" i="1"/>
  <c r="H94" i="1"/>
  <c r="CU94" i="1" s="1"/>
  <c r="G94" i="1"/>
  <c r="CT94" i="1" s="1"/>
  <c r="E94" i="1"/>
  <c r="D94" i="1"/>
  <c r="B94" i="1"/>
  <c r="Q94" i="1" s="1"/>
  <c r="S94" i="1" s="1"/>
  <c r="DI94" i="1" s="1"/>
  <c r="M93" i="1"/>
  <c r="K93" i="1"/>
  <c r="J93" i="1"/>
  <c r="H93" i="1"/>
  <c r="CU93" i="1" s="1"/>
  <c r="G93" i="1"/>
  <c r="CT93" i="1" s="1"/>
  <c r="CW93" i="1" s="1"/>
  <c r="E93" i="1"/>
  <c r="D93" i="1"/>
  <c r="B93" i="1"/>
  <c r="Q93" i="1" s="1"/>
  <c r="S93" i="1" s="1"/>
  <c r="DI93" i="1" s="1"/>
  <c r="M92" i="1"/>
  <c r="K92" i="1"/>
  <c r="J92" i="1"/>
  <c r="H92" i="1"/>
  <c r="CU92" i="1" s="1"/>
  <c r="G92" i="1"/>
  <c r="CT92" i="1" s="1"/>
  <c r="E92" i="1"/>
  <c r="D92" i="1"/>
  <c r="B92" i="1"/>
  <c r="Q92" i="1" s="1"/>
  <c r="S92" i="1" s="1"/>
  <c r="DI92" i="1" s="1"/>
  <c r="M91" i="1"/>
  <c r="K91" i="1"/>
  <c r="J91" i="1"/>
  <c r="H91" i="1"/>
  <c r="CU91" i="1" s="1"/>
  <c r="G91" i="1"/>
  <c r="CT91" i="1" s="1"/>
  <c r="E91" i="1"/>
  <c r="D91" i="1"/>
  <c r="B91" i="1"/>
  <c r="Q91" i="1" s="1"/>
  <c r="S91" i="1" s="1"/>
  <c r="DI91" i="1" s="1"/>
  <c r="M90" i="1"/>
  <c r="K90" i="1"/>
  <c r="J90" i="1"/>
  <c r="H90" i="1"/>
  <c r="CU90" i="1" s="1"/>
  <c r="G90" i="1"/>
  <c r="CT90" i="1" s="1"/>
  <c r="E90" i="1"/>
  <c r="D90" i="1"/>
  <c r="B90" i="1"/>
  <c r="Q90" i="1" s="1"/>
  <c r="S90" i="1" s="1"/>
  <c r="DI90" i="1" s="1"/>
  <c r="M89" i="1"/>
  <c r="K89" i="1"/>
  <c r="J89" i="1"/>
  <c r="H89" i="1"/>
  <c r="CU89" i="1" s="1"/>
  <c r="G89" i="1"/>
  <c r="E89" i="1"/>
  <c r="D89" i="1"/>
  <c r="B89" i="1"/>
  <c r="Q89" i="1" s="1"/>
  <c r="S89" i="1" s="1"/>
  <c r="DI89" i="1" s="1"/>
  <c r="M88" i="1"/>
  <c r="K88" i="1"/>
  <c r="J88" i="1"/>
  <c r="H88" i="1"/>
  <c r="CU88" i="1" s="1"/>
  <c r="G88" i="1"/>
  <c r="CT88" i="1" s="1"/>
  <c r="E88" i="1"/>
  <c r="D88" i="1"/>
  <c r="B88" i="1"/>
  <c r="Q88" i="1" s="1"/>
  <c r="S88" i="1" s="1"/>
  <c r="DI88" i="1" s="1"/>
  <c r="M87" i="1"/>
  <c r="K87" i="1"/>
  <c r="J87" i="1"/>
  <c r="H87" i="1"/>
  <c r="CU87" i="1" s="1"/>
  <c r="G87" i="1"/>
  <c r="CT87" i="1" s="1"/>
  <c r="E87" i="1"/>
  <c r="D87" i="1"/>
  <c r="B87" i="1"/>
  <c r="Q87" i="1" s="1"/>
  <c r="S87" i="1" s="1"/>
  <c r="DI87" i="1" s="1"/>
  <c r="M86" i="1"/>
  <c r="K86" i="1"/>
  <c r="J86" i="1"/>
  <c r="H86" i="1"/>
  <c r="CU86" i="1" s="1"/>
  <c r="G86" i="1"/>
  <c r="CT86" i="1" s="1"/>
  <c r="E86" i="1"/>
  <c r="D86" i="1"/>
  <c r="B86" i="1"/>
  <c r="Q86" i="1" s="1"/>
  <c r="S86" i="1" s="1"/>
  <c r="DI86" i="1" s="1"/>
  <c r="M85" i="1"/>
  <c r="K85" i="1"/>
  <c r="J85" i="1"/>
  <c r="H85" i="1"/>
  <c r="CU85" i="1" s="1"/>
  <c r="G85" i="1"/>
  <c r="CT85" i="1" s="1"/>
  <c r="E85" i="1"/>
  <c r="D85" i="1"/>
  <c r="B85" i="1"/>
  <c r="Q85" i="1" s="1"/>
  <c r="S85" i="1" s="1"/>
  <c r="DI85" i="1" s="1"/>
  <c r="M84" i="1"/>
  <c r="K84" i="1"/>
  <c r="J84" i="1"/>
  <c r="H84" i="1"/>
  <c r="CU84" i="1" s="1"/>
  <c r="G84" i="1"/>
  <c r="CT84" i="1" s="1"/>
  <c r="CW84" i="1" s="1"/>
  <c r="E84" i="1"/>
  <c r="D84" i="1"/>
  <c r="B84" i="1"/>
  <c r="Q84" i="1" s="1"/>
  <c r="S84" i="1" s="1"/>
  <c r="DI84" i="1" s="1"/>
  <c r="M83" i="1"/>
  <c r="K83" i="1"/>
  <c r="J83" i="1"/>
  <c r="H83" i="1"/>
  <c r="CU83" i="1" s="1"/>
  <c r="G83" i="1"/>
  <c r="CT83" i="1" s="1"/>
  <c r="E83" i="1"/>
  <c r="D83" i="1"/>
  <c r="B83" i="1"/>
  <c r="Q83" i="1" s="1"/>
  <c r="S83" i="1" s="1"/>
  <c r="DI83" i="1" s="1"/>
  <c r="M82" i="1"/>
  <c r="K82" i="1"/>
  <c r="J82" i="1"/>
  <c r="H82" i="1"/>
  <c r="CU82" i="1" s="1"/>
  <c r="G82" i="1"/>
  <c r="CT82" i="1" s="1"/>
  <c r="CW82" i="1" s="1"/>
  <c r="E82" i="1"/>
  <c r="D82" i="1"/>
  <c r="B82" i="1"/>
  <c r="Q82" i="1" s="1"/>
  <c r="S82" i="1" s="1"/>
  <c r="DI82" i="1" s="1"/>
  <c r="M81" i="1"/>
  <c r="K81" i="1"/>
  <c r="J81" i="1"/>
  <c r="H81" i="1"/>
  <c r="CU81" i="1" s="1"/>
  <c r="G81" i="1"/>
  <c r="CT81" i="1" s="1"/>
  <c r="E81" i="1"/>
  <c r="D81" i="1"/>
  <c r="B81" i="1"/>
  <c r="Q81" i="1" s="1"/>
  <c r="S81" i="1" s="1"/>
  <c r="DI81" i="1" s="1"/>
  <c r="M80" i="1"/>
  <c r="K80" i="1"/>
  <c r="J80" i="1"/>
  <c r="H80" i="1"/>
  <c r="CU80" i="1" s="1"/>
  <c r="G80" i="1"/>
  <c r="CT80" i="1" s="1"/>
  <c r="CW80" i="1" s="1"/>
  <c r="E80" i="1"/>
  <c r="D80" i="1"/>
  <c r="B80" i="1"/>
  <c r="Q80" i="1" s="1"/>
  <c r="S80" i="1" s="1"/>
  <c r="DI80" i="1" s="1"/>
  <c r="M79" i="1"/>
  <c r="K79" i="1"/>
  <c r="J79" i="1"/>
  <c r="H79" i="1"/>
  <c r="CU79" i="1" s="1"/>
  <c r="G79" i="1"/>
  <c r="CT79" i="1" s="1"/>
  <c r="CW79" i="1" s="1"/>
  <c r="E79" i="1"/>
  <c r="D79" i="1"/>
  <c r="B79" i="1"/>
  <c r="Q79" i="1" s="1"/>
  <c r="S79" i="1" s="1"/>
  <c r="DI79" i="1" s="1"/>
  <c r="M78" i="1"/>
  <c r="K78" i="1"/>
  <c r="J78" i="1"/>
  <c r="H78" i="1"/>
  <c r="CU78" i="1" s="1"/>
  <c r="G78" i="1"/>
  <c r="CT78" i="1" s="1"/>
  <c r="E78" i="1"/>
  <c r="D78" i="1"/>
  <c r="B78" i="1"/>
  <c r="Q78" i="1" s="1"/>
  <c r="S78" i="1" s="1"/>
  <c r="DI78" i="1" s="1"/>
  <c r="M77" i="1"/>
  <c r="K77" i="1"/>
  <c r="J77" i="1"/>
  <c r="H77" i="1"/>
  <c r="CU77" i="1" s="1"/>
  <c r="G77" i="1"/>
  <c r="CT77" i="1" s="1"/>
  <c r="CW77" i="1" s="1"/>
  <c r="E77" i="1"/>
  <c r="D77" i="1"/>
  <c r="B77" i="1"/>
  <c r="Q77" i="1" s="1"/>
  <c r="S77" i="1" s="1"/>
  <c r="DI77" i="1" s="1"/>
  <c r="M76" i="1"/>
  <c r="K76" i="1"/>
  <c r="J76" i="1"/>
  <c r="H76" i="1"/>
  <c r="CU76" i="1" s="1"/>
  <c r="G76" i="1"/>
  <c r="CT76" i="1" s="1"/>
  <c r="E76" i="1"/>
  <c r="D76" i="1"/>
  <c r="B76" i="1"/>
  <c r="Q76" i="1" s="1"/>
  <c r="S76" i="1" s="1"/>
  <c r="DI76" i="1" s="1"/>
  <c r="M75" i="1"/>
  <c r="K75" i="1"/>
  <c r="J75" i="1"/>
  <c r="H75" i="1"/>
  <c r="CU75" i="1" s="1"/>
  <c r="G75" i="1"/>
  <c r="CT75" i="1" s="1"/>
  <c r="E75" i="1"/>
  <c r="D75" i="1"/>
  <c r="B75" i="1"/>
  <c r="Q75" i="1" s="1"/>
  <c r="S75" i="1" s="1"/>
  <c r="DI75" i="1" s="1"/>
  <c r="M74" i="1"/>
  <c r="K74" i="1"/>
  <c r="J74" i="1"/>
  <c r="H74" i="1"/>
  <c r="CU74" i="1" s="1"/>
  <c r="G74" i="1"/>
  <c r="CT74" i="1" s="1"/>
  <c r="E74" i="1"/>
  <c r="D74" i="1"/>
  <c r="B74" i="1"/>
  <c r="Q74" i="1" s="1"/>
  <c r="S74" i="1" s="1"/>
  <c r="DI74" i="1" s="1"/>
  <c r="M73" i="1"/>
  <c r="K73" i="1"/>
  <c r="J73" i="1"/>
  <c r="H73" i="1"/>
  <c r="CU73" i="1" s="1"/>
  <c r="G73" i="1"/>
  <c r="E73" i="1"/>
  <c r="D73" i="1"/>
  <c r="B73" i="1"/>
  <c r="Q73" i="1" s="1"/>
  <c r="S73" i="1" s="1"/>
  <c r="DI73" i="1" s="1"/>
  <c r="M72" i="1"/>
  <c r="K72" i="1"/>
  <c r="J72" i="1"/>
  <c r="H72" i="1"/>
  <c r="CU72" i="1" s="1"/>
  <c r="G72" i="1"/>
  <c r="CT72" i="1" s="1"/>
  <c r="E72" i="1"/>
  <c r="D72" i="1"/>
  <c r="B72" i="1"/>
  <c r="Q72" i="1" s="1"/>
  <c r="S72" i="1" s="1"/>
  <c r="DI72" i="1" s="1"/>
  <c r="M71" i="1"/>
  <c r="K71" i="1"/>
  <c r="J71" i="1"/>
  <c r="H71" i="1"/>
  <c r="CU71" i="1" s="1"/>
  <c r="G71" i="1"/>
  <c r="CT71" i="1" s="1"/>
  <c r="E71" i="1"/>
  <c r="D71" i="1"/>
  <c r="B71" i="1"/>
  <c r="Q71" i="1" s="1"/>
  <c r="S71" i="1" s="1"/>
  <c r="DI71" i="1" s="1"/>
  <c r="M70" i="1"/>
  <c r="K70" i="1"/>
  <c r="J70" i="1"/>
  <c r="H70" i="1"/>
  <c r="CU70" i="1" s="1"/>
  <c r="G70" i="1"/>
  <c r="CT70" i="1" s="1"/>
  <c r="E70" i="1"/>
  <c r="D70" i="1"/>
  <c r="B70" i="1"/>
  <c r="Q70" i="1" s="1"/>
  <c r="S70" i="1" s="1"/>
  <c r="DI70" i="1" s="1"/>
  <c r="M69" i="1"/>
  <c r="K69" i="1"/>
  <c r="J69" i="1"/>
  <c r="H69" i="1"/>
  <c r="CU69" i="1" s="1"/>
  <c r="G69" i="1"/>
  <c r="CT69" i="1" s="1"/>
  <c r="E69" i="1"/>
  <c r="D69" i="1"/>
  <c r="B69" i="1"/>
  <c r="Q69" i="1" s="1"/>
  <c r="S69" i="1" s="1"/>
  <c r="DI69" i="1" s="1"/>
  <c r="M68" i="1"/>
  <c r="K68" i="1"/>
  <c r="J68" i="1"/>
  <c r="H68" i="1"/>
  <c r="CU68" i="1" s="1"/>
  <c r="G68" i="1"/>
  <c r="CT68" i="1" s="1"/>
  <c r="CW68" i="1" s="1"/>
  <c r="E68" i="1"/>
  <c r="D68" i="1"/>
  <c r="B68" i="1"/>
  <c r="Q68" i="1" s="1"/>
  <c r="S68" i="1" s="1"/>
  <c r="DI68" i="1" s="1"/>
  <c r="M67" i="1"/>
  <c r="K67" i="1"/>
  <c r="J67" i="1"/>
  <c r="H67" i="1"/>
  <c r="CU67" i="1" s="1"/>
  <c r="G67" i="1"/>
  <c r="CT67" i="1" s="1"/>
  <c r="E67" i="1"/>
  <c r="D67" i="1"/>
  <c r="B67" i="1"/>
  <c r="Q67" i="1" s="1"/>
  <c r="S67" i="1" s="1"/>
  <c r="DI67" i="1" s="1"/>
  <c r="M66" i="1"/>
  <c r="K66" i="1"/>
  <c r="J66" i="1"/>
  <c r="H66" i="1"/>
  <c r="CU66" i="1" s="1"/>
  <c r="G66" i="1"/>
  <c r="CT66" i="1" s="1"/>
  <c r="CW66" i="1" s="1"/>
  <c r="E66" i="1"/>
  <c r="D66" i="1"/>
  <c r="B66" i="1"/>
  <c r="Q66" i="1" s="1"/>
  <c r="S66" i="1" s="1"/>
  <c r="DI66" i="1" s="1"/>
  <c r="M65" i="1"/>
  <c r="K65" i="1"/>
  <c r="J65" i="1"/>
  <c r="H65" i="1"/>
  <c r="CU65" i="1" s="1"/>
  <c r="G65" i="1"/>
  <c r="CT65" i="1" s="1"/>
  <c r="E65" i="1"/>
  <c r="D65" i="1"/>
  <c r="B65" i="1"/>
  <c r="Q65" i="1" s="1"/>
  <c r="S65" i="1" s="1"/>
  <c r="DI65" i="1" s="1"/>
  <c r="M64" i="1"/>
  <c r="K64" i="1"/>
  <c r="J64" i="1"/>
  <c r="H64" i="1"/>
  <c r="CU64" i="1" s="1"/>
  <c r="G64" i="1"/>
  <c r="CT64" i="1" s="1"/>
  <c r="CW64" i="1" s="1"/>
  <c r="E64" i="1"/>
  <c r="D64" i="1"/>
  <c r="B64" i="1"/>
  <c r="Q64" i="1" s="1"/>
  <c r="S64" i="1" s="1"/>
  <c r="DI64" i="1" s="1"/>
  <c r="M63" i="1"/>
  <c r="K63" i="1"/>
  <c r="J63" i="1"/>
  <c r="H63" i="1"/>
  <c r="CU63" i="1" s="1"/>
  <c r="G63" i="1"/>
  <c r="CT63" i="1" s="1"/>
  <c r="CW63" i="1" s="1"/>
  <c r="E63" i="1"/>
  <c r="D63" i="1"/>
  <c r="B63" i="1"/>
  <c r="Q63" i="1" s="1"/>
  <c r="S63" i="1" s="1"/>
  <c r="DI63" i="1" s="1"/>
  <c r="M62" i="1"/>
  <c r="K62" i="1"/>
  <c r="J62" i="1"/>
  <c r="H62" i="1"/>
  <c r="CU62" i="1" s="1"/>
  <c r="G62" i="1"/>
  <c r="CT62" i="1" s="1"/>
  <c r="E62" i="1"/>
  <c r="D62" i="1"/>
  <c r="B62" i="1"/>
  <c r="Q62" i="1" s="1"/>
  <c r="S62" i="1" s="1"/>
  <c r="DI62" i="1" s="1"/>
  <c r="M61" i="1"/>
  <c r="K61" i="1"/>
  <c r="J61" i="1"/>
  <c r="H61" i="1"/>
  <c r="CU61" i="1" s="1"/>
  <c r="G61" i="1"/>
  <c r="CT61" i="1" s="1"/>
  <c r="CW61" i="1" s="1"/>
  <c r="E61" i="1"/>
  <c r="D61" i="1"/>
  <c r="B61" i="1"/>
  <c r="Q61" i="1" s="1"/>
  <c r="S61" i="1" s="1"/>
  <c r="DI61" i="1" s="1"/>
  <c r="M60" i="1"/>
  <c r="K60" i="1"/>
  <c r="J60" i="1"/>
  <c r="H60" i="1"/>
  <c r="CU60" i="1" s="1"/>
  <c r="G60" i="1"/>
  <c r="E60" i="1"/>
  <c r="D60" i="1"/>
  <c r="B60" i="1"/>
  <c r="Q60" i="1" s="1"/>
  <c r="S60" i="1" s="1"/>
  <c r="DI60" i="1" s="1"/>
  <c r="M59" i="1"/>
  <c r="K59" i="1"/>
  <c r="J59" i="1"/>
  <c r="H59" i="1"/>
  <c r="CU59" i="1" s="1"/>
  <c r="G59" i="1"/>
  <c r="CT59" i="1" s="1"/>
  <c r="E59" i="1"/>
  <c r="D59" i="1"/>
  <c r="B59" i="1"/>
  <c r="Q59" i="1" s="1"/>
  <c r="S59" i="1" s="1"/>
  <c r="DI59" i="1" s="1"/>
  <c r="M58" i="1"/>
  <c r="K58" i="1"/>
  <c r="J58" i="1"/>
  <c r="H58" i="1"/>
  <c r="CU58" i="1" s="1"/>
  <c r="G58" i="1"/>
  <c r="CT58" i="1" s="1"/>
  <c r="E58" i="1"/>
  <c r="D58" i="1"/>
  <c r="B58" i="1"/>
  <c r="Q58" i="1" s="1"/>
  <c r="S58" i="1" s="1"/>
  <c r="DI58" i="1" s="1"/>
  <c r="M57" i="1"/>
  <c r="K57" i="1"/>
  <c r="J57" i="1"/>
  <c r="H57" i="1"/>
  <c r="CU57" i="1" s="1"/>
  <c r="G57" i="1"/>
  <c r="CT57" i="1" s="1"/>
  <c r="E57" i="1"/>
  <c r="D57" i="1"/>
  <c r="B57" i="1"/>
  <c r="Q57" i="1" s="1"/>
  <c r="S57" i="1" s="1"/>
  <c r="DI57" i="1" s="1"/>
  <c r="M56" i="1"/>
  <c r="K56" i="1"/>
  <c r="J56" i="1"/>
  <c r="H56" i="1"/>
  <c r="CU56" i="1" s="1"/>
  <c r="G56" i="1"/>
  <c r="CT56" i="1" s="1"/>
  <c r="CW56" i="1" s="1"/>
  <c r="E56" i="1"/>
  <c r="D56" i="1"/>
  <c r="B56" i="1"/>
  <c r="Q56" i="1" s="1"/>
  <c r="S56" i="1" s="1"/>
  <c r="DI56" i="1" s="1"/>
  <c r="M55" i="1"/>
  <c r="K55" i="1"/>
  <c r="J55" i="1"/>
  <c r="H55" i="1"/>
  <c r="CU55" i="1" s="1"/>
  <c r="G55" i="1"/>
  <c r="CT55" i="1" s="1"/>
  <c r="E55" i="1"/>
  <c r="D55" i="1"/>
  <c r="B55" i="1"/>
  <c r="Q55" i="1" s="1"/>
  <c r="S55" i="1" s="1"/>
  <c r="DI55" i="1" s="1"/>
  <c r="M54" i="1"/>
  <c r="K54" i="1"/>
  <c r="J54" i="1"/>
  <c r="H54" i="1"/>
  <c r="CU54" i="1" s="1"/>
  <c r="G54" i="1"/>
  <c r="CT54" i="1" s="1"/>
  <c r="E54" i="1"/>
  <c r="D54" i="1"/>
  <c r="B54" i="1"/>
  <c r="Q54" i="1" s="1"/>
  <c r="S54" i="1" s="1"/>
  <c r="DI54" i="1" s="1"/>
  <c r="M53" i="1"/>
  <c r="K53" i="1"/>
  <c r="J53" i="1"/>
  <c r="H53" i="1"/>
  <c r="CU53" i="1" s="1"/>
  <c r="G53" i="1"/>
  <c r="CT53" i="1" s="1"/>
  <c r="E53" i="1"/>
  <c r="D53" i="1"/>
  <c r="B53" i="1"/>
  <c r="Q53" i="1" s="1"/>
  <c r="S53" i="1" s="1"/>
  <c r="DI53" i="1" s="1"/>
  <c r="M52" i="1"/>
  <c r="K52" i="1"/>
  <c r="J52" i="1"/>
  <c r="H52" i="1"/>
  <c r="CU52" i="1" s="1"/>
  <c r="G52" i="1"/>
  <c r="CT52" i="1" s="1"/>
  <c r="E52" i="1"/>
  <c r="D52" i="1"/>
  <c r="B52" i="1"/>
  <c r="Q52" i="1" s="1"/>
  <c r="S52" i="1" s="1"/>
  <c r="DI52" i="1" s="1"/>
  <c r="M51" i="1"/>
  <c r="K51" i="1"/>
  <c r="J51" i="1"/>
  <c r="H51" i="1"/>
  <c r="CU51" i="1" s="1"/>
  <c r="G51" i="1"/>
  <c r="CT51" i="1" s="1"/>
  <c r="CW51" i="1" s="1"/>
  <c r="E51" i="1"/>
  <c r="D51" i="1"/>
  <c r="B51" i="1"/>
  <c r="Q51" i="1" s="1"/>
  <c r="S51" i="1" s="1"/>
  <c r="DI51" i="1" s="1"/>
  <c r="M50" i="1"/>
  <c r="K50" i="1"/>
  <c r="J50" i="1"/>
  <c r="H50" i="1"/>
  <c r="CU50" i="1" s="1"/>
  <c r="G50" i="1"/>
  <c r="CT50" i="1" s="1"/>
  <c r="E50" i="1"/>
  <c r="D50" i="1"/>
  <c r="B50" i="1"/>
  <c r="Q50" i="1" s="1"/>
  <c r="S50" i="1" s="1"/>
  <c r="DI50" i="1" s="1"/>
  <c r="M49" i="1"/>
  <c r="K49" i="1"/>
  <c r="J49" i="1"/>
  <c r="H49" i="1"/>
  <c r="CU49" i="1" s="1"/>
  <c r="G49" i="1"/>
  <c r="CT49" i="1" s="1"/>
  <c r="E49" i="1"/>
  <c r="D49" i="1"/>
  <c r="B49" i="1"/>
  <c r="Q49" i="1" s="1"/>
  <c r="S49" i="1" s="1"/>
  <c r="DI49" i="1" s="1"/>
  <c r="M48" i="1"/>
  <c r="K48" i="1"/>
  <c r="J48" i="1"/>
  <c r="H48" i="1"/>
  <c r="CU48" i="1" s="1"/>
  <c r="G48" i="1"/>
  <c r="CT48" i="1" s="1"/>
  <c r="E48" i="1"/>
  <c r="D48" i="1"/>
  <c r="B48" i="1"/>
  <c r="Q48" i="1" s="1"/>
  <c r="S48" i="1" s="1"/>
  <c r="DI48" i="1" s="1"/>
  <c r="M47" i="1"/>
  <c r="K47" i="1"/>
  <c r="J47" i="1"/>
  <c r="H47" i="1"/>
  <c r="CU47" i="1" s="1"/>
  <c r="G47" i="1"/>
  <c r="CT47" i="1" s="1"/>
  <c r="CW47" i="1" s="1"/>
  <c r="E47" i="1"/>
  <c r="D47" i="1"/>
  <c r="B47" i="1"/>
  <c r="Q47" i="1" s="1"/>
  <c r="S47" i="1" s="1"/>
  <c r="DI47" i="1" s="1"/>
  <c r="M46" i="1"/>
  <c r="K46" i="1"/>
  <c r="J46" i="1"/>
  <c r="H46" i="1"/>
  <c r="CU46" i="1" s="1"/>
  <c r="G46" i="1"/>
  <c r="CT46" i="1" s="1"/>
  <c r="CW46" i="1" s="1"/>
  <c r="E46" i="1"/>
  <c r="D46" i="1"/>
  <c r="B46" i="1"/>
  <c r="Q46" i="1" s="1"/>
  <c r="S46" i="1" s="1"/>
  <c r="DI46" i="1" s="1"/>
  <c r="M45" i="1"/>
  <c r="K45" i="1"/>
  <c r="J45" i="1"/>
  <c r="H45" i="1"/>
  <c r="CU45" i="1" s="1"/>
  <c r="G45" i="1"/>
  <c r="CT45" i="1" s="1"/>
  <c r="E45" i="1"/>
  <c r="D45" i="1"/>
  <c r="B45" i="1"/>
  <c r="Q45" i="1" s="1"/>
  <c r="S45" i="1" s="1"/>
  <c r="DI45" i="1" s="1"/>
  <c r="M44" i="1"/>
  <c r="K44" i="1"/>
  <c r="J44" i="1"/>
  <c r="H44" i="1"/>
  <c r="CU44" i="1" s="1"/>
  <c r="G44" i="1"/>
  <c r="CT44" i="1" s="1"/>
  <c r="CW44" i="1" s="1"/>
  <c r="E44" i="1"/>
  <c r="D44" i="1"/>
  <c r="B44" i="1"/>
  <c r="Q44" i="1" s="1"/>
  <c r="S44" i="1" s="1"/>
  <c r="DI44" i="1" s="1"/>
  <c r="M43" i="1"/>
  <c r="K43" i="1"/>
  <c r="J43" i="1"/>
  <c r="H43" i="1"/>
  <c r="CU43" i="1" s="1"/>
  <c r="G43" i="1"/>
  <c r="CT43" i="1" s="1"/>
  <c r="E43" i="1"/>
  <c r="D43" i="1"/>
  <c r="B43" i="1"/>
  <c r="Q43" i="1" s="1"/>
  <c r="S43" i="1" s="1"/>
  <c r="DI43" i="1" s="1"/>
  <c r="M42" i="1"/>
  <c r="K42" i="1"/>
  <c r="J42" i="1"/>
  <c r="H42" i="1"/>
  <c r="CU42" i="1" s="1"/>
  <c r="G42" i="1"/>
  <c r="CT42" i="1" s="1"/>
  <c r="E42" i="1"/>
  <c r="D42" i="1"/>
  <c r="B42" i="1"/>
  <c r="Q42" i="1" s="1"/>
  <c r="S42" i="1" s="1"/>
  <c r="DI42" i="1" s="1"/>
  <c r="M41" i="1"/>
  <c r="K41" i="1"/>
  <c r="J41" i="1"/>
  <c r="H41" i="1"/>
  <c r="CU41" i="1" s="1"/>
  <c r="G41" i="1"/>
  <c r="CT41" i="1" s="1"/>
  <c r="E41" i="1"/>
  <c r="D41" i="1"/>
  <c r="B41" i="1"/>
  <c r="Q41" i="1" s="1"/>
  <c r="S41" i="1" s="1"/>
  <c r="DI41" i="1" s="1"/>
  <c r="M40" i="1"/>
  <c r="K40" i="1"/>
  <c r="J40" i="1"/>
  <c r="H40" i="1"/>
  <c r="CU40" i="1" s="1"/>
  <c r="G40" i="1"/>
  <c r="CT40" i="1" s="1"/>
  <c r="CW40" i="1" s="1"/>
  <c r="E40" i="1"/>
  <c r="D40" i="1"/>
  <c r="B40" i="1"/>
  <c r="Q40" i="1" s="1"/>
  <c r="S40" i="1" s="1"/>
  <c r="DI40" i="1" s="1"/>
  <c r="M39" i="1"/>
  <c r="K39" i="1"/>
  <c r="J39" i="1"/>
  <c r="H39" i="1"/>
  <c r="CU39" i="1" s="1"/>
  <c r="G39" i="1"/>
  <c r="CT39" i="1" s="1"/>
  <c r="E39" i="1"/>
  <c r="D39" i="1"/>
  <c r="B39" i="1"/>
  <c r="Q39" i="1" s="1"/>
  <c r="S39" i="1" s="1"/>
  <c r="DI39" i="1" s="1"/>
  <c r="M38" i="1"/>
  <c r="K38" i="1"/>
  <c r="J38" i="1"/>
  <c r="H38" i="1"/>
  <c r="CU38" i="1" s="1"/>
  <c r="G38" i="1"/>
  <c r="CT38" i="1" s="1"/>
  <c r="E38" i="1"/>
  <c r="D38" i="1"/>
  <c r="B38" i="1"/>
  <c r="Q38" i="1" s="1"/>
  <c r="S38" i="1" s="1"/>
  <c r="DI38" i="1" s="1"/>
  <c r="M37" i="1"/>
  <c r="K37" i="1"/>
  <c r="J37" i="1"/>
  <c r="H37" i="1"/>
  <c r="CU37" i="1" s="1"/>
  <c r="G37" i="1"/>
  <c r="CT37" i="1" s="1"/>
  <c r="E37" i="1"/>
  <c r="D37" i="1"/>
  <c r="B37" i="1"/>
  <c r="Q37" i="1" s="1"/>
  <c r="S37" i="1" s="1"/>
  <c r="DI37" i="1" s="1"/>
  <c r="M36" i="1"/>
  <c r="K36" i="1"/>
  <c r="J36" i="1"/>
  <c r="H36" i="1"/>
  <c r="CU36" i="1" s="1"/>
  <c r="G36" i="1"/>
  <c r="CT36" i="1" s="1"/>
  <c r="E36" i="1"/>
  <c r="D36" i="1"/>
  <c r="B36" i="1"/>
  <c r="Q36" i="1" s="1"/>
  <c r="S36" i="1" s="1"/>
  <c r="DI36" i="1" s="1"/>
  <c r="M35" i="1"/>
  <c r="K35" i="1"/>
  <c r="J35" i="1"/>
  <c r="H35" i="1"/>
  <c r="CU35" i="1" s="1"/>
  <c r="G35" i="1"/>
  <c r="CT35" i="1" s="1"/>
  <c r="E35" i="1"/>
  <c r="D35" i="1"/>
  <c r="B35" i="1"/>
  <c r="Q35" i="1" s="1"/>
  <c r="S35" i="1" s="1"/>
  <c r="DI35" i="1" s="1"/>
  <c r="M34" i="1"/>
  <c r="K34" i="1"/>
  <c r="J34" i="1"/>
  <c r="H34" i="1"/>
  <c r="CU34" i="1" s="1"/>
  <c r="G34" i="1"/>
  <c r="CT34" i="1" s="1"/>
  <c r="CW34" i="1" s="1"/>
  <c r="E34" i="1"/>
  <c r="D34" i="1"/>
  <c r="B34" i="1"/>
  <c r="Q34" i="1" s="1"/>
  <c r="S34" i="1" s="1"/>
  <c r="DI34" i="1" s="1"/>
  <c r="M33" i="1"/>
  <c r="K33" i="1"/>
  <c r="J33" i="1"/>
  <c r="H33" i="1"/>
  <c r="CU33" i="1" s="1"/>
  <c r="G33" i="1"/>
  <c r="CT33" i="1" s="1"/>
  <c r="E33" i="1"/>
  <c r="D33" i="1"/>
  <c r="B33" i="1"/>
  <c r="Q33" i="1" s="1"/>
  <c r="S33" i="1" s="1"/>
  <c r="DI33" i="1" s="1"/>
  <c r="M32" i="1"/>
  <c r="K32" i="1"/>
  <c r="J32" i="1"/>
  <c r="H32" i="1"/>
  <c r="CU32" i="1" s="1"/>
  <c r="G32" i="1"/>
  <c r="CT32" i="1" s="1"/>
  <c r="E32" i="1"/>
  <c r="D32" i="1"/>
  <c r="B32" i="1"/>
  <c r="Q32" i="1" s="1"/>
  <c r="S32" i="1" s="1"/>
  <c r="DI32" i="1" s="1"/>
  <c r="M31" i="1"/>
  <c r="K31" i="1"/>
  <c r="J31" i="1"/>
  <c r="H31" i="1"/>
  <c r="CU31" i="1" s="1"/>
  <c r="G31" i="1"/>
  <c r="CT31" i="1" s="1"/>
  <c r="E31" i="1"/>
  <c r="D31" i="1"/>
  <c r="B31" i="1"/>
  <c r="Q31" i="1" s="1"/>
  <c r="S31" i="1" s="1"/>
  <c r="DI31" i="1" s="1"/>
  <c r="M30" i="1"/>
  <c r="K30" i="1"/>
  <c r="J30" i="1"/>
  <c r="H30" i="1"/>
  <c r="CU30" i="1" s="1"/>
  <c r="G30" i="1"/>
  <c r="CT30" i="1" s="1"/>
  <c r="E30" i="1"/>
  <c r="D30" i="1"/>
  <c r="B30" i="1"/>
  <c r="Q30" i="1" s="1"/>
  <c r="S30" i="1" s="1"/>
  <c r="DI30" i="1" s="1"/>
  <c r="M29" i="1"/>
  <c r="K29" i="1"/>
  <c r="J29" i="1"/>
  <c r="H29" i="1"/>
  <c r="CU29" i="1" s="1"/>
  <c r="G29" i="1"/>
  <c r="CT29" i="1" s="1"/>
  <c r="E29" i="1"/>
  <c r="D29" i="1"/>
  <c r="B29" i="1"/>
  <c r="Q29" i="1" s="1"/>
  <c r="S29" i="1" s="1"/>
  <c r="DI29" i="1" s="1"/>
  <c r="M28" i="1"/>
  <c r="K28" i="1"/>
  <c r="J28" i="1"/>
  <c r="H28" i="1"/>
  <c r="CU28" i="1" s="1"/>
  <c r="G28" i="1"/>
  <c r="CT28" i="1" s="1"/>
  <c r="CW28" i="1" s="1"/>
  <c r="E28" i="1"/>
  <c r="D28" i="1"/>
  <c r="B28" i="1"/>
  <c r="Q28" i="1" s="1"/>
  <c r="S28" i="1" s="1"/>
  <c r="DI28" i="1" s="1"/>
  <c r="M27" i="1"/>
  <c r="K27" i="1"/>
  <c r="J27" i="1"/>
  <c r="H27" i="1"/>
  <c r="CU27" i="1" s="1"/>
  <c r="G27" i="1"/>
  <c r="CT27" i="1" s="1"/>
  <c r="E27" i="1"/>
  <c r="D27" i="1"/>
  <c r="B27" i="1"/>
  <c r="Q27" i="1" s="1"/>
  <c r="S27" i="1" s="1"/>
  <c r="DI27" i="1" s="1"/>
  <c r="M26" i="1"/>
  <c r="K26" i="1"/>
  <c r="J26" i="1"/>
  <c r="H26" i="1"/>
  <c r="CU26" i="1" s="1"/>
  <c r="G26" i="1"/>
  <c r="CT26" i="1" s="1"/>
  <c r="CW26" i="1" s="1"/>
  <c r="E26" i="1"/>
  <c r="D26" i="1"/>
  <c r="B26" i="1"/>
  <c r="Q26" i="1" s="1"/>
  <c r="S26" i="1" s="1"/>
  <c r="DI26" i="1" s="1"/>
  <c r="M25" i="1"/>
  <c r="K25" i="1"/>
  <c r="J25" i="1"/>
  <c r="H25" i="1"/>
  <c r="CU25" i="1" s="1"/>
  <c r="G25" i="1"/>
  <c r="CT25" i="1" s="1"/>
  <c r="E25" i="1"/>
  <c r="D25" i="1"/>
  <c r="B25" i="1"/>
  <c r="Q25" i="1" s="1"/>
  <c r="S25" i="1" s="1"/>
  <c r="DI25" i="1" s="1"/>
  <c r="M24" i="1"/>
  <c r="K24" i="1"/>
  <c r="J24" i="1"/>
  <c r="H24" i="1"/>
  <c r="CU24" i="1" s="1"/>
  <c r="G24" i="1"/>
  <c r="CT24" i="1" s="1"/>
  <c r="E24" i="1"/>
  <c r="D24" i="1"/>
  <c r="B24" i="1"/>
  <c r="Q24" i="1" s="1"/>
  <c r="S24" i="1" s="1"/>
  <c r="DI24" i="1" s="1"/>
  <c r="M23" i="1"/>
  <c r="K23" i="1"/>
  <c r="J23" i="1"/>
  <c r="H23" i="1"/>
  <c r="CU23" i="1" s="1"/>
  <c r="G23" i="1"/>
  <c r="CT23" i="1" s="1"/>
  <c r="CW23" i="1" s="1"/>
  <c r="E23" i="1"/>
  <c r="D23" i="1"/>
  <c r="B23" i="1"/>
  <c r="Q23" i="1" s="1"/>
  <c r="S23" i="1" s="1"/>
  <c r="DI23" i="1" s="1"/>
  <c r="M22" i="1"/>
  <c r="K22" i="1"/>
  <c r="J22" i="1"/>
  <c r="H22" i="1"/>
  <c r="CU22" i="1" s="1"/>
  <c r="G22" i="1"/>
  <c r="CT22" i="1" s="1"/>
  <c r="E22" i="1"/>
  <c r="D22" i="1"/>
  <c r="B22" i="1"/>
  <c r="Q22" i="1" s="1"/>
  <c r="S22" i="1" s="1"/>
  <c r="DI22" i="1" s="1"/>
  <c r="M21" i="1"/>
  <c r="K21" i="1"/>
  <c r="J21" i="1"/>
  <c r="H21" i="1"/>
  <c r="CU21" i="1" s="1"/>
  <c r="G21" i="1"/>
  <c r="CT21" i="1" s="1"/>
  <c r="E21" i="1"/>
  <c r="D21" i="1"/>
  <c r="B21" i="1"/>
  <c r="Q21" i="1" s="1"/>
  <c r="S21" i="1" s="1"/>
  <c r="DI21" i="1" s="1"/>
  <c r="M20" i="1"/>
  <c r="K20" i="1"/>
  <c r="J20" i="1"/>
  <c r="H20" i="1"/>
  <c r="CU20" i="1" s="1"/>
  <c r="G20" i="1"/>
  <c r="CT20" i="1" s="1"/>
  <c r="E20" i="1"/>
  <c r="D20" i="1"/>
  <c r="B20" i="1"/>
  <c r="Q20" i="1" s="1"/>
  <c r="S20" i="1" s="1"/>
  <c r="M19" i="1"/>
  <c r="K19" i="1"/>
  <c r="J19" i="1"/>
  <c r="H19" i="1"/>
  <c r="CU19" i="1" s="1"/>
  <c r="G19" i="1"/>
  <c r="CT19" i="1" s="1"/>
  <c r="E19" i="1"/>
  <c r="D19" i="1"/>
  <c r="B19" i="1"/>
  <c r="Q19" i="1" s="1"/>
  <c r="S19" i="1" s="1"/>
  <c r="DI19" i="1" s="1"/>
  <c r="M18" i="1"/>
  <c r="K18" i="1"/>
  <c r="J18" i="1"/>
  <c r="H18" i="1"/>
  <c r="CU18" i="1" s="1"/>
  <c r="G18" i="1"/>
  <c r="CT18" i="1" s="1"/>
  <c r="E18" i="1"/>
  <c r="D18" i="1"/>
  <c r="B18" i="1"/>
  <c r="Q18" i="1" s="1"/>
  <c r="S18" i="1" s="1"/>
  <c r="DI18" i="1" s="1"/>
  <c r="M17" i="1"/>
  <c r="K17" i="1"/>
  <c r="J17" i="1"/>
  <c r="H17" i="1"/>
  <c r="CU17" i="1" s="1"/>
  <c r="G17" i="1"/>
  <c r="CT17" i="1" s="1"/>
  <c r="E17" i="1"/>
  <c r="D17" i="1"/>
  <c r="B17" i="1"/>
  <c r="Q17" i="1" s="1"/>
  <c r="S17" i="1" s="1"/>
  <c r="DI17" i="1" s="1"/>
  <c r="M16" i="1"/>
  <c r="K16" i="1"/>
  <c r="J16" i="1"/>
  <c r="H16" i="1"/>
  <c r="CU16" i="1" s="1"/>
  <c r="G16" i="1"/>
  <c r="CT16" i="1" s="1"/>
  <c r="E16" i="1"/>
  <c r="D16" i="1"/>
  <c r="B16" i="1"/>
  <c r="Q16" i="1" s="1"/>
  <c r="S16" i="1" s="1"/>
  <c r="DI16" i="1" s="1"/>
  <c r="M15" i="1"/>
  <c r="K15" i="1"/>
  <c r="J15" i="1"/>
  <c r="H15" i="1"/>
  <c r="CU15" i="1" s="1"/>
  <c r="G15" i="1"/>
  <c r="CT15" i="1" s="1"/>
  <c r="E15" i="1"/>
  <c r="D15" i="1"/>
  <c r="B15" i="1"/>
  <c r="Q15" i="1" s="1"/>
  <c r="M14" i="1"/>
  <c r="K14" i="1"/>
  <c r="J14" i="1"/>
  <c r="H14" i="1"/>
  <c r="CU14" i="1" s="1"/>
  <c r="G14" i="1"/>
  <c r="CT14" i="1" s="1"/>
  <c r="CW14" i="1" s="1"/>
  <c r="E14" i="1"/>
  <c r="D14" i="1"/>
  <c r="B14" i="1"/>
  <c r="Q14" i="1" s="1"/>
  <c r="CM12" i="1"/>
  <c r="BG370" i="1" l="1"/>
  <c r="BF370" i="1"/>
  <c r="T359" i="1"/>
  <c r="U359" i="1" s="1"/>
  <c r="DI359" i="1"/>
  <c r="T399" i="1"/>
  <c r="U399" i="1" s="1"/>
  <c r="DI399" i="1"/>
  <c r="T353" i="1"/>
  <c r="U353" i="1" s="1"/>
  <c r="DI353" i="1"/>
  <c r="T367" i="1"/>
  <c r="U367" i="1" s="1"/>
  <c r="DI367" i="1"/>
  <c r="T383" i="1"/>
  <c r="U383" i="1" s="1"/>
  <c r="DI383" i="1"/>
  <c r="T393" i="1"/>
  <c r="U393" i="1" s="1"/>
  <c r="DI393" i="1"/>
  <c r="T407" i="1"/>
  <c r="U407" i="1" s="1"/>
  <c r="DI407" i="1"/>
  <c r="T347" i="1"/>
  <c r="U347" i="1" s="1"/>
  <c r="DI347" i="1"/>
  <c r="T365" i="1"/>
  <c r="U365" i="1" s="1"/>
  <c r="DI365" i="1"/>
  <c r="T387" i="1"/>
  <c r="U387" i="1" s="1"/>
  <c r="DI387" i="1"/>
  <c r="T405" i="1"/>
  <c r="U405" i="1" s="1"/>
  <c r="DI405" i="1"/>
  <c r="T349" i="1"/>
  <c r="U349" i="1" s="1"/>
  <c r="DI349" i="1"/>
  <c r="T361" i="1"/>
  <c r="U361" i="1" s="1"/>
  <c r="DI361" i="1"/>
  <c r="T369" i="1"/>
  <c r="U369" i="1" s="1"/>
  <c r="DI369" i="1"/>
  <c r="T379" i="1"/>
  <c r="U379" i="1" s="1"/>
  <c r="DI379" i="1"/>
  <c r="T389" i="1"/>
  <c r="U389" i="1" s="1"/>
  <c r="DI389" i="1"/>
  <c r="T397" i="1"/>
  <c r="U397" i="1" s="1"/>
  <c r="DI397" i="1"/>
  <c r="T351" i="1"/>
  <c r="U351" i="1" s="1"/>
  <c r="DI351" i="1"/>
  <c r="T375" i="1"/>
  <c r="U375" i="1" s="1"/>
  <c r="DI375" i="1"/>
  <c r="T401" i="1"/>
  <c r="U401" i="1" s="1"/>
  <c r="DI401" i="1"/>
  <c r="T357" i="1"/>
  <c r="U357" i="1" s="1"/>
  <c r="DI357" i="1"/>
  <c r="T371" i="1"/>
  <c r="U371" i="1" s="1"/>
  <c r="DI371" i="1"/>
  <c r="T381" i="1"/>
  <c r="U381" i="1" s="1"/>
  <c r="DI381" i="1"/>
  <c r="T395" i="1"/>
  <c r="U395" i="1" s="1"/>
  <c r="DI395" i="1"/>
  <c r="T409" i="1"/>
  <c r="U409" i="1" s="1"/>
  <c r="DI409" i="1"/>
  <c r="T355" i="1"/>
  <c r="U355" i="1" s="1"/>
  <c r="DI355" i="1"/>
  <c r="T377" i="1"/>
  <c r="U377" i="1" s="1"/>
  <c r="DI377" i="1"/>
  <c r="T411" i="1"/>
  <c r="U411" i="1" s="1"/>
  <c r="DI411" i="1"/>
  <c r="T350" i="1"/>
  <c r="U350" i="1" s="1"/>
  <c r="DI350" i="1"/>
  <c r="T354" i="1"/>
  <c r="U354" i="1" s="1"/>
  <c r="DI354" i="1"/>
  <c r="T356" i="1"/>
  <c r="U356" i="1" s="1"/>
  <c r="DI356" i="1"/>
  <c r="T362" i="1"/>
  <c r="U362" i="1" s="1"/>
  <c r="DI362" i="1"/>
  <c r="T366" i="1"/>
  <c r="U366" i="1" s="1"/>
  <c r="DI366" i="1"/>
  <c r="T368" i="1"/>
  <c r="U368" i="1" s="1"/>
  <c r="DI368" i="1"/>
  <c r="T370" i="1"/>
  <c r="U370" i="1" s="1"/>
  <c r="DI370" i="1"/>
  <c r="T372" i="1"/>
  <c r="U372" i="1" s="1"/>
  <c r="DI372" i="1"/>
  <c r="T374" i="1"/>
  <c r="U374" i="1" s="1"/>
  <c r="DI374" i="1"/>
  <c r="T376" i="1"/>
  <c r="U376" i="1" s="1"/>
  <c r="DI376" i="1"/>
  <c r="T378" i="1"/>
  <c r="U378" i="1" s="1"/>
  <c r="DI378" i="1"/>
  <c r="T380" i="1"/>
  <c r="U380" i="1" s="1"/>
  <c r="DI380" i="1"/>
  <c r="T382" i="1"/>
  <c r="U382" i="1" s="1"/>
  <c r="DI382" i="1"/>
  <c r="T386" i="1"/>
  <c r="U386" i="1" s="1"/>
  <c r="DI386" i="1"/>
  <c r="T388" i="1"/>
  <c r="U388" i="1" s="1"/>
  <c r="DI388" i="1"/>
  <c r="T390" i="1"/>
  <c r="U390" i="1" s="1"/>
  <c r="DI390" i="1"/>
  <c r="T392" i="1"/>
  <c r="U392" i="1" s="1"/>
  <c r="DI392" i="1"/>
  <c r="T394" i="1"/>
  <c r="U394" i="1" s="1"/>
  <c r="DI394" i="1"/>
  <c r="T396" i="1"/>
  <c r="U396" i="1" s="1"/>
  <c r="DI396" i="1"/>
  <c r="T398" i="1"/>
  <c r="U398" i="1" s="1"/>
  <c r="DI398" i="1"/>
  <c r="T400" i="1"/>
  <c r="U400" i="1" s="1"/>
  <c r="DI400" i="1"/>
  <c r="T402" i="1"/>
  <c r="U402" i="1" s="1"/>
  <c r="DI402" i="1"/>
  <c r="T404" i="1"/>
  <c r="U404" i="1" s="1"/>
  <c r="DI404" i="1"/>
  <c r="T406" i="1"/>
  <c r="U406" i="1" s="1"/>
  <c r="DI406" i="1"/>
  <c r="T408" i="1"/>
  <c r="U408" i="1" s="1"/>
  <c r="DI408" i="1"/>
  <c r="T410" i="1"/>
  <c r="U410" i="1" s="1"/>
  <c r="DI410" i="1"/>
  <c r="CV28" i="1"/>
  <c r="AL275" i="1"/>
  <c r="AK275" i="1"/>
  <c r="AL287" i="1"/>
  <c r="CV287" i="1" s="1"/>
  <c r="AK287" i="1"/>
  <c r="AP370" i="1"/>
  <c r="AO370" i="1"/>
  <c r="AL370" i="1"/>
  <c r="AK370" i="1"/>
  <c r="BL275" i="1"/>
  <c r="BK275" i="1"/>
  <c r="BL287" i="1"/>
  <c r="BK287" i="1"/>
  <c r="BL370" i="1"/>
  <c r="BK370" i="1"/>
  <c r="S411" i="1"/>
  <c r="R411" i="1"/>
  <c r="S405" i="1"/>
  <c r="R405" i="1"/>
  <c r="CW15" i="1"/>
  <c r="CV15" i="1"/>
  <c r="CW35" i="1"/>
  <c r="S14" i="1"/>
  <c r="DI14" i="1" s="1"/>
  <c r="R410" i="1"/>
  <c r="S410" i="1"/>
  <c r="CW19" i="1"/>
  <c r="R409" i="1"/>
  <c r="S409" i="1"/>
  <c r="CW22" i="1"/>
  <c r="CW38" i="1"/>
  <c r="EM38" i="1" s="1"/>
  <c r="CV38" i="1"/>
  <c r="CW27" i="1"/>
  <c r="CV27" i="1"/>
  <c r="O21" i="1"/>
  <c r="CV30" i="1"/>
  <c r="CW30" i="1"/>
  <c r="EM30" i="1" s="1"/>
  <c r="CV14" i="1"/>
  <c r="CW31" i="1"/>
  <c r="CV31" i="1"/>
  <c r="CW18" i="1"/>
  <c r="S407" i="1"/>
  <c r="R407" i="1"/>
  <c r="R406" i="1"/>
  <c r="S406" i="1"/>
  <c r="O22" i="1"/>
  <c r="R408" i="1"/>
  <c r="S408" i="1"/>
  <c r="CV26" i="1"/>
  <c r="S15" i="1"/>
  <c r="DI15" i="1" s="1"/>
  <c r="Q412" i="1"/>
  <c r="DI412" i="1" s="1"/>
  <c r="CW17" i="1"/>
  <c r="EM17" i="1" s="1"/>
  <c r="CV17" i="1"/>
  <c r="CW21" i="1"/>
  <c r="EM21" i="1" s="1"/>
  <c r="CW25" i="1"/>
  <c r="CV25" i="1"/>
  <c r="CW29" i="1"/>
  <c r="CV29" i="1"/>
  <c r="CW33" i="1"/>
  <c r="CW37" i="1"/>
  <c r="CV37" i="1"/>
  <c r="Z370" i="1"/>
  <c r="AA370" i="1" s="1"/>
  <c r="AI370" i="1" s="1"/>
  <c r="W370" i="1"/>
  <c r="X370" i="1" s="1"/>
  <c r="CK370" i="1" s="1"/>
  <c r="CL370" i="1" s="1"/>
  <c r="O20" i="1"/>
  <c r="CV16" i="1"/>
  <c r="CW16" i="1"/>
  <c r="CW20" i="1"/>
  <c r="EM20" i="1" s="1"/>
  <c r="CW24" i="1"/>
  <c r="CV24" i="1"/>
  <c r="CV32" i="1"/>
  <c r="CW32" i="1"/>
  <c r="CW36" i="1"/>
  <c r="W275" i="1"/>
  <c r="Z275" i="1"/>
  <c r="AA275" i="1" s="1"/>
  <c r="W287" i="1"/>
  <c r="Z287" i="1"/>
  <c r="AA287" i="1" s="1"/>
  <c r="S345" i="1"/>
  <c r="DI345" i="1" s="1"/>
  <c r="S346" i="1"/>
  <c r="DI346" i="1" s="1"/>
  <c r="S347" i="1"/>
  <c r="R347" i="1"/>
  <c r="Q348" i="1"/>
  <c r="DI348" i="1" s="1"/>
  <c r="S349" i="1"/>
  <c r="R349" i="1"/>
  <c r="R350" i="1"/>
  <c r="S350" i="1"/>
  <c r="S351" i="1"/>
  <c r="R351" i="1"/>
  <c r="Q352" i="1"/>
  <c r="DI352" i="1" s="1"/>
  <c r="S353" i="1"/>
  <c r="R353" i="1"/>
  <c r="S354" i="1"/>
  <c r="R354" i="1"/>
  <c r="S355" i="1"/>
  <c r="R355" i="1"/>
  <c r="S356" i="1"/>
  <c r="R356" i="1"/>
  <c r="S357" i="1"/>
  <c r="R357" i="1"/>
  <c r="Q358" i="1"/>
  <c r="DI358" i="1" s="1"/>
  <c r="R359" i="1"/>
  <c r="S359" i="1"/>
  <c r="Q360" i="1"/>
  <c r="DI360" i="1" s="1"/>
  <c r="R361" i="1"/>
  <c r="S361" i="1"/>
  <c r="R362" i="1"/>
  <c r="S362" i="1"/>
  <c r="Q363" i="1"/>
  <c r="Q364" i="1"/>
  <c r="DI364" i="1" s="1"/>
  <c r="S365" i="1"/>
  <c r="R365" i="1"/>
  <c r="R366" i="1"/>
  <c r="S366" i="1"/>
  <c r="S367" i="1"/>
  <c r="R367" i="1"/>
  <c r="R368" i="1"/>
  <c r="S368" i="1"/>
  <c r="S369" i="1"/>
  <c r="R369" i="1"/>
  <c r="R370" i="1"/>
  <c r="S370" i="1"/>
  <c r="S371" i="1"/>
  <c r="R371" i="1"/>
  <c r="R372" i="1"/>
  <c r="S372" i="1"/>
  <c r="Q373" i="1"/>
  <c r="R374" i="1"/>
  <c r="S374" i="1"/>
  <c r="S375" i="1"/>
  <c r="R375" i="1"/>
  <c r="R376" i="1"/>
  <c r="S376" i="1"/>
  <c r="R377" i="1"/>
  <c r="S377" i="1"/>
  <c r="R378" i="1"/>
  <c r="S378" i="1"/>
  <c r="S379" i="1"/>
  <c r="R379" i="1"/>
  <c r="S380" i="1"/>
  <c r="R380" i="1"/>
  <c r="S381" i="1"/>
  <c r="R381" i="1"/>
  <c r="S382" i="1"/>
  <c r="R382" i="1"/>
  <c r="S383" i="1"/>
  <c r="R383" i="1"/>
  <c r="Q384" i="1"/>
  <c r="DI384" i="1" s="1"/>
  <c r="Q385" i="1"/>
  <c r="S386" i="1"/>
  <c r="R386" i="1"/>
  <c r="S387" i="1"/>
  <c r="R387" i="1"/>
  <c r="S388" i="1"/>
  <c r="R388" i="1"/>
  <c r="S389" i="1"/>
  <c r="R389" i="1"/>
  <c r="S390" i="1"/>
  <c r="R390" i="1"/>
  <c r="Q391" i="1"/>
  <c r="DI391" i="1" s="1"/>
  <c r="R392" i="1"/>
  <c r="S392" i="1"/>
  <c r="R393" i="1"/>
  <c r="S393" i="1"/>
  <c r="R394" i="1"/>
  <c r="S394" i="1"/>
  <c r="S395" i="1"/>
  <c r="R395" i="1"/>
  <c r="R396" i="1"/>
  <c r="S396" i="1"/>
  <c r="S397" i="1"/>
  <c r="R397" i="1"/>
  <c r="R398" i="1"/>
  <c r="S398" i="1"/>
  <c r="S399" i="1"/>
  <c r="R399" i="1"/>
  <c r="R400" i="1"/>
  <c r="S400" i="1"/>
  <c r="S401" i="1"/>
  <c r="R401" i="1"/>
  <c r="R402" i="1"/>
  <c r="S402" i="1"/>
  <c r="Q403" i="1"/>
  <c r="DI403" i="1" s="1"/>
  <c r="R404" i="1"/>
  <c r="S404" i="1"/>
  <c r="O55" i="1"/>
  <c r="O89" i="1"/>
  <c r="O90" i="1"/>
  <c r="O91" i="1"/>
  <c r="O303" i="1"/>
  <c r="O304" i="1"/>
  <c r="O305" i="1"/>
  <c r="O306" i="1"/>
  <c r="O307" i="1"/>
  <c r="O308" i="1"/>
  <c r="O309" i="1"/>
  <c r="O310" i="1"/>
  <c r="O394" i="1"/>
  <c r="O395" i="1"/>
  <c r="O396" i="1"/>
  <c r="O397" i="1"/>
  <c r="O398" i="1"/>
  <c r="O399" i="1"/>
  <c r="O400" i="1"/>
  <c r="O401" i="1"/>
  <c r="O402" i="1"/>
  <c r="O403" i="1"/>
  <c r="O404" i="1"/>
  <c r="O54" i="1"/>
  <c r="O92" i="1"/>
  <c r="O93" i="1"/>
  <c r="O94" i="1"/>
  <c r="O95" i="1"/>
  <c r="O311" i="1"/>
  <c r="O312" i="1"/>
  <c r="O313" i="1"/>
  <c r="O314" i="1"/>
  <c r="O315" i="1"/>
  <c r="O316" i="1"/>
  <c r="O317" i="1"/>
  <c r="O318" i="1"/>
  <c r="O319" i="1"/>
  <c r="O405" i="1"/>
  <c r="O406" i="1"/>
  <c r="O407" i="1"/>
  <c r="O408" i="1"/>
  <c r="O409" i="1"/>
  <c r="O410" i="1"/>
  <c r="O411" i="1"/>
  <c r="O96" i="1"/>
  <c r="O97" i="1"/>
  <c r="O98" i="1"/>
  <c r="O99" i="1"/>
  <c r="O100" i="1"/>
  <c r="O101" i="1"/>
  <c r="O102" i="1"/>
  <c r="O103" i="1"/>
  <c r="O104" i="1"/>
  <c r="O105" i="1"/>
  <c r="O106" i="1"/>
  <c r="O107" i="1"/>
  <c r="O320" i="1"/>
  <c r="O321" i="1"/>
  <c r="O322" i="1"/>
  <c r="O323" i="1"/>
  <c r="O324" i="1"/>
  <c r="O325" i="1"/>
  <c r="O412" i="1"/>
  <c r="O58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326" i="1"/>
  <c r="O327" i="1"/>
  <c r="O328" i="1"/>
  <c r="O57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50" i="1"/>
  <c r="O149" i="1"/>
  <c r="O150" i="1"/>
  <c r="O151" i="1"/>
  <c r="O152" i="1"/>
  <c r="O153" i="1"/>
  <c r="O154" i="1"/>
  <c r="O345" i="1"/>
  <c r="O346" i="1"/>
  <c r="O347" i="1"/>
  <c r="O348" i="1"/>
  <c r="O62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349" i="1"/>
  <c r="O350" i="1"/>
  <c r="O351" i="1"/>
  <c r="O352" i="1"/>
  <c r="O353" i="1"/>
  <c r="O354" i="1"/>
  <c r="O59" i="1"/>
  <c r="O178" i="1"/>
  <c r="O179" i="1"/>
  <c r="O180" i="1"/>
  <c r="O181" i="1"/>
  <c r="O182" i="1"/>
  <c r="O183" i="1"/>
  <c r="O184" i="1"/>
  <c r="O185" i="1"/>
  <c r="O355" i="1"/>
  <c r="O356" i="1"/>
  <c r="O357" i="1"/>
  <c r="O358" i="1"/>
  <c r="O359" i="1"/>
  <c r="O360" i="1"/>
  <c r="O361" i="1"/>
  <c r="O362" i="1"/>
  <c r="O186" i="1"/>
  <c r="O187" i="1"/>
  <c r="O188" i="1"/>
  <c r="O189" i="1"/>
  <c r="O363" i="1"/>
  <c r="O364" i="1"/>
  <c r="O365" i="1"/>
  <c r="O366" i="1"/>
  <c r="O367" i="1"/>
  <c r="O368" i="1"/>
  <c r="O369" i="1"/>
  <c r="O60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49" i="1"/>
  <c r="O53" i="1"/>
  <c r="O263" i="1"/>
  <c r="O264" i="1"/>
  <c r="O265" i="1"/>
  <c r="O266" i="1"/>
  <c r="O267" i="1"/>
  <c r="O268" i="1"/>
  <c r="O269" i="1"/>
  <c r="O270" i="1"/>
  <c r="O271" i="1"/>
  <c r="O371" i="1"/>
  <c r="O372" i="1"/>
  <c r="O373" i="1"/>
  <c r="O61" i="1"/>
  <c r="O272" i="1"/>
  <c r="O273" i="1"/>
  <c r="O274" i="1"/>
  <c r="O48" i="1"/>
  <c r="O56" i="1"/>
  <c r="O14" i="1"/>
  <c r="O15" i="1"/>
  <c r="O16" i="1"/>
  <c r="O17" i="1"/>
  <c r="O18" i="1"/>
  <c r="O19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276" i="1"/>
  <c r="O277" i="1"/>
  <c r="O278" i="1"/>
  <c r="O279" i="1"/>
  <c r="O280" i="1"/>
  <c r="O281" i="1"/>
  <c r="O282" i="1"/>
  <c r="O374" i="1"/>
  <c r="O375" i="1"/>
  <c r="O376" i="1"/>
  <c r="O377" i="1"/>
  <c r="O378" i="1"/>
  <c r="O379" i="1"/>
  <c r="O380" i="1"/>
  <c r="O381" i="1"/>
  <c r="O382" i="1"/>
  <c r="O51" i="1"/>
  <c r="O283" i="1"/>
  <c r="O284" i="1"/>
  <c r="O285" i="1"/>
  <c r="O286" i="1"/>
  <c r="O383" i="1"/>
  <c r="O384" i="1"/>
  <c r="O385" i="1"/>
  <c r="O386" i="1"/>
  <c r="O387" i="1"/>
  <c r="O388" i="1"/>
  <c r="O389" i="1"/>
  <c r="O390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391" i="1"/>
  <c r="O52" i="1"/>
  <c r="O77" i="1"/>
  <c r="O78" i="1"/>
  <c r="O79" i="1"/>
  <c r="O80" i="1"/>
  <c r="O81" i="1"/>
  <c r="O82" i="1"/>
  <c r="O83" i="1"/>
  <c r="O84" i="1"/>
  <c r="O85" i="1"/>
  <c r="O86" i="1"/>
  <c r="O87" i="1"/>
  <c r="O88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92" i="1"/>
  <c r="O393" i="1"/>
  <c r="EM303" i="1"/>
  <c r="EM221" i="1"/>
  <c r="EM312" i="1"/>
  <c r="EM100" i="1"/>
  <c r="EM304" i="1"/>
  <c r="EM233" i="1"/>
  <c r="EM111" i="1"/>
  <c r="EM112" i="1"/>
  <c r="EM116" i="1"/>
  <c r="EM125" i="1"/>
  <c r="EM128" i="1"/>
  <c r="EM130" i="1"/>
  <c r="EM132" i="1"/>
  <c r="EM40" i="1"/>
  <c r="EM47" i="1"/>
  <c r="EM146" i="1"/>
  <c r="EM244" i="1"/>
  <c r="EM31" i="1"/>
  <c r="EM157" i="1"/>
  <c r="EM255" i="1"/>
  <c r="EM162" i="1"/>
  <c r="EM169" i="1"/>
  <c r="EM260" i="1"/>
  <c r="EM51" i="1"/>
  <c r="EM61" i="1"/>
  <c r="EM185" i="1"/>
  <c r="EM68" i="1"/>
  <c r="EM77" i="1"/>
  <c r="EM281" i="1"/>
  <c r="EM80" i="1"/>
  <c r="EM82" i="1"/>
  <c r="EM196" i="1"/>
  <c r="EM205" i="1"/>
  <c r="EM285" i="1"/>
  <c r="EM212" i="1"/>
  <c r="EM217" i="1"/>
  <c r="CV146" i="1"/>
  <c r="CV313" i="1"/>
  <c r="CV82" i="1"/>
  <c r="CV185" i="1"/>
  <c r="CV162" i="1"/>
  <c r="CV40" i="1"/>
  <c r="CV66" i="1"/>
  <c r="CV130" i="1"/>
  <c r="CW52" i="1"/>
  <c r="EM52" i="1" s="1"/>
  <c r="CV52" i="1"/>
  <c r="CV72" i="1"/>
  <c r="CW72" i="1"/>
  <c r="CW42" i="1"/>
  <c r="CW50" i="1"/>
  <c r="CV50" i="1"/>
  <c r="CW55" i="1"/>
  <c r="EM55" i="1" s="1"/>
  <c r="CW45" i="1"/>
  <c r="CV45" i="1"/>
  <c r="CV88" i="1"/>
  <c r="CW88" i="1"/>
  <c r="CW140" i="1"/>
  <c r="CV140" i="1"/>
  <c r="CW158" i="1"/>
  <c r="CV158" i="1"/>
  <c r="CV53" i="1"/>
  <c r="CW53" i="1"/>
  <c r="CT73" i="1"/>
  <c r="CW73" i="1" s="1"/>
  <c r="CW102" i="1"/>
  <c r="CW43" i="1"/>
  <c r="CV65" i="1"/>
  <c r="CW65" i="1"/>
  <c r="EM65" i="1" s="1"/>
  <c r="CW91" i="1"/>
  <c r="CV91" i="1"/>
  <c r="CV39" i="1"/>
  <c r="CW39" i="1"/>
  <c r="EM39" i="1" s="1"/>
  <c r="CW139" i="1"/>
  <c r="EM139" i="1" s="1"/>
  <c r="CV139" i="1"/>
  <c r="CV48" i="1"/>
  <c r="CW48" i="1"/>
  <c r="EM25" i="1"/>
  <c r="CV121" i="1"/>
  <c r="CT60" i="1"/>
  <c r="EM27" i="1"/>
  <c r="CV49" i="1"/>
  <c r="CW49" i="1"/>
  <c r="CW54" i="1"/>
  <c r="CW110" i="1"/>
  <c r="EM110" i="1" s="1"/>
  <c r="CV110" i="1"/>
  <c r="CW58" i="1"/>
  <c r="CV58" i="1"/>
  <c r="CV81" i="1"/>
  <c r="CW81" i="1"/>
  <c r="CW300" i="1"/>
  <c r="EM300" i="1" s="1"/>
  <c r="CV300" i="1"/>
  <c r="CW70" i="1"/>
  <c r="EM26" i="1"/>
  <c r="CW41" i="1"/>
  <c r="EM41" i="1" s="1"/>
  <c r="CV41" i="1"/>
  <c r="CW83" i="1"/>
  <c r="CV83" i="1"/>
  <c r="CW152" i="1"/>
  <c r="CV76" i="1"/>
  <c r="CW76" i="1"/>
  <c r="CW87" i="1"/>
  <c r="EM87" i="1" s="1"/>
  <c r="CV87" i="1"/>
  <c r="CT89" i="1"/>
  <c r="CW89" i="1" s="1"/>
  <c r="CW103" i="1"/>
  <c r="CV113" i="1"/>
  <c r="CW113" i="1"/>
  <c r="EM113" i="1" s="1"/>
  <c r="CV120" i="1"/>
  <c r="CW120" i="1"/>
  <c r="CW122" i="1"/>
  <c r="EM122" i="1" s="1"/>
  <c r="CV122" i="1"/>
  <c r="CW151" i="1"/>
  <c r="CV184" i="1"/>
  <c r="CW184" i="1"/>
  <c r="EM184" i="1" s="1"/>
  <c r="CV194" i="1"/>
  <c r="CW204" i="1"/>
  <c r="CW90" i="1"/>
  <c r="EM90" i="1" s="1"/>
  <c r="CV90" i="1"/>
  <c r="CW131" i="1"/>
  <c r="EM131" i="1" s="1"/>
  <c r="CV131" i="1"/>
  <c r="CW133" i="1"/>
  <c r="CV133" i="1"/>
  <c r="CW165" i="1"/>
  <c r="CV165" i="1"/>
  <c r="CW174" i="1"/>
  <c r="CW188" i="1"/>
  <c r="EM188" i="1" s="1"/>
  <c r="CV188" i="1"/>
  <c r="CV264" i="1"/>
  <c r="CW264" i="1"/>
  <c r="EM264" i="1" s="1"/>
  <c r="CV136" i="1"/>
  <c r="CW136" i="1"/>
  <c r="CV98" i="1"/>
  <c r="CT106" i="1"/>
  <c r="CW142" i="1"/>
  <c r="CV142" i="1"/>
  <c r="CV168" i="1"/>
  <c r="CW168" i="1"/>
  <c r="EM168" i="1" s="1"/>
  <c r="CV170" i="1"/>
  <c r="CW170" i="1"/>
  <c r="EM170" i="1" s="1"/>
  <c r="CW286" i="1"/>
  <c r="CV322" i="1"/>
  <c r="CW322" i="1"/>
  <c r="EM322" i="1" s="1"/>
  <c r="CW156" i="1"/>
  <c r="CV166" i="1"/>
  <c r="CW166" i="1"/>
  <c r="CT172" i="1"/>
  <c r="CW181" i="1"/>
  <c r="CV181" i="1"/>
  <c r="CW195" i="1"/>
  <c r="CV195" i="1"/>
  <c r="CW126" i="1"/>
  <c r="EM126" i="1" s="1"/>
  <c r="CV126" i="1"/>
  <c r="CW154" i="1"/>
  <c r="CW282" i="1"/>
  <c r="EM282" i="1" s="1"/>
  <c r="CV86" i="1"/>
  <c r="CW86" i="1"/>
  <c r="CW129" i="1"/>
  <c r="CW163" i="1"/>
  <c r="CV163" i="1"/>
  <c r="CV177" i="1"/>
  <c r="CW177" i="1"/>
  <c r="EM177" i="1" s="1"/>
  <c r="CT186" i="1"/>
  <c r="CW206" i="1"/>
  <c r="EM206" i="1" s="1"/>
  <c r="CW222" i="1"/>
  <c r="EM222" i="1" s="1"/>
  <c r="CV222" i="1"/>
  <c r="CW243" i="1"/>
  <c r="EM243" i="1" s="1"/>
  <c r="CW275" i="1"/>
  <c r="EM275" i="1" s="1"/>
  <c r="CV275" i="1"/>
  <c r="CW278" i="1"/>
  <c r="CW353" i="1"/>
  <c r="EM353" i="1" s="1"/>
  <c r="CW187" i="1"/>
  <c r="CV187" i="1"/>
  <c r="CW59" i="1"/>
  <c r="EM59" i="1" s="1"/>
  <c r="CV59" i="1"/>
  <c r="CW62" i="1"/>
  <c r="CV62" i="1"/>
  <c r="CW78" i="1"/>
  <c r="EM78" i="1" s="1"/>
  <c r="CV78" i="1"/>
  <c r="CV94" i="1"/>
  <c r="CW94" i="1"/>
  <c r="EM94" i="1" s="1"/>
  <c r="CW104" i="1"/>
  <c r="EM104" i="1" s="1"/>
  <c r="CW119" i="1"/>
  <c r="EM119" i="1" s="1"/>
  <c r="CV119" i="1"/>
  <c r="CW123" i="1"/>
  <c r="EM123" i="1" s="1"/>
  <c r="CV123" i="1"/>
  <c r="CV134" i="1"/>
  <c r="CW134" i="1"/>
  <c r="CW135" i="1"/>
  <c r="CV135" i="1"/>
  <c r="CV137" i="1"/>
  <c r="CW67" i="1"/>
  <c r="EM67" i="1" s="1"/>
  <c r="CV67" i="1"/>
  <c r="CW71" i="1"/>
  <c r="CV71" i="1"/>
  <c r="CW74" i="1"/>
  <c r="EM74" i="1" s="1"/>
  <c r="CV74" i="1"/>
  <c r="CW85" i="1"/>
  <c r="EM85" i="1" s="1"/>
  <c r="CV85" i="1"/>
  <c r="CW99" i="1"/>
  <c r="CV99" i="1"/>
  <c r="CV161" i="1"/>
  <c r="CW161" i="1"/>
  <c r="CV169" i="1"/>
  <c r="CW171" i="1"/>
  <c r="CV171" i="1"/>
  <c r="CW310" i="1"/>
  <c r="CW75" i="1"/>
  <c r="EM75" i="1" s="1"/>
  <c r="CV75" i="1"/>
  <c r="CW101" i="1"/>
  <c r="EM101" i="1" s="1"/>
  <c r="CT107" i="1"/>
  <c r="CW124" i="1"/>
  <c r="CV124" i="1"/>
  <c r="CW179" i="1"/>
  <c r="EM179" i="1" s="1"/>
  <c r="CV316" i="1"/>
  <c r="CW316" i="1"/>
  <c r="CW108" i="1"/>
  <c r="CW117" i="1"/>
  <c r="EM117" i="1" s="1"/>
  <c r="CV117" i="1"/>
  <c r="CW138" i="1"/>
  <c r="EM138" i="1" s="1"/>
  <c r="CV138" i="1"/>
  <c r="CW147" i="1"/>
  <c r="EM147" i="1" s="1"/>
  <c r="CV147" i="1"/>
  <c r="CW149" i="1"/>
  <c r="EM149" i="1" s="1"/>
  <c r="CV149" i="1"/>
  <c r="CW167" i="1"/>
  <c r="EM167" i="1" s="1"/>
  <c r="CV167" i="1"/>
  <c r="CW197" i="1"/>
  <c r="CV197" i="1"/>
  <c r="CW284" i="1"/>
  <c r="EM284" i="1" s="1"/>
  <c r="CV92" i="1"/>
  <c r="CW92" i="1"/>
  <c r="EM92" i="1" s="1"/>
  <c r="CW183" i="1"/>
  <c r="CW341" i="1"/>
  <c r="EM341" i="1" s="1"/>
  <c r="CV341" i="1"/>
  <c r="CV97" i="1"/>
  <c r="CW97" i="1"/>
  <c r="CV114" i="1"/>
  <c r="CV150" i="1"/>
  <c r="CW150" i="1"/>
  <c r="EM150" i="1" s="1"/>
  <c r="CW203" i="1"/>
  <c r="EM203" i="1" s="1"/>
  <c r="CW298" i="1"/>
  <c r="EM298" i="1" s="1"/>
  <c r="CV298" i="1"/>
  <c r="CW57" i="1"/>
  <c r="CV57" i="1"/>
  <c r="CW69" i="1"/>
  <c r="CW115" i="1"/>
  <c r="EM115" i="1" s="1"/>
  <c r="CV115" i="1"/>
  <c r="CV118" i="1"/>
  <c r="CW118" i="1"/>
  <c r="EM118" i="1" s="1"/>
  <c r="CV145" i="1"/>
  <c r="CW145" i="1"/>
  <c r="CW155" i="1"/>
  <c r="EM155" i="1" s="1"/>
  <c r="CW280" i="1"/>
  <c r="CT202" i="1"/>
  <c r="CV216" i="1"/>
  <c r="CW216" i="1"/>
  <c r="EM216" i="1" s="1"/>
  <c r="CW229" i="1"/>
  <c r="CV229" i="1"/>
  <c r="CW252" i="1"/>
  <c r="CV296" i="1"/>
  <c r="CW296" i="1"/>
  <c r="CW318" i="1"/>
  <c r="CV318" i="1"/>
  <c r="CW366" i="1"/>
  <c r="EM366" i="1" s="1"/>
  <c r="CW198" i="1"/>
  <c r="EM198" i="1" s="1"/>
  <c r="CV200" i="1"/>
  <c r="CW200" i="1"/>
  <c r="EM200" i="1" s="1"/>
  <c r="CW219" i="1"/>
  <c r="EM219" i="1" s="1"/>
  <c r="CW225" i="1"/>
  <c r="CT236" i="1"/>
  <c r="CV248" i="1"/>
  <c r="CW248" i="1"/>
  <c r="CW250" i="1"/>
  <c r="CW268" i="1"/>
  <c r="EM268" i="1" s="1"/>
  <c r="CV268" i="1"/>
  <c r="CW277" i="1"/>
  <c r="CW394" i="1"/>
  <c r="EM394" i="1" s="1"/>
  <c r="CW182" i="1"/>
  <c r="EM182" i="1" s="1"/>
  <c r="CW190" i="1"/>
  <c r="EM190" i="1" s="1"/>
  <c r="CV190" i="1"/>
  <c r="CV210" i="1"/>
  <c r="CW210" i="1"/>
  <c r="CW213" i="1"/>
  <c r="CV213" i="1"/>
  <c r="CV230" i="1"/>
  <c r="CW230" i="1"/>
  <c r="EM230" i="1" s="1"/>
  <c r="CW247" i="1"/>
  <c r="CV247" i="1"/>
  <c r="CV265" i="1"/>
  <c r="CV273" i="1"/>
  <c r="CW273" i="1"/>
  <c r="EM273" i="1" s="1"/>
  <c r="CV305" i="1"/>
  <c r="CW305" i="1"/>
  <c r="EM305" i="1" s="1"/>
  <c r="CW332" i="1"/>
  <c r="EM332" i="1" s="1"/>
  <c r="CV332" i="1"/>
  <c r="CW362" i="1"/>
  <c r="EM362" i="1" s="1"/>
  <c r="CW218" i="1"/>
  <c r="EM218" i="1" s="1"/>
  <c r="CW220" i="1"/>
  <c r="CW231" i="1"/>
  <c r="EM231" i="1" s="1"/>
  <c r="CV231" i="1"/>
  <c r="CV257" i="1"/>
  <c r="CW257" i="1"/>
  <c r="CW291" i="1"/>
  <c r="CV291" i="1"/>
  <c r="CW314" i="1"/>
  <c r="EM314" i="1" s="1"/>
  <c r="CV314" i="1"/>
  <c r="CW327" i="1"/>
  <c r="CV327" i="1"/>
  <c r="CV226" i="1"/>
  <c r="CW226" i="1"/>
  <c r="CW238" i="1"/>
  <c r="CV238" i="1"/>
  <c r="CW289" i="1"/>
  <c r="CV193" i="1"/>
  <c r="CW193" i="1"/>
  <c r="CW259" i="1"/>
  <c r="EM259" i="1" s="1"/>
  <c r="CV259" i="1"/>
  <c r="CW261" i="1"/>
  <c r="CW270" i="1"/>
  <c r="CV270" i="1"/>
  <c r="CW199" i="1"/>
  <c r="CV199" i="1"/>
  <c r="CW215" i="1"/>
  <c r="EM215" i="1" s="1"/>
  <c r="CV215" i="1"/>
  <c r="CW234" i="1"/>
  <c r="EM234" i="1" s="1"/>
  <c r="CV234" i="1"/>
  <c r="CW241" i="1"/>
  <c r="CW254" i="1"/>
  <c r="EM254" i="1" s="1"/>
  <c r="CV254" i="1"/>
  <c r="CV266" i="1"/>
  <c r="CW266" i="1"/>
  <c r="CV328" i="1"/>
  <c r="CW328" i="1"/>
  <c r="EM328" i="1" s="1"/>
  <c r="CV209" i="1"/>
  <c r="CW209" i="1"/>
  <c r="CW211" i="1"/>
  <c r="EM211" i="1" s="1"/>
  <c r="CV211" i="1"/>
  <c r="CV232" i="1"/>
  <c r="CW232" i="1"/>
  <c r="EM232" i="1" s="1"/>
  <c r="CV246" i="1"/>
  <c r="CW246" i="1"/>
  <c r="CV249" i="1"/>
  <c r="CV306" i="1"/>
  <c r="CW306" i="1"/>
  <c r="EM306" i="1" s="1"/>
  <c r="CW311" i="1"/>
  <c r="EM311" i="1" s="1"/>
  <c r="CV337" i="1"/>
  <c r="CW337" i="1"/>
  <c r="EM337" i="1" s="1"/>
  <c r="DU370" i="1"/>
  <c r="DV370" i="1" s="1"/>
  <c r="CW251" i="1"/>
  <c r="EM251" i="1" s="1"/>
  <c r="CW263" i="1"/>
  <c r="CV290" i="1"/>
  <c r="CW290" i="1"/>
  <c r="CW293" i="1"/>
  <c r="EM293" i="1" s="1"/>
  <c r="CV293" i="1"/>
  <c r="CW295" i="1"/>
  <c r="EM295" i="1" s="1"/>
  <c r="CV295" i="1"/>
  <c r="CV214" i="1"/>
  <c r="CW214" i="1"/>
  <c r="CV258" i="1"/>
  <c r="CW258" i="1"/>
  <c r="CV274" i="1"/>
  <c r="CW274" i="1"/>
  <c r="CW315" i="1"/>
  <c r="CV315" i="1"/>
  <c r="CW334" i="1"/>
  <c r="CV334" i="1"/>
  <c r="CW339" i="1"/>
  <c r="CW235" i="1"/>
  <c r="EM235" i="1" s="1"/>
  <c r="CV235" i="1"/>
  <c r="CW242" i="1"/>
  <c r="EM242" i="1" s="1"/>
  <c r="CV297" i="1"/>
  <c r="CT329" i="1"/>
  <c r="CW329" i="1" s="1"/>
  <c r="CW369" i="1"/>
  <c r="EM369" i="1" s="1"/>
  <c r="CW373" i="1"/>
  <c r="EM373" i="1" s="1"/>
  <c r="CW385" i="1"/>
  <c r="EM385" i="1" s="1"/>
  <c r="CW267" i="1"/>
  <c r="CV267" i="1"/>
  <c r="CW279" i="1"/>
  <c r="EM279" i="1" s="1"/>
  <c r="CV294" i="1"/>
  <c r="CW294" i="1"/>
  <c r="CW302" i="1"/>
  <c r="CV302" i="1"/>
  <c r="CW307" i="1"/>
  <c r="EM307" i="1" s="1"/>
  <c r="CW330" i="1"/>
  <c r="EM330" i="1" s="1"/>
  <c r="CW227" i="1"/>
  <c r="EM227" i="1" s="1"/>
  <c r="CV227" i="1"/>
  <c r="CW245" i="1"/>
  <c r="CV245" i="1"/>
  <c r="CW262" i="1"/>
  <c r="CW283" i="1"/>
  <c r="EM283" i="1" s="1"/>
  <c r="CW299" i="1"/>
  <c r="CV299" i="1"/>
  <c r="CW406" i="1"/>
  <c r="EM406" i="1" s="1"/>
  <c r="CW325" i="1"/>
  <c r="CV325" i="1"/>
  <c r="CW380" i="1"/>
  <c r="EM380" i="1" s="1"/>
  <c r="CW390" i="1"/>
  <c r="EM390" i="1" s="1"/>
  <c r="CW387" i="1"/>
  <c r="EM387" i="1" s="1"/>
  <c r="CW358" i="1"/>
  <c r="EM358" i="1" s="1"/>
  <c r="CW364" i="1"/>
  <c r="EM364" i="1" s="1"/>
  <c r="CW396" i="1"/>
  <c r="EM396" i="1" s="1"/>
  <c r="CW386" i="1"/>
  <c r="EM386" i="1" s="1"/>
  <c r="CW392" i="1"/>
  <c r="EM392" i="1" s="1"/>
  <c r="CT345" i="1"/>
  <c r="CW345" i="1" s="1"/>
  <c r="CW323" i="1"/>
  <c r="EM323" i="1" s="1"/>
  <c r="CV323" i="1"/>
  <c r="CT344" i="1"/>
  <c r="CW354" i="1"/>
  <c r="EM354" i="1" s="1"/>
  <c r="CW376" i="1"/>
  <c r="EM376" i="1" s="1"/>
  <c r="CW401" i="1"/>
  <c r="EM401" i="1" s="1"/>
  <c r="CW410" i="1"/>
  <c r="EM410" i="1" s="1"/>
  <c r="CV342" i="1"/>
  <c r="CW342" i="1"/>
  <c r="EM342" i="1" s="1"/>
  <c r="CV312" i="1"/>
  <c r="CW398" i="1"/>
  <c r="EM398" i="1" s="1"/>
  <c r="CW402" i="1"/>
  <c r="EM402" i="1" s="1"/>
  <c r="CW350" i="1"/>
  <c r="EM350" i="1" s="1"/>
  <c r="CW371" i="1"/>
  <c r="EM371" i="1" s="1"/>
  <c r="CV321" i="1"/>
  <c r="CV326" i="1"/>
  <c r="CW326" i="1"/>
  <c r="EM326" i="1" s="1"/>
  <c r="CT346" i="1"/>
  <c r="CW348" i="1"/>
  <c r="EM348" i="1" s="1"/>
  <c r="CW360" i="1"/>
  <c r="EM360" i="1" s="1"/>
  <c r="CW321" i="1"/>
  <c r="EM321" i="1" s="1"/>
  <c r="CW309" i="1"/>
  <c r="EM309" i="1" s="1"/>
  <c r="CW338" i="1"/>
  <c r="CW374" i="1"/>
  <c r="EM374" i="1" s="1"/>
  <c r="CW355" i="1"/>
  <c r="EM355" i="1" s="1"/>
  <c r="CV370" i="1"/>
  <c r="CW370" i="1"/>
  <c r="EM370" i="1" s="1"/>
  <c r="CV64" i="1"/>
  <c r="CV80" i="1"/>
  <c r="CV96" i="1"/>
  <c r="CV112" i="1"/>
  <c r="CV144" i="1"/>
  <c r="CV160" i="1"/>
  <c r="CV176" i="1"/>
  <c r="CV192" i="1"/>
  <c r="CV240" i="1"/>
  <c r="CV256" i="1"/>
  <c r="CV272" i="1"/>
  <c r="CV304" i="1"/>
  <c r="CV320" i="1"/>
  <c r="CV336" i="1"/>
  <c r="CV61" i="1"/>
  <c r="CV77" i="1"/>
  <c r="CV93" i="1"/>
  <c r="CV109" i="1"/>
  <c r="CV125" i="1"/>
  <c r="CV141" i="1"/>
  <c r="CV157" i="1"/>
  <c r="CV189" i="1"/>
  <c r="CV221" i="1"/>
  <c r="CV237" i="1"/>
  <c r="CV253" i="1"/>
  <c r="CV269" i="1"/>
  <c r="CV301" i="1"/>
  <c r="CV317" i="1"/>
  <c r="CV333" i="1"/>
  <c r="CV51" i="1"/>
  <c r="CV84" i="1"/>
  <c r="CV116" i="1"/>
  <c r="CV132" i="1"/>
  <c r="CV148" i="1"/>
  <c r="CV164" i="1"/>
  <c r="CV180" i="1"/>
  <c r="CV212" i="1"/>
  <c r="CV228" i="1"/>
  <c r="CV244" i="1"/>
  <c r="CV276" i="1"/>
  <c r="CV292" i="1"/>
  <c r="CV324" i="1"/>
  <c r="CV340" i="1"/>
  <c r="CV46" i="1"/>
  <c r="CV63" i="1"/>
  <c r="CV79" i="1"/>
  <c r="CV95" i="1"/>
  <c r="CV111" i="1"/>
  <c r="CV127" i="1"/>
  <c r="CV143" i="1"/>
  <c r="CV159" i="1"/>
  <c r="CV175" i="1"/>
  <c r="CV191" i="1"/>
  <c r="CV223" i="1"/>
  <c r="CV239" i="1"/>
  <c r="CV255" i="1"/>
  <c r="CV271" i="1"/>
  <c r="CV303" i="1"/>
  <c r="CV319" i="1"/>
  <c r="CV335" i="1"/>
  <c r="EM189" i="1"/>
  <c r="EM237" i="1"/>
  <c r="EM253" i="1"/>
  <c r="CV217" i="1"/>
  <c r="CV233" i="1"/>
  <c r="EM144" i="1"/>
  <c r="EM379" i="1"/>
  <c r="EM397" i="1"/>
  <c r="EM288" i="1"/>
  <c r="EM33" i="1"/>
  <c r="EM175" i="1"/>
  <c r="EM19" i="1"/>
  <c r="EM324" i="1"/>
  <c r="EM256" i="1"/>
  <c r="EM22" i="1"/>
  <c r="EM192" i="1"/>
  <c r="EM194" i="1"/>
  <c r="EM14" i="1"/>
  <c r="EM16" i="1"/>
  <c r="EM18" i="1"/>
  <c r="EM35" i="1"/>
  <c r="EM36" i="1"/>
  <c r="EM46" i="1"/>
  <c r="EM44" i="1"/>
  <c r="EM23" i="1"/>
  <c r="EM28" i="1"/>
  <c r="EM56" i="1"/>
  <c r="EM64" i="1"/>
  <c r="EM66" i="1"/>
  <c r="EM63" i="1"/>
  <c r="EM95" i="1"/>
  <c r="EM79" i="1"/>
  <c r="EM105" i="1"/>
  <c r="EM84" i="1"/>
  <c r="EM96" i="1"/>
  <c r="EM93" i="1"/>
  <c r="EM109" i="1"/>
  <c r="EM98" i="1"/>
  <c r="EM127" i="1"/>
  <c r="EM121" i="1"/>
  <c r="EM114" i="1"/>
  <c r="EM137" i="1"/>
  <c r="EM141" i="1"/>
  <c r="EM148" i="1"/>
  <c r="EM160" i="1"/>
  <c r="EM159" i="1"/>
  <c r="EM153" i="1"/>
  <c r="EM143" i="1"/>
  <c r="EM176" i="1"/>
  <c r="EM173" i="1"/>
  <c r="EM178" i="1"/>
  <c r="EM164" i="1"/>
  <c r="EM180" i="1"/>
  <c r="EM191" i="1"/>
  <c r="EM223" i="1"/>
  <c r="EM208" i="1"/>
  <c r="EM207" i="1"/>
  <c r="EM224" i="1"/>
  <c r="EM201" i="1"/>
  <c r="EM228" i="1"/>
  <c r="EM239" i="1"/>
  <c r="EM249" i="1"/>
  <c r="EM269" i="1"/>
  <c r="EM240" i="1"/>
  <c r="EM265" i="1"/>
  <c r="EM272" i="1"/>
  <c r="EM271" i="1"/>
  <c r="EM276" i="1"/>
  <c r="EM297" i="1"/>
  <c r="EM301" i="1"/>
  <c r="EM292" i="1"/>
  <c r="EM287" i="1"/>
  <c r="EM320" i="1"/>
  <c r="EM308" i="1"/>
  <c r="EM313" i="1"/>
  <c r="EM317" i="1"/>
  <c r="EM331" i="1"/>
  <c r="EM333" i="1"/>
  <c r="EM319" i="1"/>
  <c r="EM336" i="1"/>
  <c r="EM343" i="1"/>
  <c r="EM340" i="1"/>
  <c r="EM335" i="1"/>
  <c r="EM349" i="1"/>
  <c r="EM363" i="1"/>
  <c r="EM359" i="1"/>
  <c r="EM356" i="1"/>
  <c r="EM367" i="1"/>
  <c r="EM377" i="1"/>
  <c r="EM382" i="1"/>
  <c r="EM375" i="1"/>
  <c r="EM395" i="1"/>
  <c r="EF370" i="1"/>
  <c r="EM384" i="1"/>
  <c r="EM383" i="1"/>
  <c r="EM391" i="1"/>
  <c r="EM403" i="1"/>
  <c r="EM405" i="1"/>
  <c r="EM412" i="1"/>
  <c r="EM404" i="1"/>
  <c r="EM400" i="1"/>
  <c r="EM411" i="1"/>
  <c r="BX13" i="1"/>
  <c r="BN370" i="1" l="1"/>
  <c r="BM370" i="1"/>
  <c r="BN287" i="1"/>
  <c r="BM287" i="1"/>
  <c r="BN275" i="1"/>
  <c r="BM275" i="1"/>
  <c r="BG339" i="1"/>
  <c r="BF339" i="1"/>
  <c r="BG407" i="1"/>
  <c r="BF407" i="1"/>
  <c r="BF385" i="1"/>
  <c r="BG385" i="1"/>
  <c r="BG374" i="1"/>
  <c r="BF374" i="1"/>
  <c r="BF241" i="1"/>
  <c r="BG241" i="1"/>
  <c r="BF225" i="1"/>
  <c r="BG225" i="1"/>
  <c r="BG362" i="1"/>
  <c r="BF362" i="1"/>
  <c r="BG347" i="1"/>
  <c r="BF347" i="1"/>
  <c r="BG338" i="1"/>
  <c r="BF338" i="1"/>
  <c r="BG106" i="1"/>
  <c r="BF106" i="1"/>
  <c r="BG406" i="1"/>
  <c r="BF406" i="1"/>
  <c r="BG404" i="1"/>
  <c r="BF404" i="1"/>
  <c r="BG392" i="1"/>
  <c r="BF392" i="1"/>
  <c r="BG178" i="1"/>
  <c r="BF178" i="1"/>
  <c r="BG54" i="1"/>
  <c r="BF54" i="1"/>
  <c r="BG384" i="1"/>
  <c r="BF384" i="1"/>
  <c r="BG224" i="1"/>
  <c r="BF224" i="1"/>
  <c r="BF361" i="1"/>
  <c r="BG361" i="1"/>
  <c r="BG354" i="1"/>
  <c r="BF354" i="1"/>
  <c r="BG346" i="1"/>
  <c r="BF346" i="1"/>
  <c r="BF405" i="1"/>
  <c r="BG405" i="1"/>
  <c r="BG403" i="1"/>
  <c r="BF403" i="1"/>
  <c r="BG386" i="1"/>
  <c r="BF386" i="1"/>
  <c r="BG348" i="1"/>
  <c r="BF348" i="1"/>
  <c r="BG383" i="1"/>
  <c r="BF383" i="1"/>
  <c r="BG360" i="1"/>
  <c r="BF360" i="1"/>
  <c r="BF353" i="1"/>
  <c r="BG353" i="1"/>
  <c r="BF345" i="1"/>
  <c r="BG345" i="1"/>
  <c r="BG128" i="1"/>
  <c r="BF128" i="1"/>
  <c r="BG402" i="1"/>
  <c r="BF402" i="1"/>
  <c r="BG280" i="1"/>
  <c r="BF280" i="1"/>
  <c r="BG359" i="1"/>
  <c r="BF359" i="1"/>
  <c r="BG352" i="1"/>
  <c r="BF352" i="1"/>
  <c r="BG154" i="1"/>
  <c r="BF154" i="1"/>
  <c r="BF401" i="1"/>
  <c r="BG401" i="1"/>
  <c r="BG375" i="1"/>
  <c r="BF375" i="1"/>
  <c r="BG69" i="1"/>
  <c r="BF69" i="1"/>
  <c r="BG35" i="1"/>
  <c r="BF35" i="1"/>
  <c r="BG358" i="1"/>
  <c r="BF358" i="1"/>
  <c r="BG351" i="1"/>
  <c r="BF351" i="1"/>
  <c r="BG400" i="1"/>
  <c r="BF400" i="1"/>
  <c r="BG68" i="1"/>
  <c r="BF68" i="1"/>
  <c r="BG34" i="1"/>
  <c r="BF34" i="1"/>
  <c r="BG252" i="1"/>
  <c r="BF252" i="1"/>
  <c r="BG220" i="1"/>
  <c r="BF220" i="1"/>
  <c r="BF369" i="1"/>
  <c r="BG369" i="1"/>
  <c r="BF357" i="1"/>
  <c r="BG357" i="1"/>
  <c r="BG350" i="1"/>
  <c r="BF350" i="1"/>
  <c r="BF101" i="1"/>
  <c r="BG101" i="1"/>
  <c r="BG399" i="1"/>
  <c r="BF399" i="1"/>
  <c r="BG251" i="1"/>
  <c r="BF251" i="1"/>
  <c r="BG368" i="1"/>
  <c r="BF368" i="1"/>
  <c r="BG356" i="1"/>
  <c r="BF356" i="1"/>
  <c r="BF349" i="1"/>
  <c r="BG349" i="1"/>
  <c r="BG398" i="1"/>
  <c r="BF398" i="1"/>
  <c r="BG56" i="1"/>
  <c r="BF56" i="1"/>
  <c r="BG367" i="1"/>
  <c r="BF367" i="1"/>
  <c r="BG355" i="1"/>
  <c r="BF355" i="1"/>
  <c r="BG331" i="1"/>
  <c r="BF331" i="1"/>
  <c r="BF397" i="1"/>
  <c r="BG397" i="1"/>
  <c r="BG382" i="1"/>
  <c r="BF382" i="1"/>
  <c r="BG47" i="1"/>
  <c r="BF47" i="1"/>
  <c r="BG366" i="1"/>
  <c r="BF366" i="1"/>
  <c r="BG330" i="1"/>
  <c r="BF330" i="1"/>
  <c r="BG412" i="1"/>
  <c r="BF412" i="1"/>
  <c r="BG396" i="1"/>
  <c r="BF396" i="1"/>
  <c r="BG371" i="1"/>
  <c r="BF371" i="1"/>
  <c r="BF381" i="1"/>
  <c r="BG381" i="1"/>
  <c r="BF365" i="1"/>
  <c r="BG365" i="1"/>
  <c r="BG395" i="1"/>
  <c r="BF395" i="1"/>
  <c r="BG380" i="1"/>
  <c r="BF380" i="1"/>
  <c r="BG364" i="1"/>
  <c r="BF364" i="1"/>
  <c r="BG183" i="1"/>
  <c r="BF183" i="1"/>
  <c r="BG344" i="1"/>
  <c r="BF344" i="1"/>
  <c r="BG328" i="1"/>
  <c r="BF328" i="1"/>
  <c r="BG394" i="1"/>
  <c r="BF394" i="1"/>
  <c r="BG390" i="1"/>
  <c r="BF390" i="1"/>
  <c r="BG379" i="1"/>
  <c r="BF379" i="1"/>
  <c r="BG44" i="1"/>
  <c r="BF44" i="1"/>
  <c r="BG262" i="1"/>
  <c r="BF262" i="1"/>
  <c r="BG363" i="1"/>
  <c r="BF363" i="1"/>
  <c r="BG182" i="1"/>
  <c r="BF182" i="1"/>
  <c r="BF173" i="1"/>
  <c r="BG173" i="1"/>
  <c r="BG343" i="1"/>
  <c r="BF343" i="1"/>
  <c r="BG411" i="1"/>
  <c r="BF411" i="1"/>
  <c r="BG21" i="1"/>
  <c r="BF21" i="1"/>
  <c r="BG391" i="1"/>
  <c r="BF391" i="1"/>
  <c r="BF389" i="1"/>
  <c r="BG389" i="1"/>
  <c r="BG378" i="1"/>
  <c r="BF378" i="1"/>
  <c r="BF261" i="1"/>
  <c r="BG261" i="1"/>
  <c r="BG156" i="1"/>
  <c r="BF156" i="1"/>
  <c r="BG410" i="1"/>
  <c r="BF410" i="1"/>
  <c r="BF309" i="1"/>
  <c r="BG309" i="1"/>
  <c r="BG388" i="1"/>
  <c r="BF388" i="1"/>
  <c r="BF377" i="1"/>
  <c r="BG377" i="1"/>
  <c r="BF373" i="1"/>
  <c r="BG373" i="1"/>
  <c r="BF409" i="1"/>
  <c r="BG409" i="1"/>
  <c r="BG308" i="1"/>
  <c r="BF308" i="1"/>
  <c r="BF393" i="1"/>
  <c r="BG393" i="1"/>
  <c r="BG387" i="1"/>
  <c r="BF387" i="1"/>
  <c r="BG376" i="1"/>
  <c r="BF376" i="1"/>
  <c r="BG372" i="1"/>
  <c r="BF372" i="1"/>
  <c r="BG243" i="1"/>
  <c r="BF243" i="1"/>
  <c r="BG179" i="1"/>
  <c r="BF179" i="1"/>
  <c r="BG408" i="1"/>
  <c r="BF408" i="1"/>
  <c r="AL20" i="1"/>
  <c r="T385" i="1"/>
  <c r="U385" i="1" s="1"/>
  <c r="DI385" i="1"/>
  <c r="T373" i="1"/>
  <c r="U373" i="1" s="1"/>
  <c r="DI373" i="1"/>
  <c r="T363" i="1"/>
  <c r="U363" i="1" s="1"/>
  <c r="DI363" i="1"/>
  <c r="T391" i="1"/>
  <c r="U391" i="1" s="1"/>
  <c r="T364" i="1"/>
  <c r="U364" i="1" s="1"/>
  <c r="T352" i="1"/>
  <c r="U352" i="1" s="1"/>
  <c r="AM370" i="1"/>
  <c r="DX370" i="1"/>
  <c r="T360" i="1"/>
  <c r="U360" i="1" s="1"/>
  <c r="T403" i="1"/>
  <c r="U403" i="1" s="1"/>
  <c r="T358" i="1"/>
  <c r="U358" i="1" s="1"/>
  <c r="T384" i="1"/>
  <c r="U384" i="1" s="1"/>
  <c r="T412" i="1"/>
  <c r="U412" i="1" s="1"/>
  <c r="T348" i="1"/>
  <c r="U348" i="1" s="1"/>
  <c r="EH370" i="1"/>
  <c r="AL291" i="1"/>
  <c r="AK291" i="1"/>
  <c r="AK393" i="1"/>
  <c r="AL393" i="1"/>
  <c r="AP393" i="1"/>
  <c r="AO393" i="1"/>
  <c r="EK393" i="1" s="1"/>
  <c r="EX393" i="1" s="1"/>
  <c r="AL290" i="1"/>
  <c r="AK290" i="1"/>
  <c r="AL52" i="1"/>
  <c r="AK52" i="1"/>
  <c r="AL66" i="1"/>
  <c r="AK66" i="1"/>
  <c r="AP380" i="1"/>
  <c r="AO380" i="1"/>
  <c r="EK380" i="1" s="1"/>
  <c r="EV380" i="1" s="1"/>
  <c r="AL380" i="1"/>
  <c r="AK380" i="1"/>
  <c r="AL30" i="1"/>
  <c r="AK30" i="1"/>
  <c r="AK48" i="1"/>
  <c r="AL48" i="1"/>
  <c r="AL266" i="1"/>
  <c r="AK266" i="1"/>
  <c r="AL255" i="1"/>
  <c r="AK255" i="1"/>
  <c r="AL229" i="1"/>
  <c r="AK229" i="1"/>
  <c r="AL205" i="1"/>
  <c r="AK205" i="1"/>
  <c r="AL193" i="1"/>
  <c r="AK193" i="1"/>
  <c r="AP357" i="1"/>
  <c r="AO357" i="1"/>
  <c r="AL357" i="1"/>
  <c r="AK357" i="1"/>
  <c r="AO178" i="1"/>
  <c r="AL178" i="1"/>
  <c r="AK178" i="1"/>
  <c r="AP178" i="1"/>
  <c r="AL176" i="1"/>
  <c r="AK176" i="1"/>
  <c r="AL162" i="1"/>
  <c r="AK162" i="1"/>
  <c r="AP154" i="1"/>
  <c r="AO154" i="1"/>
  <c r="EK154" i="1" s="1"/>
  <c r="EV154" i="1" s="1"/>
  <c r="AL154" i="1"/>
  <c r="DR154" i="1" s="1"/>
  <c r="DS154" i="1" s="1"/>
  <c r="EA154" i="1" s="1"/>
  <c r="DA154" i="1" s="1"/>
  <c r="AK154" i="1"/>
  <c r="AK341" i="1"/>
  <c r="AL341" i="1"/>
  <c r="AL329" i="1"/>
  <c r="AK329" i="1"/>
  <c r="AL57" i="1"/>
  <c r="AK57" i="1"/>
  <c r="AL123" i="1"/>
  <c r="AK123" i="1"/>
  <c r="AL314" i="1"/>
  <c r="AK314" i="1"/>
  <c r="AL55" i="1"/>
  <c r="AK55" i="1"/>
  <c r="AL22" i="1"/>
  <c r="AK22" i="1"/>
  <c r="AL194" i="1"/>
  <c r="AK194" i="1"/>
  <c r="AO345" i="1"/>
  <c r="AL345" i="1"/>
  <c r="EF345" i="1" s="1"/>
  <c r="AK345" i="1"/>
  <c r="AP345" i="1"/>
  <c r="AL289" i="1"/>
  <c r="AK289" i="1"/>
  <c r="AP391" i="1"/>
  <c r="AO391" i="1"/>
  <c r="EK391" i="1" s="1"/>
  <c r="EV391" i="1" s="1"/>
  <c r="AL391" i="1"/>
  <c r="AK391" i="1"/>
  <c r="AL65" i="1"/>
  <c r="AK65" i="1"/>
  <c r="AL383" i="1"/>
  <c r="AK383" i="1"/>
  <c r="AP383" i="1"/>
  <c r="AO383" i="1"/>
  <c r="EK383" i="1" s="1"/>
  <c r="AP280" i="1"/>
  <c r="AO280" i="1"/>
  <c r="EK280" i="1" s="1"/>
  <c r="EV280" i="1" s="1"/>
  <c r="AL280" i="1"/>
  <c r="AK280" i="1"/>
  <c r="AL42" i="1"/>
  <c r="AK42" i="1"/>
  <c r="AL29" i="1"/>
  <c r="AK29" i="1"/>
  <c r="AL274" i="1"/>
  <c r="AK274" i="1"/>
  <c r="AL265" i="1"/>
  <c r="AK265" i="1"/>
  <c r="AL254" i="1"/>
  <c r="AK254" i="1"/>
  <c r="AK242" i="1"/>
  <c r="AL242" i="1"/>
  <c r="AL228" i="1"/>
  <c r="AK228" i="1"/>
  <c r="AL217" i="1"/>
  <c r="AK217" i="1"/>
  <c r="AL204" i="1"/>
  <c r="AK204" i="1"/>
  <c r="AL192" i="1"/>
  <c r="AK192" i="1"/>
  <c r="AK363" i="1"/>
  <c r="AP363" i="1"/>
  <c r="AO363" i="1"/>
  <c r="AL363" i="1"/>
  <c r="AL175" i="1"/>
  <c r="AK175" i="1"/>
  <c r="AL161" i="1"/>
  <c r="AK161" i="1"/>
  <c r="AL340" i="1"/>
  <c r="AK340" i="1"/>
  <c r="AL148" i="1"/>
  <c r="AK148" i="1"/>
  <c r="AL122" i="1"/>
  <c r="AK122" i="1"/>
  <c r="AL58" i="1"/>
  <c r="AK58" i="1"/>
  <c r="AL103" i="1"/>
  <c r="AK103" i="1"/>
  <c r="AP409" i="1"/>
  <c r="AO409" i="1"/>
  <c r="EK409" i="1" s="1"/>
  <c r="EV409" i="1" s="1"/>
  <c r="AL409" i="1"/>
  <c r="AK409" i="1"/>
  <c r="AL313" i="1"/>
  <c r="AK313" i="1"/>
  <c r="AP401" i="1"/>
  <c r="AO401" i="1"/>
  <c r="EK401" i="1" s="1"/>
  <c r="EX401" i="1" s="1"/>
  <c r="AL401" i="1"/>
  <c r="AK401" i="1"/>
  <c r="AL310" i="1"/>
  <c r="AK310" i="1"/>
  <c r="AP21" i="1"/>
  <c r="AO21" i="1"/>
  <c r="EK21" i="1" s="1"/>
  <c r="AL21" i="1"/>
  <c r="AK21" i="1"/>
  <c r="AL77" i="1"/>
  <c r="AK77" i="1"/>
  <c r="AL281" i="1"/>
  <c r="AK281" i="1"/>
  <c r="AK230" i="1"/>
  <c r="AL230" i="1"/>
  <c r="AL342" i="1"/>
  <c r="AK342" i="1"/>
  <c r="AL89" i="1"/>
  <c r="AK89" i="1"/>
  <c r="AP392" i="1"/>
  <c r="AO392" i="1"/>
  <c r="EK392" i="1" s="1"/>
  <c r="AL392" i="1"/>
  <c r="DU392" i="1" s="1"/>
  <c r="DV392" i="1" s="1"/>
  <c r="AK392" i="1"/>
  <c r="AL64" i="1"/>
  <c r="AK64" i="1"/>
  <c r="AL379" i="1"/>
  <c r="AK379" i="1"/>
  <c r="AO379" i="1"/>
  <c r="AP379" i="1"/>
  <c r="AL28" i="1"/>
  <c r="AK28" i="1"/>
  <c r="AL273" i="1"/>
  <c r="AK273" i="1"/>
  <c r="AK264" i="1"/>
  <c r="AL264" i="1"/>
  <c r="AL253" i="1"/>
  <c r="AK253" i="1"/>
  <c r="AL227" i="1"/>
  <c r="AK227" i="1"/>
  <c r="AL216" i="1"/>
  <c r="AK216" i="1"/>
  <c r="AL191" i="1"/>
  <c r="AK191" i="1"/>
  <c r="AP356" i="1"/>
  <c r="AO356" i="1"/>
  <c r="EK356" i="1" s="1"/>
  <c r="EX356" i="1" s="1"/>
  <c r="AL356" i="1"/>
  <c r="CV356" i="1" s="1"/>
  <c r="AK356" i="1"/>
  <c r="AL59" i="1"/>
  <c r="AK59" i="1"/>
  <c r="AL174" i="1"/>
  <c r="AK174" i="1"/>
  <c r="AL160" i="1"/>
  <c r="AK160" i="1"/>
  <c r="AL153" i="1"/>
  <c r="AK153" i="1"/>
  <c r="AP339" i="1"/>
  <c r="AO339" i="1"/>
  <c r="AL339" i="1"/>
  <c r="AK339" i="1"/>
  <c r="AL147" i="1"/>
  <c r="AK147" i="1"/>
  <c r="AL328" i="1"/>
  <c r="AK328" i="1"/>
  <c r="AL121" i="1"/>
  <c r="AK121" i="1"/>
  <c r="AP412" i="1"/>
  <c r="AO412" i="1"/>
  <c r="AL412" i="1"/>
  <c r="AK412" i="1"/>
  <c r="AL312" i="1"/>
  <c r="AK312" i="1"/>
  <c r="AL267" i="1"/>
  <c r="AK267" i="1"/>
  <c r="AL288" i="1"/>
  <c r="AK288" i="1"/>
  <c r="AL76" i="1"/>
  <c r="AK76" i="1"/>
  <c r="AL63" i="1"/>
  <c r="AK63" i="1"/>
  <c r="AL286" i="1"/>
  <c r="AK286" i="1"/>
  <c r="AP378" i="1"/>
  <c r="AO378" i="1"/>
  <c r="AL378" i="1"/>
  <c r="AK378" i="1"/>
  <c r="AL279" i="1"/>
  <c r="AK279" i="1"/>
  <c r="AL41" i="1"/>
  <c r="AK41" i="1"/>
  <c r="AL27" i="1"/>
  <c r="AK27" i="1"/>
  <c r="AL272" i="1"/>
  <c r="AK272" i="1"/>
  <c r="AL263" i="1"/>
  <c r="AK263" i="1"/>
  <c r="AO252" i="1"/>
  <c r="EK252" i="1" s="1"/>
  <c r="AL252" i="1"/>
  <c r="ED252" i="1" s="1"/>
  <c r="AK252" i="1"/>
  <c r="AP252" i="1"/>
  <c r="AP241" i="1"/>
  <c r="AO241" i="1"/>
  <c r="EK241" i="1" s="1"/>
  <c r="AL241" i="1"/>
  <c r="EE241" i="1" s="1"/>
  <c r="AK241" i="1"/>
  <c r="AL226" i="1"/>
  <c r="AK226" i="1"/>
  <c r="AL215" i="1"/>
  <c r="AK215" i="1"/>
  <c r="AL203" i="1"/>
  <c r="AK203" i="1"/>
  <c r="AL190" i="1"/>
  <c r="AK190" i="1"/>
  <c r="AL189" i="1"/>
  <c r="AK189" i="1"/>
  <c r="AP354" i="1"/>
  <c r="AO354" i="1"/>
  <c r="AL354" i="1"/>
  <c r="AK354" i="1"/>
  <c r="AL159" i="1"/>
  <c r="AK159" i="1"/>
  <c r="AL146" i="1"/>
  <c r="AK146" i="1"/>
  <c r="AL327" i="1"/>
  <c r="AK327" i="1"/>
  <c r="AL120" i="1"/>
  <c r="AK120" i="1"/>
  <c r="AL102" i="1"/>
  <c r="AK102" i="1"/>
  <c r="AP408" i="1"/>
  <c r="AO408" i="1"/>
  <c r="EK408" i="1" s="1"/>
  <c r="AL408" i="1"/>
  <c r="AK408" i="1"/>
  <c r="AL311" i="1"/>
  <c r="AK311" i="1"/>
  <c r="AP400" i="1"/>
  <c r="AO400" i="1"/>
  <c r="EK400" i="1" s="1"/>
  <c r="AK400" i="1"/>
  <c r="AL400" i="1"/>
  <c r="AP309" i="1"/>
  <c r="AO309" i="1"/>
  <c r="AL309" i="1"/>
  <c r="AK309" i="1"/>
  <c r="AL256" i="1"/>
  <c r="AK256" i="1"/>
  <c r="AL302" i="1"/>
  <c r="AK302" i="1"/>
  <c r="AK88" i="1"/>
  <c r="AL88" i="1"/>
  <c r="AK75" i="1"/>
  <c r="AL75" i="1"/>
  <c r="AK390" i="1"/>
  <c r="AP390" i="1"/>
  <c r="AO390" i="1"/>
  <c r="EK390" i="1" s="1"/>
  <c r="EX390" i="1" s="1"/>
  <c r="AL390" i="1"/>
  <c r="AL40" i="1"/>
  <c r="AK40" i="1"/>
  <c r="AL26" i="1"/>
  <c r="AK26" i="1"/>
  <c r="AL61" i="1"/>
  <c r="AK61" i="1"/>
  <c r="AL53" i="1"/>
  <c r="AK53" i="1"/>
  <c r="AP225" i="1"/>
  <c r="AO225" i="1"/>
  <c r="EK225" i="1" s="1"/>
  <c r="AL225" i="1"/>
  <c r="AK225" i="1"/>
  <c r="AL214" i="1"/>
  <c r="AK214" i="1"/>
  <c r="AL60" i="1"/>
  <c r="AK60" i="1"/>
  <c r="AK188" i="1"/>
  <c r="AL188" i="1"/>
  <c r="AO355" i="1"/>
  <c r="AL355" i="1"/>
  <c r="EE355" i="1" s="1"/>
  <c r="AP355" i="1"/>
  <c r="AK355" i="1"/>
  <c r="AL173" i="1"/>
  <c r="AK173" i="1"/>
  <c r="AP173" i="1"/>
  <c r="AO173" i="1"/>
  <c r="AL158" i="1"/>
  <c r="AK158" i="1"/>
  <c r="AL152" i="1"/>
  <c r="AK152" i="1"/>
  <c r="AP338" i="1"/>
  <c r="AO338" i="1"/>
  <c r="AL338" i="1"/>
  <c r="AK338" i="1"/>
  <c r="AL145" i="1"/>
  <c r="AK145" i="1"/>
  <c r="AK326" i="1"/>
  <c r="AL326" i="1"/>
  <c r="AL119" i="1"/>
  <c r="AK119" i="1"/>
  <c r="AL325" i="1"/>
  <c r="AK325" i="1"/>
  <c r="AP384" i="1"/>
  <c r="AO384" i="1"/>
  <c r="AL384" i="1"/>
  <c r="EF384" i="1" s="1"/>
  <c r="AK384" i="1"/>
  <c r="AL31" i="1"/>
  <c r="AK31" i="1"/>
  <c r="AL218" i="1"/>
  <c r="AK218" i="1"/>
  <c r="AL163" i="1"/>
  <c r="AK163" i="1"/>
  <c r="AL124" i="1"/>
  <c r="AK124" i="1"/>
  <c r="AP394" i="1"/>
  <c r="AO394" i="1"/>
  <c r="EK394" i="1" s="1"/>
  <c r="AL394" i="1"/>
  <c r="AK394" i="1"/>
  <c r="AK301" i="1"/>
  <c r="AL301" i="1"/>
  <c r="AL87" i="1"/>
  <c r="AK87" i="1"/>
  <c r="AL74" i="1"/>
  <c r="AK74" i="1"/>
  <c r="AL285" i="1"/>
  <c r="AK285" i="1"/>
  <c r="AP377" i="1"/>
  <c r="AO377" i="1"/>
  <c r="EK377" i="1" s="1"/>
  <c r="EX377" i="1" s="1"/>
  <c r="AL377" i="1"/>
  <c r="AK377" i="1"/>
  <c r="AL278" i="1"/>
  <c r="AK278" i="1"/>
  <c r="AL39" i="1"/>
  <c r="AK39" i="1"/>
  <c r="AL25" i="1"/>
  <c r="AK25" i="1"/>
  <c r="AK373" i="1"/>
  <c r="AP373" i="1"/>
  <c r="AO373" i="1"/>
  <c r="EK373" i="1" s="1"/>
  <c r="EX373" i="1" s="1"/>
  <c r="AL373" i="1"/>
  <c r="AL49" i="1"/>
  <c r="AK49" i="1"/>
  <c r="AP251" i="1"/>
  <c r="AO251" i="1"/>
  <c r="EK251" i="1" s="1"/>
  <c r="AL251" i="1"/>
  <c r="AK251" i="1"/>
  <c r="AL240" i="1"/>
  <c r="AK240" i="1"/>
  <c r="AL213" i="1"/>
  <c r="AK213" i="1"/>
  <c r="AL202" i="1"/>
  <c r="AK202" i="1"/>
  <c r="AO369" i="1"/>
  <c r="EK369" i="1" s="1"/>
  <c r="EV369" i="1" s="1"/>
  <c r="AL369" i="1"/>
  <c r="CV369" i="1" s="1"/>
  <c r="AK369" i="1"/>
  <c r="AP369" i="1"/>
  <c r="AL187" i="1"/>
  <c r="AK187" i="1"/>
  <c r="AP353" i="1"/>
  <c r="AO353" i="1"/>
  <c r="EK353" i="1" s="1"/>
  <c r="EX353" i="1" s="1"/>
  <c r="AL353" i="1"/>
  <c r="AK353" i="1"/>
  <c r="AL157" i="1"/>
  <c r="AK157" i="1"/>
  <c r="AL144" i="1"/>
  <c r="AK144" i="1"/>
  <c r="AL133" i="1"/>
  <c r="AK133" i="1"/>
  <c r="AK118" i="1"/>
  <c r="AL118" i="1"/>
  <c r="AL324" i="1"/>
  <c r="AK324" i="1"/>
  <c r="AL101" i="1"/>
  <c r="AK101" i="1"/>
  <c r="AP101" i="1"/>
  <c r="AO101" i="1"/>
  <c r="EK101" i="1" s="1"/>
  <c r="EX101" i="1" s="1"/>
  <c r="AK407" i="1"/>
  <c r="AP407" i="1"/>
  <c r="AO407" i="1"/>
  <c r="EK407" i="1" s="1"/>
  <c r="EV407" i="1" s="1"/>
  <c r="AL407" i="1"/>
  <c r="CV407" i="1" s="1"/>
  <c r="AK95" i="1"/>
  <c r="AL95" i="1"/>
  <c r="AP399" i="1"/>
  <c r="AO399" i="1"/>
  <c r="AL399" i="1"/>
  <c r="EH399" i="1" s="1"/>
  <c r="AK399" i="1"/>
  <c r="AP308" i="1"/>
  <c r="AO308" i="1"/>
  <c r="AL308" i="1"/>
  <c r="AK308" i="1"/>
  <c r="AL67" i="1"/>
  <c r="AK67" i="1"/>
  <c r="AK43" i="1"/>
  <c r="AL43" i="1"/>
  <c r="AP243" i="1"/>
  <c r="AO243" i="1"/>
  <c r="EK243" i="1" s="1"/>
  <c r="EV243" i="1" s="1"/>
  <c r="AL243" i="1"/>
  <c r="AK243" i="1"/>
  <c r="AP364" i="1"/>
  <c r="AO364" i="1"/>
  <c r="EK364" i="1" s="1"/>
  <c r="AL364" i="1"/>
  <c r="CV364" i="1" s="1"/>
  <c r="AK364" i="1"/>
  <c r="AL177" i="1"/>
  <c r="AK177" i="1"/>
  <c r="AL134" i="1"/>
  <c r="AK134" i="1"/>
  <c r="AL410" i="1"/>
  <c r="AK410" i="1"/>
  <c r="AP410" i="1"/>
  <c r="AO410" i="1"/>
  <c r="AL300" i="1"/>
  <c r="AK300" i="1"/>
  <c r="AL86" i="1"/>
  <c r="AK86" i="1"/>
  <c r="AL73" i="1"/>
  <c r="AK73" i="1"/>
  <c r="AP389" i="1"/>
  <c r="AO389" i="1"/>
  <c r="EK389" i="1" s="1"/>
  <c r="EX389" i="1" s="1"/>
  <c r="AL389" i="1"/>
  <c r="AK389" i="1"/>
  <c r="AL38" i="1"/>
  <c r="AK38" i="1"/>
  <c r="AL24" i="1"/>
  <c r="AK24" i="1"/>
  <c r="AP262" i="1"/>
  <c r="AO262" i="1"/>
  <c r="EK262" i="1" s="1"/>
  <c r="EX262" i="1" s="1"/>
  <c r="AL262" i="1"/>
  <c r="AK262" i="1"/>
  <c r="AL239" i="1"/>
  <c r="AK239" i="1"/>
  <c r="AL224" i="1"/>
  <c r="AK224" i="1"/>
  <c r="AP224" i="1"/>
  <c r="AO224" i="1"/>
  <c r="EK224" i="1" s="1"/>
  <c r="EV224" i="1" s="1"/>
  <c r="AL212" i="1"/>
  <c r="AK212" i="1"/>
  <c r="AL201" i="1"/>
  <c r="AK201" i="1"/>
  <c r="AL186" i="1"/>
  <c r="AK186" i="1"/>
  <c r="AL185" i="1"/>
  <c r="AK185" i="1"/>
  <c r="AL172" i="1"/>
  <c r="AK172" i="1"/>
  <c r="AP156" i="1"/>
  <c r="AO156" i="1"/>
  <c r="AL156" i="1"/>
  <c r="AK156" i="1"/>
  <c r="AL151" i="1"/>
  <c r="AK151" i="1"/>
  <c r="AK337" i="1"/>
  <c r="AL337" i="1"/>
  <c r="AL143" i="1"/>
  <c r="AK143" i="1"/>
  <c r="AL132" i="1"/>
  <c r="AK132" i="1"/>
  <c r="AL117" i="1"/>
  <c r="AK117" i="1"/>
  <c r="AL323" i="1"/>
  <c r="AK323" i="1"/>
  <c r="AL94" i="1"/>
  <c r="AK94" i="1"/>
  <c r="AP402" i="1"/>
  <c r="AO402" i="1"/>
  <c r="EK402" i="1" s="1"/>
  <c r="AL402" i="1"/>
  <c r="ED402" i="1" s="1"/>
  <c r="AK402" i="1"/>
  <c r="AL299" i="1"/>
  <c r="AK299" i="1"/>
  <c r="AL85" i="1"/>
  <c r="AK85" i="1"/>
  <c r="AL72" i="1"/>
  <c r="AK72" i="1"/>
  <c r="AL284" i="1"/>
  <c r="AK284" i="1"/>
  <c r="AL376" i="1"/>
  <c r="AK376" i="1"/>
  <c r="AP376" i="1"/>
  <c r="AO376" i="1"/>
  <c r="EK376" i="1" s="1"/>
  <c r="AL277" i="1"/>
  <c r="AK277" i="1"/>
  <c r="AK37" i="1"/>
  <c r="AL37" i="1"/>
  <c r="AL23" i="1"/>
  <c r="AK23" i="1"/>
  <c r="AP372" i="1"/>
  <c r="AO372" i="1"/>
  <c r="EK372" i="1" s="1"/>
  <c r="AL372" i="1"/>
  <c r="DU372" i="1" s="1"/>
  <c r="DV372" i="1" s="1"/>
  <c r="AK372" i="1"/>
  <c r="AL250" i="1"/>
  <c r="AK250" i="1"/>
  <c r="AL238" i="1"/>
  <c r="AK238" i="1"/>
  <c r="AL211" i="1"/>
  <c r="AK211" i="1"/>
  <c r="AL200" i="1"/>
  <c r="AK200" i="1"/>
  <c r="AP368" i="1"/>
  <c r="AO368" i="1"/>
  <c r="EK368" i="1" s="1"/>
  <c r="EX368" i="1" s="1"/>
  <c r="AL368" i="1"/>
  <c r="AK368" i="1"/>
  <c r="AP362" i="1"/>
  <c r="AO362" i="1"/>
  <c r="EK362" i="1" s="1"/>
  <c r="EV362" i="1" s="1"/>
  <c r="AL362" i="1"/>
  <c r="AK362" i="1"/>
  <c r="AL184" i="1"/>
  <c r="AK184" i="1"/>
  <c r="AL352" i="1"/>
  <c r="AK352" i="1"/>
  <c r="AO352" i="1"/>
  <c r="EK352" i="1" s="1"/>
  <c r="AP352" i="1"/>
  <c r="AL171" i="1"/>
  <c r="AK171" i="1"/>
  <c r="AL155" i="1"/>
  <c r="AK155" i="1"/>
  <c r="AL336" i="1"/>
  <c r="AK336" i="1"/>
  <c r="AL142" i="1"/>
  <c r="AK142" i="1"/>
  <c r="AL131" i="1"/>
  <c r="AK131" i="1"/>
  <c r="AL116" i="1"/>
  <c r="AK116" i="1"/>
  <c r="AL322" i="1"/>
  <c r="AK322" i="1"/>
  <c r="AL100" i="1"/>
  <c r="AK100" i="1"/>
  <c r="AP406" i="1"/>
  <c r="AO406" i="1"/>
  <c r="EK406" i="1" s="1"/>
  <c r="AL406" i="1"/>
  <c r="CV406" i="1" s="1"/>
  <c r="AK406" i="1"/>
  <c r="AL93" i="1"/>
  <c r="AK93" i="1"/>
  <c r="AP398" i="1"/>
  <c r="AO398" i="1"/>
  <c r="AL398" i="1"/>
  <c r="AK398" i="1"/>
  <c r="AK307" i="1"/>
  <c r="AL307" i="1"/>
  <c r="AL108" i="1"/>
  <c r="AK108" i="1"/>
  <c r="AL298" i="1"/>
  <c r="AK298" i="1"/>
  <c r="AL84" i="1"/>
  <c r="AK84" i="1"/>
  <c r="AL71" i="1"/>
  <c r="AK71" i="1"/>
  <c r="AP388" i="1"/>
  <c r="AO388" i="1"/>
  <c r="AL388" i="1"/>
  <c r="AK388" i="1"/>
  <c r="AL36" i="1"/>
  <c r="AK36" i="1"/>
  <c r="AL19" i="1"/>
  <c r="AK19" i="1"/>
  <c r="AP261" i="1"/>
  <c r="AO261" i="1"/>
  <c r="EK261" i="1" s="1"/>
  <c r="AL261" i="1"/>
  <c r="AK261" i="1"/>
  <c r="AL237" i="1"/>
  <c r="AK237" i="1"/>
  <c r="AL223" i="1"/>
  <c r="AK223" i="1"/>
  <c r="AL210" i="1"/>
  <c r="AK210" i="1"/>
  <c r="AL199" i="1"/>
  <c r="AK199" i="1"/>
  <c r="AK183" i="1"/>
  <c r="AP183" i="1"/>
  <c r="AO183" i="1"/>
  <c r="EK183" i="1" s="1"/>
  <c r="AL183" i="1"/>
  <c r="AL170" i="1"/>
  <c r="AK170" i="1"/>
  <c r="AK150" i="1"/>
  <c r="AL150" i="1"/>
  <c r="AL335" i="1"/>
  <c r="AK335" i="1"/>
  <c r="AL141" i="1"/>
  <c r="AK141" i="1"/>
  <c r="AK130" i="1"/>
  <c r="AL130" i="1"/>
  <c r="AL115" i="1"/>
  <c r="AK115" i="1"/>
  <c r="AL321" i="1"/>
  <c r="AK321" i="1"/>
  <c r="AL92" i="1"/>
  <c r="AK92" i="1"/>
  <c r="AL315" i="1"/>
  <c r="AK315" i="1"/>
  <c r="AL297" i="1"/>
  <c r="AK297" i="1"/>
  <c r="AL83" i="1"/>
  <c r="AK83" i="1"/>
  <c r="AL70" i="1"/>
  <c r="AK70" i="1"/>
  <c r="AL283" i="1"/>
  <c r="AK283" i="1"/>
  <c r="AP375" i="1"/>
  <c r="AO375" i="1"/>
  <c r="EK375" i="1" s="1"/>
  <c r="AL375" i="1"/>
  <c r="DR375" i="1" s="1"/>
  <c r="DS375" i="1" s="1"/>
  <c r="EA375" i="1" s="1"/>
  <c r="DA375" i="1" s="1"/>
  <c r="AK375" i="1"/>
  <c r="AK276" i="1"/>
  <c r="AL276" i="1"/>
  <c r="AP35" i="1"/>
  <c r="AO35" i="1"/>
  <c r="EK35" i="1" s="1"/>
  <c r="EX35" i="1" s="1"/>
  <c r="AL35" i="1"/>
  <c r="AK35" i="1"/>
  <c r="AL18" i="1"/>
  <c r="AK18" i="1"/>
  <c r="AP371" i="1"/>
  <c r="AO371" i="1"/>
  <c r="EK371" i="1" s="1"/>
  <c r="EX371" i="1" s="1"/>
  <c r="AL371" i="1"/>
  <c r="AK371" i="1"/>
  <c r="AL249" i="1"/>
  <c r="AK249" i="1"/>
  <c r="AK236" i="1"/>
  <c r="AL236" i="1"/>
  <c r="AL222" i="1"/>
  <c r="AK222" i="1"/>
  <c r="AL209" i="1"/>
  <c r="AK209" i="1"/>
  <c r="AL198" i="1"/>
  <c r="AK198" i="1"/>
  <c r="AP367" i="1"/>
  <c r="AO367" i="1"/>
  <c r="EK367" i="1" s="1"/>
  <c r="EV367" i="1" s="1"/>
  <c r="AL367" i="1"/>
  <c r="DR367" i="1" s="1"/>
  <c r="DS367" i="1" s="1"/>
  <c r="EA367" i="1" s="1"/>
  <c r="DA367" i="1" s="1"/>
  <c r="AK367" i="1"/>
  <c r="AP361" i="1"/>
  <c r="AO361" i="1"/>
  <c r="EK361" i="1" s="1"/>
  <c r="AL361" i="1"/>
  <c r="EE361" i="1" s="1"/>
  <c r="AK361" i="1"/>
  <c r="AP351" i="1"/>
  <c r="AO351" i="1"/>
  <c r="EK351" i="1" s="1"/>
  <c r="AL351" i="1"/>
  <c r="ED351" i="1" s="1"/>
  <c r="AK351" i="1"/>
  <c r="AL169" i="1"/>
  <c r="AK169" i="1"/>
  <c r="AL62" i="1"/>
  <c r="AK62" i="1"/>
  <c r="AL149" i="1"/>
  <c r="AK149" i="1"/>
  <c r="AL334" i="1"/>
  <c r="AK334" i="1"/>
  <c r="AL140" i="1"/>
  <c r="AK140" i="1"/>
  <c r="AL129" i="1"/>
  <c r="AK129" i="1"/>
  <c r="AL114" i="1"/>
  <c r="AK114" i="1"/>
  <c r="AL320" i="1"/>
  <c r="AK320" i="1"/>
  <c r="AL99" i="1"/>
  <c r="AK99" i="1"/>
  <c r="AP405" i="1"/>
  <c r="AO405" i="1"/>
  <c r="EK405" i="1" s="1"/>
  <c r="EV405" i="1" s="1"/>
  <c r="AL405" i="1"/>
  <c r="AK405" i="1"/>
  <c r="AP54" i="1"/>
  <c r="AO54" i="1"/>
  <c r="EK54" i="1" s="1"/>
  <c r="EX54" i="1" s="1"/>
  <c r="AL54" i="1"/>
  <c r="AK54" i="1"/>
  <c r="AP397" i="1"/>
  <c r="AO397" i="1"/>
  <c r="AL397" i="1"/>
  <c r="AK397" i="1"/>
  <c r="AL306" i="1"/>
  <c r="AK306" i="1"/>
  <c r="AL296" i="1"/>
  <c r="AK296" i="1"/>
  <c r="AL82" i="1"/>
  <c r="AK82" i="1"/>
  <c r="AP387" i="1"/>
  <c r="AO387" i="1"/>
  <c r="EK387" i="1" s="1"/>
  <c r="AL387" i="1"/>
  <c r="EJ387" i="1" s="1"/>
  <c r="EP387" i="1" s="1"/>
  <c r="AK387" i="1"/>
  <c r="AP47" i="1"/>
  <c r="AO47" i="1"/>
  <c r="AL47" i="1"/>
  <c r="AK47" i="1"/>
  <c r="AL17" i="1"/>
  <c r="AK17" i="1"/>
  <c r="AL260" i="1"/>
  <c r="AK260" i="1"/>
  <c r="AL248" i="1"/>
  <c r="AK248" i="1"/>
  <c r="AL235" i="1"/>
  <c r="AK235" i="1"/>
  <c r="AL221" i="1"/>
  <c r="AK221" i="1"/>
  <c r="AL208" i="1"/>
  <c r="AK208" i="1"/>
  <c r="AP182" i="1"/>
  <c r="AO182" i="1"/>
  <c r="EK182" i="1" s="1"/>
  <c r="EV182" i="1" s="1"/>
  <c r="AL182" i="1"/>
  <c r="AK182" i="1"/>
  <c r="AL168" i="1"/>
  <c r="AK168" i="1"/>
  <c r="AP348" i="1"/>
  <c r="AO348" i="1"/>
  <c r="EK348" i="1" s="1"/>
  <c r="AL348" i="1"/>
  <c r="AK348" i="1"/>
  <c r="AL50" i="1"/>
  <c r="AK50" i="1"/>
  <c r="AL333" i="1"/>
  <c r="AK333" i="1"/>
  <c r="AL139" i="1"/>
  <c r="AK139" i="1"/>
  <c r="AL113" i="1"/>
  <c r="AK113" i="1"/>
  <c r="AL107" i="1"/>
  <c r="AK107" i="1"/>
  <c r="AL98" i="1"/>
  <c r="AK98" i="1"/>
  <c r="AL305" i="1"/>
  <c r="AK305" i="1"/>
  <c r="AL104" i="1"/>
  <c r="AK104" i="1"/>
  <c r="AK295" i="1"/>
  <c r="AL295" i="1"/>
  <c r="AK81" i="1"/>
  <c r="AL81" i="1"/>
  <c r="AL69" i="1"/>
  <c r="EF69" i="1" s="1"/>
  <c r="AK69" i="1"/>
  <c r="AP69" i="1"/>
  <c r="AO69" i="1"/>
  <c r="AL386" i="1"/>
  <c r="AK386" i="1"/>
  <c r="AO386" i="1"/>
  <c r="EK386" i="1" s="1"/>
  <c r="EX386" i="1" s="1"/>
  <c r="AP386" i="1"/>
  <c r="AL51" i="1"/>
  <c r="AK51" i="1"/>
  <c r="AP374" i="1"/>
  <c r="AO374" i="1"/>
  <c r="AL374" i="1"/>
  <c r="AK374" i="1"/>
  <c r="AL46" i="1"/>
  <c r="AK46" i="1"/>
  <c r="AP34" i="1"/>
  <c r="AO34" i="1"/>
  <c r="EK34" i="1" s="1"/>
  <c r="EV34" i="1" s="1"/>
  <c r="AL34" i="1"/>
  <c r="AK34" i="1"/>
  <c r="AL16" i="1"/>
  <c r="AK16" i="1"/>
  <c r="AL271" i="1"/>
  <c r="AK271" i="1"/>
  <c r="W247" i="1"/>
  <c r="AL247" i="1"/>
  <c r="AK247" i="1"/>
  <c r="AL234" i="1"/>
  <c r="AK234" i="1"/>
  <c r="AP220" i="1"/>
  <c r="AO220" i="1"/>
  <c r="EK220" i="1" s="1"/>
  <c r="EX220" i="1" s="1"/>
  <c r="AL220" i="1"/>
  <c r="AK220" i="1"/>
  <c r="AL197" i="1"/>
  <c r="AK197" i="1"/>
  <c r="AL366" i="1"/>
  <c r="AK366" i="1"/>
  <c r="AO366" i="1"/>
  <c r="EK366" i="1" s="1"/>
  <c r="EV366" i="1" s="1"/>
  <c r="AP366" i="1"/>
  <c r="AP360" i="1"/>
  <c r="AO360" i="1"/>
  <c r="EK360" i="1" s="1"/>
  <c r="EV360" i="1" s="1"/>
  <c r="AL360" i="1"/>
  <c r="AK360" i="1"/>
  <c r="AP350" i="1"/>
  <c r="AO350" i="1"/>
  <c r="EK350" i="1" s="1"/>
  <c r="EV350" i="1" s="1"/>
  <c r="AL350" i="1"/>
  <c r="AK350" i="1"/>
  <c r="AL167" i="1"/>
  <c r="AK167" i="1"/>
  <c r="AP344" i="1"/>
  <c r="AO344" i="1"/>
  <c r="AL344" i="1"/>
  <c r="AK344" i="1"/>
  <c r="AL332" i="1"/>
  <c r="AK332" i="1"/>
  <c r="AL138" i="1"/>
  <c r="AK138" i="1"/>
  <c r="AP128" i="1"/>
  <c r="AO128" i="1"/>
  <c r="EK128" i="1" s="1"/>
  <c r="AL128" i="1"/>
  <c r="EH128" i="1" s="1"/>
  <c r="AK128" i="1"/>
  <c r="AK112" i="1"/>
  <c r="AL112" i="1"/>
  <c r="AL106" i="1"/>
  <c r="AK106" i="1"/>
  <c r="AP106" i="1"/>
  <c r="AO106" i="1"/>
  <c r="EK106" i="1" s="1"/>
  <c r="AL97" i="1"/>
  <c r="AK97" i="1"/>
  <c r="AL319" i="1"/>
  <c r="AK319" i="1"/>
  <c r="AP404" i="1"/>
  <c r="AO404" i="1"/>
  <c r="EK404" i="1" s="1"/>
  <c r="EX404" i="1" s="1"/>
  <c r="AL404" i="1"/>
  <c r="AK404" i="1"/>
  <c r="AL396" i="1"/>
  <c r="AK396" i="1"/>
  <c r="AO396" i="1"/>
  <c r="AP396" i="1"/>
  <c r="AL304" i="1"/>
  <c r="AK304" i="1"/>
  <c r="AL294" i="1"/>
  <c r="AK294" i="1"/>
  <c r="AP382" i="1"/>
  <c r="AO382" i="1"/>
  <c r="AL382" i="1"/>
  <c r="AK382" i="1"/>
  <c r="AL15" i="1"/>
  <c r="AK15" i="1"/>
  <c r="AL246" i="1"/>
  <c r="AK246" i="1"/>
  <c r="AL207" i="1"/>
  <c r="AK207" i="1"/>
  <c r="AL127" i="1"/>
  <c r="AK127" i="1"/>
  <c r="AL96" i="1"/>
  <c r="AK96" i="1"/>
  <c r="AL303" i="1"/>
  <c r="AK303" i="1"/>
  <c r="AL45" i="1"/>
  <c r="AK45" i="1"/>
  <c r="AL233" i="1"/>
  <c r="AK233" i="1"/>
  <c r="AP347" i="1"/>
  <c r="AO347" i="1"/>
  <c r="EK347" i="1" s="1"/>
  <c r="AL347" i="1"/>
  <c r="AK347" i="1"/>
  <c r="CV20" i="1"/>
  <c r="AK20" i="1"/>
  <c r="AL293" i="1"/>
  <c r="AK293" i="1"/>
  <c r="AL79" i="1"/>
  <c r="AK79" i="1"/>
  <c r="AP68" i="1"/>
  <c r="AO68" i="1"/>
  <c r="EK68" i="1" s="1"/>
  <c r="EX68" i="1" s="1"/>
  <c r="AL68" i="1"/>
  <c r="AK68" i="1"/>
  <c r="AP385" i="1"/>
  <c r="AO385" i="1"/>
  <c r="EK385" i="1" s="1"/>
  <c r="AL385" i="1"/>
  <c r="EE385" i="1" s="1"/>
  <c r="AK385" i="1"/>
  <c r="AK282" i="1"/>
  <c r="AL282" i="1"/>
  <c r="AP44" i="1"/>
  <c r="AO44" i="1"/>
  <c r="AL44" i="1"/>
  <c r="AK44" i="1"/>
  <c r="AK33" i="1"/>
  <c r="AL33" i="1"/>
  <c r="AL14" i="1"/>
  <c r="AK14" i="1"/>
  <c r="AL269" i="1"/>
  <c r="AK269" i="1"/>
  <c r="AL258" i="1"/>
  <c r="AK258" i="1"/>
  <c r="AL245" i="1"/>
  <c r="AK245" i="1"/>
  <c r="AL232" i="1"/>
  <c r="AK232" i="1"/>
  <c r="AK219" i="1"/>
  <c r="AL219" i="1"/>
  <c r="AP365" i="1"/>
  <c r="AO365" i="1"/>
  <c r="EK365" i="1" s="1"/>
  <c r="AL365" i="1"/>
  <c r="AK365" i="1"/>
  <c r="AL359" i="1"/>
  <c r="EH359" i="1" s="1"/>
  <c r="AK359" i="1"/>
  <c r="AP359" i="1"/>
  <c r="AO359" i="1"/>
  <c r="EK359" i="1" s="1"/>
  <c r="EX359" i="1" s="1"/>
  <c r="AL180" i="1"/>
  <c r="AK180" i="1"/>
  <c r="AK349" i="1"/>
  <c r="AP349" i="1"/>
  <c r="AO349" i="1"/>
  <c r="EK349" i="1" s="1"/>
  <c r="AL349" i="1"/>
  <c r="AL165" i="1"/>
  <c r="AK165" i="1"/>
  <c r="AP346" i="1"/>
  <c r="AO346" i="1"/>
  <c r="EK346" i="1" s="1"/>
  <c r="AL346" i="1"/>
  <c r="AK346" i="1"/>
  <c r="AP343" i="1"/>
  <c r="AO343" i="1"/>
  <c r="EK343" i="1" s="1"/>
  <c r="AL343" i="1"/>
  <c r="AK343" i="1"/>
  <c r="AL136" i="1"/>
  <c r="AK136" i="1"/>
  <c r="AL126" i="1"/>
  <c r="AK126" i="1"/>
  <c r="AL110" i="1"/>
  <c r="AK110" i="1"/>
  <c r="AL105" i="1"/>
  <c r="AK105" i="1"/>
  <c r="AP411" i="1"/>
  <c r="AO411" i="1"/>
  <c r="EK411" i="1" s="1"/>
  <c r="EX411" i="1" s="1"/>
  <c r="AL411" i="1"/>
  <c r="AK411" i="1"/>
  <c r="AL317" i="1"/>
  <c r="AK317" i="1"/>
  <c r="AL403" i="1"/>
  <c r="AK403" i="1"/>
  <c r="AP403" i="1"/>
  <c r="AO403" i="1"/>
  <c r="EK403" i="1" s="1"/>
  <c r="EV403" i="1" s="1"/>
  <c r="AP395" i="1"/>
  <c r="AO395" i="1"/>
  <c r="EK395" i="1" s="1"/>
  <c r="EX395" i="1" s="1"/>
  <c r="AL395" i="1"/>
  <c r="AK395" i="1"/>
  <c r="AL91" i="1"/>
  <c r="AK91" i="1"/>
  <c r="AL80" i="1"/>
  <c r="AK80" i="1"/>
  <c r="AK270" i="1"/>
  <c r="AL270" i="1"/>
  <c r="AK259" i="1"/>
  <c r="AL259" i="1"/>
  <c r="AL196" i="1"/>
  <c r="AK196" i="1"/>
  <c r="AL181" i="1"/>
  <c r="AK181" i="1"/>
  <c r="AL166" i="1"/>
  <c r="AK166" i="1"/>
  <c r="AL331" i="1"/>
  <c r="AK331" i="1"/>
  <c r="AP331" i="1"/>
  <c r="AO331" i="1"/>
  <c r="EK331" i="1" s="1"/>
  <c r="EX331" i="1" s="1"/>
  <c r="AK137" i="1"/>
  <c r="AL137" i="1"/>
  <c r="AL111" i="1"/>
  <c r="AK111" i="1"/>
  <c r="AL318" i="1"/>
  <c r="AK318" i="1"/>
  <c r="AL292" i="1"/>
  <c r="AK292" i="1"/>
  <c r="AL78" i="1"/>
  <c r="AK78" i="1"/>
  <c r="AP381" i="1"/>
  <c r="AO381" i="1"/>
  <c r="EK381" i="1" s="1"/>
  <c r="AL381" i="1"/>
  <c r="AK381" i="1"/>
  <c r="AL32" i="1"/>
  <c r="AK32" i="1"/>
  <c r="AP56" i="1"/>
  <c r="AO56" i="1"/>
  <c r="EK56" i="1" s="1"/>
  <c r="EX56" i="1" s="1"/>
  <c r="AL56" i="1"/>
  <c r="AK56" i="1"/>
  <c r="AL268" i="1"/>
  <c r="AK268" i="1"/>
  <c r="AL257" i="1"/>
  <c r="AK257" i="1"/>
  <c r="AL244" i="1"/>
  <c r="AK244" i="1"/>
  <c r="AL231" i="1"/>
  <c r="AK231" i="1"/>
  <c r="AL206" i="1"/>
  <c r="AK206" i="1"/>
  <c r="AK195" i="1"/>
  <c r="AL195" i="1"/>
  <c r="AP358" i="1"/>
  <c r="AO358" i="1"/>
  <c r="AL358" i="1"/>
  <c r="AK358" i="1"/>
  <c r="AP179" i="1"/>
  <c r="AO179" i="1"/>
  <c r="EK179" i="1" s="1"/>
  <c r="EX179" i="1" s="1"/>
  <c r="AL179" i="1"/>
  <c r="AK179" i="1"/>
  <c r="AL164" i="1"/>
  <c r="AK164" i="1"/>
  <c r="AP330" i="1"/>
  <c r="AO330" i="1"/>
  <c r="EK330" i="1" s="1"/>
  <c r="EV330" i="1" s="1"/>
  <c r="AL330" i="1"/>
  <c r="AK330" i="1"/>
  <c r="AL135" i="1"/>
  <c r="AK135" i="1"/>
  <c r="AL125" i="1"/>
  <c r="AK125" i="1"/>
  <c r="AL109" i="1"/>
  <c r="AK109" i="1"/>
  <c r="AL316" i="1"/>
  <c r="AK316" i="1"/>
  <c r="AL90" i="1"/>
  <c r="AK90" i="1"/>
  <c r="EJ394" i="1"/>
  <c r="EP394" i="1" s="1"/>
  <c r="DU361" i="1"/>
  <c r="DV361" i="1" s="1"/>
  <c r="EH391" i="1"/>
  <c r="EH361" i="1"/>
  <c r="EE339" i="1"/>
  <c r="EK354" i="1"/>
  <c r="EX354" i="1" s="1"/>
  <c r="EF361" i="1"/>
  <c r="EH402" i="1"/>
  <c r="CV339" i="1"/>
  <c r="CV355" i="1"/>
  <c r="EE370" i="1"/>
  <c r="EF368" i="1"/>
  <c r="EK370" i="1"/>
  <c r="EV370" i="1" s="1"/>
  <c r="EF339" i="1"/>
  <c r="ED370" i="1"/>
  <c r="EH339" i="1"/>
  <c r="EK173" i="1"/>
  <c r="EX173" i="1" s="1"/>
  <c r="DR363" i="1"/>
  <c r="DS363" i="1" s="1"/>
  <c r="EA363" i="1" s="1"/>
  <c r="DA363" i="1" s="1"/>
  <c r="W316" i="1"/>
  <c r="BL316" i="1"/>
  <c r="BK316" i="1"/>
  <c r="BK125" i="1"/>
  <c r="BL125" i="1"/>
  <c r="W298" i="1"/>
  <c r="BK298" i="1"/>
  <c r="BL298" i="1"/>
  <c r="BL290" i="1"/>
  <c r="BK290" i="1"/>
  <c r="W83" i="1"/>
  <c r="BL83" i="1"/>
  <c r="BK83" i="1"/>
  <c r="BL391" i="1"/>
  <c r="BK391" i="1"/>
  <c r="BL69" i="1"/>
  <c r="BK69" i="1"/>
  <c r="BK285" i="1"/>
  <c r="BL285" i="1"/>
  <c r="W43" i="1"/>
  <c r="BL43" i="1"/>
  <c r="BK43" i="1"/>
  <c r="BL243" i="1"/>
  <c r="BK243" i="1"/>
  <c r="BL203" i="1"/>
  <c r="BK203" i="1"/>
  <c r="BL195" i="1"/>
  <c r="BK195" i="1"/>
  <c r="BL368" i="1"/>
  <c r="BK368" i="1"/>
  <c r="BL187" i="1"/>
  <c r="BK187" i="1"/>
  <c r="BL356" i="1"/>
  <c r="BK356" i="1"/>
  <c r="BL179" i="1"/>
  <c r="BK179" i="1"/>
  <c r="BL349" i="1"/>
  <c r="BK349" i="1"/>
  <c r="BL170" i="1"/>
  <c r="BK170" i="1"/>
  <c r="BK162" i="1"/>
  <c r="BL162" i="1"/>
  <c r="BL62" i="1"/>
  <c r="BK62" i="1"/>
  <c r="W151" i="1"/>
  <c r="BL151" i="1"/>
  <c r="BK151" i="1"/>
  <c r="W340" i="1"/>
  <c r="BL340" i="1"/>
  <c r="BK340" i="1"/>
  <c r="W332" i="1"/>
  <c r="BK332" i="1"/>
  <c r="BL332" i="1"/>
  <c r="BK144" i="1"/>
  <c r="BL144" i="1"/>
  <c r="W136" i="1"/>
  <c r="BL136" i="1"/>
  <c r="BK136" i="1"/>
  <c r="W33" i="1"/>
  <c r="BL33" i="1"/>
  <c r="BK33" i="1"/>
  <c r="BL14" i="1"/>
  <c r="BK14" i="1"/>
  <c r="W132" i="1"/>
  <c r="BK132" i="1"/>
  <c r="BL132" i="1"/>
  <c r="BK124" i="1"/>
  <c r="BL124" i="1"/>
  <c r="BL116" i="1"/>
  <c r="BK116" i="1"/>
  <c r="BK108" i="1"/>
  <c r="BL108" i="1"/>
  <c r="W320" i="1"/>
  <c r="BL320" i="1"/>
  <c r="BK320" i="1"/>
  <c r="BK100" i="1"/>
  <c r="BL100" i="1"/>
  <c r="BL408" i="1"/>
  <c r="BK408" i="1"/>
  <c r="W315" i="1"/>
  <c r="BL315" i="1"/>
  <c r="BK315" i="1"/>
  <c r="BL92" i="1"/>
  <c r="BK92" i="1"/>
  <c r="BL398" i="1"/>
  <c r="BK398" i="1"/>
  <c r="BK307" i="1"/>
  <c r="BL307" i="1"/>
  <c r="W55" i="1"/>
  <c r="BL55" i="1"/>
  <c r="BK55" i="1"/>
  <c r="W109" i="1"/>
  <c r="BL109" i="1"/>
  <c r="BK109" i="1"/>
  <c r="BL409" i="1"/>
  <c r="BK409" i="1"/>
  <c r="BL308" i="1"/>
  <c r="BK308" i="1"/>
  <c r="W279" i="1"/>
  <c r="BL279" i="1"/>
  <c r="BK279" i="1"/>
  <c r="BL297" i="1"/>
  <c r="BK297" i="1"/>
  <c r="BL289" i="1"/>
  <c r="BK289" i="1"/>
  <c r="W82" i="1"/>
  <c r="BL82" i="1"/>
  <c r="BK82" i="1"/>
  <c r="BL76" i="1"/>
  <c r="BK76" i="1"/>
  <c r="BL68" i="1"/>
  <c r="BK68" i="1"/>
  <c r="BL388" i="1"/>
  <c r="BK388" i="1"/>
  <c r="W284" i="1"/>
  <c r="BL284" i="1"/>
  <c r="BK284" i="1"/>
  <c r="BL377" i="1"/>
  <c r="BK377" i="1"/>
  <c r="W278" i="1"/>
  <c r="BL278" i="1"/>
  <c r="BK278" i="1"/>
  <c r="W42" i="1"/>
  <c r="BL42" i="1"/>
  <c r="BK42" i="1"/>
  <c r="W32" i="1"/>
  <c r="BL32" i="1"/>
  <c r="BK32" i="1"/>
  <c r="BL56" i="1"/>
  <c r="BK56" i="1"/>
  <c r="BL371" i="1"/>
  <c r="BK371" i="1"/>
  <c r="BL264" i="1"/>
  <c r="BK264" i="1"/>
  <c r="W258" i="1"/>
  <c r="BL258" i="1"/>
  <c r="BK258" i="1"/>
  <c r="W250" i="1"/>
  <c r="BL250" i="1"/>
  <c r="BK250" i="1"/>
  <c r="W242" i="1"/>
  <c r="BL242" i="1"/>
  <c r="BK242" i="1"/>
  <c r="BL234" i="1"/>
  <c r="BK234" i="1"/>
  <c r="BL226" i="1"/>
  <c r="BK226" i="1"/>
  <c r="W218" i="1"/>
  <c r="BL218" i="1"/>
  <c r="BK218" i="1"/>
  <c r="W210" i="1"/>
  <c r="BL210" i="1"/>
  <c r="BK210" i="1"/>
  <c r="BL202" i="1"/>
  <c r="BK202" i="1"/>
  <c r="BL194" i="1"/>
  <c r="BK194" i="1"/>
  <c r="BL367" i="1"/>
  <c r="BK367" i="1"/>
  <c r="BL186" i="1"/>
  <c r="BK186" i="1"/>
  <c r="BL355" i="1"/>
  <c r="BK355" i="1"/>
  <c r="BL178" i="1"/>
  <c r="BK178" i="1"/>
  <c r="BL177" i="1"/>
  <c r="BK177" i="1"/>
  <c r="BL169" i="1"/>
  <c r="BK169" i="1"/>
  <c r="W161" i="1"/>
  <c r="BL161" i="1"/>
  <c r="BK161" i="1"/>
  <c r="BL348" i="1"/>
  <c r="BK348" i="1"/>
  <c r="W150" i="1"/>
  <c r="BK150" i="1"/>
  <c r="BL150" i="1"/>
  <c r="BL339" i="1"/>
  <c r="BK339" i="1"/>
  <c r="BL331" i="1"/>
  <c r="BK331" i="1"/>
  <c r="W143" i="1"/>
  <c r="BL143" i="1"/>
  <c r="BK143" i="1"/>
  <c r="BL135" i="1"/>
  <c r="BK135" i="1"/>
  <c r="W321" i="1"/>
  <c r="BL321" i="1"/>
  <c r="BK321" i="1"/>
  <c r="BL235" i="1"/>
  <c r="BK235" i="1"/>
  <c r="EF409" i="1"/>
  <c r="EF280" i="1"/>
  <c r="W31" i="1"/>
  <c r="BL31" i="1"/>
  <c r="BK31" i="1"/>
  <c r="W131" i="1"/>
  <c r="BL131" i="1"/>
  <c r="BK131" i="1"/>
  <c r="BL123" i="1"/>
  <c r="BK123" i="1"/>
  <c r="BL115" i="1"/>
  <c r="BK115" i="1"/>
  <c r="BL58" i="1"/>
  <c r="BK58" i="1"/>
  <c r="BL107" i="1"/>
  <c r="BK107" i="1"/>
  <c r="BL99" i="1"/>
  <c r="BK99" i="1"/>
  <c r="BL407" i="1"/>
  <c r="BK407" i="1"/>
  <c r="W314" i="1"/>
  <c r="BL314" i="1"/>
  <c r="BK314" i="1"/>
  <c r="BL54" i="1"/>
  <c r="BK54" i="1"/>
  <c r="BL397" i="1"/>
  <c r="BK397" i="1"/>
  <c r="BL306" i="1"/>
  <c r="BK306" i="1"/>
  <c r="W20" i="1"/>
  <c r="BN20" i="1"/>
  <c r="BK20" i="1"/>
  <c r="BL93" i="1"/>
  <c r="BK93" i="1"/>
  <c r="W227" i="1"/>
  <c r="BL227" i="1"/>
  <c r="BK227" i="1"/>
  <c r="DU280" i="1"/>
  <c r="DV280" i="1" s="1"/>
  <c r="W296" i="1"/>
  <c r="BL296" i="1"/>
  <c r="BK296" i="1"/>
  <c r="W283" i="1"/>
  <c r="BL283" i="1"/>
  <c r="BK283" i="1"/>
  <c r="BK30" i="1"/>
  <c r="BL30" i="1"/>
  <c r="W249" i="1"/>
  <c r="BL249" i="1"/>
  <c r="BK249" i="1"/>
  <c r="W209" i="1"/>
  <c r="BL209" i="1"/>
  <c r="BK209" i="1"/>
  <c r="BL362" i="1"/>
  <c r="BK362" i="1"/>
  <c r="BL168" i="1"/>
  <c r="BK168" i="1"/>
  <c r="BL338" i="1"/>
  <c r="BK338" i="1"/>
  <c r="BL134" i="1"/>
  <c r="BK134" i="1"/>
  <c r="BL34" i="1"/>
  <c r="BK34" i="1"/>
  <c r="BL117" i="1"/>
  <c r="BK117" i="1"/>
  <c r="BK89" i="1"/>
  <c r="BL89" i="1"/>
  <c r="BL211" i="1"/>
  <c r="BK211" i="1"/>
  <c r="BL393" i="1"/>
  <c r="BK393" i="1"/>
  <c r="W81" i="1"/>
  <c r="BL81" i="1"/>
  <c r="BK81" i="1"/>
  <c r="BL387" i="1"/>
  <c r="BK387" i="1"/>
  <c r="W277" i="1"/>
  <c r="BL277" i="1"/>
  <c r="BK277" i="1"/>
  <c r="W48" i="1"/>
  <c r="BL48" i="1"/>
  <c r="BK48" i="1"/>
  <c r="W263" i="1"/>
  <c r="BL263" i="1"/>
  <c r="BK263" i="1"/>
  <c r="W233" i="1"/>
  <c r="BK233" i="1"/>
  <c r="BL233" i="1"/>
  <c r="BL217" i="1"/>
  <c r="BK217" i="1"/>
  <c r="BL193" i="1"/>
  <c r="BK193" i="1"/>
  <c r="BL185" i="1"/>
  <c r="BK185" i="1"/>
  <c r="BL176" i="1"/>
  <c r="BK176" i="1"/>
  <c r="BL347" i="1"/>
  <c r="BK347" i="1"/>
  <c r="W149" i="1"/>
  <c r="BL149" i="1"/>
  <c r="BK149" i="1"/>
  <c r="W142" i="1"/>
  <c r="BL142" i="1"/>
  <c r="BK142" i="1"/>
  <c r="BL29" i="1"/>
  <c r="BK29" i="1"/>
  <c r="BL130" i="1"/>
  <c r="BK130" i="1"/>
  <c r="BK122" i="1"/>
  <c r="BL122" i="1"/>
  <c r="BK114" i="1"/>
  <c r="BL114" i="1"/>
  <c r="BL412" i="1"/>
  <c r="BK412" i="1"/>
  <c r="BL106" i="1"/>
  <c r="BK106" i="1"/>
  <c r="BL98" i="1"/>
  <c r="BK98" i="1"/>
  <c r="BL406" i="1"/>
  <c r="BK406" i="1"/>
  <c r="BL313" i="1"/>
  <c r="BK313" i="1"/>
  <c r="BL404" i="1"/>
  <c r="BK404" i="1"/>
  <c r="BL396" i="1"/>
  <c r="BK396" i="1"/>
  <c r="BL305" i="1"/>
  <c r="BK305" i="1"/>
  <c r="CP370" i="1"/>
  <c r="CN370" i="1"/>
  <c r="CM370" i="1"/>
  <c r="W288" i="1"/>
  <c r="BL288" i="1"/>
  <c r="BK288" i="1"/>
  <c r="BL67" i="1"/>
  <c r="BK67" i="1"/>
  <c r="BL376" i="1"/>
  <c r="BK376" i="1"/>
  <c r="W41" i="1"/>
  <c r="BL41" i="1"/>
  <c r="BK41" i="1"/>
  <c r="W271" i="1"/>
  <c r="BL271" i="1"/>
  <c r="BK271" i="1"/>
  <c r="W257" i="1"/>
  <c r="BL257" i="1"/>
  <c r="BK257" i="1"/>
  <c r="BL225" i="1"/>
  <c r="BK225" i="1"/>
  <c r="BK201" i="1"/>
  <c r="BL201" i="1"/>
  <c r="BL366" i="1"/>
  <c r="BK366" i="1"/>
  <c r="BL59" i="1"/>
  <c r="BK59" i="1"/>
  <c r="BL160" i="1"/>
  <c r="BK160" i="1"/>
  <c r="BL330" i="1"/>
  <c r="BK330" i="1"/>
  <c r="EJ409" i="1"/>
  <c r="EP409" i="1" s="1"/>
  <c r="BK392" i="1"/>
  <c r="BL392" i="1"/>
  <c r="BK295" i="1"/>
  <c r="BL295" i="1"/>
  <c r="BL88" i="1"/>
  <c r="BK88" i="1"/>
  <c r="BL80" i="1"/>
  <c r="BK80" i="1"/>
  <c r="W74" i="1"/>
  <c r="BL74" i="1"/>
  <c r="BK74" i="1"/>
  <c r="BL66" i="1"/>
  <c r="BK66" i="1"/>
  <c r="BL386" i="1"/>
  <c r="BK386" i="1"/>
  <c r="W51" i="1"/>
  <c r="BL51" i="1"/>
  <c r="BK51" i="1"/>
  <c r="BL375" i="1"/>
  <c r="BK375" i="1"/>
  <c r="W276" i="1"/>
  <c r="BL276" i="1"/>
  <c r="BK276" i="1"/>
  <c r="W40" i="1"/>
  <c r="BL40" i="1"/>
  <c r="BK40" i="1"/>
  <c r="W28" i="1"/>
  <c r="BK28" i="1"/>
  <c r="BL28" i="1"/>
  <c r="W274" i="1"/>
  <c r="BL274" i="1"/>
  <c r="BK274" i="1"/>
  <c r="BK270" i="1"/>
  <c r="BL270" i="1"/>
  <c r="W53" i="1"/>
  <c r="BK53" i="1"/>
  <c r="BL53" i="1"/>
  <c r="W256" i="1"/>
  <c r="BL256" i="1"/>
  <c r="BK256" i="1"/>
  <c r="BL248" i="1"/>
  <c r="BK248" i="1"/>
  <c r="W240" i="1"/>
  <c r="BL240" i="1"/>
  <c r="BK240" i="1"/>
  <c r="BL232" i="1"/>
  <c r="BK232" i="1"/>
  <c r="BL224" i="1"/>
  <c r="BK224" i="1"/>
  <c r="BL216" i="1"/>
  <c r="BK216" i="1"/>
  <c r="BL208" i="1"/>
  <c r="BK208" i="1"/>
  <c r="BL200" i="1"/>
  <c r="BK200" i="1"/>
  <c r="BL192" i="1"/>
  <c r="BK192" i="1"/>
  <c r="BL365" i="1"/>
  <c r="BK365" i="1"/>
  <c r="BL361" i="1"/>
  <c r="BK361" i="1"/>
  <c r="BL184" i="1"/>
  <c r="BK184" i="1"/>
  <c r="BL354" i="1"/>
  <c r="BK354" i="1"/>
  <c r="W175" i="1"/>
  <c r="BL175" i="1"/>
  <c r="BK175" i="1"/>
  <c r="W167" i="1"/>
  <c r="BL167" i="1"/>
  <c r="BK167" i="1"/>
  <c r="BK159" i="1"/>
  <c r="BL159" i="1"/>
  <c r="BL346" i="1"/>
  <c r="BK346" i="1"/>
  <c r="W50" i="1"/>
  <c r="BK50" i="1"/>
  <c r="BL50" i="1"/>
  <c r="W337" i="1"/>
  <c r="BL337" i="1"/>
  <c r="BK337" i="1"/>
  <c r="BL329" i="1"/>
  <c r="BK329" i="1"/>
  <c r="BL141" i="1"/>
  <c r="BK141" i="1"/>
  <c r="W57" i="1"/>
  <c r="BL57" i="1"/>
  <c r="BK57" i="1"/>
  <c r="W265" i="1"/>
  <c r="BL265" i="1"/>
  <c r="BK265" i="1"/>
  <c r="BL75" i="1"/>
  <c r="BK75" i="1"/>
  <c r="BL241" i="1"/>
  <c r="BK241" i="1"/>
  <c r="EH379" i="1"/>
  <c r="BL27" i="1"/>
  <c r="BK27" i="1"/>
  <c r="BL129" i="1"/>
  <c r="BK129" i="1"/>
  <c r="W121" i="1"/>
  <c r="BK121" i="1"/>
  <c r="BL121" i="1"/>
  <c r="BL113" i="1"/>
  <c r="BK113" i="1"/>
  <c r="W325" i="1"/>
  <c r="BL325" i="1"/>
  <c r="BK325" i="1"/>
  <c r="W105" i="1"/>
  <c r="BL105" i="1"/>
  <c r="BK105" i="1"/>
  <c r="W97" i="1"/>
  <c r="BL97" i="1"/>
  <c r="BK97" i="1"/>
  <c r="BL405" i="1"/>
  <c r="BK405" i="1"/>
  <c r="W312" i="1"/>
  <c r="BK312" i="1"/>
  <c r="BL312" i="1"/>
  <c r="BL403" i="1"/>
  <c r="BK403" i="1"/>
  <c r="BL395" i="1"/>
  <c r="BK395" i="1"/>
  <c r="BK304" i="1"/>
  <c r="BL304" i="1"/>
  <c r="BL21" i="1"/>
  <c r="BK21" i="1"/>
  <c r="BK16" i="1"/>
  <c r="BL16" i="1"/>
  <c r="BL399" i="1"/>
  <c r="BK399" i="1"/>
  <c r="W259" i="1"/>
  <c r="BK259" i="1"/>
  <c r="BL259" i="1"/>
  <c r="DR409" i="1"/>
  <c r="DS409" i="1" s="1"/>
  <c r="EA409" i="1" s="1"/>
  <c r="DA409" i="1" s="1"/>
  <c r="BL302" i="1"/>
  <c r="BK302" i="1"/>
  <c r="BL294" i="1"/>
  <c r="BK294" i="1"/>
  <c r="BL87" i="1"/>
  <c r="BK87" i="1"/>
  <c r="BL79" i="1"/>
  <c r="BK79" i="1"/>
  <c r="W73" i="1"/>
  <c r="BL73" i="1"/>
  <c r="BK73" i="1"/>
  <c r="W65" i="1"/>
  <c r="BL65" i="1"/>
  <c r="BK65" i="1"/>
  <c r="BL385" i="1"/>
  <c r="BK385" i="1"/>
  <c r="BL382" i="1"/>
  <c r="BK382" i="1"/>
  <c r="BK374" i="1"/>
  <c r="BL374" i="1"/>
  <c r="BL47" i="1"/>
  <c r="BK47" i="1"/>
  <c r="W39" i="1"/>
  <c r="BL39" i="1"/>
  <c r="BK39" i="1"/>
  <c r="BK26" i="1"/>
  <c r="BL26" i="1"/>
  <c r="W273" i="1"/>
  <c r="BL273" i="1"/>
  <c r="BK273" i="1"/>
  <c r="W269" i="1"/>
  <c r="BL269" i="1"/>
  <c r="BK269" i="1"/>
  <c r="W49" i="1"/>
  <c r="BL49" i="1"/>
  <c r="BK49" i="1"/>
  <c r="W255" i="1"/>
  <c r="BL255" i="1"/>
  <c r="BK255" i="1"/>
  <c r="BL247" i="1"/>
  <c r="BK247" i="1"/>
  <c r="W239" i="1"/>
  <c r="BL239" i="1"/>
  <c r="BK239" i="1"/>
  <c r="BL231" i="1"/>
  <c r="BK231" i="1"/>
  <c r="BL223" i="1"/>
  <c r="BK223" i="1"/>
  <c r="BL215" i="1"/>
  <c r="BK215" i="1"/>
  <c r="BL207" i="1"/>
  <c r="BK207" i="1"/>
  <c r="BL199" i="1"/>
  <c r="BK199" i="1"/>
  <c r="BL191" i="1"/>
  <c r="BK191" i="1"/>
  <c r="BL364" i="1"/>
  <c r="BK364" i="1"/>
  <c r="BL360" i="1"/>
  <c r="BK360" i="1"/>
  <c r="BL183" i="1"/>
  <c r="BK183" i="1"/>
  <c r="BL353" i="1"/>
  <c r="BK353" i="1"/>
  <c r="BL174" i="1"/>
  <c r="BK174" i="1"/>
  <c r="BL166" i="1"/>
  <c r="BK166" i="1"/>
  <c r="BL158" i="1"/>
  <c r="BK158" i="1"/>
  <c r="BL345" i="1"/>
  <c r="BK345" i="1"/>
  <c r="BL344" i="1"/>
  <c r="BK344" i="1"/>
  <c r="W336" i="1"/>
  <c r="BL336" i="1"/>
  <c r="BK336" i="1"/>
  <c r="W148" i="1"/>
  <c r="BL148" i="1"/>
  <c r="BK148" i="1"/>
  <c r="W140" i="1"/>
  <c r="BL140" i="1"/>
  <c r="BK140" i="1"/>
  <c r="BL372" i="1"/>
  <c r="BK372" i="1"/>
  <c r="DR390" i="1"/>
  <c r="DS390" i="1" s="1"/>
  <c r="EA390" i="1" s="1"/>
  <c r="DA390" i="1" s="1"/>
  <c r="BL25" i="1"/>
  <c r="BK25" i="1"/>
  <c r="W328" i="1"/>
  <c r="BL328" i="1"/>
  <c r="BK328" i="1"/>
  <c r="BL128" i="1"/>
  <c r="BK128" i="1"/>
  <c r="W120" i="1"/>
  <c r="BL120" i="1"/>
  <c r="BK120" i="1"/>
  <c r="BL112" i="1"/>
  <c r="BK112" i="1"/>
  <c r="W324" i="1"/>
  <c r="BL324" i="1"/>
  <c r="BK324" i="1"/>
  <c r="W104" i="1"/>
  <c r="BK104" i="1"/>
  <c r="BL104" i="1"/>
  <c r="W96" i="1"/>
  <c r="BL96" i="1"/>
  <c r="BK96" i="1"/>
  <c r="BL319" i="1"/>
  <c r="BK319" i="1"/>
  <c r="W311" i="1"/>
  <c r="BL311" i="1"/>
  <c r="BK311" i="1"/>
  <c r="BL402" i="1"/>
  <c r="BK402" i="1"/>
  <c r="BL394" i="1"/>
  <c r="BK394" i="1"/>
  <c r="W303" i="1"/>
  <c r="BL303" i="1"/>
  <c r="BK303" i="1"/>
  <c r="W133" i="1"/>
  <c r="BL133" i="1"/>
  <c r="BK133" i="1"/>
  <c r="BL15" i="1"/>
  <c r="BK15" i="1"/>
  <c r="EE357" i="1"/>
  <c r="BL301" i="1"/>
  <c r="BK301" i="1"/>
  <c r="BL293" i="1"/>
  <c r="BK293" i="1"/>
  <c r="BL86" i="1"/>
  <c r="BK86" i="1"/>
  <c r="BL78" i="1"/>
  <c r="BK78" i="1"/>
  <c r="W72" i="1"/>
  <c r="BL72" i="1"/>
  <c r="BK72" i="1"/>
  <c r="W64" i="1"/>
  <c r="BL64" i="1"/>
  <c r="BK64" i="1"/>
  <c r="BL384" i="1"/>
  <c r="BK384" i="1"/>
  <c r="BK381" i="1"/>
  <c r="BL381" i="1"/>
  <c r="W282" i="1"/>
  <c r="BL282" i="1"/>
  <c r="BK282" i="1"/>
  <c r="BL46" i="1"/>
  <c r="BK46" i="1"/>
  <c r="BK38" i="1"/>
  <c r="BL38" i="1"/>
  <c r="W24" i="1"/>
  <c r="BL24" i="1"/>
  <c r="BK24" i="1"/>
  <c r="W272" i="1"/>
  <c r="BK272" i="1"/>
  <c r="BL272" i="1"/>
  <c r="W268" i="1"/>
  <c r="BK268" i="1"/>
  <c r="BL268" i="1"/>
  <c r="BK262" i="1"/>
  <c r="BL262" i="1"/>
  <c r="W254" i="1"/>
  <c r="BL254" i="1"/>
  <c r="BK254" i="1"/>
  <c r="BL246" i="1"/>
  <c r="BK246" i="1"/>
  <c r="W238" i="1"/>
  <c r="BK238" i="1"/>
  <c r="BL238" i="1"/>
  <c r="W230" i="1"/>
  <c r="BL230" i="1"/>
  <c r="BK230" i="1"/>
  <c r="W222" i="1"/>
  <c r="BL222" i="1"/>
  <c r="BK222" i="1"/>
  <c r="W214" i="1"/>
  <c r="BL214" i="1"/>
  <c r="BK214" i="1"/>
  <c r="BL206" i="1"/>
  <c r="BK206" i="1"/>
  <c r="BL198" i="1"/>
  <c r="BK198" i="1"/>
  <c r="BL190" i="1"/>
  <c r="BK190" i="1"/>
  <c r="BL363" i="1"/>
  <c r="BK363" i="1"/>
  <c r="BL359" i="1"/>
  <c r="BK359" i="1"/>
  <c r="BL182" i="1"/>
  <c r="BK182" i="1"/>
  <c r="BK352" i="1"/>
  <c r="BL352" i="1"/>
  <c r="BL173" i="1"/>
  <c r="BK173" i="1"/>
  <c r="W165" i="1"/>
  <c r="BL165" i="1"/>
  <c r="BK165" i="1"/>
  <c r="W157" i="1"/>
  <c r="BK157" i="1"/>
  <c r="BL157" i="1"/>
  <c r="BL154" i="1"/>
  <c r="BK154" i="1"/>
  <c r="BL343" i="1"/>
  <c r="BK343" i="1"/>
  <c r="W335" i="1"/>
  <c r="BK335" i="1"/>
  <c r="BL335" i="1"/>
  <c r="W147" i="1"/>
  <c r="BL147" i="1"/>
  <c r="BK147" i="1"/>
  <c r="BK139" i="1"/>
  <c r="BL139" i="1"/>
  <c r="BL219" i="1"/>
  <c r="BK219" i="1"/>
  <c r="W37" i="1"/>
  <c r="BL37" i="1"/>
  <c r="BK37" i="1"/>
  <c r="W23" i="1"/>
  <c r="BL23" i="1"/>
  <c r="BK23" i="1"/>
  <c r="W327" i="1"/>
  <c r="BL327" i="1"/>
  <c r="BK327" i="1"/>
  <c r="W127" i="1"/>
  <c r="BK127" i="1"/>
  <c r="BL127" i="1"/>
  <c r="W119" i="1"/>
  <c r="BL119" i="1"/>
  <c r="BK119" i="1"/>
  <c r="BK111" i="1"/>
  <c r="BL111" i="1"/>
  <c r="W323" i="1"/>
  <c r="BL323" i="1"/>
  <c r="BK323" i="1"/>
  <c r="BL103" i="1"/>
  <c r="BK103" i="1"/>
  <c r="BL411" i="1"/>
  <c r="BK411" i="1"/>
  <c r="BL318" i="1"/>
  <c r="BK318" i="1"/>
  <c r="W95" i="1"/>
  <c r="BL95" i="1"/>
  <c r="BK95" i="1"/>
  <c r="BL401" i="1"/>
  <c r="BK401" i="1"/>
  <c r="W310" i="1"/>
  <c r="BL310" i="1"/>
  <c r="BK310" i="1"/>
  <c r="W91" i="1"/>
  <c r="BL91" i="1"/>
  <c r="BK91" i="1"/>
  <c r="BK22" i="1"/>
  <c r="BL22" i="1"/>
  <c r="CG370" i="1"/>
  <c r="BT370" i="1"/>
  <c r="BY370" i="1" s="1"/>
  <c r="BO370" i="1" a="1"/>
  <c r="BO370" i="1" s="1"/>
  <c r="BL101" i="1"/>
  <c r="BK101" i="1"/>
  <c r="BL389" i="1"/>
  <c r="BK389" i="1"/>
  <c r="BL85" i="1"/>
  <c r="BK85" i="1"/>
  <c r="BL380" i="1"/>
  <c r="BK380" i="1"/>
  <c r="W267" i="1"/>
  <c r="BL267" i="1"/>
  <c r="BK267" i="1"/>
  <c r="W221" i="1"/>
  <c r="BL221" i="1"/>
  <c r="BK221" i="1"/>
  <c r="BL358" i="1"/>
  <c r="BK358" i="1"/>
  <c r="BL156" i="1"/>
  <c r="BK156" i="1"/>
  <c r="W146" i="1"/>
  <c r="BL146" i="1"/>
  <c r="BK146" i="1"/>
  <c r="BK378" i="1"/>
  <c r="BL378" i="1"/>
  <c r="W292" i="1"/>
  <c r="BL292" i="1"/>
  <c r="BK292" i="1"/>
  <c r="W71" i="1"/>
  <c r="BL71" i="1"/>
  <c r="BK71" i="1"/>
  <c r="BK383" i="1"/>
  <c r="BL383" i="1"/>
  <c r="W45" i="1"/>
  <c r="BL45" i="1"/>
  <c r="BK45" i="1"/>
  <c r="W36" i="1"/>
  <c r="BL36" i="1"/>
  <c r="BK36" i="1"/>
  <c r="W61" i="1"/>
  <c r="BL61" i="1"/>
  <c r="BK61" i="1"/>
  <c r="W253" i="1"/>
  <c r="BL253" i="1"/>
  <c r="BK253" i="1"/>
  <c r="W237" i="1"/>
  <c r="BL237" i="1"/>
  <c r="BK237" i="1"/>
  <c r="BL213" i="1"/>
  <c r="BK213" i="1"/>
  <c r="BL197" i="1"/>
  <c r="BK197" i="1"/>
  <c r="BL189" i="1"/>
  <c r="BK189" i="1"/>
  <c r="BL351" i="1"/>
  <c r="BK351" i="1"/>
  <c r="BL164" i="1"/>
  <c r="BK164" i="1"/>
  <c r="W153" i="1"/>
  <c r="BK153" i="1"/>
  <c r="BL153" i="1"/>
  <c r="W334" i="1"/>
  <c r="BL334" i="1"/>
  <c r="BK334" i="1"/>
  <c r="BK138" i="1"/>
  <c r="BL138" i="1"/>
  <c r="DR370" i="1"/>
  <c r="DS370" i="1" s="1"/>
  <c r="EA370" i="1" s="1"/>
  <c r="DA370" i="1" s="1"/>
  <c r="BL35" i="1"/>
  <c r="BK35" i="1"/>
  <c r="W18" i="1"/>
  <c r="BN18" i="1"/>
  <c r="BK18" i="1"/>
  <c r="BL326" i="1"/>
  <c r="BK326" i="1"/>
  <c r="BK126" i="1"/>
  <c r="BL126" i="1"/>
  <c r="BK118" i="1"/>
  <c r="BL118" i="1"/>
  <c r="BL110" i="1"/>
  <c r="BK110" i="1"/>
  <c r="BL322" i="1"/>
  <c r="BK322" i="1"/>
  <c r="BL102" i="1"/>
  <c r="BK102" i="1"/>
  <c r="BL410" i="1"/>
  <c r="BK410" i="1"/>
  <c r="BL317" i="1"/>
  <c r="BK317" i="1"/>
  <c r="BL94" i="1"/>
  <c r="BK94" i="1"/>
  <c r="BL400" i="1"/>
  <c r="BK400" i="1"/>
  <c r="BL309" i="1"/>
  <c r="BK309" i="1"/>
  <c r="BL90" i="1"/>
  <c r="BK90" i="1"/>
  <c r="BO287" i="1" a="1"/>
  <c r="BO287" i="1" s="1"/>
  <c r="BL251" i="1"/>
  <c r="BK251" i="1"/>
  <c r="W300" i="1"/>
  <c r="BL300" i="1"/>
  <c r="BK300" i="1"/>
  <c r="W77" i="1"/>
  <c r="BL77" i="1"/>
  <c r="BK77" i="1"/>
  <c r="W63" i="1"/>
  <c r="BL63" i="1"/>
  <c r="BK63" i="1"/>
  <c r="BK281" i="1"/>
  <c r="BL281" i="1"/>
  <c r="W19" i="1"/>
  <c r="BL19" i="1"/>
  <c r="BK19" i="1"/>
  <c r="BK261" i="1"/>
  <c r="BL261" i="1"/>
  <c r="W245" i="1"/>
  <c r="BK245" i="1"/>
  <c r="BL245" i="1"/>
  <c r="BK229" i="1"/>
  <c r="BL229" i="1"/>
  <c r="BL205" i="1"/>
  <c r="BK205" i="1"/>
  <c r="BL60" i="1"/>
  <c r="BK60" i="1"/>
  <c r="W181" i="1"/>
  <c r="BL181" i="1"/>
  <c r="BK181" i="1"/>
  <c r="BL172" i="1"/>
  <c r="BK172" i="1"/>
  <c r="W342" i="1"/>
  <c r="BL342" i="1"/>
  <c r="BK342" i="1"/>
  <c r="ED401" i="1"/>
  <c r="EJ370" i="1"/>
  <c r="EP370" i="1" s="1"/>
  <c r="BL299" i="1"/>
  <c r="BK299" i="1"/>
  <c r="BL291" i="1"/>
  <c r="BK291" i="1"/>
  <c r="BL84" i="1"/>
  <c r="BK84" i="1"/>
  <c r="BL52" i="1"/>
  <c r="BK52" i="1"/>
  <c r="BK70" i="1"/>
  <c r="BL70" i="1"/>
  <c r="BL390" i="1"/>
  <c r="BK390" i="1"/>
  <c r="W286" i="1"/>
  <c r="BL286" i="1"/>
  <c r="BK286" i="1"/>
  <c r="BL379" i="1"/>
  <c r="BK379" i="1"/>
  <c r="BL280" i="1"/>
  <c r="BK280" i="1"/>
  <c r="BL44" i="1"/>
  <c r="BK44" i="1"/>
  <c r="BL17" i="1"/>
  <c r="BK17" i="1"/>
  <c r="BL373" i="1"/>
  <c r="BK373" i="1"/>
  <c r="BL266" i="1"/>
  <c r="BK266" i="1"/>
  <c r="W260" i="1"/>
  <c r="BK260" i="1"/>
  <c r="BL260" i="1"/>
  <c r="BL252" i="1"/>
  <c r="BK252" i="1"/>
  <c r="BL244" i="1"/>
  <c r="BK244" i="1"/>
  <c r="BL236" i="1"/>
  <c r="BK236" i="1"/>
  <c r="BL228" i="1"/>
  <c r="BK228" i="1"/>
  <c r="BL220" i="1"/>
  <c r="BK220" i="1"/>
  <c r="BL212" i="1"/>
  <c r="BK212" i="1"/>
  <c r="BL204" i="1"/>
  <c r="BK204" i="1"/>
  <c r="BL196" i="1"/>
  <c r="BK196" i="1"/>
  <c r="BL369" i="1"/>
  <c r="BK369" i="1"/>
  <c r="BK188" i="1"/>
  <c r="BL188" i="1"/>
  <c r="BL357" i="1"/>
  <c r="BK357" i="1"/>
  <c r="BL180" i="1"/>
  <c r="BK180" i="1"/>
  <c r="BL350" i="1"/>
  <c r="BK350" i="1"/>
  <c r="BL171" i="1"/>
  <c r="BK171" i="1"/>
  <c r="BL163" i="1"/>
  <c r="BK163" i="1"/>
  <c r="BK155" i="1"/>
  <c r="BL155" i="1"/>
  <c r="W152" i="1"/>
  <c r="BL152" i="1"/>
  <c r="BK152" i="1"/>
  <c r="W341" i="1"/>
  <c r="BL341" i="1"/>
  <c r="BK341" i="1"/>
  <c r="BL333" i="1"/>
  <c r="BK333" i="1"/>
  <c r="W145" i="1"/>
  <c r="BK145" i="1"/>
  <c r="BL145" i="1"/>
  <c r="BL137" i="1"/>
  <c r="BK137" i="1"/>
  <c r="BO275" i="1" a="1"/>
  <c r="BO275" i="1" s="1"/>
  <c r="EE401" i="1"/>
  <c r="EK388" i="1"/>
  <c r="EX388" i="1" s="1"/>
  <c r="EF401" i="1"/>
  <c r="EH382" i="1"/>
  <c r="ED339" i="1"/>
  <c r="EJ178" i="1"/>
  <c r="EP178" i="1" s="1"/>
  <c r="ED56" i="1"/>
  <c r="DR178" i="1"/>
  <c r="DS178" i="1" s="1"/>
  <c r="EA178" i="1" s="1"/>
  <c r="DA178" i="1" s="1"/>
  <c r="EK178" i="1"/>
  <c r="EV178" i="1" s="1"/>
  <c r="EK396" i="1"/>
  <c r="CV348" i="1"/>
  <c r="EK339" i="1"/>
  <c r="EX339" i="1" s="1"/>
  <c r="EK412" i="1"/>
  <c r="EX412" i="1" s="1"/>
  <c r="DU56" i="1"/>
  <c r="DV56" i="1" s="1"/>
  <c r="EH406" i="1"/>
  <c r="EK355" i="1"/>
  <c r="EV355" i="1" s="1"/>
  <c r="EF106" i="1"/>
  <c r="DU412" i="1"/>
  <c r="DV412" i="1" s="1"/>
  <c r="EE367" i="1"/>
  <c r="DR355" i="1"/>
  <c r="DS355" i="1" s="1"/>
  <c r="EA355" i="1" s="1"/>
  <c r="DA355" i="1" s="1"/>
  <c r="EK345" i="1"/>
  <c r="EX345" i="1" s="1"/>
  <c r="CV178" i="1"/>
  <c r="EH409" i="1"/>
  <c r="EJ357" i="1"/>
  <c r="EP357" i="1" s="1"/>
  <c r="EK308" i="1"/>
  <c r="EV308" i="1" s="1"/>
  <c r="DU173" i="1"/>
  <c r="DV173" i="1" s="1"/>
  <c r="ED390" i="1"/>
  <c r="DU401" i="1"/>
  <c r="DV401" i="1" s="1"/>
  <c r="EH390" i="1"/>
  <c r="EJ401" i="1"/>
  <c r="EP401" i="1" s="1"/>
  <c r="ED262" i="1"/>
  <c r="EF357" i="1"/>
  <c r="EE390" i="1"/>
  <c r="ED373" i="1"/>
  <c r="EJ352" i="1"/>
  <c r="EP352" i="1" s="1"/>
  <c r="ED280" i="1"/>
  <c r="EF390" i="1"/>
  <c r="EE373" i="1"/>
  <c r="EK379" i="1"/>
  <c r="EV379" i="1" s="1"/>
  <c r="EH374" i="1"/>
  <c r="DU357" i="1"/>
  <c r="DV357" i="1" s="1"/>
  <c r="EE280" i="1"/>
  <c r="EH368" i="1"/>
  <c r="DR357" i="1"/>
  <c r="DS357" i="1" s="1"/>
  <c r="EA357" i="1" s="1"/>
  <c r="DA357" i="1" s="1"/>
  <c r="DU409" i="1"/>
  <c r="DV409" i="1" s="1"/>
  <c r="ED378" i="1"/>
  <c r="EK384" i="1"/>
  <c r="EX384" i="1" s="1"/>
  <c r="EE379" i="1"/>
  <c r="EE368" i="1"/>
  <c r="EE363" i="1"/>
  <c r="DU243" i="1"/>
  <c r="DV243" i="1" s="1"/>
  <c r="ED363" i="1"/>
  <c r="EE409" i="1"/>
  <c r="EF363" i="1"/>
  <c r="DR220" i="1"/>
  <c r="DS220" i="1" s="1"/>
  <c r="EA220" i="1" s="1"/>
  <c r="DA220" i="1" s="1"/>
  <c r="ED379" i="1"/>
  <c r="DR280" i="1"/>
  <c r="DS280" i="1" s="1"/>
  <c r="EA280" i="1" s="1"/>
  <c r="DA280" i="1" s="1"/>
  <c r="DR384" i="1"/>
  <c r="DS384" i="1" s="1"/>
  <c r="EA384" i="1" s="1"/>
  <c r="DA384" i="1" s="1"/>
  <c r="EH357" i="1"/>
  <c r="ED182" i="1"/>
  <c r="EJ344" i="1"/>
  <c r="EP344" i="1" s="1"/>
  <c r="DU379" i="1"/>
  <c r="DV379" i="1" s="1"/>
  <c r="EV373" i="1"/>
  <c r="EJ363" i="1"/>
  <c r="EP363" i="1" s="1"/>
  <c r="EK357" i="1"/>
  <c r="EV357" i="1" s="1"/>
  <c r="EJ379" i="1"/>
  <c r="EP379" i="1" s="1"/>
  <c r="EF173" i="1"/>
  <c r="EK399" i="1"/>
  <c r="EV399" i="1" s="1"/>
  <c r="EJ373" i="1"/>
  <c r="EP373" i="1" s="1"/>
  <c r="EF379" i="1"/>
  <c r="EK363" i="1"/>
  <c r="EX363" i="1" s="1"/>
  <c r="EE389" i="1"/>
  <c r="EH350" i="1"/>
  <c r="EJ390" i="1"/>
  <c r="EP390" i="1" s="1"/>
  <c r="DR350" i="1"/>
  <c r="DS350" i="1" s="1"/>
  <c r="EA350" i="1" s="1"/>
  <c r="DA350" i="1" s="1"/>
  <c r="EK44" i="1"/>
  <c r="EX44" i="1" s="1"/>
  <c r="DU389" i="1"/>
  <c r="DV389" i="1" s="1"/>
  <c r="CV408" i="1"/>
  <c r="ED408" i="1"/>
  <c r="DR408" i="1"/>
  <c r="DS408" i="1" s="1"/>
  <c r="EA408" i="1" s="1"/>
  <c r="DA408" i="1" s="1"/>
  <c r="ED393" i="1"/>
  <c r="EH372" i="1"/>
  <c r="EE243" i="1"/>
  <c r="CV379" i="1"/>
  <c r="CV391" i="1"/>
  <c r="EK398" i="1"/>
  <c r="EX398" i="1" s="1"/>
  <c r="EE378" i="1"/>
  <c r="EJ393" i="1"/>
  <c r="EP393" i="1" s="1"/>
  <c r="EJ372" i="1"/>
  <c r="EP372" i="1" s="1"/>
  <c r="EE366" i="1"/>
  <c r="EF373" i="1"/>
  <c r="EF350" i="1"/>
  <c r="EK397" i="1"/>
  <c r="EX397" i="1" s="1"/>
  <c r="DR393" i="1"/>
  <c r="DS393" i="1" s="1"/>
  <c r="EA393" i="1" s="1"/>
  <c r="DA393" i="1" s="1"/>
  <c r="ED362" i="1"/>
  <c r="DR54" i="1"/>
  <c r="DS54" i="1" s="1"/>
  <c r="EA54" i="1" s="1"/>
  <c r="DA54" i="1" s="1"/>
  <c r="CV372" i="1"/>
  <c r="EH373" i="1"/>
  <c r="DR389" i="1"/>
  <c r="DS389" i="1" s="1"/>
  <c r="EA389" i="1" s="1"/>
  <c r="DA389" i="1" s="1"/>
  <c r="EK378" i="1"/>
  <c r="EV378" i="1" s="1"/>
  <c r="CV390" i="1"/>
  <c r="DR373" i="1"/>
  <c r="DS373" i="1" s="1"/>
  <c r="EA373" i="1" s="1"/>
  <c r="DA373" i="1" s="1"/>
  <c r="CV362" i="1"/>
  <c r="DR376" i="1"/>
  <c r="DS376" i="1" s="1"/>
  <c r="EA376" i="1" s="1"/>
  <c r="DA376" i="1" s="1"/>
  <c r="EK309" i="1"/>
  <c r="EX309" i="1" s="1"/>
  <c r="DU393" i="1"/>
  <c r="DV393" i="1" s="1"/>
  <c r="EH362" i="1"/>
  <c r="CV220" i="1"/>
  <c r="EJ378" i="1"/>
  <c r="EP378" i="1" s="1"/>
  <c r="DU398" i="1"/>
  <c r="DV398" i="1" s="1"/>
  <c r="ED376" i="1"/>
  <c r="EE362" i="1"/>
  <c r="EJ349" i="1"/>
  <c r="EP349" i="1" s="1"/>
  <c r="ED225" i="1"/>
  <c r="ED372" i="1"/>
  <c r="DR387" i="1"/>
  <c r="DS387" i="1" s="1"/>
  <c r="EA387" i="1" s="1"/>
  <c r="DA387" i="1" s="1"/>
  <c r="EE387" i="1"/>
  <c r="EE376" i="1"/>
  <c r="DU390" i="1"/>
  <c r="DV390" i="1" s="1"/>
  <c r="CV373" i="1"/>
  <c r="CV280" i="1"/>
  <c r="ED389" i="1"/>
  <c r="EF393" i="1"/>
  <c r="DR379" i="1"/>
  <c r="DS379" i="1" s="1"/>
  <c r="EA379" i="1" s="1"/>
  <c r="DA379" i="1" s="1"/>
  <c r="EF225" i="1"/>
  <c r="CV357" i="1"/>
  <c r="EF387" i="1"/>
  <c r="CV378" i="1"/>
  <c r="ED391" i="1"/>
  <c r="EE408" i="1"/>
  <c r="EJ399" i="1"/>
  <c r="EP399" i="1" s="1"/>
  <c r="DR378" i="1"/>
  <c r="DS378" i="1" s="1"/>
  <c r="EA378" i="1" s="1"/>
  <c r="DA378" i="1" s="1"/>
  <c r="EJ389" i="1"/>
  <c r="EP389" i="1" s="1"/>
  <c r="EF391" i="1"/>
  <c r="EF362" i="1"/>
  <c r="EJ338" i="1"/>
  <c r="EP338" i="1" s="1"/>
  <c r="DR391" i="1"/>
  <c r="DS391" i="1" s="1"/>
  <c r="EA391" i="1" s="1"/>
  <c r="DA391" i="1" s="1"/>
  <c r="EJ368" i="1"/>
  <c r="EP368" i="1" s="1"/>
  <c r="DU368" i="1"/>
  <c r="DV368" i="1" s="1"/>
  <c r="ED357" i="1"/>
  <c r="EK338" i="1"/>
  <c r="EX338" i="1" s="1"/>
  <c r="EH280" i="1"/>
  <c r="DR225" i="1"/>
  <c r="DS225" i="1" s="1"/>
  <c r="EA225" i="1" s="1"/>
  <c r="DA225" i="1" s="1"/>
  <c r="CV101" i="1"/>
  <c r="EJ408" i="1"/>
  <c r="EP408" i="1" s="1"/>
  <c r="EH408" i="1"/>
  <c r="EJ400" i="1"/>
  <c r="EP400" i="1" s="1"/>
  <c r="DR309" i="1"/>
  <c r="DS309" i="1" s="1"/>
  <c r="EA309" i="1" s="1"/>
  <c r="DA309" i="1" s="1"/>
  <c r="DU261" i="1"/>
  <c r="DV261" i="1" s="1"/>
  <c r="CV309" i="1"/>
  <c r="DR410" i="1"/>
  <c r="DS410" i="1" s="1"/>
  <c r="EA410" i="1" s="1"/>
  <c r="DA410" i="1" s="1"/>
  <c r="DU309" i="1"/>
  <c r="DV309" i="1" s="1"/>
  <c r="EE54" i="1"/>
  <c r="EK410" i="1"/>
  <c r="EV410" i="1" s="1"/>
  <c r="ED383" i="1"/>
  <c r="ED309" i="1"/>
  <c r="CV383" i="1"/>
  <c r="CV173" i="1"/>
  <c r="EE372" i="1"/>
  <c r="EF309" i="1"/>
  <c r="DU400" i="1"/>
  <c r="DV400" i="1" s="1"/>
  <c r="EH358" i="1"/>
  <c r="DU101" i="1"/>
  <c r="DV101" i="1" s="1"/>
  <c r="EF261" i="1"/>
  <c r="EF156" i="1"/>
  <c r="CV410" i="1"/>
  <c r="ED375" i="1"/>
  <c r="EE391" i="1"/>
  <c r="EE224" i="1"/>
  <c r="EE410" i="1"/>
  <c r="EJ380" i="1"/>
  <c r="EP380" i="1" s="1"/>
  <c r="EF224" i="1"/>
  <c r="ED380" i="1"/>
  <c r="EJ383" i="1"/>
  <c r="EP383" i="1" s="1"/>
  <c r="EF358" i="1"/>
  <c r="DU54" i="1"/>
  <c r="DV54" i="1" s="1"/>
  <c r="CV380" i="1"/>
  <c r="EE375" i="1"/>
  <c r="EH380" i="1"/>
  <c r="EF383" i="1"/>
  <c r="DR358" i="1"/>
  <c r="DS358" i="1" s="1"/>
  <c r="EA358" i="1" s="1"/>
  <c r="DA358" i="1" s="1"/>
  <c r="EH54" i="1"/>
  <c r="EH383" i="1"/>
  <c r="EH384" i="1"/>
  <c r="ED358" i="1"/>
  <c r="EK69" i="1"/>
  <c r="EX69" i="1" s="1"/>
  <c r="EH378" i="1"/>
  <c r="EF243" i="1"/>
  <c r="CV54" i="1"/>
  <c r="EF400" i="1"/>
  <c r="CV363" i="1"/>
  <c r="CV384" i="1"/>
  <c r="CV389" i="1"/>
  <c r="EF382" i="1"/>
  <c r="ED183" i="1"/>
  <c r="S373" i="1"/>
  <c r="R373" i="1"/>
  <c r="EK382" i="1"/>
  <c r="EX382" i="1" s="1"/>
  <c r="DU374" i="1"/>
  <c r="DV374" i="1" s="1"/>
  <c r="EJ47" i="1"/>
  <c r="EP47" i="1" s="1"/>
  <c r="CV183" i="1"/>
  <c r="EE374" i="1"/>
  <c r="EK47" i="1"/>
  <c r="EV47" i="1" s="1"/>
  <c r="R360" i="1"/>
  <c r="S360" i="1"/>
  <c r="EK374" i="1"/>
  <c r="EX374" i="1" s="1"/>
  <c r="EH183" i="1"/>
  <c r="Z29" i="1"/>
  <c r="AA29" i="1" s="1"/>
  <c r="W29" i="1"/>
  <c r="EH241" i="1"/>
  <c r="EH225" i="1"/>
  <c r="CV225" i="1"/>
  <c r="EJ225" i="1"/>
  <c r="EP225" i="1" s="1"/>
  <c r="DU362" i="1"/>
  <c r="DV362" i="1" s="1"/>
  <c r="DR362" i="1"/>
  <c r="DS362" i="1" s="1"/>
  <c r="EA362" i="1" s="1"/>
  <c r="DA362" i="1" s="1"/>
  <c r="Z130" i="1"/>
  <c r="AA130" i="1" s="1"/>
  <c r="W130" i="1"/>
  <c r="Z122" i="1"/>
  <c r="AA122" i="1" s="1"/>
  <c r="W122" i="1"/>
  <c r="Z114" i="1"/>
  <c r="AA114" i="1" s="1"/>
  <c r="W114" i="1"/>
  <c r="Z412" i="1"/>
  <c r="AA412" i="1" s="1"/>
  <c r="AI412" i="1" s="1"/>
  <c r="W412" i="1"/>
  <c r="X412" i="1" s="1"/>
  <c r="CK412" i="1" s="1"/>
  <c r="CL412" i="1" s="1"/>
  <c r="Z106" i="1"/>
  <c r="AA106" i="1" s="1"/>
  <c r="AI106" i="1" s="1"/>
  <c r="W106" i="1"/>
  <c r="X106" i="1" s="1"/>
  <c r="CK106" i="1" s="1"/>
  <c r="CL106" i="1" s="1"/>
  <c r="Z98" i="1"/>
  <c r="AA98" i="1" s="1"/>
  <c r="W98" i="1"/>
  <c r="Z406" i="1"/>
  <c r="AA406" i="1" s="1"/>
  <c r="AI406" i="1" s="1"/>
  <c r="W406" i="1"/>
  <c r="X406" i="1" s="1"/>
  <c r="CK406" i="1" s="1"/>
  <c r="CL406" i="1" s="1"/>
  <c r="Z313" i="1"/>
  <c r="AA313" i="1" s="1"/>
  <c r="W313" i="1"/>
  <c r="Z404" i="1"/>
  <c r="AA404" i="1" s="1"/>
  <c r="AI404" i="1" s="1"/>
  <c r="W404" i="1"/>
  <c r="X404" i="1" s="1"/>
  <c r="CK404" i="1" s="1"/>
  <c r="CL404" i="1" s="1"/>
  <c r="Z396" i="1"/>
  <c r="AA396" i="1" s="1"/>
  <c r="AI396" i="1" s="1"/>
  <c r="W396" i="1"/>
  <c r="X396" i="1" s="1"/>
  <c r="CK396" i="1" s="1"/>
  <c r="CL396" i="1" s="1"/>
  <c r="Z305" i="1"/>
  <c r="AA305" i="1" s="1"/>
  <c r="W305" i="1"/>
  <c r="EJ374" i="1"/>
  <c r="EP374" i="1" s="1"/>
  <c r="Z392" i="1"/>
  <c r="AA392" i="1" s="1"/>
  <c r="AI392" i="1" s="1"/>
  <c r="W392" i="1"/>
  <c r="X392" i="1" s="1"/>
  <c r="CK392" i="1" s="1"/>
  <c r="CL392" i="1" s="1"/>
  <c r="Z295" i="1"/>
  <c r="AA295" i="1" s="1"/>
  <c r="W295" i="1"/>
  <c r="Z88" i="1"/>
  <c r="AA88" i="1" s="1"/>
  <c r="W88" i="1"/>
  <c r="Z80" i="1"/>
  <c r="AA80" i="1" s="1"/>
  <c r="W80" i="1"/>
  <c r="ED374" i="1"/>
  <c r="Z27" i="1"/>
  <c r="AA27" i="1" s="1"/>
  <c r="W27" i="1"/>
  <c r="EH224" i="1"/>
  <c r="Z129" i="1"/>
  <c r="AA129" i="1" s="1"/>
  <c r="W129" i="1"/>
  <c r="Z121" i="1"/>
  <c r="AA121" i="1" s="1"/>
  <c r="Z302" i="1"/>
  <c r="AA302" i="1" s="1"/>
  <c r="W302" i="1"/>
  <c r="Z294" i="1"/>
  <c r="AA294" i="1" s="1"/>
  <c r="W294" i="1"/>
  <c r="Z87" i="1"/>
  <c r="AA87" i="1" s="1"/>
  <c r="W87" i="1"/>
  <c r="Z79" i="1"/>
  <c r="AA79" i="1" s="1"/>
  <c r="W79" i="1"/>
  <c r="Z25" i="1"/>
  <c r="AA25" i="1" s="1"/>
  <c r="W25" i="1"/>
  <c r="EF360" i="1"/>
  <c r="EF183" i="1"/>
  <c r="DR183" i="1"/>
  <c r="DS183" i="1" s="1"/>
  <c r="EA183" i="1" s="1"/>
  <c r="DA183" i="1" s="1"/>
  <c r="Z301" i="1"/>
  <c r="AA301" i="1" s="1"/>
  <c r="W301" i="1"/>
  <c r="Z293" i="1"/>
  <c r="AA293" i="1" s="1"/>
  <c r="W293" i="1"/>
  <c r="Z86" i="1"/>
  <c r="AA86" i="1" s="1"/>
  <c r="W86" i="1"/>
  <c r="Z78" i="1"/>
  <c r="AA78" i="1" s="1"/>
  <c r="W78" i="1"/>
  <c r="DR374" i="1"/>
  <c r="DS374" i="1" s="1"/>
  <c r="EA374" i="1" s="1"/>
  <c r="DA374" i="1" s="1"/>
  <c r="DU183" i="1"/>
  <c r="DV183" i="1" s="1"/>
  <c r="ED382" i="1"/>
  <c r="EF374" i="1"/>
  <c r="CV360" i="1"/>
  <c r="DR380" i="1"/>
  <c r="DS380" i="1" s="1"/>
  <c r="EA380" i="1" s="1"/>
  <c r="DA380" i="1" s="1"/>
  <c r="EE380" i="1"/>
  <c r="EF380" i="1"/>
  <c r="Z35" i="1"/>
  <c r="AA35" i="1" s="1"/>
  <c r="AI35" i="1" s="1"/>
  <c r="W35" i="1"/>
  <c r="X35" i="1" s="1"/>
  <c r="CK35" i="1" s="1"/>
  <c r="CL35" i="1" s="1"/>
  <c r="Z18" i="1"/>
  <c r="AA18" i="1" s="1"/>
  <c r="EJ261" i="1"/>
  <c r="EP261" i="1" s="1"/>
  <c r="CV261" i="1"/>
  <c r="EE358" i="1"/>
  <c r="DU358" i="1"/>
  <c r="DV358" i="1" s="1"/>
  <c r="EK358" i="1"/>
  <c r="EJ156" i="1"/>
  <c r="EP156" i="1" s="1"/>
  <c r="EH156" i="1"/>
  <c r="EK156" i="1"/>
  <c r="EX156" i="1" s="1"/>
  <c r="Z326" i="1"/>
  <c r="AA326" i="1" s="1"/>
  <c r="W326" i="1"/>
  <c r="Z126" i="1"/>
  <c r="AA126" i="1" s="1"/>
  <c r="W126" i="1"/>
  <c r="Z118" i="1"/>
  <c r="AA118" i="1" s="1"/>
  <c r="W118" i="1"/>
  <c r="Z110" i="1"/>
  <c r="AA110" i="1" s="1"/>
  <c r="W110" i="1"/>
  <c r="Z322" i="1"/>
  <c r="AA322" i="1" s="1"/>
  <c r="W322" i="1"/>
  <c r="Z102" i="1"/>
  <c r="AA102" i="1" s="1"/>
  <c r="W102" i="1"/>
  <c r="Z410" i="1"/>
  <c r="AA410" i="1" s="1"/>
  <c r="AI410" i="1" s="1"/>
  <c r="W410" i="1"/>
  <c r="X410" i="1" s="1"/>
  <c r="CK410" i="1" s="1"/>
  <c r="CL410" i="1" s="1"/>
  <c r="Z317" i="1"/>
  <c r="AA317" i="1" s="1"/>
  <c r="W317" i="1"/>
  <c r="Z94" i="1"/>
  <c r="AA94" i="1" s="1"/>
  <c r="W94" i="1"/>
  <c r="Z400" i="1"/>
  <c r="AA400" i="1" s="1"/>
  <c r="AI400" i="1" s="1"/>
  <c r="W400" i="1"/>
  <c r="X400" i="1" s="1"/>
  <c r="CK400" i="1" s="1"/>
  <c r="CL400" i="1" s="1"/>
  <c r="Z309" i="1"/>
  <c r="AA309" i="1" s="1"/>
  <c r="AI309" i="1" s="1"/>
  <c r="W309" i="1"/>
  <c r="X309" i="1" s="1"/>
  <c r="CK309" i="1" s="1"/>
  <c r="CL309" i="1" s="1"/>
  <c r="Z90" i="1"/>
  <c r="AA90" i="1" s="1"/>
  <c r="W90" i="1"/>
  <c r="S363" i="1"/>
  <c r="R363" i="1"/>
  <c r="EE183" i="1"/>
  <c r="Z299" i="1"/>
  <c r="AA299" i="1" s="1"/>
  <c r="W299" i="1"/>
  <c r="Z291" i="1"/>
  <c r="AA291" i="1" s="1"/>
  <c r="W291" i="1"/>
  <c r="Z84" i="1"/>
  <c r="AA84" i="1" s="1"/>
  <c r="W84" i="1"/>
  <c r="W52" i="1"/>
  <c r="Z52" i="1"/>
  <c r="AA52" i="1" s="1"/>
  <c r="Z70" i="1"/>
  <c r="AA70" i="1" s="1"/>
  <c r="W70" i="1"/>
  <c r="Z390" i="1"/>
  <c r="AA390" i="1" s="1"/>
  <c r="AI390" i="1" s="1"/>
  <c r="W390" i="1"/>
  <c r="X390" i="1" s="1"/>
  <c r="CK390" i="1" s="1"/>
  <c r="CL390" i="1" s="1"/>
  <c r="Z286" i="1"/>
  <c r="AA286" i="1" s="1"/>
  <c r="Z379" i="1"/>
  <c r="AA379" i="1" s="1"/>
  <c r="AI379" i="1" s="1"/>
  <c r="W379" i="1"/>
  <c r="X379" i="1" s="1"/>
  <c r="CK379" i="1" s="1"/>
  <c r="CL379" i="1" s="1"/>
  <c r="Z280" i="1"/>
  <c r="AA280" i="1" s="1"/>
  <c r="AI280" i="1" s="1"/>
  <c r="W280" i="1"/>
  <c r="X280" i="1" s="1"/>
  <c r="CK280" i="1" s="1"/>
  <c r="CL280" i="1" s="1"/>
  <c r="Z44" i="1"/>
  <c r="AA44" i="1" s="1"/>
  <c r="AI44" i="1" s="1"/>
  <c r="W44" i="1"/>
  <c r="X44" i="1" s="1"/>
  <c r="CK44" i="1" s="1"/>
  <c r="CL44" i="1" s="1"/>
  <c r="Z17" i="1"/>
  <c r="AA17" i="1" s="1"/>
  <c r="W17" i="1"/>
  <c r="Z373" i="1"/>
  <c r="AA373" i="1" s="1"/>
  <c r="AI373" i="1" s="1"/>
  <c r="W373" i="1"/>
  <c r="X373" i="1" s="1"/>
  <c r="CK373" i="1" s="1"/>
  <c r="CL373" i="1" s="1"/>
  <c r="Z266" i="1"/>
  <c r="AA266" i="1" s="1"/>
  <c r="W266" i="1"/>
  <c r="Z260" i="1"/>
  <c r="AA260" i="1" s="1"/>
  <c r="Z252" i="1"/>
  <c r="AA252" i="1" s="1"/>
  <c r="AI252" i="1" s="1"/>
  <c r="W252" i="1"/>
  <c r="X252" i="1" s="1"/>
  <c r="CK252" i="1" s="1"/>
  <c r="CL252" i="1" s="1"/>
  <c r="Z244" i="1"/>
  <c r="AA244" i="1" s="1"/>
  <c r="W244" i="1"/>
  <c r="Z236" i="1"/>
  <c r="AA236" i="1" s="1"/>
  <c r="W236" i="1"/>
  <c r="Z228" i="1"/>
  <c r="AA228" i="1" s="1"/>
  <c r="W228" i="1"/>
  <c r="Z220" i="1"/>
  <c r="AA220" i="1" s="1"/>
  <c r="AI220" i="1" s="1"/>
  <c r="W220" i="1"/>
  <c r="X220" i="1" s="1"/>
  <c r="CK220" i="1" s="1"/>
  <c r="CL220" i="1" s="1"/>
  <c r="Z212" i="1"/>
  <c r="AA212" i="1" s="1"/>
  <c r="W212" i="1"/>
  <c r="Z204" i="1"/>
  <c r="AA204" i="1" s="1"/>
  <c r="Z196" i="1"/>
  <c r="AA196" i="1" s="1"/>
  <c r="Z369" i="1"/>
  <c r="AA369" i="1" s="1"/>
  <c r="AI369" i="1" s="1"/>
  <c r="W369" i="1"/>
  <c r="X369" i="1" s="1"/>
  <c r="CK369" i="1" s="1"/>
  <c r="CL369" i="1" s="1"/>
  <c r="Z188" i="1"/>
  <c r="AA188" i="1" s="1"/>
  <c r="Z357" i="1"/>
  <c r="AA357" i="1" s="1"/>
  <c r="AI357" i="1" s="1"/>
  <c r="W357" i="1"/>
  <c r="X357" i="1" s="1"/>
  <c r="CK357" i="1" s="1"/>
  <c r="CL357" i="1" s="1"/>
  <c r="Z180" i="1"/>
  <c r="AA180" i="1" s="1"/>
  <c r="W180" i="1"/>
  <c r="Z350" i="1"/>
  <c r="AA350" i="1" s="1"/>
  <c r="AI350" i="1" s="1"/>
  <c r="W350" i="1"/>
  <c r="X350" i="1" s="1"/>
  <c r="CK350" i="1" s="1"/>
  <c r="CL350" i="1" s="1"/>
  <c r="Z171" i="1"/>
  <c r="AA171" i="1" s="1"/>
  <c r="W171" i="1"/>
  <c r="Z163" i="1"/>
  <c r="AA163" i="1" s="1"/>
  <c r="W163" i="1"/>
  <c r="Z155" i="1"/>
  <c r="AA155" i="1" s="1"/>
  <c r="W155" i="1"/>
  <c r="Z152" i="1"/>
  <c r="AA152" i="1" s="1"/>
  <c r="Z341" i="1"/>
  <c r="AA341" i="1" s="1"/>
  <c r="Z333" i="1"/>
  <c r="AA333" i="1" s="1"/>
  <c r="W333" i="1"/>
  <c r="Z145" i="1"/>
  <c r="AA145" i="1" s="1"/>
  <c r="Z137" i="1"/>
  <c r="AA137" i="1" s="1"/>
  <c r="W137" i="1"/>
  <c r="DU410" i="1"/>
  <c r="DV410" i="1" s="1"/>
  <c r="ED400" i="1"/>
  <c r="EE400" i="1"/>
  <c r="EJ309" i="1"/>
  <c r="EP309" i="1" s="1"/>
  <c r="EH309" i="1"/>
  <c r="DR368" i="1"/>
  <c r="DS368" i="1" s="1"/>
  <c r="EA368" i="1" s="1"/>
  <c r="DA368" i="1" s="1"/>
  <c r="Z298" i="1"/>
  <c r="AA298" i="1" s="1"/>
  <c r="Z290" i="1"/>
  <c r="AA290" i="1" s="1"/>
  <c r="Z83" i="1"/>
  <c r="AA83" i="1" s="1"/>
  <c r="Z391" i="1"/>
  <c r="AA391" i="1" s="1"/>
  <c r="AI391" i="1" s="1"/>
  <c r="W391" i="1"/>
  <c r="X391" i="1" s="1"/>
  <c r="CK391" i="1" s="1"/>
  <c r="CL391" i="1" s="1"/>
  <c r="W34" i="1"/>
  <c r="X34" i="1" s="1"/>
  <c r="CK34" i="1" s="1"/>
  <c r="CL34" i="1" s="1"/>
  <c r="Z34" i="1"/>
  <c r="AA34" i="1" s="1"/>
  <c r="AI34" i="1" s="1"/>
  <c r="Z16" i="1"/>
  <c r="AA16" i="1" s="1"/>
  <c r="Z133" i="1"/>
  <c r="AA133" i="1" s="1"/>
  <c r="Z125" i="1"/>
  <c r="AA125" i="1" s="1"/>
  <c r="Z117" i="1"/>
  <c r="AA117" i="1" s="1"/>
  <c r="Z109" i="1"/>
  <c r="AA109" i="1" s="1"/>
  <c r="Z321" i="1"/>
  <c r="AA321" i="1" s="1"/>
  <c r="Z101" i="1"/>
  <c r="AA101" i="1" s="1"/>
  <c r="AI101" i="1" s="1"/>
  <c r="W101" i="1"/>
  <c r="X101" i="1" s="1"/>
  <c r="CK101" i="1" s="1"/>
  <c r="CL101" i="1" s="1"/>
  <c r="Z409" i="1"/>
  <c r="AA409" i="1" s="1"/>
  <c r="AI409" i="1" s="1"/>
  <c r="W409" i="1"/>
  <c r="X409" i="1" s="1"/>
  <c r="CK409" i="1" s="1"/>
  <c r="CL409" i="1" s="1"/>
  <c r="Z316" i="1"/>
  <c r="AA316" i="1" s="1"/>
  <c r="Z93" i="1"/>
  <c r="AA93" i="1" s="1"/>
  <c r="Z399" i="1"/>
  <c r="AA399" i="1" s="1"/>
  <c r="AI399" i="1" s="1"/>
  <c r="W399" i="1"/>
  <c r="X399" i="1" s="1"/>
  <c r="CK399" i="1" s="1"/>
  <c r="CL399" i="1" s="1"/>
  <c r="Z308" i="1"/>
  <c r="AA308" i="1" s="1"/>
  <c r="AI308" i="1" s="1"/>
  <c r="W308" i="1"/>
  <c r="X308" i="1" s="1"/>
  <c r="CK308" i="1" s="1"/>
  <c r="CL308" i="1" s="1"/>
  <c r="Z89" i="1"/>
  <c r="AA89" i="1" s="1"/>
  <c r="DR243" i="1"/>
  <c r="DS243" i="1" s="1"/>
  <c r="EA243" i="1" s="1"/>
  <c r="DA243" i="1" s="1"/>
  <c r="ED368" i="1"/>
  <c r="Z69" i="1"/>
  <c r="AA69" i="1" s="1"/>
  <c r="AI69" i="1" s="1"/>
  <c r="W69" i="1"/>
  <c r="X69" i="1" s="1"/>
  <c r="CK69" i="1" s="1"/>
  <c r="CL69" i="1" s="1"/>
  <c r="Z389" i="1"/>
  <c r="AA389" i="1" s="1"/>
  <c r="AI389" i="1" s="1"/>
  <c r="W389" i="1"/>
  <c r="X389" i="1" s="1"/>
  <c r="CK389" i="1" s="1"/>
  <c r="CL389" i="1" s="1"/>
  <c r="Z285" i="1"/>
  <c r="AA285" i="1" s="1"/>
  <c r="W285" i="1"/>
  <c r="Z378" i="1"/>
  <c r="AA378" i="1" s="1"/>
  <c r="AI378" i="1" s="1"/>
  <c r="W378" i="1"/>
  <c r="X378" i="1" s="1"/>
  <c r="CK378" i="1" s="1"/>
  <c r="CL378" i="1" s="1"/>
  <c r="Z279" i="1"/>
  <c r="AA279" i="1" s="1"/>
  <c r="Z43" i="1"/>
  <c r="AA43" i="1" s="1"/>
  <c r="Z15" i="1"/>
  <c r="AA15" i="1" s="1"/>
  <c r="Z372" i="1"/>
  <c r="AA372" i="1" s="1"/>
  <c r="AI372" i="1" s="1"/>
  <c r="W372" i="1"/>
  <c r="X372" i="1" s="1"/>
  <c r="CK372" i="1" s="1"/>
  <c r="CL372" i="1" s="1"/>
  <c r="Z265" i="1"/>
  <c r="AA265" i="1" s="1"/>
  <c r="Z259" i="1"/>
  <c r="AA259" i="1" s="1"/>
  <c r="Z251" i="1"/>
  <c r="AA251" i="1" s="1"/>
  <c r="AI251" i="1" s="1"/>
  <c r="W251" i="1"/>
  <c r="X251" i="1" s="1"/>
  <c r="CK251" i="1" s="1"/>
  <c r="CL251" i="1" s="1"/>
  <c r="Z243" i="1"/>
  <c r="AA243" i="1" s="1"/>
  <c r="AI243" i="1" s="1"/>
  <c r="W243" i="1"/>
  <c r="X243" i="1" s="1"/>
  <c r="CK243" i="1" s="1"/>
  <c r="CL243" i="1" s="1"/>
  <c r="Z235" i="1"/>
  <c r="AA235" i="1" s="1"/>
  <c r="Z227" i="1"/>
  <c r="AA227" i="1" s="1"/>
  <c r="Z219" i="1"/>
  <c r="AA219" i="1" s="1"/>
  <c r="Z211" i="1"/>
  <c r="AA211" i="1" s="1"/>
  <c r="Z203" i="1"/>
  <c r="AA203" i="1" s="1"/>
  <c r="AI203" i="1" s="1"/>
  <c r="Z195" i="1"/>
  <c r="AA195" i="1" s="1"/>
  <c r="Z368" i="1"/>
  <c r="AA368" i="1" s="1"/>
  <c r="AI368" i="1" s="1"/>
  <c r="W368" i="1"/>
  <c r="X368" i="1" s="1"/>
  <c r="CK368" i="1" s="1"/>
  <c r="CL368" i="1" s="1"/>
  <c r="Z187" i="1"/>
  <c r="AA187" i="1" s="1"/>
  <c r="Z356" i="1"/>
  <c r="AA356" i="1" s="1"/>
  <c r="AI356" i="1" s="1"/>
  <c r="W356" i="1"/>
  <c r="X356" i="1" s="1"/>
  <c r="CK356" i="1" s="1"/>
  <c r="CL356" i="1" s="1"/>
  <c r="Z179" i="1"/>
  <c r="AA179" i="1" s="1"/>
  <c r="AI179" i="1" s="1"/>
  <c r="W179" i="1"/>
  <c r="X179" i="1" s="1"/>
  <c r="CK179" i="1" s="1"/>
  <c r="CL179" i="1" s="1"/>
  <c r="Z349" i="1"/>
  <c r="AA349" i="1" s="1"/>
  <c r="AI349" i="1" s="1"/>
  <c r="W349" i="1"/>
  <c r="X349" i="1" s="1"/>
  <c r="CK349" i="1" s="1"/>
  <c r="CL349" i="1" s="1"/>
  <c r="Z170" i="1"/>
  <c r="AA170" i="1" s="1"/>
  <c r="AI170" i="1" s="1"/>
  <c r="Z162" i="1"/>
  <c r="AA162" i="1" s="1"/>
  <c r="Z62" i="1"/>
  <c r="AA62" i="1" s="1"/>
  <c r="Z151" i="1"/>
  <c r="AA151" i="1" s="1"/>
  <c r="Z340" i="1"/>
  <c r="AA340" i="1" s="1"/>
  <c r="Z332" i="1"/>
  <c r="AA332" i="1" s="1"/>
  <c r="Z144" i="1"/>
  <c r="AA144" i="1" s="1"/>
  <c r="W144" i="1"/>
  <c r="Z136" i="1"/>
  <c r="AA136" i="1" s="1"/>
  <c r="S385" i="1"/>
  <c r="R385" i="1"/>
  <c r="W16" i="1"/>
  <c r="Z297" i="1"/>
  <c r="AA297" i="1" s="1"/>
  <c r="Z289" i="1"/>
  <c r="AA289" i="1" s="1"/>
  <c r="Z82" i="1"/>
  <c r="AA82" i="1" s="1"/>
  <c r="Z33" i="1"/>
  <c r="AA33" i="1" s="1"/>
  <c r="Z14" i="1"/>
  <c r="AA14" i="1" s="1"/>
  <c r="Z132" i="1"/>
  <c r="AA132" i="1" s="1"/>
  <c r="Z124" i="1"/>
  <c r="AA124" i="1" s="1"/>
  <c r="Z116" i="1"/>
  <c r="AA116" i="1" s="1"/>
  <c r="Z108" i="1"/>
  <c r="AA108" i="1" s="1"/>
  <c r="Z320" i="1"/>
  <c r="AA320" i="1" s="1"/>
  <c r="Z100" i="1"/>
  <c r="AA100" i="1" s="1"/>
  <c r="Z408" i="1"/>
  <c r="AA408" i="1" s="1"/>
  <c r="AI408" i="1" s="1"/>
  <c r="W408" i="1"/>
  <c r="X408" i="1" s="1"/>
  <c r="CK408" i="1" s="1"/>
  <c r="CL408" i="1" s="1"/>
  <c r="Z315" i="1"/>
  <c r="AA315" i="1" s="1"/>
  <c r="Z92" i="1"/>
  <c r="AA92" i="1" s="1"/>
  <c r="Z398" i="1"/>
  <c r="AA398" i="1" s="1"/>
  <c r="AI398" i="1" s="1"/>
  <c r="W398" i="1"/>
  <c r="X398" i="1" s="1"/>
  <c r="CK398" i="1" s="1"/>
  <c r="CL398" i="1" s="1"/>
  <c r="Z307" i="1"/>
  <c r="AA307" i="1" s="1"/>
  <c r="Z55" i="1"/>
  <c r="AA55" i="1" s="1"/>
  <c r="DR69" i="1"/>
  <c r="DS69" i="1" s="1"/>
  <c r="EA69" i="1" s="1"/>
  <c r="DA69" i="1" s="1"/>
  <c r="CV179" i="1"/>
  <c r="EH243" i="1"/>
  <c r="Z76" i="1"/>
  <c r="AA76" i="1" s="1"/>
  <c r="Z68" i="1"/>
  <c r="AA68" i="1" s="1"/>
  <c r="AI68" i="1" s="1"/>
  <c r="W68" i="1"/>
  <c r="X68" i="1" s="1"/>
  <c r="CK68" i="1" s="1"/>
  <c r="CL68" i="1" s="1"/>
  <c r="Z388" i="1"/>
  <c r="AA388" i="1" s="1"/>
  <c r="AI388" i="1" s="1"/>
  <c r="W388" i="1"/>
  <c r="X388" i="1" s="1"/>
  <c r="CK388" i="1" s="1"/>
  <c r="CL388" i="1" s="1"/>
  <c r="Z284" i="1"/>
  <c r="AA284" i="1" s="1"/>
  <c r="Z377" i="1"/>
  <c r="AA377" i="1" s="1"/>
  <c r="AI377" i="1" s="1"/>
  <c r="W377" i="1"/>
  <c r="X377" i="1" s="1"/>
  <c r="CK377" i="1" s="1"/>
  <c r="CL377" i="1" s="1"/>
  <c r="Z278" i="1"/>
  <c r="AA278" i="1" s="1"/>
  <c r="Z42" i="1"/>
  <c r="AA42" i="1" s="1"/>
  <c r="Z32" i="1"/>
  <c r="AA32" i="1" s="1"/>
  <c r="Z56" i="1"/>
  <c r="AA56" i="1" s="1"/>
  <c r="AI56" i="1" s="1"/>
  <c r="W56" i="1"/>
  <c r="X56" i="1" s="1"/>
  <c r="CK56" i="1" s="1"/>
  <c r="CL56" i="1" s="1"/>
  <c r="Z371" i="1"/>
  <c r="AA371" i="1" s="1"/>
  <c r="AI371" i="1" s="1"/>
  <c r="W371" i="1"/>
  <c r="X371" i="1" s="1"/>
  <c r="CK371" i="1" s="1"/>
  <c r="CL371" i="1" s="1"/>
  <c r="Z264" i="1"/>
  <c r="AA264" i="1" s="1"/>
  <c r="Z258" i="1"/>
  <c r="AA258" i="1" s="1"/>
  <c r="Z250" i="1"/>
  <c r="AA250" i="1" s="1"/>
  <c r="Z242" i="1"/>
  <c r="AA242" i="1" s="1"/>
  <c r="Z234" i="1"/>
  <c r="AA234" i="1" s="1"/>
  <c r="Z226" i="1"/>
  <c r="AA226" i="1" s="1"/>
  <c r="Z218" i="1"/>
  <c r="AA218" i="1" s="1"/>
  <c r="Z210" i="1"/>
  <c r="AA210" i="1" s="1"/>
  <c r="Z202" i="1"/>
  <c r="AA202" i="1" s="1"/>
  <c r="Z194" i="1"/>
  <c r="AA194" i="1" s="1"/>
  <c r="Z367" i="1"/>
  <c r="AA367" i="1" s="1"/>
  <c r="AI367" i="1" s="1"/>
  <c r="W367" i="1"/>
  <c r="X367" i="1" s="1"/>
  <c r="CK367" i="1" s="1"/>
  <c r="CL367" i="1" s="1"/>
  <c r="Z186" i="1"/>
  <c r="AA186" i="1" s="1"/>
  <c r="Z355" i="1"/>
  <c r="AA355" i="1" s="1"/>
  <c r="AI355" i="1" s="1"/>
  <c r="W355" i="1"/>
  <c r="X355" i="1" s="1"/>
  <c r="CK355" i="1" s="1"/>
  <c r="CL355" i="1" s="1"/>
  <c r="Z178" i="1"/>
  <c r="AA178" i="1" s="1"/>
  <c r="AI178" i="1" s="1"/>
  <c r="W178" i="1"/>
  <c r="X178" i="1" s="1"/>
  <c r="CK178" i="1" s="1"/>
  <c r="CL178" i="1" s="1"/>
  <c r="Z177" i="1"/>
  <c r="AA177" i="1" s="1"/>
  <c r="Z169" i="1"/>
  <c r="AA169" i="1" s="1"/>
  <c r="Z161" i="1"/>
  <c r="AA161" i="1" s="1"/>
  <c r="Z348" i="1"/>
  <c r="AA348" i="1" s="1"/>
  <c r="AI348" i="1" s="1"/>
  <c r="W348" i="1"/>
  <c r="X348" i="1" s="1"/>
  <c r="CK348" i="1" s="1"/>
  <c r="CL348" i="1" s="1"/>
  <c r="Z150" i="1"/>
  <c r="AA150" i="1" s="1"/>
  <c r="Z339" i="1"/>
  <c r="AA339" i="1" s="1"/>
  <c r="AI339" i="1" s="1"/>
  <c r="W339" i="1"/>
  <c r="X339" i="1" s="1"/>
  <c r="CK339" i="1" s="1"/>
  <c r="CL339" i="1" s="1"/>
  <c r="Z331" i="1"/>
  <c r="AA331" i="1" s="1"/>
  <c r="AI331" i="1" s="1"/>
  <c r="W331" i="1"/>
  <c r="X331" i="1" s="1"/>
  <c r="CK331" i="1" s="1"/>
  <c r="CL331" i="1" s="1"/>
  <c r="Z143" i="1"/>
  <c r="AA143" i="1" s="1"/>
  <c r="Z135" i="1"/>
  <c r="AA135" i="1" s="1"/>
  <c r="S384" i="1"/>
  <c r="R384" i="1"/>
  <c r="AB370" i="1"/>
  <c r="W162" i="1"/>
  <c r="W289" i="1"/>
  <c r="EJ243" i="1"/>
  <c r="EP243" i="1" s="1"/>
  <c r="Z393" i="1"/>
  <c r="AA393" i="1" s="1"/>
  <c r="AI393" i="1" s="1"/>
  <c r="W393" i="1"/>
  <c r="X393" i="1" s="1"/>
  <c r="CK393" i="1" s="1"/>
  <c r="CL393" i="1" s="1"/>
  <c r="Z296" i="1"/>
  <c r="AA296" i="1" s="1"/>
  <c r="Z288" i="1"/>
  <c r="AA288" i="1" s="1"/>
  <c r="Z81" i="1"/>
  <c r="AA81" i="1" s="1"/>
  <c r="Z31" i="1"/>
  <c r="AA31" i="1" s="1"/>
  <c r="Z131" i="1"/>
  <c r="AA131" i="1" s="1"/>
  <c r="Z123" i="1"/>
  <c r="AA123" i="1" s="1"/>
  <c r="W123" i="1"/>
  <c r="Z115" i="1"/>
  <c r="AA115" i="1" s="1"/>
  <c r="W58" i="1"/>
  <c r="Z58" i="1"/>
  <c r="AA58" i="1" s="1"/>
  <c r="Z107" i="1"/>
  <c r="AA107" i="1" s="1"/>
  <c r="W107" i="1"/>
  <c r="Z99" i="1"/>
  <c r="AA99" i="1" s="1"/>
  <c r="W99" i="1"/>
  <c r="Z407" i="1"/>
  <c r="AA407" i="1" s="1"/>
  <c r="AI407" i="1" s="1"/>
  <c r="W407" i="1"/>
  <c r="X407" i="1" s="1"/>
  <c r="CK407" i="1" s="1"/>
  <c r="CL407" i="1" s="1"/>
  <c r="Z314" i="1"/>
  <c r="AA314" i="1" s="1"/>
  <c r="Z54" i="1"/>
  <c r="AA54" i="1" s="1"/>
  <c r="AI54" i="1" s="1"/>
  <c r="W54" i="1"/>
  <c r="X54" i="1" s="1"/>
  <c r="CK54" i="1" s="1"/>
  <c r="CL54" i="1" s="1"/>
  <c r="Z397" i="1"/>
  <c r="AA397" i="1" s="1"/>
  <c r="AI397" i="1" s="1"/>
  <c r="W397" i="1"/>
  <c r="X397" i="1" s="1"/>
  <c r="CK397" i="1" s="1"/>
  <c r="CL397" i="1" s="1"/>
  <c r="Z306" i="1"/>
  <c r="AA306" i="1" s="1"/>
  <c r="R364" i="1"/>
  <c r="S364" i="1"/>
  <c r="S358" i="1"/>
  <c r="R358" i="1"/>
  <c r="W235" i="1"/>
  <c r="W125" i="1"/>
  <c r="W76" i="1"/>
  <c r="W116" i="1"/>
  <c r="W219" i="1"/>
  <c r="W117" i="1"/>
  <c r="Z75" i="1"/>
  <c r="AA75" i="1" s="1"/>
  <c r="W75" i="1"/>
  <c r="Z67" i="1"/>
  <c r="AA67" i="1" s="1"/>
  <c r="W67" i="1"/>
  <c r="Z387" i="1"/>
  <c r="AA387" i="1" s="1"/>
  <c r="AI387" i="1" s="1"/>
  <c r="W387" i="1"/>
  <c r="X387" i="1" s="1"/>
  <c r="CK387" i="1" s="1"/>
  <c r="CL387" i="1" s="1"/>
  <c r="Z283" i="1"/>
  <c r="AA283" i="1" s="1"/>
  <c r="Z376" i="1"/>
  <c r="AA376" i="1" s="1"/>
  <c r="AI376" i="1" s="1"/>
  <c r="W376" i="1"/>
  <c r="X376" i="1" s="1"/>
  <c r="CK376" i="1" s="1"/>
  <c r="CL376" i="1" s="1"/>
  <c r="Z277" i="1"/>
  <c r="AA277" i="1" s="1"/>
  <c r="Z41" i="1"/>
  <c r="AA41" i="1" s="1"/>
  <c r="Z30" i="1"/>
  <c r="AA30" i="1" s="1"/>
  <c r="Z48" i="1"/>
  <c r="AA48" i="1" s="1"/>
  <c r="Z271" i="1"/>
  <c r="AA271" i="1" s="1"/>
  <c r="Z263" i="1"/>
  <c r="AA263" i="1" s="1"/>
  <c r="Z257" i="1"/>
  <c r="AA257" i="1" s="1"/>
  <c r="Z249" i="1"/>
  <c r="AA249" i="1" s="1"/>
  <c r="Z241" i="1"/>
  <c r="AA241" i="1" s="1"/>
  <c r="AI241" i="1" s="1"/>
  <c r="W241" i="1"/>
  <c r="X241" i="1" s="1"/>
  <c r="CK241" i="1" s="1"/>
  <c r="CL241" i="1" s="1"/>
  <c r="Z233" i="1"/>
  <c r="AA233" i="1" s="1"/>
  <c r="Z225" i="1"/>
  <c r="AA225" i="1" s="1"/>
  <c r="AI225" i="1" s="1"/>
  <c r="W225" i="1"/>
  <c r="X225" i="1" s="1"/>
  <c r="CK225" i="1" s="1"/>
  <c r="CL225" i="1" s="1"/>
  <c r="Z217" i="1"/>
  <c r="AA217" i="1" s="1"/>
  <c r="W217" i="1"/>
  <c r="Z209" i="1"/>
  <c r="AA209" i="1" s="1"/>
  <c r="Z201" i="1"/>
  <c r="AA201" i="1" s="1"/>
  <c r="Z193" i="1"/>
  <c r="AA193" i="1" s="1"/>
  <c r="Z366" i="1"/>
  <c r="AA366" i="1" s="1"/>
  <c r="AI366" i="1" s="1"/>
  <c r="W366" i="1"/>
  <c r="X366" i="1" s="1"/>
  <c r="CK366" i="1" s="1"/>
  <c r="CL366" i="1" s="1"/>
  <c r="Z362" i="1"/>
  <c r="AA362" i="1" s="1"/>
  <c r="AI362" i="1" s="1"/>
  <c r="W362" i="1"/>
  <c r="X362" i="1" s="1"/>
  <c r="CK362" i="1" s="1"/>
  <c r="CL362" i="1" s="1"/>
  <c r="Z185" i="1"/>
  <c r="AA185" i="1" s="1"/>
  <c r="Z59" i="1"/>
  <c r="AA59" i="1" s="1"/>
  <c r="W59" i="1"/>
  <c r="Z176" i="1"/>
  <c r="AA176" i="1" s="1"/>
  <c r="Z168" i="1"/>
  <c r="AA168" i="1" s="1"/>
  <c r="Z160" i="1"/>
  <c r="AA160" i="1" s="1"/>
  <c r="Z347" i="1"/>
  <c r="AA347" i="1" s="1"/>
  <c r="AI347" i="1" s="1"/>
  <c r="W347" i="1"/>
  <c r="X347" i="1" s="1"/>
  <c r="CK347" i="1" s="1"/>
  <c r="CL347" i="1" s="1"/>
  <c r="Z149" i="1"/>
  <c r="AA149" i="1" s="1"/>
  <c r="Z338" i="1"/>
  <c r="AA338" i="1" s="1"/>
  <c r="AI338" i="1" s="1"/>
  <c r="W338" i="1"/>
  <c r="X338" i="1" s="1"/>
  <c r="CK338" i="1" s="1"/>
  <c r="CL338" i="1" s="1"/>
  <c r="Z330" i="1"/>
  <c r="AA330" i="1" s="1"/>
  <c r="AI330" i="1" s="1"/>
  <c r="W330" i="1"/>
  <c r="X330" i="1" s="1"/>
  <c r="CK330" i="1" s="1"/>
  <c r="CL330" i="1" s="1"/>
  <c r="Z142" i="1"/>
  <c r="AA142" i="1" s="1"/>
  <c r="Z134" i="1"/>
  <c r="AA134" i="1" s="1"/>
  <c r="W134" i="1"/>
  <c r="R348" i="1"/>
  <c r="S348" i="1"/>
  <c r="W234" i="1"/>
  <c r="W124" i="1"/>
  <c r="Z22" i="1"/>
  <c r="AA22" i="1" s="1"/>
  <c r="W307" i="1"/>
  <c r="W115" i="1"/>
  <c r="W297" i="1"/>
  <c r="W168" i="1"/>
  <c r="W290" i="1"/>
  <c r="S412" i="1"/>
  <c r="R412" i="1"/>
  <c r="W177" i="1"/>
  <c r="W176" i="1"/>
  <c r="EK344" i="1"/>
  <c r="EX344" i="1" s="1"/>
  <c r="Z74" i="1"/>
  <c r="AA74" i="1" s="1"/>
  <c r="Z66" i="1"/>
  <c r="AA66" i="1" s="1"/>
  <c r="W66" i="1"/>
  <c r="Z386" i="1"/>
  <c r="AA386" i="1" s="1"/>
  <c r="AI386" i="1" s="1"/>
  <c r="W386" i="1"/>
  <c r="X386" i="1" s="1"/>
  <c r="CK386" i="1" s="1"/>
  <c r="CL386" i="1" s="1"/>
  <c r="Z51" i="1"/>
  <c r="AA51" i="1" s="1"/>
  <c r="Z375" i="1"/>
  <c r="AA375" i="1" s="1"/>
  <c r="AI375" i="1" s="1"/>
  <c r="W375" i="1"/>
  <c r="X375" i="1" s="1"/>
  <c r="CK375" i="1" s="1"/>
  <c r="CL375" i="1" s="1"/>
  <c r="Z276" i="1"/>
  <c r="AA276" i="1" s="1"/>
  <c r="Z40" i="1"/>
  <c r="AA40" i="1" s="1"/>
  <c r="Z28" i="1"/>
  <c r="AA28" i="1" s="1"/>
  <c r="Z274" i="1"/>
  <c r="AA274" i="1" s="1"/>
  <c r="Z270" i="1"/>
  <c r="AA270" i="1" s="1"/>
  <c r="Z53" i="1"/>
  <c r="AA53" i="1" s="1"/>
  <c r="Z256" i="1"/>
  <c r="AA256" i="1" s="1"/>
  <c r="Z248" i="1"/>
  <c r="AA248" i="1" s="1"/>
  <c r="Z240" i="1"/>
  <c r="AA240" i="1" s="1"/>
  <c r="Z232" i="1"/>
  <c r="AA232" i="1" s="1"/>
  <c r="Z224" i="1"/>
  <c r="AA224" i="1" s="1"/>
  <c r="AI224" i="1" s="1"/>
  <c r="W224" i="1"/>
  <c r="X224" i="1" s="1"/>
  <c r="CK224" i="1" s="1"/>
  <c r="CL224" i="1" s="1"/>
  <c r="Z216" i="1"/>
  <c r="AA216" i="1" s="1"/>
  <c r="Z208" i="1"/>
  <c r="AA208" i="1" s="1"/>
  <c r="Z200" i="1"/>
  <c r="AA200" i="1" s="1"/>
  <c r="Z192" i="1"/>
  <c r="AA192" i="1" s="1"/>
  <c r="Z365" i="1"/>
  <c r="AA365" i="1" s="1"/>
  <c r="AI365" i="1" s="1"/>
  <c r="W365" i="1"/>
  <c r="X365" i="1" s="1"/>
  <c r="CK365" i="1" s="1"/>
  <c r="CL365" i="1" s="1"/>
  <c r="Z361" i="1"/>
  <c r="AA361" i="1" s="1"/>
  <c r="AI361" i="1" s="1"/>
  <c r="W361" i="1"/>
  <c r="X361" i="1" s="1"/>
  <c r="CK361" i="1" s="1"/>
  <c r="CL361" i="1" s="1"/>
  <c r="Z184" i="1"/>
  <c r="AA184" i="1" s="1"/>
  <c r="Z354" i="1"/>
  <c r="AA354" i="1" s="1"/>
  <c r="AI354" i="1" s="1"/>
  <c r="W354" i="1"/>
  <c r="X354" i="1" s="1"/>
  <c r="CK354" i="1" s="1"/>
  <c r="CL354" i="1" s="1"/>
  <c r="Z175" i="1"/>
  <c r="AA175" i="1" s="1"/>
  <c r="Z167" i="1"/>
  <c r="AA167" i="1" s="1"/>
  <c r="Z159" i="1"/>
  <c r="AA159" i="1" s="1"/>
  <c r="W159" i="1"/>
  <c r="Z346" i="1"/>
  <c r="AA346" i="1" s="1"/>
  <c r="AI346" i="1" s="1"/>
  <c r="W346" i="1"/>
  <c r="X346" i="1" s="1"/>
  <c r="CK346" i="1" s="1"/>
  <c r="CL346" i="1" s="1"/>
  <c r="Z50" i="1"/>
  <c r="AA50" i="1" s="1"/>
  <c r="Z337" i="1"/>
  <c r="AA337" i="1" s="1"/>
  <c r="Z329" i="1"/>
  <c r="AA329" i="1" s="1"/>
  <c r="Z141" i="1"/>
  <c r="AA141" i="1" s="1"/>
  <c r="Z57" i="1"/>
  <c r="AA57" i="1" s="1"/>
  <c r="S403" i="1"/>
  <c r="R403" i="1"/>
  <c r="W329" i="1"/>
  <c r="W270" i="1"/>
  <c r="W232" i="1"/>
  <c r="W216" i="1"/>
  <c r="W93" i="1"/>
  <c r="Z113" i="1"/>
  <c r="AA113" i="1" s="1"/>
  <c r="W113" i="1"/>
  <c r="Z325" i="1"/>
  <c r="AA325" i="1" s="1"/>
  <c r="Z105" i="1"/>
  <c r="AA105" i="1" s="1"/>
  <c r="Z97" i="1"/>
  <c r="AA97" i="1" s="1"/>
  <c r="Z405" i="1"/>
  <c r="AA405" i="1" s="1"/>
  <c r="AI405" i="1" s="1"/>
  <c r="W405" i="1"/>
  <c r="X405" i="1" s="1"/>
  <c r="CK405" i="1" s="1"/>
  <c r="CL405" i="1" s="1"/>
  <c r="Z312" i="1"/>
  <c r="AA312" i="1" s="1"/>
  <c r="Z403" i="1"/>
  <c r="AA403" i="1" s="1"/>
  <c r="AI403" i="1" s="1"/>
  <c r="W403" i="1"/>
  <c r="X403" i="1" s="1"/>
  <c r="CK403" i="1" s="1"/>
  <c r="CL403" i="1" s="1"/>
  <c r="Z395" i="1"/>
  <c r="AA395" i="1" s="1"/>
  <c r="AI395" i="1" s="1"/>
  <c r="W395" i="1"/>
  <c r="X395" i="1" s="1"/>
  <c r="CK395" i="1" s="1"/>
  <c r="CL395" i="1" s="1"/>
  <c r="Z304" i="1"/>
  <c r="AA304" i="1" s="1"/>
  <c r="S352" i="1"/>
  <c r="R352" i="1"/>
  <c r="W306" i="1"/>
  <c r="W30" i="1"/>
  <c r="EF389" i="1"/>
  <c r="Z73" i="1"/>
  <c r="AA73" i="1" s="1"/>
  <c r="Z65" i="1"/>
  <c r="AA65" i="1" s="1"/>
  <c r="Z385" i="1"/>
  <c r="AA385" i="1" s="1"/>
  <c r="AI385" i="1" s="1"/>
  <c r="W385" i="1"/>
  <c r="X385" i="1" s="1"/>
  <c r="CK385" i="1" s="1"/>
  <c r="CL385" i="1" s="1"/>
  <c r="Z382" i="1"/>
  <c r="AA382" i="1" s="1"/>
  <c r="AI382" i="1" s="1"/>
  <c r="W382" i="1"/>
  <c r="X382" i="1" s="1"/>
  <c r="CK382" i="1" s="1"/>
  <c r="CL382" i="1" s="1"/>
  <c r="Z374" i="1"/>
  <c r="AA374" i="1" s="1"/>
  <c r="AI374" i="1" s="1"/>
  <c r="W374" i="1"/>
  <c r="X374" i="1" s="1"/>
  <c r="CK374" i="1" s="1"/>
  <c r="CL374" i="1" s="1"/>
  <c r="Z47" i="1"/>
  <c r="AA47" i="1" s="1"/>
  <c r="AI47" i="1" s="1"/>
  <c r="W47" i="1"/>
  <c r="X47" i="1" s="1"/>
  <c r="CK47" i="1" s="1"/>
  <c r="CL47" i="1" s="1"/>
  <c r="Z39" i="1"/>
  <c r="AA39" i="1" s="1"/>
  <c r="Z26" i="1"/>
  <c r="AA26" i="1" s="1"/>
  <c r="Z273" i="1"/>
  <c r="AA273" i="1" s="1"/>
  <c r="Z269" i="1"/>
  <c r="AA269" i="1" s="1"/>
  <c r="Z49" i="1"/>
  <c r="AA49" i="1" s="1"/>
  <c r="Z255" i="1"/>
  <c r="AA255" i="1" s="1"/>
  <c r="Z247" i="1"/>
  <c r="AA247" i="1" s="1"/>
  <c r="Z239" i="1"/>
  <c r="AA239" i="1" s="1"/>
  <c r="Z231" i="1"/>
  <c r="AA231" i="1" s="1"/>
  <c r="W231" i="1"/>
  <c r="Z223" i="1"/>
  <c r="AA223" i="1" s="1"/>
  <c r="Z215" i="1"/>
  <c r="AA215" i="1" s="1"/>
  <c r="Z207" i="1"/>
  <c r="AA207" i="1" s="1"/>
  <c r="AI207" i="1" s="1"/>
  <c r="Z199" i="1"/>
  <c r="AA199" i="1" s="1"/>
  <c r="Z191" i="1"/>
  <c r="AA191" i="1" s="1"/>
  <c r="Z364" i="1"/>
  <c r="AA364" i="1" s="1"/>
  <c r="AI364" i="1" s="1"/>
  <c r="W364" i="1"/>
  <c r="X364" i="1" s="1"/>
  <c r="CK364" i="1" s="1"/>
  <c r="CL364" i="1" s="1"/>
  <c r="Z360" i="1"/>
  <c r="AA360" i="1" s="1"/>
  <c r="AI360" i="1" s="1"/>
  <c r="W360" i="1"/>
  <c r="X360" i="1" s="1"/>
  <c r="CK360" i="1" s="1"/>
  <c r="CL360" i="1" s="1"/>
  <c r="Z183" i="1"/>
  <c r="AA183" i="1" s="1"/>
  <c r="AI183" i="1" s="1"/>
  <c r="W183" i="1"/>
  <c r="X183" i="1" s="1"/>
  <c r="CK183" i="1" s="1"/>
  <c r="CL183" i="1" s="1"/>
  <c r="Z353" i="1"/>
  <c r="AA353" i="1" s="1"/>
  <c r="AI353" i="1" s="1"/>
  <c r="W353" i="1"/>
  <c r="X353" i="1" s="1"/>
  <c r="CK353" i="1" s="1"/>
  <c r="CL353" i="1" s="1"/>
  <c r="Z174" i="1"/>
  <c r="AA174" i="1" s="1"/>
  <c r="Z166" i="1"/>
  <c r="AA166" i="1" s="1"/>
  <c r="Z158" i="1"/>
  <c r="AA158" i="1" s="1"/>
  <c r="W158" i="1"/>
  <c r="Z345" i="1"/>
  <c r="AA345" i="1" s="1"/>
  <c r="AI345" i="1" s="1"/>
  <c r="W345" i="1"/>
  <c r="X345" i="1" s="1"/>
  <c r="CK345" i="1" s="1"/>
  <c r="CL345" i="1" s="1"/>
  <c r="Z344" i="1"/>
  <c r="AA344" i="1" s="1"/>
  <c r="AI344" i="1" s="1"/>
  <c r="W344" i="1"/>
  <c r="X344" i="1" s="1"/>
  <c r="CK344" i="1" s="1"/>
  <c r="CL344" i="1" s="1"/>
  <c r="Z336" i="1"/>
  <c r="AA336" i="1" s="1"/>
  <c r="Z148" i="1"/>
  <c r="AA148" i="1" s="1"/>
  <c r="Z140" i="1"/>
  <c r="AA140" i="1" s="1"/>
  <c r="W248" i="1"/>
  <c r="W141" i="1"/>
  <c r="W304" i="1"/>
  <c r="W89" i="1"/>
  <c r="W22" i="1"/>
  <c r="W169" i="1"/>
  <c r="Z328" i="1"/>
  <c r="AA328" i="1" s="1"/>
  <c r="Z128" i="1"/>
  <c r="AA128" i="1" s="1"/>
  <c r="AI128" i="1" s="1"/>
  <c r="W128" i="1"/>
  <c r="X128" i="1" s="1"/>
  <c r="CK128" i="1" s="1"/>
  <c r="CL128" i="1" s="1"/>
  <c r="Z120" i="1"/>
  <c r="AA120" i="1" s="1"/>
  <c r="Z112" i="1"/>
  <c r="AA112" i="1" s="1"/>
  <c r="Z324" i="1"/>
  <c r="AA324" i="1" s="1"/>
  <c r="Z104" i="1"/>
  <c r="AA104" i="1" s="1"/>
  <c r="Z96" i="1"/>
  <c r="AA96" i="1" s="1"/>
  <c r="Z319" i="1"/>
  <c r="AA319" i="1" s="1"/>
  <c r="Z311" i="1"/>
  <c r="AA311" i="1" s="1"/>
  <c r="Z402" i="1"/>
  <c r="AA402" i="1" s="1"/>
  <c r="AI402" i="1" s="1"/>
  <c r="W402" i="1"/>
  <c r="X402" i="1" s="1"/>
  <c r="CK402" i="1" s="1"/>
  <c r="CL402" i="1" s="1"/>
  <c r="Z394" i="1"/>
  <c r="AA394" i="1" s="1"/>
  <c r="AI394" i="1" s="1"/>
  <c r="W394" i="1"/>
  <c r="X394" i="1" s="1"/>
  <c r="CK394" i="1" s="1"/>
  <c r="CL394" i="1" s="1"/>
  <c r="Z303" i="1"/>
  <c r="AA303" i="1" s="1"/>
  <c r="AB287" i="1"/>
  <c r="AI287" i="1" s="1"/>
  <c r="AB275" i="1"/>
  <c r="AI275" i="1" s="1"/>
  <c r="W215" i="1"/>
  <c r="W112" i="1"/>
  <c r="CV243" i="1"/>
  <c r="EE173" i="1"/>
  <c r="Z72" i="1"/>
  <c r="AA72" i="1" s="1"/>
  <c r="Z64" i="1"/>
  <c r="AA64" i="1" s="1"/>
  <c r="Z384" i="1"/>
  <c r="AA384" i="1" s="1"/>
  <c r="AI384" i="1" s="1"/>
  <c r="W384" i="1"/>
  <c r="X384" i="1" s="1"/>
  <c r="CK384" i="1" s="1"/>
  <c r="CL384" i="1" s="1"/>
  <c r="Z381" i="1"/>
  <c r="AA381" i="1" s="1"/>
  <c r="AI381" i="1" s="1"/>
  <c r="W381" i="1"/>
  <c r="X381" i="1" s="1"/>
  <c r="CK381" i="1" s="1"/>
  <c r="CL381" i="1" s="1"/>
  <c r="Z282" i="1"/>
  <c r="AA282" i="1" s="1"/>
  <c r="Z46" i="1"/>
  <c r="AA46" i="1" s="1"/>
  <c r="Z38" i="1"/>
  <c r="AA38" i="1" s="1"/>
  <c r="Z24" i="1"/>
  <c r="AA24" i="1" s="1"/>
  <c r="Z272" i="1"/>
  <c r="AA272" i="1" s="1"/>
  <c r="Z268" i="1"/>
  <c r="AA268" i="1" s="1"/>
  <c r="Z262" i="1"/>
  <c r="AA262" i="1" s="1"/>
  <c r="AI262" i="1" s="1"/>
  <c r="W262" i="1"/>
  <c r="X262" i="1" s="1"/>
  <c r="CK262" i="1" s="1"/>
  <c r="CL262" i="1" s="1"/>
  <c r="Z254" i="1"/>
  <c r="AA254" i="1" s="1"/>
  <c r="Z246" i="1"/>
  <c r="AA246" i="1" s="1"/>
  <c r="Z238" i="1"/>
  <c r="AA238" i="1" s="1"/>
  <c r="Z230" i="1"/>
  <c r="AA230" i="1" s="1"/>
  <c r="Z222" i="1"/>
  <c r="AA222" i="1" s="1"/>
  <c r="Z214" i="1"/>
  <c r="AA214" i="1" s="1"/>
  <c r="Z206" i="1"/>
  <c r="AA206" i="1" s="1"/>
  <c r="Z198" i="1"/>
  <c r="AA198" i="1" s="1"/>
  <c r="Z190" i="1"/>
  <c r="AA190" i="1" s="1"/>
  <c r="Z363" i="1"/>
  <c r="AA363" i="1" s="1"/>
  <c r="AI363" i="1" s="1"/>
  <c r="W363" i="1"/>
  <c r="X363" i="1" s="1"/>
  <c r="CK363" i="1" s="1"/>
  <c r="CL363" i="1" s="1"/>
  <c r="Z359" i="1"/>
  <c r="AA359" i="1" s="1"/>
  <c r="AI359" i="1" s="1"/>
  <c r="W359" i="1"/>
  <c r="X359" i="1" s="1"/>
  <c r="CK359" i="1" s="1"/>
  <c r="CL359" i="1" s="1"/>
  <c r="Z182" i="1"/>
  <c r="AA182" i="1" s="1"/>
  <c r="AI182" i="1" s="1"/>
  <c r="W182" i="1"/>
  <c r="X182" i="1" s="1"/>
  <c r="CK182" i="1" s="1"/>
  <c r="CL182" i="1" s="1"/>
  <c r="Z352" i="1"/>
  <c r="AA352" i="1" s="1"/>
  <c r="AI352" i="1" s="1"/>
  <c r="W352" i="1"/>
  <c r="X352" i="1" s="1"/>
  <c r="CK352" i="1" s="1"/>
  <c r="CL352" i="1" s="1"/>
  <c r="Z173" i="1"/>
  <c r="AA173" i="1" s="1"/>
  <c r="AI173" i="1" s="1"/>
  <c r="W173" i="1"/>
  <c r="X173" i="1" s="1"/>
  <c r="CK173" i="1" s="1"/>
  <c r="CL173" i="1" s="1"/>
  <c r="Z165" i="1"/>
  <c r="AA165" i="1" s="1"/>
  <c r="Z157" i="1"/>
  <c r="AA157" i="1" s="1"/>
  <c r="Z154" i="1"/>
  <c r="AA154" i="1" s="1"/>
  <c r="AI154" i="1" s="1"/>
  <c r="W154" i="1"/>
  <c r="X154" i="1" s="1"/>
  <c r="CK154" i="1" s="1"/>
  <c r="CL154" i="1" s="1"/>
  <c r="Z343" i="1"/>
  <c r="AA343" i="1" s="1"/>
  <c r="AI343" i="1" s="1"/>
  <c r="W343" i="1"/>
  <c r="X343" i="1" s="1"/>
  <c r="CK343" i="1" s="1"/>
  <c r="CL343" i="1" s="1"/>
  <c r="Z335" i="1"/>
  <c r="AA335" i="1" s="1"/>
  <c r="Z147" i="1"/>
  <c r="AA147" i="1" s="1"/>
  <c r="Z139" i="1"/>
  <c r="AA139" i="1" s="1"/>
  <c r="W139" i="1"/>
  <c r="W319" i="1"/>
  <c r="W246" i="1"/>
  <c r="W226" i="1"/>
  <c r="W62" i="1"/>
  <c r="W166" i="1"/>
  <c r="W211" i="1"/>
  <c r="W92" i="1"/>
  <c r="Z21" i="1"/>
  <c r="AA21" i="1" s="1"/>
  <c r="AI21" i="1" s="1"/>
  <c r="W21" i="1"/>
  <c r="X21" i="1" s="1"/>
  <c r="CK21" i="1" s="1"/>
  <c r="CL21" i="1" s="1"/>
  <c r="W14" i="1"/>
  <c r="Z300" i="1"/>
  <c r="AA300" i="1" s="1"/>
  <c r="Z292" i="1"/>
  <c r="AA292" i="1" s="1"/>
  <c r="Z85" i="1"/>
  <c r="AA85" i="1" s="1"/>
  <c r="Z77" i="1"/>
  <c r="AA77" i="1" s="1"/>
  <c r="Z37" i="1"/>
  <c r="AA37" i="1" s="1"/>
  <c r="Z23" i="1"/>
  <c r="AA23" i="1" s="1"/>
  <c r="Z327" i="1"/>
  <c r="AA327" i="1" s="1"/>
  <c r="Z127" i="1"/>
  <c r="AA127" i="1" s="1"/>
  <c r="Z119" i="1"/>
  <c r="AA119" i="1" s="1"/>
  <c r="W111" i="1"/>
  <c r="Z111" i="1"/>
  <c r="AA111" i="1" s="1"/>
  <c r="Z323" i="1"/>
  <c r="AA323" i="1" s="1"/>
  <c r="Z103" i="1"/>
  <c r="AA103" i="1" s="1"/>
  <c r="W103" i="1"/>
  <c r="Z411" i="1"/>
  <c r="AA411" i="1" s="1"/>
  <c r="AI411" i="1" s="1"/>
  <c r="W411" i="1"/>
  <c r="X411" i="1" s="1"/>
  <c r="CK411" i="1" s="1"/>
  <c r="CL411" i="1" s="1"/>
  <c r="Z318" i="1"/>
  <c r="AA318" i="1" s="1"/>
  <c r="Z95" i="1"/>
  <c r="AA95" i="1" s="1"/>
  <c r="Z401" i="1"/>
  <c r="AA401" i="1" s="1"/>
  <c r="AI401" i="1" s="1"/>
  <c r="W401" i="1"/>
  <c r="X401" i="1" s="1"/>
  <c r="CK401" i="1" s="1"/>
  <c r="CL401" i="1" s="1"/>
  <c r="Z310" i="1"/>
  <c r="AA310" i="1" s="1"/>
  <c r="Z91" i="1"/>
  <c r="AA91" i="1" s="1"/>
  <c r="W318" i="1"/>
  <c r="W223" i="1"/>
  <c r="W85" i="1"/>
  <c r="W100" i="1"/>
  <c r="W174" i="1"/>
  <c r="W38" i="1"/>
  <c r="W108" i="1"/>
  <c r="CV69" i="1"/>
  <c r="Z71" i="1"/>
  <c r="AA71" i="1" s="1"/>
  <c r="Z63" i="1"/>
  <c r="AA63" i="1" s="1"/>
  <c r="Z383" i="1"/>
  <c r="AA383" i="1" s="1"/>
  <c r="AI383" i="1" s="1"/>
  <c r="W383" i="1"/>
  <c r="X383" i="1" s="1"/>
  <c r="CK383" i="1" s="1"/>
  <c r="CL383" i="1" s="1"/>
  <c r="Z380" i="1"/>
  <c r="AA380" i="1" s="1"/>
  <c r="AI380" i="1" s="1"/>
  <c r="W380" i="1"/>
  <c r="X380" i="1" s="1"/>
  <c r="CK380" i="1" s="1"/>
  <c r="CL380" i="1" s="1"/>
  <c r="Z281" i="1"/>
  <c r="AA281" i="1" s="1"/>
  <c r="Z45" i="1"/>
  <c r="AA45" i="1" s="1"/>
  <c r="Z36" i="1"/>
  <c r="AA36" i="1" s="1"/>
  <c r="Z19" i="1"/>
  <c r="AA19" i="1" s="1"/>
  <c r="Z61" i="1"/>
  <c r="AA61" i="1" s="1"/>
  <c r="Z267" i="1"/>
  <c r="AA267" i="1" s="1"/>
  <c r="Z261" i="1"/>
  <c r="AA261" i="1" s="1"/>
  <c r="AI261" i="1" s="1"/>
  <c r="W261" i="1"/>
  <c r="X261" i="1" s="1"/>
  <c r="CK261" i="1" s="1"/>
  <c r="CL261" i="1" s="1"/>
  <c r="Z253" i="1"/>
  <c r="AA253" i="1" s="1"/>
  <c r="Z245" i="1"/>
  <c r="AA245" i="1" s="1"/>
  <c r="Z237" i="1"/>
  <c r="AA237" i="1" s="1"/>
  <c r="Z229" i="1"/>
  <c r="AA229" i="1" s="1"/>
  <c r="W229" i="1"/>
  <c r="Z221" i="1"/>
  <c r="AA221" i="1" s="1"/>
  <c r="Z213" i="1"/>
  <c r="AA213" i="1" s="1"/>
  <c r="W213" i="1"/>
  <c r="Z205" i="1"/>
  <c r="AA205" i="1" s="1"/>
  <c r="Z197" i="1"/>
  <c r="AA197" i="1" s="1"/>
  <c r="AI197" i="1" s="1"/>
  <c r="Z60" i="1"/>
  <c r="AA60" i="1" s="1"/>
  <c r="Z189" i="1"/>
  <c r="AA189" i="1" s="1"/>
  <c r="Z358" i="1"/>
  <c r="AA358" i="1" s="1"/>
  <c r="AI358" i="1" s="1"/>
  <c r="W358" i="1"/>
  <c r="X358" i="1" s="1"/>
  <c r="CK358" i="1" s="1"/>
  <c r="CL358" i="1" s="1"/>
  <c r="Z181" i="1"/>
  <c r="AA181" i="1" s="1"/>
  <c r="Z351" i="1"/>
  <c r="AA351" i="1" s="1"/>
  <c r="AI351" i="1" s="1"/>
  <c r="W351" i="1"/>
  <c r="X351" i="1" s="1"/>
  <c r="CK351" i="1" s="1"/>
  <c r="CL351" i="1" s="1"/>
  <c r="Z172" i="1"/>
  <c r="AA172" i="1" s="1"/>
  <c r="W172" i="1"/>
  <c r="Z164" i="1"/>
  <c r="AA164" i="1" s="1"/>
  <c r="W164" i="1"/>
  <c r="Z156" i="1"/>
  <c r="AA156" i="1" s="1"/>
  <c r="AI156" i="1" s="1"/>
  <c r="W156" i="1"/>
  <c r="X156" i="1" s="1"/>
  <c r="CK156" i="1" s="1"/>
  <c r="CL156" i="1" s="1"/>
  <c r="Z153" i="1"/>
  <c r="AA153" i="1" s="1"/>
  <c r="Z342" i="1"/>
  <c r="AA342" i="1" s="1"/>
  <c r="Z334" i="1"/>
  <c r="AA334" i="1" s="1"/>
  <c r="Z146" i="1"/>
  <c r="AA146" i="1" s="1"/>
  <c r="Z138" i="1"/>
  <c r="AA138" i="1" s="1"/>
  <c r="W138" i="1"/>
  <c r="S391" i="1"/>
  <c r="R391" i="1"/>
  <c r="W281" i="1"/>
  <c r="W264" i="1"/>
  <c r="W135" i="1"/>
  <c r="W60" i="1"/>
  <c r="W46" i="1"/>
  <c r="Z20" i="1"/>
  <c r="AA20" i="1" s="1"/>
  <c r="W15" i="1"/>
  <c r="W170" i="1"/>
  <c r="W160" i="1"/>
  <c r="CV22" i="1"/>
  <c r="W26" i="1"/>
  <c r="EV390" i="1"/>
  <c r="DU44" i="1"/>
  <c r="DV44" i="1" s="1"/>
  <c r="EH367" i="1"/>
  <c r="EH371" i="1"/>
  <c r="EH261" i="1"/>
  <c r="EJ350" i="1"/>
  <c r="EP350" i="1" s="1"/>
  <c r="EM15" i="1"/>
  <c r="EM315" i="1"/>
  <c r="EM246" i="1"/>
  <c r="CV73" i="1"/>
  <c r="EM24" i="1"/>
  <c r="DR21" i="1"/>
  <c r="DS21" i="1" s="1"/>
  <c r="EA21" i="1" s="1"/>
  <c r="DA21" i="1" s="1"/>
  <c r="EM247" i="1"/>
  <c r="EM213" i="1"/>
  <c r="EM278" i="1"/>
  <c r="EM241" i="1"/>
  <c r="EM277" i="1"/>
  <c r="EM181" i="1"/>
  <c r="EM299" i="1"/>
  <c r="EM316" i="1"/>
  <c r="EM48" i="1"/>
  <c r="EM338" i="1"/>
  <c r="EM171" i="1"/>
  <c r="EM71" i="1"/>
  <c r="EM187" i="1"/>
  <c r="EM166" i="1"/>
  <c r="EM70" i="1"/>
  <c r="EM290" i="1"/>
  <c r="EM209" i="1"/>
  <c r="EM327" i="1"/>
  <c r="EM69" i="1"/>
  <c r="EM220" i="1"/>
  <c r="EM161" i="1"/>
  <c r="EM103" i="1"/>
  <c r="EM274" i="1"/>
  <c r="EM193" i="1"/>
  <c r="EM250" i="1"/>
  <c r="EM310" i="1"/>
  <c r="EM135" i="1"/>
  <c r="EM62" i="1"/>
  <c r="EM156" i="1"/>
  <c r="EM262" i="1"/>
  <c r="EM248" i="1"/>
  <c r="EM252" i="1"/>
  <c r="EM197" i="1"/>
  <c r="EM134" i="1"/>
  <c r="EM174" i="1"/>
  <c r="EM258" i="1"/>
  <c r="EM263" i="1"/>
  <c r="EM49" i="1"/>
  <c r="EM302" i="1"/>
  <c r="EM145" i="1"/>
  <c r="EM183" i="1"/>
  <c r="EM158" i="1"/>
  <c r="EM294" i="1"/>
  <c r="EM270" i="1"/>
  <c r="EM195" i="1"/>
  <c r="EM286" i="1"/>
  <c r="EM89" i="1"/>
  <c r="EM345" i="1"/>
  <c r="EM325" i="1"/>
  <c r="EM245" i="1"/>
  <c r="EM329" i="1"/>
  <c r="EM266" i="1"/>
  <c r="EM289" i="1"/>
  <c r="EM291" i="1"/>
  <c r="EM225" i="1"/>
  <c r="EM318" i="1"/>
  <c r="EM136" i="1"/>
  <c r="EM165" i="1"/>
  <c r="EM151" i="1"/>
  <c r="EM53" i="1"/>
  <c r="EM214" i="1"/>
  <c r="EM199" i="1"/>
  <c r="EM124" i="1"/>
  <c r="EM261" i="1"/>
  <c r="EM257" i="1"/>
  <c r="EM99" i="1"/>
  <c r="EM29" i="1"/>
  <c r="EM339" i="1"/>
  <c r="EM296" i="1"/>
  <c r="EM229" i="1"/>
  <c r="EM280" i="1"/>
  <c r="EM163" i="1"/>
  <c r="EM154" i="1"/>
  <c r="EM267" i="1"/>
  <c r="EM238" i="1"/>
  <c r="EM97" i="1"/>
  <c r="EM108" i="1"/>
  <c r="EM142" i="1"/>
  <c r="EM81" i="1"/>
  <c r="EM334" i="1"/>
  <c r="EM226" i="1"/>
  <c r="EM210" i="1"/>
  <c r="EM129" i="1"/>
  <c r="EM58" i="1"/>
  <c r="EM133" i="1"/>
  <c r="EM83" i="1"/>
  <c r="EM32" i="1"/>
  <c r="EM86" i="1"/>
  <c r="EM76" i="1"/>
  <c r="EM43" i="1"/>
  <c r="EM37" i="1"/>
  <c r="EM50" i="1"/>
  <c r="EM140" i="1"/>
  <c r="EM204" i="1"/>
  <c r="EM120" i="1"/>
  <c r="EM152" i="1"/>
  <c r="EM42" i="1"/>
  <c r="EM57" i="1"/>
  <c r="EM34" i="1"/>
  <c r="EM54" i="1"/>
  <c r="EM91" i="1"/>
  <c r="EM102" i="1"/>
  <c r="EM88" i="1"/>
  <c r="EM72" i="1"/>
  <c r="EM73" i="1"/>
  <c r="EM45" i="1"/>
  <c r="EX407" i="1"/>
  <c r="CV345" i="1"/>
  <c r="CW344" i="1"/>
  <c r="CW202" i="1"/>
  <c r="CV202" i="1"/>
  <c r="CW346" i="1"/>
  <c r="CV346" i="1"/>
  <c r="CW236" i="1"/>
  <c r="CV236" i="1"/>
  <c r="CV186" i="1"/>
  <c r="CW186" i="1"/>
  <c r="CV329" i="1"/>
  <c r="CV60" i="1"/>
  <c r="CW60" i="1"/>
  <c r="CW172" i="1"/>
  <c r="CV172" i="1"/>
  <c r="CV89" i="1"/>
  <c r="CW107" i="1"/>
  <c r="CW106" i="1"/>
  <c r="CV106" i="1"/>
  <c r="EX378" i="1"/>
  <c r="EX362" i="1"/>
  <c r="EX225" i="1"/>
  <c r="EV225" i="1"/>
  <c r="EX394" i="1"/>
  <c r="EV394" i="1"/>
  <c r="EV388" i="1"/>
  <c r="EX376" i="1"/>
  <c r="EV376" i="1"/>
  <c r="EV338" i="1"/>
  <c r="EV261" i="1"/>
  <c r="EX261" i="1"/>
  <c r="EX352" i="1"/>
  <c r="EV352" i="1"/>
  <c r="EV68" i="1"/>
  <c r="EX408" i="1"/>
  <c r="EV408" i="1"/>
  <c r="EX405" i="1"/>
  <c r="EX241" i="1"/>
  <c r="EV241" i="1"/>
  <c r="EX106" i="1"/>
  <c r="EV106" i="1"/>
  <c r="B6" i="3"/>
  <c r="EJ345" i="1" l="1"/>
  <c r="EP345" i="1" s="1"/>
  <c r="DR128" i="1"/>
  <c r="DS128" i="1" s="1"/>
  <c r="EA128" i="1" s="1"/>
  <c r="DA128" i="1" s="1"/>
  <c r="EH345" i="1"/>
  <c r="CV375" i="1"/>
  <c r="BN155" i="1"/>
  <c r="BM155" i="1"/>
  <c r="BN260" i="1"/>
  <c r="BM260" i="1"/>
  <c r="BN286" i="1"/>
  <c r="BM286" i="1"/>
  <c r="BN300" i="1"/>
  <c r="BM300" i="1"/>
  <c r="BN410" i="1"/>
  <c r="BM410" i="1"/>
  <c r="BN189" i="1"/>
  <c r="BM189" i="1"/>
  <c r="BN389" i="1"/>
  <c r="BM389" i="1"/>
  <c r="BN206" i="1"/>
  <c r="BO206" i="1" s="1" a="1"/>
  <c r="BO206" i="1" s="1"/>
  <c r="BM206" i="1"/>
  <c r="BN254" i="1"/>
  <c r="BM254" i="1"/>
  <c r="BN46" i="1"/>
  <c r="BM46" i="1"/>
  <c r="BN394" i="1"/>
  <c r="BM394" i="1"/>
  <c r="BN166" i="1"/>
  <c r="BM166" i="1"/>
  <c r="BN207" i="1"/>
  <c r="BM207" i="1"/>
  <c r="BN49" i="1"/>
  <c r="BM49" i="1"/>
  <c r="BN294" i="1"/>
  <c r="BM294" i="1"/>
  <c r="BN395" i="1"/>
  <c r="CG395" i="1" s="1"/>
  <c r="BM395" i="1"/>
  <c r="BN265" i="1"/>
  <c r="BM265" i="1"/>
  <c r="BN346" i="1"/>
  <c r="BM346" i="1"/>
  <c r="BN365" i="1"/>
  <c r="BM365" i="1"/>
  <c r="BN74" i="1"/>
  <c r="BM74" i="1"/>
  <c r="BN59" i="1"/>
  <c r="BM59" i="1"/>
  <c r="BN338" i="1"/>
  <c r="BM338" i="1"/>
  <c r="BN123" i="1"/>
  <c r="BM123" i="1"/>
  <c r="BN169" i="1"/>
  <c r="BO169" i="1" s="1" a="1"/>
  <c r="BO169" i="1" s="1"/>
  <c r="BM169" i="1"/>
  <c r="BN210" i="1"/>
  <c r="BM210" i="1"/>
  <c r="BN258" i="1"/>
  <c r="BM258" i="1"/>
  <c r="BN289" i="1"/>
  <c r="BM289" i="1"/>
  <c r="BN307" i="1"/>
  <c r="BM307" i="1"/>
  <c r="BN108" i="1"/>
  <c r="BM108" i="1"/>
  <c r="BN298" i="1"/>
  <c r="BM298" i="1"/>
  <c r="BN196" i="1"/>
  <c r="BM196" i="1"/>
  <c r="BN35" i="1"/>
  <c r="BO35" i="1" s="1" a="1"/>
  <c r="BO35" i="1" s="1"/>
  <c r="BM35" i="1"/>
  <c r="BN95" i="1"/>
  <c r="BM95" i="1"/>
  <c r="BN127" i="1"/>
  <c r="BM127" i="1"/>
  <c r="BN86" i="1"/>
  <c r="BM86" i="1"/>
  <c r="BN140" i="1"/>
  <c r="BM140" i="1"/>
  <c r="BN159" i="1"/>
  <c r="BM159" i="1"/>
  <c r="BN248" i="1"/>
  <c r="BM248" i="1"/>
  <c r="BN40" i="1"/>
  <c r="BM40" i="1"/>
  <c r="BN376" i="1"/>
  <c r="BT376" i="1" s="1"/>
  <c r="BY376" i="1" s="1"/>
  <c r="BM376" i="1"/>
  <c r="BN313" i="1"/>
  <c r="BM313" i="1"/>
  <c r="BN29" i="1"/>
  <c r="BM29" i="1"/>
  <c r="BN217" i="1"/>
  <c r="BM217" i="1"/>
  <c r="BN81" i="1"/>
  <c r="BM81" i="1"/>
  <c r="BN296" i="1"/>
  <c r="BM296" i="1"/>
  <c r="BN54" i="1"/>
  <c r="BM54" i="1"/>
  <c r="BN143" i="1"/>
  <c r="BM143" i="1"/>
  <c r="BN144" i="1"/>
  <c r="BO144" i="1" s="1" a="1"/>
  <c r="BO144" i="1" s="1"/>
  <c r="BM144" i="1"/>
  <c r="BN170" i="1"/>
  <c r="BM170" i="1"/>
  <c r="BN243" i="1"/>
  <c r="BM243" i="1"/>
  <c r="BN342" i="1"/>
  <c r="BM342" i="1"/>
  <c r="BN261" i="1"/>
  <c r="BM261" i="1"/>
  <c r="BN102" i="1"/>
  <c r="BM102" i="1"/>
  <c r="BN197" i="1"/>
  <c r="BM197" i="1"/>
  <c r="BN45" i="1"/>
  <c r="BM45" i="1"/>
  <c r="BN156" i="1"/>
  <c r="BO156" i="1" s="1" a="1"/>
  <c r="BO156" i="1" s="1"/>
  <c r="BM156" i="1"/>
  <c r="BN101" i="1"/>
  <c r="BM101" i="1"/>
  <c r="BN147" i="1"/>
  <c r="BM147" i="1"/>
  <c r="BN173" i="1"/>
  <c r="BM173" i="1"/>
  <c r="BN214" i="1"/>
  <c r="BM214" i="1"/>
  <c r="BN262" i="1"/>
  <c r="BM262" i="1"/>
  <c r="BN282" i="1"/>
  <c r="BM282" i="1"/>
  <c r="BN402" i="1"/>
  <c r="BM402" i="1"/>
  <c r="BN112" i="1"/>
  <c r="BM112" i="1"/>
  <c r="BN174" i="1"/>
  <c r="BM174" i="1"/>
  <c r="BN215" i="1"/>
  <c r="BM215" i="1"/>
  <c r="BN382" i="1"/>
  <c r="BM382" i="1"/>
  <c r="BN302" i="1"/>
  <c r="BM302" i="1"/>
  <c r="BN403" i="1"/>
  <c r="BM403" i="1"/>
  <c r="BN113" i="1"/>
  <c r="BM113" i="1"/>
  <c r="BN192" i="1"/>
  <c r="BM192" i="1"/>
  <c r="BN366" i="1"/>
  <c r="BO366" i="1" s="1" a="1"/>
  <c r="BO366" i="1" s="1"/>
  <c r="BM366" i="1"/>
  <c r="BN233" i="1"/>
  <c r="BM233" i="1"/>
  <c r="BN168" i="1"/>
  <c r="BM168" i="1"/>
  <c r="BN131" i="1"/>
  <c r="BM131" i="1"/>
  <c r="BN177" i="1"/>
  <c r="BM177" i="1"/>
  <c r="BN377" i="1"/>
  <c r="BM377" i="1"/>
  <c r="BN297" i="1"/>
  <c r="BM297" i="1"/>
  <c r="BN163" i="1"/>
  <c r="BM163" i="1"/>
  <c r="BN204" i="1"/>
  <c r="BO204" i="1" s="1" a="1"/>
  <c r="BO204" i="1" s="1"/>
  <c r="BM204" i="1"/>
  <c r="BN390" i="1"/>
  <c r="BM390" i="1"/>
  <c r="BN251" i="1"/>
  <c r="BM251" i="1"/>
  <c r="BN138" i="1"/>
  <c r="BM138" i="1"/>
  <c r="BN352" i="1"/>
  <c r="BM352" i="1"/>
  <c r="BN293" i="1"/>
  <c r="BM293" i="1"/>
  <c r="BN269" i="1"/>
  <c r="BM269" i="1"/>
  <c r="BN312" i="1"/>
  <c r="BM312" i="1"/>
  <c r="BN121" i="1"/>
  <c r="BO121" i="1" s="1" a="1"/>
  <c r="BO121" i="1" s="1"/>
  <c r="BM121" i="1"/>
  <c r="BN57" i="1"/>
  <c r="BM57" i="1"/>
  <c r="BN256" i="1"/>
  <c r="BM256" i="1"/>
  <c r="BN80" i="1"/>
  <c r="BM80" i="1"/>
  <c r="BN201" i="1"/>
  <c r="BM201" i="1"/>
  <c r="BN67" i="1"/>
  <c r="BM67" i="1"/>
  <c r="BN406" i="1"/>
  <c r="BM406" i="1"/>
  <c r="BN142" i="1"/>
  <c r="BM142" i="1"/>
  <c r="BN314" i="1"/>
  <c r="BO314" i="1" s="1" a="1"/>
  <c r="BO314" i="1" s="1"/>
  <c r="BM314" i="1"/>
  <c r="BN218" i="1"/>
  <c r="BM218" i="1"/>
  <c r="BN264" i="1"/>
  <c r="BM264" i="1"/>
  <c r="BN398" i="1"/>
  <c r="BM398" i="1"/>
  <c r="BN116" i="1"/>
  <c r="BM116" i="1"/>
  <c r="BN332" i="1"/>
  <c r="BM332" i="1"/>
  <c r="BN349" i="1"/>
  <c r="BM349" i="1"/>
  <c r="BN43" i="1"/>
  <c r="BM43" i="1"/>
  <c r="BN125" i="1"/>
  <c r="BO125" i="1" s="1" a="1"/>
  <c r="BO125" i="1" s="1"/>
  <c r="BM125" i="1"/>
  <c r="BN137" i="1"/>
  <c r="BM137" i="1"/>
  <c r="BN266" i="1"/>
  <c r="BM266" i="1"/>
  <c r="BN70" i="1"/>
  <c r="BM70" i="1"/>
  <c r="BN322" i="1"/>
  <c r="BM322" i="1"/>
  <c r="BN213" i="1"/>
  <c r="BM213" i="1"/>
  <c r="BN383" i="1"/>
  <c r="BM383" i="1"/>
  <c r="BN358" i="1"/>
  <c r="BM358" i="1"/>
  <c r="BN318" i="1"/>
  <c r="BO318" i="1" s="1" a="1"/>
  <c r="BO318" i="1" s="1"/>
  <c r="BM318" i="1"/>
  <c r="BN335" i="1"/>
  <c r="BM335" i="1"/>
  <c r="BN268" i="1"/>
  <c r="BM268" i="1"/>
  <c r="BN381" i="1"/>
  <c r="BM381" i="1"/>
  <c r="BN311" i="1"/>
  <c r="BM311" i="1"/>
  <c r="BN120" i="1"/>
  <c r="BM120" i="1"/>
  <c r="BN148" i="1"/>
  <c r="BM148" i="1"/>
  <c r="BN353" i="1"/>
  <c r="BM353" i="1"/>
  <c r="BN223" i="1"/>
  <c r="BO223" i="1" s="1" a="1"/>
  <c r="BO223" i="1" s="1"/>
  <c r="BM223" i="1"/>
  <c r="BN385" i="1"/>
  <c r="BM385" i="1"/>
  <c r="BN259" i="1"/>
  <c r="BM259" i="1"/>
  <c r="BN167" i="1"/>
  <c r="BM167" i="1"/>
  <c r="BN200" i="1"/>
  <c r="BM200" i="1"/>
  <c r="BN276" i="1"/>
  <c r="BM276" i="1"/>
  <c r="BN393" i="1"/>
  <c r="BM393" i="1"/>
  <c r="BN362" i="1"/>
  <c r="BM362" i="1"/>
  <c r="BN331" i="1"/>
  <c r="BT331" i="1" s="1"/>
  <c r="BY331" i="1" s="1"/>
  <c r="BM331" i="1"/>
  <c r="BN178" i="1"/>
  <c r="BM178" i="1"/>
  <c r="BN284" i="1"/>
  <c r="BM284" i="1"/>
  <c r="BN279" i="1"/>
  <c r="BM279" i="1"/>
  <c r="BN124" i="1"/>
  <c r="BM124" i="1"/>
  <c r="BN145" i="1"/>
  <c r="BM145" i="1"/>
  <c r="BN171" i="1"/>
  <c r="BM171" i="1"/>
  <c r="BN212" i="1"/>
  <c r="BM212" i="1"/>
  <c r="BN172" i="1"/>
  <c r="BO172" i="1" s="1" a="1"/>
  <c r="BO172" i="1" s="1"/>
  <c r="BM172" i="1"/>
  <c r="BN19" i="1"/>
  <c r="BM19" i="1"/>
  <c r="BN327" i="1"/>
  <c r="BM327" i="1"/>
  <c r="BN222" i="1"/>
  <c r="BM222" i="1"/>
  <c r="BN301" i="1"/>
  <c r="BM301" i="1"/>
  <c r="BN53" i="1"/>
  <c r="BM53" i="1"/>
  <c r="BN88" i="1"/>
  <c r="BM88" i="1"/>
  <c r="BN288" i="1"/>
  <c r="BM288" i="1"/>
  <c r="BN98" i="1"/>
  <c r="BO98" i="1" s="1" a="1"/>
  <c r="BO98" i="1" s="1"/>
  <c r="BM98" i="1"/>
  <c r="BN227" i="1"/>
  <c r="BM227" i="1"/>
  <c r="BN31" i="1"/>
  <c r="BM31" i="1"/>
  <c r="BN371" i="1"/>
  <c r="BM371" i="1"/>
  <c r="BN92" i="1"/>
  <c r="BM92" i="1"/>
  <c r="BN179" i="1"/>
  <c r="BM179" i="1"/>
  <c r="BN285" i="1"/>
  <c r="BM285" i="1"/>
  <c r="BN373" i="1"/>
  <c r="BM373" i="1"/>
  <c r="BN90" i="1"/>
  <c r="BO90" i="1" s="1" a="1"/>
  <c r="BO90" i="1" s="1"/>
  <c r="BM90" i="1"/>
  <c r="BN110" i="1"/>
  <c r="BM110" i="1"/>
  <c r="BN334" i="1"/>
  <c r="BM334" i="1"/>
  <c r="BN237" i="1"/>
  <c r="BM237" i="1"/>
  <c r="BN221" i="1"/>
  <c r="BM221" i="1"/>
  <c r="BN22" i="1"/>
  <c r="BM22" i="1"/>
  <c r="BN411" i="1"/>
  <c r="BM411" i="1"/>
  <c r="BN182" i="1"/>
  <c r="BM182" i="1"/>
  <c r="BN183" i="1"/>
  <c r="CG183" i="1" s="1"/>
  <c r="BM183" i="1"/>
  <c r="BN231" i="1"/>
  <c r="BM231" i="1"/>
  <c r="BN273" i="1"/>
  <c r="BM273" i="1"/>
  <c r="BN65" i="1"/>
  <c r="BM65" i="1"/>
  <c r="BN141" i="1"/>
  <c r="BM141" i="1"/>
  <c r="BN208" i="1"/>
  <c r="BM208" i="1"/>
  <c r="BN295" i="1"/>
  <c r="BM295" i="1"/>
  <c r="BN225" i="1"/>
  <c r="BM225" i="1"/>
  <c r="BN149" i="1"/>
  <c r="BO149" i="1" s="1" a="1"/>
  <c r="BO149" i="1" s="1"/>
  <c r="BM149" i="1"/>
  <c r="BN263" i="1"/>
  <c r="BM263" i="1"/>
  <c r="BN211" i="1"/>
  <c r="BM211" i="1"/>
  <c r="BN209" i="1"/>
  <c r="BM209" i="1"/>
  <c r="BN407" i="1"/>
  <c r="BM407" i="1"/>
  <c r="BN339" i="1"/>
  <c r="BM339" i="1"/>
  <c r="BN355" i="1"/>
  <c r="BM355" i="1"/>
  <c r="BN226" i="1"/>
  <c r="BM226" i="1"/>
  <c r="BN132" i="1"/>
  <c r="BM132" i="1"/>
  <c r="BN316" i="1"/>
  <c r="BM316" i="1"/>
  <c r="BN350" i="1"/>
  <c r="BM350" i="1"/>
  <c r="BN220" i="1"/>
  <c r="BM220" i="1"/>
  <c r="BN52" i="1"/>
  <c r="BM52" i="1"/>
  <c r="BN181" i="1"/>
  <c r="BM181" i="1"/>
  <c r="BN281" i="1"/>
  <c r="BM281" i="1"/>
  <c r="BN118" i="1"/>
  <c r="BM118" i="1"/>
  <c r="BN71" i="1"/>
  <c r="BO71" i="1" s="1" a="1"/>
  <c r="BO71" i="1" s="1"/>
  <c r="BM71" i="1"/>
  <c r="BN272" i="1"/>
  <c r="BM272" i="1"/>
  <c r="BN384" i="1"/>
  <c r="BM384" i="1"/>
  <c r="BN319" i="1"/>
  <c r="BM319" i="1"/>
  <c r="BN128" i="1"/>
  <c r="BM128" i="1"/>
  <c r="BN336" i="1"/>
  <c r="BM336" i="1"/>
  <c r="BN405" i="1"/>
  <c r="BM405" i="1"/>
  <c r="BN129" i="1"/>
  <c r="BM129" i="1"/>
  <c r="BN175" i="1"/>
  <c r="BO175" i="1" s="1" a="1"/>
  <c r="BO175" i="1" s="1"/>
  <c r="BM175" i="1"/>
  <c r="BN375" i="1"/>
  <c r="BM375" i="1"/>
  <c r="BN106" i="1"/>
  <c r="BM106" i="1"/>
  <c r="BN89" i="1"/>
  <c r="BM89" i="1"/>
  <c r="BN150" i="1"/>
  <c r="BM150" i="1"/>
  <c r="BN56" i="1"/>
  <c r="BM56" i="1"/>
  <c r="BN388" i="1"/>
  <c r="BM388" i="1"/>
  <c r="BN308" i="1"/>
  <c r="BM308" i="1"/>
  <c r="BN315" i="1"/>
  <c r="BO315" i="1" s="1" a="1"/>
  <c r="BO315" i="1" s="1"/>
  <c r="BM315" i="1"/>
  <c r="BN340" i="1"/>
  <c r="BM340" i="1"/>
  <c r="BN356" i="1"/>
  <c r="BM356" i="1"/>
  <c r="BN17" i="1"/>
  <c r="BM17" i="1"/>
  <c r="BN309" i="1"/>
  <c r="BM309" i="1"/>
  <c r="BN153" i="1"/>
  <c r="BM153" i="1"/>
  <c r="BN103" i="1"/>
  <c r="BM103" i="1"/>
  <c r="BN23" i="1"/>
  <c r="BM23" i="1"/>
  <c r="BN343" i="1"/>
  <c r="BO343" i="1" s="1" a="1"/>
  <c r="BO343" i="1" s="1"/>
  <c r="BM343" i="1"/>
  <c r="BN359" i="1"/>
  <c r="BM359" i="1"/>
  <c r="BN230" i="1"/>
  <c r="BM230" i="1"/>
  <c r="BN15" i="1"/>
  <c r="BM15" i="1"/>
  <c r="BN360" i="1"/>
  <c r="BM360" i="1"/>
  <c r="BN239" i="1"/>
  <c r="BM239" i="1"/>
  <c r="BN26" i="1"/>
  <c r="BM26" i="1"/>
  <c r="BN399" i="1"/>
  <c r="BM399" i="1"/>
  <c r="BN329" i="1"/>
  <c r="BO329" i="1" s="1" a="1"/>
  <c r="BO329" i="1" s="1"/>
  <c r="BM329" i="1"/>
  <c r="BN216" i="1"/>
  <c r="BM216" i="1"/>
  <c r="BN270" i="1"/>
  <c r="BM270" i="1"/>
  <c r="BN392" i="1"/>
  <c r="BM392" i="1"/>
  <c r="BN257" i="1"/>
  <c r="BM257" i="1"/>
  <c r="BN93" i="1"/>
  <c r="BM93" i="1"/>
  <c r="BN99" i="1"/>
  <c r="BM99" i="1"/>
  <c r="BN186" i="1"/>
  <c r="BM186" i="1"/>
  <c r="BN234" i="1"/>
  <c r="BO234" i="1" s="1" a="1"/>
  <c r="BO234" i="1" s="1"/>
  <c r="BM234" i="1"/>
  <c r="BN69" i="1"/>
  <c r="BM69" i="1"/>
  <c r="BN333" i="1"/>
  <c r="BM333" i="1"/>
  <c r="BN180" i="1"/>
  <c r="BM180" i="1"/>
  <c r="BN228" i="1"/>
  <c r="BM228" i="1"/>
  <c r="BN84" i="1"/>
  <c r="BM84" i="1"/>
  <c r="BN126" i="1"/>
  <c r="BM126" i="1"/>
  <c r="BN253" i="1"/>
  <c r="BM253" i="1"/>
  <c r="BN267" i="1"/>
  <c r="BO267" i="1" s="1" a="1"/>
  <c r="BO267" i="1" s="1"/>
  <c r="BM267" i="1"/>
  <c r="BN91" i="1"/>
  <c r="BM91" i="1"/>
  <c r="BN64" i="1"/>
  <c r="BM64" i="1"/>
  <c r="BN96" i="1"/>
  <c r="BM96" i="1"/>
  <c r="BN328" i="1"/>
  <c r="BM328" i="1"/>
  <c r="BN73" i="1"/>
  <c r="BM73" i="1"/>
  <c r="BN16" i="1"/>
  <c r="BM16" i="1"/>
  <c r="BN97" i="1"/>
  <c r="BM97" i="1"/>
  <c r="BN27" i="1"/>
  <c r="BO27" i="1" s="1" a="1"/>
  <c r="BO27" i="1" s="1"/>
  <c r="BM27" i="1"/>
  <c r="BN51" i="1"/>
  <c r="BM51" i="1"/>
  <c r="BN412" i="1"/>
  <c r="BM412" i="1"/>
  <c r="BN347" i="1"/>
  <c r="BM347" i="1"/>
  <c r="BN48" i="1"/>
  <c r="BM48" i="1"/>
  <c r="BN249" i="1"/>
  <c r="BM249" i="1"/>
  <c r="BN32" i="1"/>
  <c r="BM32" i="1"/>
  <c r="BN68" i="1"/>
  <c r="BM68" i="1"/>
  <c r="BN409" i="1"/>
  <c r="CG409" i="1" s="1"/>
  <c r="BM409" i="1"/>
  <c r="BN187" i="1"/>
  <c r="BM187" i="1"/>
  <c r="BN44" i="1"/>
  <c r="BM44" i="1"/>
  <c r="BN60" i="1"/>
  <c r="BM60" i="1"/>
  <c r="BN63" i="1"/>
  <c r="BM63" i="1"/>
  <c r="BN400" i="1"/>
  <c r="BM400" i="1"/>
  <c r="BN292" i="1"/>
  <c r="BM292" i="1"/>
  <c r="BN323" i="1"/>
  <c r="BM323" i="1"/>
  <c r="BN154" i="1"/>
  <c r="CG154" i="1" s="1"/>
  <c r="BM154" i="1"/>
  <c r="BN363" i="1"/>
  <c r="BM363" i="1"/>
  <c r="BN238" i="1"/>
  <c r="BM238" i="1"/>
  <c r="BN133" i="1"/>
  <c r="BM133" i="1"/>
  <c r="BN344" i="1"/>
  <c r="BM344" i="1"/>
  <c r="BN364" i="1"/>
  <c r="BM364" i="1"/>
  <c r="BN337" i="1"/>
  <c r="BM337" i="1"/>
  <c r="BN354" i="1"/>
  <c r="BM354" i="1"/>
  <c r="BN224" i="1"/>
  <c r="BT224" i="1" s="1"/>
  <c r="BY224" i="1" s="1"/>
  <c r="BM224" i="1"/>
  <c r="BN114" i="1"/>
  <c r="BM114" i="1"/>
  <c r="BN117" i="1"/>
  <c r="BM117" i="1"/>
  <c r="BN107" i="1"/>
  <c r="BM107" i="1"/>
  <c r="BN235" i="1"/>
  <c r="BM235" i="1"/>
  <c r="BN367" i="1"/>
  <c r="BM367" i="1"/>
  <c r="BN242" i="1"/>
  <c r="BM242" i="1"/>
  <c r="BN408" i="1"/>
  <c r="BM408" i="1"/>
  <c r="BN14" i="1"/>
  <c r="BO14" i="1" s="1" a="1"/>
  <c r="BO14" i="1" s="1"/>
  <c r="BM14" i="1"/>
  <c r="BN151" i="1"/>
  <c r="BM151" i="1"/>
  <c r="BN391" i="1"/>
  <c r="BM391" i="1"/>
  <c r="BN341" i="1"/>
  <c r="BM341" i="1"/>
  <c r="BN357" i="1"/>
  <c r="BM357" i="1"/>
  <c r="BN236" i="1"/>
  <c r="BM236" i="1"/>
  <c r="BN291" i="1"/>
  <c r="BM291" i="1"/>
  <c r="BN37" i="1"/>
  <c r="BM37" i="1"/>
  <c r="BN157" i="1"/>
  <c r="BM157" i="1"/>
  <c r="BN24" i="1"/>
  <c r="BM24" i="1"/>
  <c r="BN104" i="1"/>
  <c r="BM104" i="1"/>
  <c r="BN247" i="1"/>
  <c r="BM247" i="1"/>
  <c r="BN39" i="1"/>
  <c r="BM39" i="1"/>
  <c r="BN274" i="1"/>
  <c r="BM274" i="1"/>
  <c r="BN271" i="1"/>
  <c r="BM271" i="1"/>
  <c r="BN305" i="1"/>
  <c r="BM305" i="1"/>
  <c r="BN176" i="1"/>
  <c r="BO176" i="1" s="1" a="1"/>
  <c r="BO176" i="1" s="1"/>
  <c r="BM176" i="1"/>
  <c r="BN30" i="1"/>
  <c r="BM30" i="1"/>
  <c r="BN348" i="1"/>
  <c r="BM348" i="1"/>
  <c r="BN76" i="1"/>
  <c r="BM76" i="1"/>
  <c r="BN109" i="1"/>
  <c r="BM109" i="1"/>
  <c r="BN100" i="1"/>
  <c r="BM100" i="1"/>
  <c r="BN368" i="1"/>
  <c r="BM368" i="1"/>
  <c r="BN188" i="1"/>
  <c r="BM188" i="1"/>
  <c r="BN280" i="1"/>
  <c r="BT280" i="1" s="1"/>
  <c r="BY280" i="1" s="1"/>
  <c r="BM280" i="1"/>
  <c r="BN205" i="1"/>
  <c r="BM205" i="1"/>
  <c r="BN94" i="1"/>
  <c r="BM94" i="1"/>
  <c r="BN326" i="1"/>
  <c r="BM326" i="1"/>
  <c r="BN164" i="1"/>
  <c r="BM164" i="1"/>
  <c r="BN61" i="1"/>
  <c r="BM61" i="1"/>
  <c r="BN378" i="1"/>
  <c r="BM378" i="1"/>
  <c r="BN380" i="1"/>
  <c r="BM380" i="1"/>
  <c r="BN310" i="1"/>
  <c r="BO310" i="1" s="1" a="1"/>
  <c r="BO310" i="1" s="1"/>
  <c r="BM310" i="1"/>
  <c r="BN111" i="1"/>
  <c r="BM111" i="1"/>
  <c r="BN190" i="1"/>
  <c r="BM190" i="1"/>
  <c r="BN72" i="1"/>
  <c r="BM72" i="1"/>
  <c r="BN25" i="1"/>
  <c r="BM25" i="1"/>
  <c r="BN345" i="1"/>
  <c r="BM345" i="1"/>
  <c r="BN191" i="1"/>
  <c r="BM191" i="1"/>
  <c r="BN79" i="1"/>
  <c r="BM79" i="1"/>
  <c r="BN21" i="1"/>
  <c r="BT21" i="1" s="1"/>
  <c r="BY21" i="1" s="1"/>
  <c r="BM21" i="1"/>
  <c r="BN105" i="1"/>
  <c r="BM105" i="1"/>
  <c r="BN241" i="1"/>
  <c r="BM241" i="1"/>
  <c r="BN50" i="1"/>
  <c r="BM50" i="1"/>
  <c r="BN184" i="1"/>
  <c r="BM184" i="1"/>
  <c r="BN232" i="1"/>
  <c r="BM232" i="1"/>
  <c r="BN386" i="1"/>
  <c r="BM386" i="1"/>
  <c r="BN330" i="1"/>
  <c r="BM330" i="1"/>
  <c r="BN122" i="1"/>
  <c r="BO122" i="1" s="1" a="1"/>
  <c r="BO122" i="1" s="1"/>
  <c r="BM122" i="1"/>
  <c r="BN277" i="1"/>
  <c r="BM277" i="1"/>
  <c r="BN34" i="1"/>
  <c r="BM34" i="1"/>
  <c r="BN58" i="1"/>
  <c r="BM58" i="1"/>
  <c r="BN321" i="1"/>
  <c r="BM321" i="1"/>
  <c r="BN194" i="1"/>
  <c r="BM194" i="1"/>
  <c r="BN42" i="1"/>
  <c r="BM42" i="1"/>
  <c r="BN33" i="1"/>
  <c r="BM33" i="1"/>
  <c r="BN83" i="1"/>
  <c r="BO83" i="1" s="1" a="1"/>
  <c r="BO83" i="1" s="1"/>
  <c r="BM83" i="1"/>
  <c r="BN244" i="1"/>
  <c r="BM244" i="1"/>
  <c r="BN299" i="1"/>
  <c r="BM299" i="1"/>
  <c r="BN229" i="1"/>
  <c r="BM229" i="1"/>
  <c r="BN77" i="1"/>
  <c r="BM77" i="1"/>
  <c r="BN38" i="1"/>
  <c r="BM38" i="1"/>
  <c r="BN303" i="1"/>
  <c r="BM303" i="1"/>
  <c r="BN255" i="1"/>
  <c r="BM255" i="1"/>
  <c r="BN304" i="1"/>
  <c r="BO304" i="1" s="1" a="1"/>
  <c r="BO304" i="1" s="1"/>
  <c r="BM304" i="1"/>
  <c r="BN28" i="1"/>
  <c r="BM28" i="1"/>
  <c r="BN396" i="1"/>
  <c r="BM396" i="1"/>
  <c r="BN185" i="1"/>
  <c r="BM185" i="1"/>
  <c r="BN306" i="1"/>
  <c r="BM306" i="1"/>
  <c r="BN161" i="1"/>
  <c r="BM161" i="1"/>
  <c r="BN250" i="1"/>
  <c r="BM250" i="1"/>
  <c r="BN82" i="1"/>
  <c r="BM82" i="1"/>
  <c r="BN62" i="1"/>
  <c r="BO62" i="1" s="1" a="1"/>
  <c r="BO62" i="1" s="1"/>
  <c r="BM62" i="1"/>
  <c r="BN195" i="1"/>
  <c r="BM195" i="1"/>
  <c r="BN152" i="1"/>
  <c r="BM152" i="1"/>
  <c r="BN379" i="1"/>
  <c r="BM379" i="1"/>
  <c r="BN317" i="1"/>
  <c r="BM317" i="1"/>
  <c r="BN351" i="1"/>
  <c r="BM351" i="1"/>
  <c r="BN85" i="1"/>
  <c r="BM85" i="1"/>
  <c r="BN219" i="1"/>
  <c r="BM219" i="1"/>
  <c r="BN198" i="1"/>
  <c r="BO198" i="1" s="1" a="1"/>
  <c r="BO198" i="1" s="1"/>
  <c r="BM198" i="1"/>
  <c r="BN246" i="1"/>
  <c r="BM246" i="1"/>
  <c r="BN158" i="1"/>
  <c r="BM158" i="1"/>
  <c r="BN199" i="1"/>
  <c r="BM199" i="1"/>
  <c r="BN47" i="1"/>
  <c r="BM47" i="1"/>
  <c r="BN87" i="1"/>
  <c r="BM87" i="1"/>
  <c r="BN75" i="1"/>
  <c r="BM75" i="1"/>
  <c r="BN361" i="1"/>
  <c r="BM361" i="1"/>
  <c r="BN240" i="1"/>
  <c r="BO240" i="1" s="1" a="1"/>
  <c r="BO240" i="1" s="1"/>
  <c r="BM240" i="1"/>
  <c r="BN66" i="1"/>
  <c r="BM66" i="1"/>
  <c r="BN160" i="1"/>
  <c r="BM160" i="1"/>
  <c r="BN41" i="1"/>
  <c r="BM41" i="1"/>
  <c r="BN134" i="1"/>
  <c r="BM134" i="1"/>
  <c r="BN283" i="1"/>
  <c r="BM283" i="1"/>
  <c r="BN115" i="1"/>
  <c r="BM115" i="1"/>
  <c r="BN202" i="1"/>
  <c r="BM202" i="1"/>
  <c r="BN55" i="1"/>
  <c r="BM55" i="1"/>
  <c r="BN320" i="1"/>
  <c r="BM320" i="1"/>
  <c r="BN162" i="1"/>
  <c r="BM162" i="1"/>
  <c r="BN369" i="1"/>
  <c r="BM369" i="1"/>
  <c r="BN252" i="1"/>
  <c r="BM252" i="1"/>
  <c r="BN245" i="1"/>
  <c r="BM245" i="1"/>
  <c r="BN36" i="1"/>
  <c r="BM36" i="1"/>
  <c r="BN146" i="1"/>
  <c r="BM146" i="1"/>
  <c r="BN401" i="1"/>
  <c r="BT401" i="1" s="1"/>
  <c r="BY401" i="1" s="1"/>
  <c r="BM401" i="1"/>
  <c r="BN119" i="1"/>
  <c r="BM119" i="1"/>
  <c r="BN139" i="1"/>
  <c r="BM139" i="1"/>
  <c r="BN165" i="1"/>
  <c r="BM165" i="1"/>
  <c r="BN78" i="1"/>
  <c r="BM78" i="1"/>
  <c r="BN324" i="1"/>
  <c r="BM324" i="1"/>
  <c r="BN372" i="1"/>
  <c r="BM372" i="1"/>
  <c r="BN374" i="1"/>
  <c r="BM374" i="1"/>
  <c r="BN325" i="1"/>
  <c r="BO325" i="1" s="1" a="1"/>
  <c r="BO325" i="1" s="1"/>
  <c r="BM325" i="1"/>
  <c r="BN404" i="1"/>
  <c r="BM404" i="1"/>
  <c r="BN130" i="1"/>
  <c r="BM130" i="1"/>
  <c r="BN193" i="1"/>
  <c r="BM193" i="1"/>
  <c r="BN387" i="1"/>
  <c r="BM387" i="1"/>
  <c r="BN397" i="1"/>
  <c r="BM397" i="1"/>
  <c r="BN135" i="1"/>
  <c r="BM135" i="1"/>
  <c r="BN278" i="1"/>
  <c r="BM278" i="1"/>
  <c r="BN136" i="1"/>
  <c r="BO136" i="1" s="1" a="1"/>
  <c r="BO136" i="1" s="1"/>
  <c r="BM136" i="1"/>
  <c r="BN203" i="1"/>
  <c r="BM203" i="1"/>
  <c r="BN290" i="1"/>
  <c r="BM290" i="1"/>
  <c r="DU399" i="1"/>
  <c r="DV399" i="1" s="1"/>
  <c r="EJ364" i="1"/>
  <c r="EP364" i="1" s="1"/>
  <c r="EJ69" i="1"/>
  <c r="EP69" i="1" s="1"/>
  <c r="CV241" i="1"/>
  <c r="EJ241" i="1"/>
  <c r="EP241" i="1" s="1"/>
  <c r="ED367" i="1"/>
  <c r="DR241" i="1"/>
  <c r="DS241" i="1" s="1"/>
  <c r="EA241" i="1" s="1"/>
  <c r="DA241" i="1" s="1"/>
  <c r="EE69" i="1"/>
  <c r="EE406" i="1"/>
  <c r="EF402" i="1"/>
  <c r="DR361" i="1"/>
  <c r="DS361" i="1" s="1"/>
  <c r="EA361" i="1" s="1"/>
  <c r="DA361" i="1" s="1"/>
  <c r="ED364" i="1"/>
  <c r="EE384" i="1"/>
  <c r="ED392" i="1"/>
  <c r="ED69" i="1"/>
  <c r="EH387" i="1"/>
  <c r="ED399" i="1"/>
  <c r="DU387" i="1"/>
  <c r="DV387" i="1" s="1"/>
  <c r="EE364" i="1"/>
  <c r="DU402" i="1"/>
  <c r="DV402" i="1" s="1"/>
  <c r="EE392" i="1"/>
  <c r="ED387" i="1"/>
  <c r="DR364" i="1"/>
  <c r="DS364" i="1" s="1"/>
  <c r="EA364" i="1" s="1"/>
  <c r="DA364" i="1" s="1"/>
  <c r="EE399" i="1"/>
  <c r="EF392" i="1"/>
  <c r="CV392" i="1"/>
  <c r="AN370" i="1"/>
  <c r="BD370" i="1" s="1"/>
  <c r="EB370" i="1" s="1" a="1"/>
  <c r="EB370" i="1" s="1"/>
  <c r="EL370" i="1" s="1"/>
  <c r="EH392" i="1"/>
  <c r="EV404" i="1"/>
  <c r="DU355" i="1"/>
  <c r="DV355" i="1" s="1"/>
  <c r="ED154" i="1"/>
  <c r="EH355" i="1"/>
  <c r="EX360" i="1"/>
  <c r="CV385" i="1"/>
  <c r="EF154" i="1"/>
  <c r="EV395" i="1"/>
  <c r="DR385" i="1"/>
  <c r="DS385" i="1" s="1"/>
  <c r="EA385" i="1" s="1"/>
  <c r="DA385" i="1" s="1"/>
  <c r="EF385" i="1"/>
  <c r="CV154" i="1"/>
  <c r="EF356" i="1"/>
  <c r="ED355" i="1"/>
  <c r="EH154" i="1"/>
  <c r="DU154" i="1"/>
  <c r="DV154" i="1" s="1"/>
  <c r="ED385" i="1"/>
  <c r="DU385" i="1"/>
  <c r="DV385" i="1" s="1"/>
  <c r="EJ154" i="1"/>
  <c r="EP154" i="1" s="1"/>
  <c r="EE154" i="1"/>
  <c r="EE351" i="1"/>
  <c r="CX370" i="1"/>
  <c r="DY370" i="1"/>
  <c r="BP370" i="1" s="1" a="1"/>
  <c r="BP370" i="1" s="1"/>
  <c r="BR370" i="1" s="1"/>
  <c r="CR370" i="1" s="1"/>
  <c r="EO370" i="1"/>
  <c r="EX406" i="1"/>
  <c r="EV406" i="1"/>
  <c r="EX357" i="1"/>
  <c r="EX370" i="1"/>
  <c r="EV411" i="1"/>
  <c r="EV56" i="1"/>
  <c r="EX369" i="1"/>
  <c r="EX410" i="1"/>
  <c r="EX308" i="1"/>
  <c r="EX47" i="1"/>
  <c r="DX69" i="1"/>
  <c r="CX69" i="1" s="1"/>
  <c r="EN69" i="1" s="1"/>
  <c r="DX387" i="1"/>
  <c r="DU367" i="1"/>
  <c r="DV367" i="1" s="1"/>
  <c r="DX367" i="1"/>
  <c r="CV70" i="1"/>
  <c r="DX406" i="1"/>
  <c r="CX406" i="1" s="1"/>
  <c r="EN406" i="1" s="1"/>
  <c r="CV402" i="1"/>
  <c r="DX402" i="1"/>
  <c r="CX402" i="1" s="1"/>
  <c r="EN402" i="1" s="1"/>
  <c r="DX364" i="1"/>
  <c r="CX364" i="1" s="1"/>
  <c r="EN364" i="1" s="1"/>
  <c r="DX399" i="1"/>
  <c r="DY399" i="1" s="1"/>
  <c r="BP399" i="1" s="1" a="1"/>
  <c r="BP399" i="1" s="1"/>
  <c r="DX384" i="1"/>
  <c r="DY384" i="1" s="1"/>
  <c r="BP384" i="1" s="1" a="1"/>
  <c r="BP384" i="1" s="1"/>
  <c r="DX392" i="1"/>
  <c r="DY392" i="1" s="1"/>
  <c r="BP392" i="1" s="1" a="1"/>
  <c r="BP392" i="1" s="1"/>
  <c r="CV359" i="1"/>
  <c r="CV56" i="1"/>
  <c r="EE411" i="1"/>
  <c r="ED346" i="1"/>
  <c r="DR365" i="1"/>
  <c r="DS365" i="1" s="1"/>
  <c r="EA365" i="1" s="1"/>
  <c r="DA365" i="1" s="1"/>
  <c r="DX365" i="1"/>
  <c r="EO365" i="1" s="1"/>
  <c r="EH106" i="1"/>
  <c r="DX106" i="1"/>
  <c r="CX106" i="1" s="1"/>
  <c r="EN106" i="1" s="1"/>
  <c r="DX220" i="1"/>
  <c r="CX220" i="1" s="1"/>
  <c r="EN220" i="1" s="1"/>
  <c r="ED178" i="1"/>
  <c r="DX178" i="1"/>
  <c r="EO178" i="1" s="1"/>
  <c r="DX393" i="1"/>
  <c r="CX393" i="1" s="1"/>
  <c r="EN393" i="1" s="1"/>
  <c r="EE369" i="1"/>
  <c r="ED369" i="1"/>
  <c r="DX405" i="1"/>
  <c r="CV156" i="1"/>
  <c r="DX156" i="1"/>
  <c r="CX156" i="1" s="1"/>
  <c r="EN156" i="1" s="1"/>
  <c r="DU224" i="1"/>
  <c r="DV224" i="1" s="1"/>
  <c r="EE225" i="1"/>
  <c r="DX225" i="1"/>
  <c r="EJ354" i="1"/>
  <c r="EP354" i="1" s="1"/>
  <c r="EF378" i="1"/>
  <c r="DR412" i="1"/>
  <c r="DS412" i="1" s="1"/>
  <c r="EA412" i="1" s="1"/>
  <c r="DA412" i="1" s="1"/>
  <c r="DX412" i="1"/>
  <c r="CX412" i="1" s="1"/>
  <c r="EN412" i="1" s="1"/>
  <c r="CV42" i="1"/>
  <c r="EX34" i="1"/>
  <c r="CV44" i="1"/>
  <c r="CV350" i="1"/>
  <c r="EH369" i="1"/>
  <c r="CV219" i="1"/>
  <c r="DX374" i="1"/>
  <c r="DY374" i="1" s="1"/>
  <c r="BP374" i="1" s="1" a="1"/>
  <c r="BP374" i="1" s="1"/>
  <c r="DX261" i="1"/>
  <c r="DY261" i="1" s="1"/>
  <c r="BP261" i="1" s="1" a="1"/>
  <c r="BP261" i="1" s="1"/>
  <c r="DX243" i="1"/>
  <c r="EO243" i="1" s="1"/>
  <c r="EH394" i="1"/>
  <c r="DX394" i="1"/>
  <c r="CX394" i="1" s="1"/>
  <c r="EQ394" i="1" s="1"/>
  <c r="DX408" i="1"/>
  <c r="CX408" i="1" s="1"/>
  <c r="DX401" i="1"/>
  <c r="CX401" i="1" s="1"/>
  <c r="EN401" i="1" s="1"/>
  <c r="DX280" i="1"/>
  <c r="CX280" i="1" s="1"/>
  <c r="EN280" i="1" s="1"/>
  <c r="DX357" i="1"/>
  <c r="CX357" i="1" s="1"/>
  <c r="EN357" i="1" s="1"/>
  <c r="EX224" i="1"/>
  <c r="EF359" i="1"/>
  <c r="DX396" i="1"/>
  <c r="DY396" i="1" s="1"/>
  <c r="BP396" i="1" s="1" a="1"/>
  <c r="BP396" i="1" s="1"/>
  <c r="DU128" i="1"/>
  <c r="DV128" i="1" s="1"/>
  <c r="DX128" i="1"/>
  <c r="CX128" i="1" s="1"/>
  <c r="EN128" i="1" s="1"/>
  <c r="DX407" i="1"/>
  <c r="CX407" i="1" s="1"/>
  <c r="EN407" i="1" s="1"/>
  <c r="EJ252" i="1"/>
  <c r="EP252" i="1" s="1"/>
  <c r="DX252" i="1"/>
  <c r="CX252" i="1" s="1"/>
  <c r="EN252" i="1" s="1"/>
  <c r="EE345" i="1"/>
  <c r="DX345" i="1"/>
  <c r="CX345" i="1" s="1"/>
  <c r="EN345" i="1" s="1"/>
  <c r="CV282" i="1"/>
  <c r="ED348" i="1"/>
  <c r="DX348" i="1"/>
  <c r="EE352" i="1"/>
  <c r="DX352" i="1"/>
  <c r="CV376" i="1"/>
  <c r="AM262" i="1"/>
  <c r="DX262" i="1"/>
  <c r="CX262" i="1" s="1"/>
  <c r="EN262" i="1" s="1"/>
  <c r="EJ173" i="1"/>
  <c r="EP173" i="1" s="1"/>
  <c r="DX173" i="1"/>
  <c r="DX380" i="1"/>
  <c r="EV371" i="1"/>
  <c r="DR369" i="1"/>
  <c r="DS369" i="1" s="1"/>
  <c r="EA369" i="1" s="1"/>
  <c r="DA369" i="1" s="1"/>
  <c r="ED330" i="1"/>
  <c r="DU381" i="1"/>
  <c r="DV381" i="1" s="1"/>
  <c r="EE331" i="1"/>
  <c r="DX331" i="1"/>
  <c r="ED395" i="1"/>
  <c r="DX347" i="1"/>
  <c r="EH404" i="1"/>
  <c r="DX360" i="1"/>
  <c r="DX183" i="1"/>
  <c r="CX183" i="1" s="1"/>
  <c r="EN183" i="1" s="1"/>
  <c r="CV307" i="1"/>
  <c r="EV412" i="1"/>
  <c r="EV368" i="1"/>
  <c r="DU351" i="1"/>
  <c r="DV351" i="1" s="1"/>
  <c r="CV250" i="1"/>
  <c r="ED353" i="1"/>
  <c r="DX353" i="1"/>
  <c r="CX353" i="1" s="1"/>
  <c r="EF251" i="1"/>
  <c r="DX251" i="1"/>
  <c r="DU377" i="1"/>
  <c r="DV377" i="1" s="1"/>
  <c r="DU356" i="1"/>
  <c r="DV356" i="1" s="1"/>
  <c r="AM154" i="1"/>
  <c r="DX154" i="1"/>
  <c r="EJ355" i="1"/>
  <c r="EP355" i="1" s="1"/>
  <c r="DX355" i="1"/>
  <c r="DY355" i="1" s="1"/>
  <c r="BP355" i="1" s="1" a="1"/>
  <c r="BP355" i="1" s="1"/>
  <c r="EF397" i="1"/>
  <c r="DX397" i="1"/>
  <c r="EH375" i="1"/>
  <c r="DX375" i="1"/>
  <c r="EE398" i="1"/>
  <c r="DX398" i="1"/>
  <c r="DX362" i="1"/>
  <c r="CX362" i="1" s="1"/>
  <c r="CZ362" i="1" s="1"/>
  <c r="EF372" i="1"/>
  <c r="ED410" i="1"/>
  <c r="DX309" i="1"/>
  <c r="EO309" i="1" s="1"/>
  <c r="CV203" i="1"/>
  <c r="DX409" i="1"/>
  <c r="DY409" i="1" s="1"/>
  <c r="BP409" i="1" s="1" a="1"/>
  <c r="BP409" i="1" s="1"/>
  <c r="DX383" i="1"/>
  <c r="CX383" i="1" s="1"/>
  <c r="EN383" i="1" s="1"/>
  <c r="AM359" i="1"/>
  <c r="DX359" i="1"/>
  <c r="CX359" i="1" s="1"/>
  <c r="EN359" i="1" s="1"/>
  <c r="EJ359" i="1"/>
  <c r="EP359" i="1" s="1"/>
  <c r="EJ382" i="1"/>
  <c r="EP382" i="1" s="1"/>
  <c r="DX382" i="1"/>
  <c r="CX382" i="1" s="1"/>
  <c r="EN382" i="1" s="1"/>
  <c r="DX363" i="1"/>
  <c r="DX369" i="1"/>
  <c r="EO369" i="1" s="1"/>
  <c r="CV107" i="1"/>
  <c r="AM47" i="1"/>
  <c r="DX47" i="1"/>
  <c r="DY47" i="1" s="1"/>
  <c r="BP47" i="1" s="1" a="1"/>
  <c r="BP47" i="1" s="1"/>
  <c r="EJ361" i="1"/>
  <c r="EP361" i="1" s="1"/>
  <c r="DX361" i="1"/>
  <c r="DR388" i="1"/>
  <c r="DS388" i="1" s="1"/>
  <c r="EA388" i="1" s="1"/>
  <c r="DA388" i="1" s="1"/>
  <c r="DX388" i="1"/>
  <c r="DX308" i="1"/>
  <c r="EO308" i="1" s="1"/>
  <c r="DR101" i="1"/>
  <c r="DS101" i="1" s="1"/>
  <c r="EA101" i="1" s="1"/>
  <c r="DA101" i="1" s="1"/>
  <c r="DX101" i="1"/>
  <c r="CV218" i="1"/>
  <c r="DX338" i="1"/>
  <c r="EJ339" i="1"/>
  <c r="EP339" i="1" s="1"/>
  <c r="DX339" i="1"/>
  <c r="CX339" i="1" s="1"/>
  <c r="AM379" i="1"/>
  <c r="DX379" i="1"/>
  <c r="CX379" i="1" s="1"/>
  <c r="EN379" i="1" s="1"/>
  <c r="DU369" i="1"/>
  <c r="DV369" i="1" s="1"/>
  <c r="DX179" i="1"/>
  <c r="DU403" i="1"/>
  <c r="DV403" i="1" s="1"/>
  <c r="DX403" i="1"/>
  <c r="DX343" i="1"/>
  <c r="EO343" i="1" s="1"/>
  <c r="EF68" i="1"/>
  <c r="DX68" i="1"/>
  <c r="CX68" i="1" s="1"/>
  <c r="ED344" i="1"/>
  <c r="CV366" i="1"/>
  <c r="DX366" i="1"/>
  <c r="AM373" i="1"/>
  <c r="DX373" i="1"/>
  <c r="CX373" i="1" s="1"/>
  <c r="EN373" i="1" s="1"/>
  <c r="AM390" i="1"/>
  <c r="DX390" i="1"/>
  <c r="DX400" i="1"/>
  <c r="DU359" i="1"/>
  <c r="DV359" i="1" s="1"/>
  <c r="EJ369" i="1"/>
  <c r="EP369" i="1" s="1"/>
  <c r="DX34" i="1"/>
  <c r="EJ54" i="1"/>
  <c r="EP54" i="1" s="1"/>
  <c r="DX54" i="1"/>
  <c r="CX54" i="1" s="1"/>
  <c r="EN54" i="1" s="1"/>
  <c r="ED371" i="1"/>
  <c r="DX371" i="1"/>
  <c r="EO371" i="1" s="1"/>
  <c r="AM368" i="1"/>
  <c r="DX368" i="1"/>
  <c r="EO368" i="1" s="1"/>
  <c r="DX389" i="1"/>
  <c r="DY389" i="1" s="1"/>
  <c r="BP389" i="1" s="1" a="1"/>
  <c r="BP389" i="1" s="1"/>
  <c r="DX21" i="1"/>
  <c r="DX391" i="1"/>
  <c r="CX391" i="1" s="1"/>
  <c r="EN391" i="1" s="1"/>
  <c r="EV251" i="1"/>
  <c r="EX251" i="1"/>
  <c r="EV101" i="1"/>
  <c r="CV252" i="1"/>
  <c r="EH252" i="1"/>
  <c r="EE360" i="1"/>
  <c r="EX355" i="1"/>
  <c r="DR252" i="1"/>
  <c r="DS252" i="1" s="1"/>
  <c r="EA252" i="1" s="1"/>
  <c r="DA252" i="1" s="1"/>
  <c r="DU404" i="1"/>
  <c r="DV404" i="1" s="1"/>
  <c r="ED128" i="1"/>
  <c r="ED347" i="1"/>
  <c r="EF407" i="1"/>
  <c r="EH365" i="1"/>
  <c r="DU350" i="1"/>
  <c r="DV350" i="1" s="1"/>
  <c r="DX350" i="1"/>
  <c r="CX350" i="1" s="1"/>
  <c r="EN350" i="1" s="1"/>
  <c r="EF252" i="1"/>
  <c r="EJ348" i="1"/>
  <c r="EP348" i="1" s="1"/>
  <c r="EV356" i="1"/>
  <c r="DX44" i="1"/>
  <c r="EJ44" i="1"/>
  <c r="EP44" i="1" s="1"/>
  <c r="DU360" i="1"/>
  <c r="DV360" i="1" s="1"/>
  <c r="EH44" i="1"/>
  <c r="EV364" i="1"/>
  <c r="EX364" i="1"/>
  <c r="EH407" i="1"/>
  <c r="EF330" i="1"/>
  <c r="EE252" i="1"/>
  <c r="EH178" i="1"/>
  <c r="ED101" i="1"/>
  <c r="EH308" i="1"/>
  <c r="EJ360" i="1"/>
  <c r="EP360" i="1" s="1"/>
  <c r="EJ381" i="1"/>
  <c r="EP381" i="1" s="1"/>
  <c r="EF44" i="1"/>
  <c r="EJ367" i="1"/>
  <c r="EP367" i="1" s="1"/>
  <c r="EO393" i="1"/>
  <c r="EV384" i="1"/>
  <c r="DU347" i="1"/>
  <c r="DV347" i="1" s="1"/>
  <c r="ED338" i="1"/>
  <c r="ED350" i="1"/>
  <c r="DU339" i="1"/>
  <c r="DV339" i="1" s="1"/>
  <c r="DU178" i="1"/>
  <c r="DV178" i="1" s="1"/>
  <c r="DR402" i="1"/>
  <c r="DS402" i="1" s="1"/>
  <c r="EA402" i="1" s="1"/>
  <c r="DA402" i="1" s="1"/>
  <c r="EJ308" i="1"/>
  <c r="EP308" i="1" s="1"/>
  <c r="ED331" i="1"/>
  <c r="EH405" i="1"/>
  <c r="DU330" i="1"/>
  <c r="DV330" i="1" s="1"/>
  <c r="EF101" i="1"/>
  <c r="EV389" i="1"/>
  <c r="EH360" i="1"/>
  <c r="DR360" i="1"/>
  <c r="DS360" i="1" s="1"/>
  <c r="EA360" i="1" s="1"/>
  <c r="DA360" i="1" s="1"/>
  <c r="EH338" i="1"/>
  <c r="CV308" i="1"/>
  <c r="EH101" i="1"/>
  <c r="EX385" i="1"/>
  <c r="EV385" i="1"/>
  <c r="EX375" i="1"/>
  <c r="EV375" i="1"/>
  <c r="EX361" i="1"/>
  <c r="EV361" i="1"/>
  <c r="EF308" i="1"/>
  <c r="DU352" i="1"/>
  <c r="DV352" i="1" s="1"/>
  <c r="ED388" i="1"/>
  <c r="ED405" i="1"/>
  <c r="EJ353" i="1"/>
  <c r="EP353" i="1" s="1"/>
  <c r="EE178" i="1"/>
  <c r="CV251" i="1"/>
  <c r="EJ404" i="1"/>
  <c r="EP404" i="1" s="1"/>
  <c r="EX403" i="1"/>
  <c r="DU251" i="1"/>
  <c r="DV251" i="1" s="1"/>
  <c r="EF353" i="1"/>
  <c r="DR405" i="1"/>
  <c r="DS405" i="1" s="1"/>
  <c r="EA405" i="1" s="1"/>
  <c r="DA405" i="1" s="1"/>
  <c r="EX243" i="1"/>
  <c r="EX399" i="1"/>
  <c r="EV351" i="1"/>
  <c r="EX351" i="1"/>
  <c r="EX183" i="1"/>
  <c r="EV183" i="1"/>
  <c r="EX392" i="1"/>
  <c r="EV392" i="1"/>
  <c r="EV128" i="1"/>
  <c r="EX128" i="1"/>
  <c r="EX409" i="1"/>
  <c r="DY402" i="1"/>
  <c r="BP402" i="1" s="1" a="1"/>
  <c r="BP402" i="1" s="1"/>
  <c r="CV343" i="1"/>
  <c r="DR382" i="1"/>
  <c r="DS382" i="1" s="1"/>
  <c r="EA382" i="1" s="1"/>
  <c r="DA382" i="1" s="1"/>
  <c r="DX356" i="1"/>
  <c r="CX356" i="1" s="1"/>
  <c r="CV224" i="1"/>
  <c r="ED356" i="1"/>
  <c r="EE56" i="1"/>
  <c r="DU365" i="1"/>
  <c r="DV365" i="1" s="1"/>
  <c r="EJ356" i="1"/>
  <c r="EP356" i="1" s="1"/>
  <c r="EH376" i="1"/>
  <c r="CV397" i="1"/>
  <c r="DX376" i="1"/>
  <c r="EO376" i="1" s="1"/>
  <c r="EJ343" i="1"/>
  <c r="EP343" i="1" s="1"/>
  <c r="EE343" i="1"/>
  <c r="EJ56" i="1"/>
  <c r="EP56" i="1" s="1"/>
  <c r="DR251" i="1"/>
  <c r="DS251" i="1" s="1"/>
  <c r="EA251" i="1" s="1"/>
  <c r="DA251" i="1" s="1"/>
  <c r="DR346" i="1"/>
  <c r="DS346" i="1" s="1"/>
  <c r="EA346" i="1" s="1"/>
  <c r="DA346" i="1" s="1"/>
  <c r="EX367" i="1"/>
  <c r="DR347" i="1"/>
  <c r="DS347" i="1" s="1"/>
  <c r="EA347" i="1" s="1"/>
  <c r="DA347" i="1" s="1"/>
  <c r="EJ376" i="1"/>
  <c r="EP376" i="1" s="1"/>
  <c r="EF262" i="1"/>
  <c r="EH262" i="1"/>
  <c r="DR56" i="1"/>
  <c r="DS56" i="1" s="1"/>
  <c r="EA56" i="1" s="1"/>
  <c r="DA56" i="1" s="1"/>
  <c r="CV412" i="1"/>
  <c r="EG412" i="1" s="1"/>
  <c r="EH56" i="1"/>
  <c r="ED308" i="1"/>
  <c r="DR381" i="1"/>
  <c r="DS381" i="1" s="1"/>
  <c r="EA381" i="1" s="1"/>
  <c r="DA381" i="1" s="1"/>
  <c r="EH386" i="1"/>
  <c r="EH251" i="1"/>
  <c r="DR343" i="1"/>
  <c r="DS343" i="1" s="1"/>
  <c r="EA343" i="1" s="1"/>
  <c r="DA343" i="1" s="1"/>
  <c r="EH68" i="1"/>
  <c r="EH356" i="1"/>
  <c r="DU353" i="1"/>
  <c r="DV353" i="1" s="1"/>
  <c r="DU378" i="1"/>
  <c r="DV378" i="1" s="1"/>
  <c r="EE365" i="1"/>
  <c r="EO362" i="1"/>
  <c r="DR224" i="1"/>
  <c r="DS224" i="1" s="1"/>
  <c r="EA224" i="1" s="1"/>
  <c r="DA224" i="1" s="1"/>
  <c r="EH353" i="1"/>
  <c r="EH385" i="1"/>
  <c r="EF343" i="1"/>
  <c r="EF56" i="1"/>
  <c r="DX224" i="1"/>
  <c r="CX224" i="1" s="1"/>
  <c r="EN224" i="1" s="1"/>
  <c r="EE47" i="1"/>
  <c r="CV353" i="1"/>
  <c r="EE356" i="1"/>
  <c r="EH173" i="1"/>
  <c r="ED173" i="1"/>
  <c r="DX381" i="1"/>
  <c r="DY381" i="1" s="1"/>
  <c r="BP381" i="1" s="1" a="1"/>
  <c r="BP381" i="1" s="1"/>
  <c r="EF381" i="1"/>
  <c r="CV377" i="1"/>
  <c r="EF354" i="1"/>
  <c r="DU182" i="1"/>
  <c r="DV182" i="1" s="1"/>
  <c r="DU68" i="1"/>
  <c r="DV68" i="1" s="1"/>
  <c r="DR182" i="1"/>
  <c r="DS182" i="1" s="1"/>
  <c r="EA182" i="1" s="1"/>
  <c r="DA182" i="1" s="1"/>
  <c r="DR356" i="1"/>
  <c r="DS356" i="1" s="1"/>
  <c r="EA356" i="1" s="1"/>
  <c r="DA356" i="1" s="1"/>
  <c r="EE353" i="1"/>
  <c r="EJ262" i="1"/>
  <c r="EP262" i="1" s="1"/>
  <c r="EJ251" i="1"/>
  <c r="EP251" i="1" s="1"/>
  <c r="CV330" i="1"/>
  <c r="DR173" i="1"/>
  <c r="DS173" i="1" s="1"/>
  <c r="EA173" i="1" s="1"/>
  <c r="DA173" i="1" s="1"/>
  <c r="EE377" i="1"/>
  <c r="DR68" i="1"/>
  <c r="DS68" i="1" s="1"/>
  <c r="EA68" i="1" s="1"/>
  <c r="DA68" i="1" s="1"/>
  <c r="ED251" i="1"/>
  <c r="EO402" i="1"/>
  <c r="EV374" i="1"/>
  <c r="CV182" i="1"/>
  <c r="EJ386" i="1"/>
  <c r="EP386" i="1" s="1"/>
  <c r="EX178" i="1"/>
  <c r="DU382" i="1"/>
  <c r="DV382" i="1" s="1"/>
  <c r="ED397" i="1"/>
  <c r="ED68" i="1"/>
  <c r="EH331" i="1"/>
  <c r="DR47" i="1"/>
  <c r="DS47" i="1" s="1"/>
  <c r="EA47" i="1" s="1"/>
  <c r="DA47" i="1" s="1"/>
  <c r="ED179" i="1"/>
  <c r="DX385" i="1"/>
  <c r="EO385" i="1" s="1"/>
  <c r="EE262" i="1"/>
  <c r="EJ377" i="1"/>
  <c r="EP377" i="1" s="1"/>
  <c r="EJ331" i="1"/>
  <c r="EP331" i="1" s="1"/>
  <c r="ED365" i="1"/>
  <c r="CV365" i="1"/>
  <c r="EV397" i="1"/>
  <c r="EH182" i="1"/>
  <c r="EX343" i="1"/>
  <c r="EV343" i="1"/>
  <c r="EV372" i="1"/>
  <c r="EX372" i="1"/>
  <c r="EV365" i="1"/>
  <c r="EX365" i="1"/>
  <c r="EX402" i="1"/>
  <c r="EV402" i="1"/>
  <c r="EX348" i="1"/>
  <c r="EV348" i="1"/>
  <c r="EV252" i="1"/>
  <c r="EX252" i="1"/>
  <c r="DX410" i="1"/>
  <c r="CX410" i="1" s="1"/>
  <c r="EN410" i="1" s="1"/>
  <c r="EV54" i="1"/>
  <c r="DY54" i="1"/>
  <c r="BP54" i="1" s="1" a="1"/>
  <c r="BP54" i="1" s="1"/>
  <c r="EX154" i="1"/>
  <c r="EX182" i="1"/>
  <c r="CV400" i="1"/>
  <c r="DR351" i="1"/>
  <c r="DS351" i="1" s="1"/>
  <c r="EA351" i="1" s="1"/>
  <c r="DA351" i="1" s="1"/>
  <c r="EE179" i="1"/>
  <c r="EH410" i="1"/>
  <c r="EE344" i="1"/>
  <c r="EF128" i="1"/>
  <c r="DU106" i="1"/>
  <c r="DV106" i="1" s="1"/>
  <c r="CV411" i="1"/>
  <c r="DU179" i="1"/>
  <c r="DV179" i="1" s="1"/>
  <c r="EE348" i="1"/>
  <c r="DR331" i="1"/>
  <c r="DS331" i="1" s="1"/>
  <c r="EA331" i="1" s="1"/>
  <c r="DA331" i="1" s="1"/>
  <c r="EH354" i="1"/>
  <c r="EE346" i="1"/>
  <c r="EV363" i="1"/>
  <c r="DY128" i="1"/>
  <c r="BP128" i="1" s="1" a="1"/>
  <c r="BP128" i="1" s="1"/>
  <c r="DY178" i="1"/>
  <c r="BP178" i="1" s="1" a="1"/>
  <c r="BP178" i="1" s="1"/>
  <c r="EJ388" i="1"/>
  <c r="EP388" i="1" s="1"/>
  <c r="DU388" i="1"/>
  <c r="DV388" i="1" s="1"/>
  <c r="EH348" i="1"/>
  <c r="EJ346" i="1"/>
  <c r="EP346" i="1" s="1"/>
  <c r="EV382" i="1"/>
  <c r="EV401" i="1"/>
  <c r="EV35" i="1"/>
  <c r="EE106" i="1"/>
  <c r="EV393" i="1"/>
  <c r="EO128" i="1"/>
  <c r="CV344" i="1"/>
  <c r="EV344" i="1"/>
  <c r="DU344" i="1"/>
  <c r="DV344" i="1" s="1"/>
  <c r="EH400" i="1"/>
  <c r="DU407" i="1"/>
  <c r="DV407" i="1" s="1"/>
  <c r="EE407" i="1"/>
  <c r="EH388" i="1"/>
  <c r="EF394" i="1"/>
  <c r="EH344" i="1"/>
  <c r="EE359" i="1"/>
  <c r="DU405" i="1"/>
  <c r="DV405" i="1" s="1"/>
  <c r="EH346" i="1"/>
  <c r="EE354" i="1"/>
  <c r="DR394" i="1"/>
  <c r="DS394" i="1" s="1"/>
  <c r="EA394" i="1" s="1"/>
  <c r="DA394" i="1" s="1"/>
  <c r="EX366" i="1"/>
  <c r="DX344" i="1"/>
  <c r="EE405" i="1"/>
  <c r="EV354" i="1"/>
  <c r="EO69" i="1"/>
  <c r="EO394" i="1"/>
  <c r="DY280" i="1"/>
  <c r="BP280" i="1" s="1" a="1"/>
  <c r="BP280" i="1" s="1"/>
  <c r="DU397" i="1"/>
  <c r="DV397" i="1" s="1"/>
  <c r="CV262" i="1"/>
  <c r="CV386" i="1"/>
  <c r="ED398" i="1"/>
  <c r="DU384" i="1"/>
  <c r="DV384" i="1" s="1"/>
  <c r="CV404" i="1"/>
  <c r="DR106" i="1"/>
  <c r="DS106" i="1" s="1"/>
  <c r="EA106" i="1" s="1"/>
  <c r="DA106" i="1" s="1"/>
  <c r="DR371" i="1"/>
  <c r="DS371" i="1" s="1"/>
  <c r="EA371" i="1" s="1"/>
  <c r="DA371" i="1" s="1"/>
  <c r="ED394" i="1"/>
  <c r="EF388" i="1"/>
  <c r="EF386" i="1"/>
  <c r="EO183" i="1"/>
  <c r="ED386" i="1"/>
  <c r="DR179" i="1"/>
  <c r="DS179" i="1" s="1"/>
  <c r="EA179" i="1" s="1"/>
  <c r="DA179" i="1" s="1"/>
  <c r="ED54" i="1"/>
  <c r="DU386" i="1"/>
  <c r="DV386" i="1" s="1"/>
  <c r="DR262" i="1"/>
  <c r="DS262" i="1" s="1"/>
  <c r="EA262" i="1" s="1"/>
  <c r="DA262" i="1" s="1"/>
  <c r="EF371" i="1"/>
  <c r="ED106" i="1"/>
  <c r="EH411" i="1"/>
  <c r="DU349" i="1"/>
  <c r="DV349" i="1" s="1"/>
  <c r="DU394" i="1"/>
  <c r="DV394" i="1" s="1"/>
  <c r="EO412" i="1"/>
  <c r="EV309" i="1"/>
  <c r="DR348" i="1"/>
  <c r="DS348" i="1" s="1"/>
  <c r="EA348" i="1" s="1"/>
  <c r="DA348" i="1" s="1"/>
  <c r="DU346" i="1"/>
  <c r="DV346" i="1" s="1"/>
  <c r="EF346" i="1"/>
  <c r="EX280" i="1"/>
  <c r="EJ179" i="1"/>
  <c r="EP179" i="1" s="1"/>
  <c r="DR398" i="1"/>
  <c r="DS398" i="1" s="1"/>
  <c r="EA398" i="1" s="1"/>
  <c r="DA398" i="1" s="1"/>
  <c r="EJ384" i="1"/>
  <c r="EP384" i="1" s="1"/>
  <c r="CV394" i="1"/>
  <c r="ES370" i="1"/>
  <c r="ED359" i="1"/>
  <c r="EX330" i="1"/>
  <c r="EH47" i="1"/>
  <c r="EF47" i="1"/>
  <c r="DU47" i="1"/>
  <c r="DV47" i="1" s="1"/>
  <c r="DU262" i="1"/>
  <c r="DV262" i="1" s="1"/>
  <c r="EF410" i="1"/>
  <c r="EV339" i="1"/>
  <c r="DR397" i="1"/>
  <c r="DS397" i="1" s="1"/>
  <c r="EA397" i="1" s="1"/>
  <c r="DA397" i="1" s="1"/>
  <c r="DX411" i="1"/>
  <c r="CX411" i="1" s="1"/>
  <c r="EN411" i="1" s="1"/>
  <c r="EJ128" i="1"/>
  <c r="EP128" i="1" s="1"/>
  <c r="DR359" i="1"/>
  <c r="DS359" i="1" s="1"/>
  <c r="EA359" i="1" s="1"/>
  <c r="DA359" i="1" s="1"/>
  <c r="DU375" i="1"/>
  <c r="DV375" i="1" s="1"/>
  <c r="CZ69" i="1"/>
  <c r="EF179" i="1"/>
  <c r="DR386" i="1"/>
  <c r="DS386" i="1" s="1"/>
  <c r="EA386" i="1" s="1"/>
  <c r="DA386" i="1" s="1"/>
  <c r="EJ106" i="1"/>
  <c r="EP106" i="1" s="1"/>
  <c r="EE388" i="1"/>
  <c r="DU348" i="1"/>
  <c r="DV348" i="1" s="1"/>
  <c r="EV346" i="1"/>
  <c r="EX346" i="1"/>
  <c r="EX381" i="1"/>
  <c r="EV381" i="1"/>
  <c r="CV206" i="1"/>
  <c r="AM395" i="1"/>
  <c r="DX395" i="1"/>
  <c r="CV395" i="1"/>
  <c r="EF395" i="1"/>
  <c r="EH395" i="1"/>
  <c r="EE395" i="1"/>
  <c r="DU395" i="1"/>
  <c r="DV395" i="1" s="1"/>
  <c r="EJ395" i="1"/>
  <c r="EP395" i="1" s="1"/>
  <c r="DR395" i="1"/>
  <c r="DS395" i="1" s="1"/>
  <c r="EA395" i="1" s="1"/>
  <c r="DA395" i="1" s="1"/>
  <c r="DY394" i="1"/>
  <c r="BP394" i="1" s="1" a="1"/>
  <c r="BP394" i="1" s="1"/>
  <c r="CZ280" i="1"/>
  <c r="EO280" i="1"/>
  <c r="DY393" i="1"/>
  <c r="BP393" i="1" s="1" a="1"/>
  <c r="BP393" i="1" s="1"/>
  <c r="EV173" i="1"/>
  <c r="EX380" i="1"/>
  <c r="CV196" i="1"/>
  <c r="CV108" i="1"/>
  <c r="EV262" i="1"/>
  <c r="EV398" i="1"/>
  <c r="AM381" i="1"/>
  <c r="CV381" i="1"/>
  <c r="EE381" i="1"/>
  <c r="ED381" i="1"/>
  <c r="AM403" i="1"/>
  <c r="CV403" i="1"/>
  <c r="DR403" i="1"/>
  <c r="DS403" i="1" s="1"/>
  <c r="EA403" i="1" s="1"/>
  <c r="DA403" i="1" s="1"/>
  <c r="EH403" i="1"/>
  <c r="EF403" i="1"/>
  <c r="ED403" i="1"/>
  <c r="EE403" i="1"/>
  <c r="AM349" i="1"/>
  <c r="CV349" i="1"/>
  <c r="EE349" i="1"/>
  <c r="EH349" i="1"/>
  <c r="EF349" i="1"/>
  <c r="DX349" i="1"/>
  <c r="CV208" i="1"/>
  <c r="CV18" i="1"/>
  <c r="EV44" i="1"/>
  <c r="EH381" i="1"/>
  <c r="CV207" i="1"/>
  <c r="AM351" i="1"/>
  <c r="EF351" i="1"/>
  <c r="EJ351" i="1"/>
  <c r="EP351" i="1" s="1"/>
  <c r="EH351" i="1"/>
  <c r="DX351" i="1"/>
  <c r="CV351" i="1"/>
  <c r="EO220" i="1"/>
  <c r="EV179" i="1"/>
  <c r="AM352" i="1"/>
  <c r="ED352" i="1"/>
  <c r="EF352" i="1"/>
  <c r="CV352" i="1"/>
  <c r="EH352" i="1"/>
  <c r="DR352" i="1"/>
  <c r="DS352" i="1" s="1"/>
  <c r="EA352" i="1" s="1"/>
  <c r="DA352" i="1" s="1"/>
  <c r="EJ403" i="1"/>
  <c r="EP403" i="1" s="1"/>
  <c r="AM366" i="1"/>
  <c r="EF366" i="1"/>
  <c r="DR366" i="1"/>
  <c r="DS366" i="1" s="1"/>
  <c r="EA366" i="1" s="1"/>
  <c r="DA366" i="1" s="1"/>
  <c r="EJ366" i="1"/>
  <c r="EP366" i="1" s="1"/>
  <c r="EH366" i="1"/>
  <c r="ED366" i="1"/>
  <c r="DU366" i="1"/>
  <c r="DV366" i="1" s="1"/>
  <c r="EV353" i="1"/>
  <c r="AM396" i="1"/>
  <c r="EF396" i="1"/>
  <c r="EJ396" i="1"/>
  <c r="EP396" i="1" s="1"/>
  <c r="EH396" i="1"/>
  <c r="ED396" i="1"/>
  <c r="DU396" i="1"/>
  <c r="DV396" i="1" s="1"/>
  <c r="DR396" i="1"/>
  <c r="DS396" i="1" s="1"/>
  <c r="EA396" i="1" s="1"/>
  <c r="DA396" i="1" s="1"/>
  <c r="EE396" i="1"/>
  <c r="CV396" i="1"/>
  <c r="EN362" i="1"/>
  <c r="EG362" i="1"/>
  <c r="ED349" i="1"/>
  <c r="AM343" i="1"/>
  <c r="EH343" i="1"/>
  <c r="DU343" i="1"/>
  <c r="DV343" i="1" s="1"/>
  <c r="ED343" i="1"/>
  <c r="EX379" i="1"/>
  <c r="EV69" i="1"/>
  <c r="CZ383" i="1"/>
  <c r="AM220" i="1"/>
  <c r="EE220" i="1"/>
  <c r="ED220" i="1"/>
  <c r="EJ220" i="1"/>
  <c r="EP220" i="1" s="1"/>
  <c r="EH220" i="1"/>
  <c r="DU220" i="1"/>
  <c r="DV220" i="1" s="1"/>
  <c r="EF220" i="1"/>
  <c r="EV386" i="1"/>
  <c r="EV359" i="1"/>
  <c r="DR349" i="1"/>
  <c r="DS349" i="1" s="1"/>
  <c r="EA349" i="1" s="1"/>
  <c r="DA349" i="1" s="1"/>
  <c r="AM44" i="1"/>
  <c r="ED44" i="1"/>
  <c r="DR44" i="1"/>
  <c r="DS44" i="1" s="1"/>
  <c r="EA44" i="1" s="1"/>
  <c r="DA44" i="1" s="1"/>
  <c r="EE44" i="1"/>
  <c r="AM128" i="1"/>
  <c r="EE128" i="1"/>
  <c r="CV128" i="1"/>
  <c r="CZ128" i="1" s="1"/>
  <c r="DX182" i="1"/>
  <c r="ED47" i="1"/>
  <c r="AM331" i="1"/>
  <c r="EF331" i="1"/>
  <c r="CV331" i="1"/>
  <c r="DU331" i="1"/>
  <c r="DV331" i="1" s="1"/>
  <c r="AM308" i="1"/>
  <c r="DU308" i="1"/>
  <c r="DV308" i="1" s="1"/>
  <c r="DR308" i="1"/>
  <c r="DS308" i="1" s="1"/>
  <c r="EA308" i="1" s="1"/>
  <c r="DA308" i="1" s="1"/>
  <c r="EE308" i="1"/>
  <c r="AM384" i="1"/>
  <c r="ED384" i="1"/>
  <c r="CV310" i="1"/>
  <c r="AM34" i="1"/>
  <c r="CV34" i="1"/>
  <c r="EF34" i="1"/>
  <c r="EJ34" i="1"/>
  <c r="EP34" i="1" s="1"/>
  <c r="DR34" i="1"/>
  <c r="DS34" i="1" s="1"/>
  <c r="EA34" i="1" s="1"/>
  <c r="DA34" i="1" s="1"/>
  <c r="DU34" i="1"/>
  <c r="DV34" i="1" s="1"/>
  <c r="ED34" i="1"/>
  <c r="EE34" i="1"/>
  <c r="EH34" i="1"/>
  <c r="AM367" i="1"/>
  <c r="EF367" i="1"/>
  <c r="CV23" i="1"/>
  <c r="CV311" i="1"/>
  <c r="CV279" i="1"/>
  <c r="EE182" i="1"/>
  <c r="EF182" i="1"/>
  <c r="CV104" i="1"/>
  <c r="AM261" i="1"/>
  <c r="EE261" i="1"/>
  <c r="DR261" i="1"/>
  <c r="DS261" i="1" s="1"/>
  <c r="EA261" i="1" s="1"/>
  <c r="DA261" i="1" s="1"/>
  <c r="ED261" i="1"/>
  <c r="AM369" i="1"/>
  <c r="EF369" i="1"/>
  <c r="AM398" i="1"/>
  <c r="CV398" i="1"/>
  <c r="EF398" i="1"/>
  <c r="EJ398" i="1"/>
  <c r="EP398" i="1" s="1"/>
  <c r="EH398" i="1"/>
  <c r="AM243" i="1"/>
  <c r="ED243" i="1"/>
  <c r="AM101" i="1"/>
  <c r="EE101" i="1"/>
  <c r="EJ101" i="1"/>
  <c r="EP101" i="1" s="1"/>
  <c r="AM173" i="1"/>
  <c r="AM378" i="1"/>
  <c r="DX378" i="1"/>
  <c r="EX383" i="1"/>
  <c r="EV383" i="1"/>
  <c r="CV367" i="1"/>
  <c r="DU373" i="1"/>
  <c r="DV373" i="1" s="1"/>
  <c r="AM68" i="1"/>
  <c r="EJ68" i="1"/>
  <c r="EP68" i="1" s="1"/>
  <c r="CV68" i="1"/>
  <c r="EE68" i="1"/>
  <c r="AM410" i="1"/>
  <c r="EJ410" i="1"/>
  <c r="EP410" i="1" s="1"/>
  <c r="AM399" i="1"/>
  <c r="DR399" i="1"/>
  <c r="DS399" i="1" s="1"/>
  <c r="EA399" i="1" s="1"/>
  <c r="CV399" i="1"/>
  <c r="EF399" i="1"/>
  <c r="AM338" i="1"/>
  <c r="DR338" i="1"/>
  <c r="DS338" i="1" s="1"/>
  <c r="EA338" i="1" s="1"/>
  <c r="DA338" i="1" s="1"/>
  <c r="EF338" i="1"/>
  <c r="EE338" i="1"/>
  <c r="DU338" i="1"/>
  <c r="DV338" i="1" s="1"/>
  <c r="CV338" i="1"/>
  <c r="CV263" i="1"/>
  <c r="AM345" i="1"/>
  <c r="DR345" i="1"/>
  <c r="DS345" i="1" s="1"/>
  <c r="EA345" i="1" s="1"/>
  <c r="DA345" i="1" s="1"/>
  <c r="ED345" i="1"/>
  <c r="DU345" i="1"/>
  <c r="DV345" i="1" s="1"/>
  <c r="CV151" i="1"/>
  <c r="CV155" i="1"/>
  <c r="CV278" i="1"/>
  <c r="AM355" i="1"/>
  <c r="EF355" i="1"/>
  <c r="AM356" i="1"/>
  <c r="CV277" i="1"/>
  <c r="AM156" i="1"/>
  <c r="EE156" i="1"/>
  <c r="ED156" i="1"/>
  <c r="DU156" i="1"/>
  <c r="DV156" i="1" s="1"/>
  <c r="DR156" i="1"/>
  <c r="DS156" i="1" s="1"/>
  <c r="EA156" i="1" s="1"/>
  <c r="DA156" i="1" s="1"/>
  <c r="CV201" i="1"/>
  <c r="AM354" i="1"/>
  <c r="ED354" i="1"/>
  <c r="DU354" i="1"/>
  <c r="DV354" i="1" s="1"/>
  <c r="CV354" i="1"/>
  <c r="DR354" i="1"/>
  <c r="DS354" i="1" s="1"/>
  <c r="EA354" i="1" s="1"/>
  <c r="DA354" i="1" s="1"/>
  <c r="DX354" i="1"/>
  <c r="AM69" i="1"/>
  <c r="DU69" i="1"/>
  <c r="DV69" i="1" s="1"/>
  <c r="AM397" i="1"/>
  <c r="EJ397" i="1"/>
  <c r="EP397" i="1" s="1"/>
  <c r="EH397" i="1"/>
  <c r="EE397" i="1"/>
  <c r="AM371" i="1"/>
  <c r="EE371" i="1"/>
  <c r="EJ371" i="1"/>
  <c r="EP371" i="1" s="1"/>
  <c r="CV371" i="1"/>
  <c r="DU371" i="1"/>
  <c r="DV371" i="1" s="1"/>
  <c r="CV19" i="1"/>
  <c r="CV286" i="1"/>
  <c r="AM182" i="1"/>
  <c r="EJ182" i="1"/>
  <c r="EP182" i="1" s="1"/>
  <c r="AM377" i="1"/>
  <c r="DR377" i="1"/>
  <c r="DS377" i="1" s="1"/>
  <c r="EA377" i="1" s="1"/>
  <c r="DA377" i="1" s="1"/>
  <c r="EF377" i="1"/>
  <c r="DX377" i="1"/>
  <c r="ED377" i="1"/>
  <c r="EH377" i="1"/>
  <c r="CV102" i="1"/>
  <c r="CV47" i="1"/>
  <c r="EH69" i="1"/>
  <c r="CV368" i="1"/>
  <c r="AM411" i="1"/>
  <c r="DR411" i="1"/>
  <c r="DS411" i="1" s="1"/>
  <c r="EA411" i="1" s="1"/>
  <c r="DA411" i="1" s="1"/>
  <c r="EJ411" i="1"/>
  <c r="EP411" i="1" s="1"/>
  <c r="DU411" i="1"/>
  <c r="DV411" i="1" s="1"/>
  <c r="ED411" i="1"/>
  <c r="EF411" i="1"/>
  <c r="AM375" i="1"/>
  <c r="EF375" i="1"/>
  <c r="EJ375" i="1"/>
  <c r="EP375" i="1" s="1"/>
  <c r="CV36" i="1"/>
  <c r="CV152" i="1"/>
  <c r="AM350" i="1"/>
  <c r="EE350" i="1"/>
  <c r="AM361" i="1"/>
  <c r="CV361" i="1"/>
  <c r="ED361" i="1"/>
  <c r="AM406" i="1"/>
  <c r="DU406" i="1"/>
  <c r="DV406" i="1" s="1"/>
  <c r="DR406" i="1"/>
  <c r="DS406" i="1" s="1"/>
  <c r="EA406" i="1" s="1"/>
  <c r="DA406" i="1" s="1"/>
  <c r="EF406" i="1"/>
  <c r="ED406" i="1"/>
  <c r="EJ406" i="1"/>
  <c r="EP406" i="1" s="1"/>
  <c r="AM372" i="1"/>
  <c r="DR372" i="1"/>
  <c r="DS372" i="1" s="1"/>
  <c r="EA372" i="1" s="1"/>
  <c r="DA372" i="1" s="1"/>
  <c r="DX372" i="1"/>
  <c r="AM407" i="1"/>
  <c r="DR407" i="1"/>
  <c r="DS407" i="1" s="1"/>
  <c r="EA407" i="1" s="1"/>
  <c r="DA407" i="1" s="1"/>
  <c r="ED407" i="1"/>
  <c r="EJ407" i="1"/>
  <c r="EP407" i="1" s="1"/>
  <c r="AM391" i="1"/>
  <c r="EJ391" i="1"/>
  <c r="EP391" i="1" s="1"/>
  <c r="DU391" i="1"/>
  <c r="DV391" i="1" s="1"/>
  <c r="AM241" i="1"/>
  <c r="DX241" i="1"/>
  <c r="ED241" i="1"/>
  <c r="EF241" i="1"/>
  <c r="DU241" i="1"/>
  <c r="DV241" i="1" s="1"/>
  <c r="AM54" i="1"/>
  <c r="EF54" i="1"/>
  <c r="AM344" i="1"/>
  <c r="DR344" i="1"/>
  <c r="DS344" i="1" s="1"/>
  <c r="EA344" i="1" s="1"/>
  <c r="DA344" i="1" s="1"/>
  <c r="EF344" i="1"/>
  <c r="AM387" i="1"/>
  <c r="CV387" i="1"/>
  <c r="AM388" i="1"/>
  <c r="CV388" i="1"/>
  <c r="AM224" i="1"/>
  <c r="EJ224" i="1"/>
  <c r="EP224" i="1" s="1"/>
  <c r="ED224" i="1"/>
  <c r="AM400" i="1"/>
  <c r="DR400" i="1"/>
  <c r="DS400" i="1" s="1"/>
  <c r="EA400" i="1" s="1"/>
  <c r="DA400" i="1" s="1"/>
  <c r="AM363" i="1"/>
  <c r="EH363" i="1"/>
  <c r="DU363" i="1"/>
  <c r="DV363" i="1" s="1"/>
  <c r="AM412" i="1"/>
  <c r="EH412" i="1"/>
  <c r="ED412" i="1"/>
  <c r="EE412" i="1"/>
  <c r="EF412" i="1"/>
  <c r="EJ412" i="1"/>
  <c r="EP412" i="1" s="1"/>
  <c r="CV281" i="1"/>
  <c r="CV103" i="1"/>
  <c r="AM401" i="1"/>
  <c r="DR401" i="1"/>
  <c r="DS401" i="1" s="1"/>
  <c r="EA401" i="1" s="1"/>
  <c r="DA401" i="1" s="1"/>
  <c r="CV401" i="1"/>
  <c r="EH401" i="1"/>
  <c r="AM179" i="1"/>
  <c r="EH179" i="1"/>
  <c r="AM348" i="1"/>
  <c r="EF348" i="1"/>
  <c r="CV260" i="1"/>
  <c r="CV129" i="1"/>
  <c r="CV43" i="1"/>
  <c r="AM380" i="1"/>
  <c r="DU380" i="1"/>
  <c r="DV380" i="1" s="1"/>
  <c r="CV288" i="1"/>
  <c r="AM339" i="1"/>
  <c r="DR339" i="1"/>
  <c r="DS339" i="1" s="1"/>
  <c r="EA339" i="1" s="1"/>
  <c r="DA339" i="1" s="1"/>
  <c r="CV174" i="1"/>
  <c r="AM280" i="1"/>
  <c r="EJ280" i="1"/>
  <c r="EP280" i="1" s="1"/>
  <c r="AM365" i="1"/>
  <c r="EF365" i="1"/>
  <c r="EJ365" i="1"/>
  <c r="EP365" i="1" s="1"/>
  <c r="AM385" i="1"/>
  <c r="EJ385" i="1"/>
  <c r="EP385" i="1" s="1"/>
  <c r="AM382" i="1"/>
  <c r="EE382" i="1"/>
  <c r="CV382" i="1"/>
  <c r="AM389" i="1"/>
  <c r="EH389" i="1"/>
  <c r="AM251" i="1"/>
  <c r="EE251" i="1"/>
  <c r="AM393" i="1"/>
  <c r="CV393" i="1"/>
  <c r="EH393" i="1"/>
  <c r="EE393" i="1"/>
  <c r="AM358" i="1"/>
  <c r="CV358" i="1"/>
  <c r="DX358" i="1"/>
  <c r="EJ358" i="1"/>
  <c r="EP358" i="1" s="1"/>
  <c r="AM56" i="1"/>
  <c r="DX56" i="1"/>
  <c r="CV105" i="1"/>
  <c r="CV33" i="1"/>
  <c r="AM362" i="1"/>
  <c r="EJ362" i="1"/>
  <c r="EP362" i="1" s="1"/>
  <c r="AM364" i="1"/>
  <c r="EF364" i="1"/>
  <c r="EH364" i="1"/>
  <c r="DU364" i="1"/>
  <c r="DV364" i="1" s="1"/>
  <c r="AM252" i="1"/>
  <c r="DU252" i="1"/>
  <c r="DV252" i="1" s="1"/>
  <c r="AM21" i="1"/>
  <c r="EF21" i="1"/>
  <c r="EE21" i="1"/>
  <c r="DU21" i="1"/>
  <c r="DV21" i="1" s="1"/>
  <c r="EH21" i="1"/>
  <c r="ED21" i="1"/>
  <c r="EJ21" i="1"/>
  <c r="EP21" i="1" s="1"/>
  <c r="CV21" i="1"/>
  <c r="CV242" i="1"/>
  <c r="AM330" i="1"/>
  <c r="EH330" i="1"/>
  <c r="DR330" i="1"/>
  <c r="DS330" i="1" s="1"/>
  <c r="EA330" i="1" s="1"/>
  <c r="DA330" i="1" s="1"/>
  <c r="DX330" i="1"/>
  <c r="EJ330" i="1"/>
  <c r="EP330" i="1" s="1"/>
  <c r="EE330" i="1"/>
  <c r="AM404" i="1"/>
  <c r="ED404" i="1"/>
  <c r="EF404" i="1"/>
  <c r="DX404" i="1"/>
  <c r="DR404" i="1"/>
  <c r="DS404" i="1" s="1"/>
  <c r="EA404" i="1" s="1"/>
  <c r="DA404" i="1" s="1"/>
  <c r="EE404" i="1"/>
  <c r="AM106" i="1"/>
  <c r="AM386" i="1"/>
  <c r="EE386" i="1"/>
  <c r="DX386" i="1"/>
  <c r="AM183" i="1"/>
  <c r="EJ183" i="1"/>
  <c r="EP183" i="1" s="1"/>
  <c r="CV100" i="1"/>
  <c r="AM376" i="1"/>
  <c r="EF376" i="1"/>
  <c r="DU376" i="1"/>
  <c r="DV376" i="1" s="1"/>
  <c r="AM353" i="1"/>
  <c r="DR353" i="1"/>
  <c r="DS353" i="1" s="1"/>
  <c r="EA353" i="1" s="1"/>
  <c r="DA353" i="1" s="1"/>
  <c r="CV285" i="1"/>
  <c r="AM394" i="1"/>
  <c r="EE394" i="1"/>
  <c r="AM408" i="1"/>
  <c r="DU408" i="1"/>
  <c r="DV408" i="1" s="1"/>
  <c r="EF408" i="1"/>
  <c r="AM178" i="1"/>
  <c r="EF178" i="1"/>
  <c r="CV205" i="1"/>
  <c r="AM392" i="1"/>
  <c r="DR392" i="1"/>
  <c r="DS392" i="1" s="1"/>
  <c r="EA392" i="1" s="1"/>
  <c r="DA392" i="1" s="1"/>
  <c r="EJ392" i="1"/>
  <c r="EP392" i="1" s="1"/>
  <c r="CV204" i="1"/>
  <c r="CV289" i="1"/>
  <c r="AM309" i="1"/>
  <c r="EE309" i="1"/>
  <c r="CV153" i="1"/>
  <c r="AM409" i="1"/>
  <c r="ED409" i="1"/>
  <c r="CV409" i="1"/>
  <c r="AM383" i="1"/>
  <c r="EE383" i="1"/>
  <c r="DU383" i="1"/>
  <c r="DV383" i="1" s="1"/>
  <c r="DR383" i="1"/>
  <c r="DS383" i="1" s="1"/>
  <c r="EA383" i="1" s="1"/>
  <c r="DA383" i="1" s="1"/>
  <c r="AM346" i="1"/>
  <c r="DX346" i="1"/>
  <c r="AM347" i="1"/>
  <c r="CV347" i="1"/>
  <c r="EJ347" i="1"/>
  <c r="EP347" i="1" s="1"/>
  <c r="EH347" i="1"/>
  <c r="EF347" i="1"/>
  <c r="EE347" i="1"/>
  <c r="AM360" i="1"/>
  <c r="ED360" i="1"/>
  <c r="AM374" i="1"/>
  <c r="CV374" i="1"/>
  <c r="AM405" i="1"/>
  <c r="CV405" i="1"/>
  <c r="EJ405" i="1"/>
  <c r="EP405" i="1" s="1"/>
  <c r="EF405" i="1"/>
  <c r="CV198" i="1"/>
  <c r="AM35" i="1"/>
  <c r="EE35" i="1"/>
  <c r="ED35" i="1"/>
  <c r="DR35" i="1"/>
  <c r="DS35" i="1" s="1"/>
  <c r="EA35" i="1" s="1"/>
  <c r="DA35" i="1" s="1"/>
  <c r="EF35" i="1"/>
  <c r="DX35" i="1"/>
  <c r="DU35" i="1"/>
  <c r="DV35" i="1" s="1"/>
  <c r="EJ35" i="1"/>
  <c r="EP35" i="1" s="1"/>
  <c r="CV35" i="1"/>
  <c r="EH35" i="1"/>
  <c r="CV283" i="1"/>
  <c r="CV284" i="1"/>
  <c r="AM402" i="1"/>
  <c r="EE402" i="1"/>
  <c r="EJ402" i="1"/>
  <c r="EP402" i="1" s="1"/>
  <c r="AM225" i="1"/>
  <c r="DU225" i="1"/>
  <c r="DV225" i="1" s="1"/>
  <c r="CV55" i="1"/>
  <c r="AM357" i="1"/>
  <c r="EX350" i="1"/>
  <c r="EV331" i="1"/>
  <c r="EV377" i="1"/>
  <c r="DY373" i="1"/>
  <c r="BP373" i="1" s="1" a="1"/>
  <c r="BP373" i="1" s="1"/>
  <c r="DY364" i="1"/>
  <c r="BP364" i="1" s="1" a="1"/>
  <c r="BP364" i="1" s="1"/>
  <c r="EO364" i="1"/>
  <c r="EV345" i="1"/>
  <c r="EV220" i="1"/>
  <c r="EX391" i="1"/>
  <c r="CX396" i="1"/>
  <c r="EN396" i="1" s="1"/>
  <c r="CP385" i="1"/>
  <c r="CN385" i="1"/>
  <c r="CM385" i="1"/>
  <c r="CP362" i="1"/>
  <c r="CN362" i="1"/>
  <c r="CM362" i="1"/>
  <c r="CP373" i="1"/>
  <c r="CN373" i="1"/>
  <c r="CM373" i="1"/>
  <c r="BO163" i="1" a="1"/>
  <c r="BO163" i="1" s="1"/>
  <c r="CG390" i="1"/>
  <c r="BO390" i="1" a="1"/>
  <c r="BO390" i="1" s="1"/>
  <c r="BT390" i="1"/>
  <c r="BY390" i="1" s="1"/>
  <c r="BO342" i="1" a="1"/>
  <c r="BO342" i="1" s="1"/>
  <c r="BO164" i="1" a="1"/>
  <c r="BO164" i="1" s="1"/>
  <c r="BO292" i="1" a="1"/>
  <c r="BO292" i="1" s="1"/>
  <c r="BO323" i="1" a="1"/>
  <c r="BO323" i="1" s="1"/>
  <c r="BO359" i="1" a="1"/>
  <c r="BO359" i="1" s="1"/>
  <c r="CG359" i="1"/>
  <c r="BT359" i="1"/>
  <c r="BY359" i="1" s="1"/>
  <c r="BO222" i="1" a="1"/>
  <c r="BO222" i="1" s="1"/>
  <c r="BO301" i="1" a="1"/>
  <c r="BO301" i="1" s="1"/>
  <c r="BT394" i="1"/>
  <c r="BY394" i="1" s="1"/>
  <c r="CG394" i="1"/>
  <c r="BO394" i="1" a="1"/>
  <c r="BO394" i="1" s="1"/>
  <c r="BT372" i="1"/>
  <c r="BY372" i="1" s="1"/>
  <c r="CG372" i="1"/>
  <c r="BO372" i="1" a="1"/>
  <c r="BO372" i="1" s="1"/>
  <c r="BO199" i="1" a="1"/>
  <c r="BO199" i="1" s="1"/>
  <c r="BO255" i="1" a="1"/>
  <c r="BO255" i="1" s="1"/>
  <c r="BO141" i="1" a="1"/>
  <c r="BO141" i="1" s="1"/>
  <c r="BO208" i="1" a="1"/>
  <c r="BO208" i="1" s="1"/>
  <c r="BO295" i="1" a="1"/>
  <c r="BO295" i="1" s="1"/>
  <c r="BO201" i="1" a="1"/>
  <c r="BO201" i="1" s="1"/>
  <c r="BO117" i="1" a="1"/>
  <c r="BO117" i="1" s="1"/>
  <c r="BO69" i="1" a="1"/>
  <c r="BO69" i="1" s="1"/>
  <c r="BT69" i="1"/>
  <c r="BY69" i="1" s="1"/>
  <c r="CG69" i="1"/>
  <c r="CP394" i="1"/>
  <c r="CN394" i="1"/>
  <c r="CM394" i="1"/>
  <c r="CN405" i="1"/>
  <c r="CM405" i="1"/>
  <c r="CP405" i="1"/>
  <c r="CP365" i="1"/>
  <c r="CN365" i="1"/>
  <c r="CM365" i="1"/>
  <c r="CP54" i="1"/>
  <c r="CM54" i="1"/>
  <c r="CN54" i="1"/>
  <c r="CM367" i="1"/>
  <c r="CN367" i="1"/>
  <c r="CP367" i="1"/>
  <c r="CM308" i="1"/>
  <c r="CP308" i="1"/>
  <c r="CN308" i="1"/>
  <c r="CP309" i="1"/>
  <c r="CN309" i="1"/>
  <c r="CM309" i="1"/>
  <c r="CP106" i="1"/>
  <c r="CN106" i="1"/>
  <c r="CM106" i="1"/>
  <c r="BO137" i="1" a="1"/>
  <c r="BO137" i="1" s="1"/>
  <c r="BO266" i="1" a="1"/>
  <c r="BO266" i="1" s="1"/>
  <c r="BO70" i="1" a="1"/>
  <c r="BO70" i="1" s="1"/>
  <c r="CG261" i="1"/>
  <c r="BT261" i="1"/>
  <c r="BY261" i="1" s="1"/>
  <c r="BO261" i="1" a="1"/>
  <c r="BO261" i="1" s="1"/>
  <c r="BT410" i="1"/>
  <c r="BY410" i="1" s="1"/>
  <c r="CG410" i="1"/>
  <c r="BO410" i="1" a="1"/>
  <c r="BO410" i="1" s="1"/>
  <c r="BO37" i="1" a="1"/>
  <c r="BO37" i="1" s="1"/>
  <c r="BO166" i="1" a="1"/>
  <c r="BO166" i="1" s="1"/>
  <c r="BO47" i="1" a="1"/>
  <c r="BO47" i="1" s="1"/>
  <c r="CG47" i="1"/>
  <c r="BT47" i="1"/>
  <c r="BY47" i="1" s="1"/>
  <c r="BO87" i="1" a="1"/>
  <c r="BO87" i="1" s="1"/>
  <c r="CG21" i="1"/>
  <c r="BO105" i="1" a="1"/>
  <c r="BO105" i="1" s="1"/>
  <c r="BT375" i="1"/>
  <c r="BY375" i="1" s="1"/>
  <c r="CG375" i="1"/>
  <c r="BO375" i="1" a="1"/>
  <c r="BO375" i="1" s="1"/>
  <c r="BO67" i="1" a="1"/>
  <c r="BO67" i="1" s="1"/>
  <c r="CG406" i="1"/>
  <c r="BO406" i="1" a="1"/>
  <c r="BO406" i="1" s="1"/>
  <c r="BT406" i="1"/>
  <c r="BY406" i="1" s="1"/>
  <c r="BO30" i="1" a="1"/>
  <c r="BO30" i="1" s="1"/>
  <c r="BO20" i="1" a="1"/>
  <c r="BO20" i="1" s="1"/>
  <c r="BO107" i="1" a="1"/>
  <c r="BO107" i="1" s="1"/>
  <c r="BO235" i="1" a="1"/>
  <c r="BO235" i="1" s="1"/>
  <c r="CG367" i="1"/>
  <c r="BO367" i="1" a="1"/>
  <c r="BO367" i="1" s="1"/>
  <c r="BT367" i="1"/>
  <c r="BY367" i="1" s="1"/>
  <c r="BO32" i="1" a="1"/>
  <c r="BO32" i="1" s="1"/>
  <c r="BT68" i="1"/>
  <c r="BY68" i="1" s="1"/>
  <c r="CG68" i="1"/>
  <c r="BO68" i="1" a="1"/>
  <c r="BO68" i="1" s="1"/>
  <c r="BO187" i="1" a="1"/>
  <c r="BO187" i="1" s="1"/>
  <c r="CP380" i="1"/>
  <c r="CN380" i="1"/>
  <c r="CM380" i="1"/>
  <c r="CP173" i="1"/>
  <c r="CM173" i="1"/>
  <c r="CN173" i="1"/>
  <c r="CM353" i="1"/>
  <c r="CP353" i="1"/>
  <c r="CN353" i="1"/>
  <c r="CP366" i="1"/>
  <c r="CM366" i="1"/>
  <c r="CN366" i="1"/>
  <c r="CN331" i="1"/>
  <c r="CP331" i="1"/>
  <c r="CM331" i="1"/>
  <c r="CM378" i="1"/>
  <c r="CP378" i="1"/>
  <c r="CN378" i="1"/>
  <c r="CP34" i="1"/>
  <c r="CN34" i="1"/>
  <c r="CM34" i="1"/>
  <c r="BO145" i="1" a="1"/>
  <c r="BO145" i="1" s="1"/>
  <c r="BO171" i="1" a="1"/>
  <c r="BO171" i="1" s="1"/>
  <c r="BO212" i="1" a="1"/>
  <c r="BO212" i="1" s="1"/>
  <c r="BO251" i="1" a="1"/>
  <c r="BO251" i="1" s="1"/>
  <c r="BT251" i="1"/>
  <c r="BY251" i="1" s="1"/>
  <c r="CG251" i="1"/>
  <c r="CG351" i="1"/>
  <c r="BO351" i="1" a="1"/>
  <c r="BO351" i="1" s="1"/>
  <c r="BT351" i="1"/>
  <c r="BY351" i="1" s="1"/>
  <c r="BO61" i="1" a="1"/>
  <c r="BO61" i="1" s="1"/>
  <c r="BT378" i="1"/>
  <c r="BY378" i="1" s="1"/>
  <c r="CG378" i="1"/>
  <c r="BO378" i="1" a="1"/>
  <c r="BO378" i="1" s="1"/>
  <c r="CG380" i="1"/>
  <c r="BO380" i="1" a="1"/>
  <c r="BO380" i="1" s="1"/>
  <c r="BT380" i="1"/>
  <c r="BY380" i="1" s="1"/>
  <c r="BO111" i="1" a="1"/>
  <c r="BO111" i="1" s="1"/>
  <c r="BO363" i="1" a="1"/>
  <c r="BO363" i="1" s="1"/>
  <c r="CG363" i="1"/>
  <c r="BT363" i="1"/>
  <c r="BY363" i="1" s="1"/>
  <c r="BO272" i="1" a="1"/>
  <c r="BO272" i="1" s="1"/>
  <c r="BO384" i="1" a="1"/>
  <c r="BO384" i="1" s="1"/>
  <c r="CG384" i="1"/>
  <c r="BT384" i="1"/>
  <c r="BY384" i="1" s="1"/>
  <c r="CG402" i="1"/>
  <c r="BO402" i="1" a="1"/>
  <c r="BO402" i="1" s="1"/>
  <c r="BT402" i="1"/>
  <c r="BY402" i="1" s="1"/>
  <c r="BO112" i="1" a="1"/>
  <c r="BO112" i="1" s="1"/>
  <c r="BO140" i="1" a="1"/>
  <c r="BO140" i="1" s="1"/>
  <c r="CG374" i="1"/>
  <c r="BO374" i="1" a="1"/>
  <c r="BO374" i="1" s="1"/>
  <c r="BT374" i="1"/>
  <c r="BY374" i="1" s="1"/>
  <c r="BO216" i="1" a="1"/>
  <c r="BO216" i="1" s="1"/>
  <c r="BO270" i="1" a="1"/>
  <c r="BO270" i="1" s="1"/>
  <c r="BO392" i="1" a="1"/>
  <c r="BO392" i="1" s="1"/>
  <c r="BT392" i="1"/>
  <c r="BY392" i="1" s="1"/>
  <c r="CG392" i="1"/>
  <c r="BO185" i="1" a="1"/>
  <c r="BO185" i="1" s="1"/>
  <c r="BO277" i="1" a="1"/>
  <c r="BO277" i="1" s="1"/>
  <c r="BO34" i="1" a="1"/>
  <c r="BO34" i="1" s="1"/>
  <c r="CG34" i="1"/>
  <c r="BT34" i="1"/>
  <c r="BY34" i="1" s="1"/>
  <c r="CG348" i="1"/>
  <c r="BO348" i="1" a="1"/>
  <c r="BO348" i="1" s="1"/>
  <c r="BT348" i="1"/>
  <c r="BY348" i="1" s="1"/>
  <c r="BO242" i="1" a="1"/>
  <c r="BO242" i="1" s="1"/>
  <c r="BO408" i="1" a="1"/>
  <c r="BO408" i="1" s="1"/>
  <c r="BT408" i="1"/>
  <c r="BY408" i="1" s="1"/>
  <c r="CG408" i="1"/>
  <c r="BO151" i="1" a="1"/>
  <c r="BO151" i="1" s="1"/>
  <c r="BT391" i="1"/>
  <c r="BY391" i="1" s="1"/>
  <c r="CG391" i="1"/>
  <c r="BO391" i="1" a="1"/>
  <c r="BO391" i="1" s="1"/>
  <c r="CP156" i="1"/>
  <c r="CN156" i="1"/>
  <c r="CM156" i="1"/>
  <c r="CN402" i="1"/>
  <c r="CP402" i="1"/>
  <c r="CM402" i="1"/>
  <c r="CP375" i="1"/>
  <c r="CN375" i="1"/>
  <c r="CM375" i="1"/>
  <c r="CN330" i="1"/>
  <c r="CP330" i="1"/>
  <c r="CM330" i="1"/>
  <c r="CP399" i="1"/>
  <c r="CN399" i="1"/>
  <c r="CM399" i="1"/>
  <c r="CP391" i="1"/>
  <c r="CN391" i="1"/>
  <c r="CM391" i="1"/>
  <c r="CP350" i="1"/>
  <c r="CM350" i="1"/>
  <c r="CN350" i="1"/>
  <c r="CP220" i="1"/>
  <c r="CN220" i="1"/>
  <c r="CM220" i="1"/>
  <c r="CP400" i="1"/>
  <c r="CN400" i="1"/>
  <c r="CM400" i="1"/>
  <c r="CP412" i="1"/>
  <c r="CN412" i="1"/>
  <c r="CM412" i="1"/>
  <c r="CG373" i="1"/>
  <c r="BT373" i="1"/>
  <c r="BY373" i="1" s="1"/>
  <c r="BO373" i="1" a="1"/>
  <c r="BO373" i="1" s="1"/>
  <c r="BO102" i="1" a="1"/>
  <c r="BO102" i="1" s="1"/>
  <c r="BO157" i="1" a="1"/>
  <c r="BO157" i="1" s="1"/>
  <c r="BO230" i="1" a="1"/>
  <c r="BO230" i="1" s="1"/>
  <c r="BO174" i="1" a="1"/>
  <c r="BO174" i="1" s="1"/>
  <c r="BO207" i="1" a="1"/>
  <c r="BO207" i="1" s="1"/>
  <c r="BT207" i="1"/>
  <c r="BY207" i="1" s="1"/>
  <c r="CG207" i="1"/>
  <c r="BO49" i="1" a="1"/>
  <c r="BO49" i="1" s="1"/>
  <c r="BO294" i="1" a="1"/>
  <c r="BO294" i="1" s="1"/>
  <c r="BO51" i="1" a="1"/>
  <c r="BO51" i="1" s="1"/>
  <c r="BO288" i="1" a="1"/>
  <c r="BO288" i="1" s="1"/>
  <c r="BO58" i="1" a="1"/>
  <c r="BO58" i="1" s="1"/>
  <c r="BO321" i="1" a="1"/>
  <c r="BO321" i="1" s="1"/>
  <c r="BO194" i="1" a="1"/>
  <c r="BO194" i="1" s="1"/>
  <c r="BO76" i="1" a="1"/>
  <c r="BO76" i="1" s="1"/>
  <c r="BO109" i="1" a="1"/>
  <c r="BO109" i="1" s="1"/>
  <c r="BO100" i="1" a="1"/>
  <c r="BO100" i="1" s="1"/>
  <c r="CG368" i="1"/>
  <c r="BT368" i="1"/>
  <c r="BY368" i="1" s="1"/>
  <c r="BO368" i="1" a="1"/>
  <c r="BO368" i="1" s="1"/>
  <c r="CP383" i="1"/>
  <c r="CN383" i="1"/>
  <c r="CM383" i="1"/>
  <c r="CP352" i="1"/>
  <c r="CN352" i="1"/>
  <c r="CM352" i="1"/>
  <c r="CP183" i="1"/>
  <c r="CN183" i="1"/>
  <c r="CM183" i="1"/>
  <c r="CP407" i="1"/>
  <c r="CN407" i="1"/>
  <c r="CM407" i="1"/>
  <c r="CP393" i="1"/>
  <c r="CM393" i="1"/>
  <c r="CN393" i="1"/>
  <c r="CP339" i="1"/>
  <c r="CN339" i="1"/>
  <c r="CM339" i="1"/>
  <c r="CP377" i="1"/>
  <c r="CM377" i="1"/>
  <c r="CN377" i="1"/>
  <c r="CP44" i="1"/>
  <c r="CN44" i="1"/>
  <c r="CM44" i="1"/>
  <c r="BT350" i="1"/>
  <c r="BY350" i="1" s="1"/>
  <c r="BO350" i="1" a="1"/>
  <c r="BO350" i="1" s="1"/>
  <c r="CG350" i="1"/>
  <c r="CG220" i="1"/>
  <c r="BO220" i="1" a="1"/>
  <c r="BO220" i="1" s="1"/>
  <c r="BT220" i="1"/>
  <c r="BY220" i="1" s="1"/>
  <c r="BO52" i="1" a="1"/>
  <c r="BO52" i="1" s="1"/>
  <c r="BO19" i="1" a="1"/>
  <c r="BO19" i="1" s="1"/>
  <c r="BO189" i="1" a="1"/>
  <c r="BO189" i="1" s="1"/>
  <c r="BO85" i="1" a="1"/>
  <c r="BO85" i="1" s="1"/>
  <c r="BO190" i="1" a="1"/>
  <c r="BO190" i="1" s="1"/>
  <c r="BO64" i="1" a="1"/>
  <c r="BO64" i="1" s="1"/>
  <c r="BO311" i="1" a="1"/>
  <c r="BO311" i="1" s="1"/>
  <c r="BO120" i="1" a="1"/>
  <c r="BO120" i="1" s="1"/>
  <c r="BO337" i="1" a="1"/>
  <c r="BO337" i="1" s="1"/>
  <c r="BO354" i="1" a="1"/>
  <c r="BO354" i="1" s="1"/>
  <c r="CG354" i="1"/>
  <c r="BT354" i="1"/>
  <c r="BY354" i="1" s="1"/>
  <c r="CG224" i="1"/>
  <c r="CG225" i="1"/>
  <c r="BO225" i="1" a="1"/>
  <c r="BO225" i="1" s="1"/>
  <c r="BT225" i="1"/>
  <c r="BY225" i="1" s="1"/>
  <c r="BO193" i="1" a="1"/>
  <c r="BO193" i="1" s="1"/>
  <c r="BO134" i="1" a="1"/>
  <c r="BO134" i="1" s="1"/>
  <c r="BO283" i="1" a="1"/>
  <c r="BO283" i="1" s="1"/>
  <c r="BO306" i="1" a="1"/>
  <c r="BO306" i="1" s="1"/>
  <c r="BO161" i="1" a="1"/>
  <c r="BO161" i="1" s="1"/>
  <c r="BO42" i="1" a="1"/>
  <c r="BO42" i="1" s="1"/>
  <c r="BO33" i="1" a="1"/>
  <c r="BO33" i="1" s="1"/>
  <c r="CN262" i="1"/>
  <c r="CM262" i="1"/>
  <c r="CP262" i="1"/>
  <c r="CP338" i="1"/>
  <c r="CN338" i="1"/>
  <c r="CM338" i="1"/>
  <c r="CP398" i="1"/>
  <c r="CN398" i="1"/>
  <c r="CM398" i="1"/>
  <c r="CM349" i="1"/>
  <c r="CP349" i="1"/>
  <c r="CN349" i="1"/>
  <c r="CN35" i="1"/>
  <c r="CP35" i="1"/>
  <c r="CM35" i="1"/>
  <c r="BO17" i="1" a="1"/>
  <c r="BO17" i="1" s="1"/>
  <c r="BO181" i="1" a="1"/>
  <c r="BO181" i="1" s="1"/>
  <c r="BO322" i="1" a="1"/>
  <c r="BO322" i="1" s="1"/>
  <c r="BO36" i="1" a="1"/>
  <c r="BO36" i="1" s="1"/>
  <c r="BO146" i="1" a="1"/>
  <c r="BO146" i="1" s="1"/>
  <c r="BO119" i="1" a="1"/>
  <c r="BO119" i="1" s="1"/>
  <c r="BO238" i="1" a="1"/>
  <c r="BO238" i="1" s="1"/>
  <c r="BO148" i="1" a="1"/>
  <c r="BO148" i="1" s="1"/>
  <c r="BT353" i="1"/>
  <c r="BY353" i="1" s="1"/>
  <c r="CG353" i="1"/>
  <c r="BO353" i="1" a="1"/>
  <c r="BO353" i="1" s="1"/>
  <c r="BO215" i="1" a="1"/>
  <c r="BO215" i="1" s="1"/>
  <c r="CG382" i="1"/>
  <c r="BT382" i="1"/>
  <c r="BY382" i="1" s="1"/>
  <c r="BO382" i="1" a="1"/>
  <c r="BO382" i="1" s="1"/>
  <c r="BO302" i="1" a="1"/>
  <c r="BO302" i="1" s="1"/>
  <c r="BT395" i="1"/>
  <c r="BY395" i="1" s="1"/>
  <c r="BT241" i="1"/>
  <c r="BY241" i="1" s="1"/>
  <c r="BO241" i="1" a="1"/>
  <c r="BO241" i="1" s="1"/>
  <c r="CG241" i="1"/>
  <c r="BO274" i="1" a="1"/>
  <c r="BO274" i="1" s="1"/>
  <c r="BO106" i="1" a="1"/>
  <c r="BO106" i="1" s="1"/>
  <c r="CG106" i="1"/>
  <c r="BT106" i="1"/>
  <c r="BY106" i="1" s="1"/>
  <c r="CG387" i="1"/>
  <c r="BT387" i="1"/>
  <c r="BY387" i="1" s="1"/>
  <c r="BO387" i="1" a="1"/>
  <c r="BO387" i="1" s="1"/>
  <c r="BO115" i="1" a="1"/>
  <c r="BO115" i="1" s="1"/>
  <c r="BO250" i="1" a="1"/>
  <c r="BO250" i="1" s="1"/>
  <c r="BO82" i="1" a="1"/>
  <c r="BO82" i="1" s="1"/>
  <c r="BO195" i="1" a="1"/>
  <c r="BO195" i="1" s="1"/>
  <c r="CP182" i="1"/>
  <c r="CM182" i="1"/>
  <c r="CN182" i="1"/>
  <c r="CP360" i="1"/>
  <c r="CN360" i="1"/>
  <c r="CM360" i="1"/>
  <c r="CN346" i="1"/>
  <c r="CP346" i="1"/>
  <c r="CM346" i="1"/>
  <c r="CP386" i="1"/>
  <c r="CN386" i="1"/>
  <c r="CM386" i="1"/>
  <c r="CP376" i="1"/>
  <c r="CN376" i="1"/>
  <c r="CM376" i="1"/>
  <c r="CN389" i="1"/>
  <c r="CP389" i="1"/>
  <c r="CM389" i="1"/>
  <c r="CN280" i="1"/>
  <c r="CP280" i="1"/>
  <c r="CM280" i="1"/>
  <c r="BO333" i="1" a="1"/>
  <c r="BO333" i="1" s="1"/>
  <c r="BO180" i="1" a="1"/>
  <c r="BO180" i="1" s="1"/>
  <c r="BO228" i="1" a="1"/>
  <c r="BO228" i="1" s="1"/>
  <c r="BO84" i="1" a="1"/>
  <c r="BO84" i="1" s="1"/>
  <c r="BO281" i="1" a="1"/>
  <c r="BO281" i="1" s="1"/>
  <c r="BO389" i="1" a="1"/>
  <c r="BO389" i="1" s="1"/>
  <c r="CG389" i="1"/>
  <c r="BT389" i="1"/>
  <c r="BY389" i="1" s="1"/>
  <c r="BO219" i="1" a="1"/>
  <c r="BO219" i="1" s="1"/>
  <c r="BO24" i="1" a="1"/>
  <c r="BO24" i="1" s="1"/>
  <c r="BO269" i="1" a="1"/>
  <c r="BO269" i="1" s="1"/>
  <c r="BO50" i="1" a="1"/>
  <c r="BO50" i="1" s="1"/>
  <c r="BO184" i="1" a="1"/>
  <c r="BO184" i="1" s="1"/>
  <c r="BO232" i="1" a="1"/>
  <c r="BO232" i="1" s="1"/>
  <c r="CG386" i="1"/>
  <c r="BO386" i="1" a="1"/>
  <c r="BO386" i="1" s="1"/>
  <c r="BT386" i="1"/>
  <c r="BY386" i="1" s="1"/>
  <c r="BO257" i="1" a="1"/>
  <c r="BO257" i="1" s="1"/>
  <c r="BT338" i="1"/>
  <c r="BY338" i="1" s="1"/>
  <c r="BO338" i="1" a="1"/>
  <c r="BO338" i="1" s="1"/>
  <c r="CG338" i="1"/>
  <c r="BO397" i="1" a="1"/>
  <c r="BO397" i="1" s="1"/>
  <c r="CG397" i="1"/>
  <c r="BT397" i="1"/>
  <c r="BY397" i="1" s="1"/>
  <c r="BO135" i="1" a="1"/>
  <c r="BO135" i="1" s="1"/>
  <c r="BO202" i="1" a="1"/>
  <c r="BO202" i="1" s="1"/>
  <c r="BO55" i="1" a="1"/>
  <c r="BO55" i="1" s="1"/>
  <c r="BO320" i="1" a="1"/>
  <c r="BO320" i="1" s="1"/>
  <c r="BO162" i="1" a="1"/>
  <c r="BO162" i="1" s="1"/>
  <c r="CM224" i="1"/>
  <c r="CN224" i="1"/>
  <c r="CP224" i="1"/>
  <c r="CP348" i="1"/>
  <c r="CN348" i="1"/>
  <c r="CM348" i="1"/>
  <c r="CP388" i="1"/>
  <c r="CN388" i="1"/>
  <c r="CM388" i="1"/>
  <c r="CN179" i="1"/>
  <c r="CP179" i="1"/>
  <c r="CM179" i="1"/>
  <c r="CP243" i="1"/>
  <c r="CN243" i="1"/>
  <c r="CM243" i="1"/>
  <c r="CP409" i="1"/>
  <c r="CN409" i="1"/>
  <c r="CM409" i="1"/>
  <c r="CP357" i="1"/>
  <c r="CN357" i="1"/>
  <c r="CM357" i="1"/>
  <c r="CM396" i="1"/>
  <c r="CP396" i="1"/>
  <c r="CN396" i="1"/>
  <c r="BT44" i="1"/>
  <c r="BY44" i="1" s="1"/>
  <c r="BO44" i="1" a="1"/>
  <c r="BO44" i="1" s="1"/>
  <c r="CG44" i="1"/>
  <c r="BO110" i="1" a="1"/>
  <c r="BO110" i="1" s="1"/>
  <c r="BO138" i="1" a="1"/>
  <c r="BO138" i="1" s="1"/>
  <c r="CG197" i="1"/>
  <c r="BO197" i="1" a="1"/>
  <c r="BO197" i="1" s="1"/>
  <c r="BT197" i="1"/>
  <c r="BY197" i="1" s="1"/>
  <c r="BO95" i="1" a="1"/>
  <c r="BO95" i="1" s="1"/>
  <c r="BO127" i="1" a="1"/>
  <c r="BO127" i="1" s="1"/>
  <c r="BO139" i="1" a="1"/>
  <c r="BO139" i="1" s="1"/>
  <c r="BO165" i="1" a="1"/>
  <c r="BO165" i="1" s="1"/>
  <c r="BO72" i="1" a="1"/>
  <c r="BO72" i="1" s="1"/>
  <c r="BO319" i="1" a="1"/>
  <c r="BO319" i="1" s="1"/>
  <c r="BO128" i="1" a="1"/>
  <c r="BO128" i="1" s="1"/>
  <c r="BT128" i="1"/>
  <c r="BY128" i="1" s="1"/>
  <c r="CG128" i="1"/>
  <c r="BO183" i="1" a="1"/>
  <c r="BO183" i="1" s="1"/>
  <c r="BT385" i="1"/>
  <c r="BY385" i="1" s="1"/>
  <c r="BO385" i="1" a="1"/>
  <c r="BO385" i="1" s="1"/>
  <c r="CG385" i="1"/>
  <c r="CG403" i="1"/>
  <c r="BT403" i="1"/>
  <c r="BY403" i="1" s="1"/>
  <c r="BO403" i="1" a="1"/>
  <c r="BO403" i="1" s="1"/>
  <c r="BO113" i="1" a="1"/>
  <c r="BO113" i="1" s="1"/>
  <c r="BO75" i="1" a="1"/>
  <c r="BO75" i="1" s="1"/>
  <c r="BO28" i="1" a="1"/>
  <c r="BO28" i="1" s="1"/>
  <c r="CG412" i="1"/>
  <c r="BO412" i="1" a="1"/>
  <c r="BO412" i="1" s="1"/>
  <c r="BT412" i="1"/>
  <c r="BY412" i="1" s="1"/>
  <c r="BO217" i="1" a="1"/>
  <c r="BO217" i="1" s="1"/>
  <c r="BO81" i="1" a="1"/>
  <c r="BO81" i="1" s="1"/>
  <c r="BO296" i="1" a="1"/>
  <c r="BO296" i="1" s="1"/>
  <c r="BO123" i="1" a="1"/>
  <c r="BO123" i="1" s="1"/>
  <c r="BO278" i="1" a="1"/>
  <c r="BO278" i="1" s="1"/>
  <c r="BT203" i="1"/>
  <c r="BY203" i="1" s="1"/>
  <c r="CG203" i="1"/>
  <c r="BO203" i="1" a="1"/>
  <c r="BO203" i="1" s="1"/>
  <c r="BO290" i="1" a="1"/>
  <c r="BO290" i="1" s="1"/>
  <c r="CP401" i="1"/>
  <c r="CN401" i="1"/>
  <c r="CM401" i="1"/>
  <c r="CP359" i="1"/>
  <c r="CN359" i="1"/>
  <c r="CM359" i="1"/>
  <c r="CP364" i="1"/>
  <c r="CN364" i="1"/>
  <c r="CM364" i="1"/>
  <c r="CM347" i="1"/>
  <c r="CP347" i="1"/>
  <c r="CN347" i="1"/>
  <c r="CM69" i="1"/>
  <c r="CP69" i="1"/>
  <c r="CN69" i="1"/>
  <c r="CP379" i="1"/>
  <c r="CM379" i="1"/>
  <c r="CN379" i="1"/>
  <c r="BO341" i="1" a="1"/>
  <c r="BO341" i="1" s="1"/>
  <c r="BO357" i="1" a="1"/>
  <c r="BO357" i="1" s="1"/>
  <c r="CG357" i="1"/>
  <c r="BT357" i="1"/>
  <c r="BY357" i="1" s="1"/>
  <c r="BO236" i="1" a="1"/>
  <c r="BO236" i="1" s="1"/>
  <c r="BO291" i="1" a="1"/>
  <c r="BO291" i="1" s="1"/>
  <c r="BO60" i="1" a="1"/>
  <c r="BO60" i="1" s="1"/>
  <c r="BO118" i="1" a="1"/>
  <c r="BO118" i="1" s="1"/>
  <c r="BO45" i="1" a="1"/>
  <c r="BO45" i="1" s="1"/>
  <c r="BO101" i="1" a="1"/>
  <c r="BO101" i="1" s="1"/>
  <c r="BT101" i="1"/>
  <c r="BY101" i="1" s="1"/>
  <c r="CG101" i="1"/>
  <c r="BO38" i="1" a="1"/>
  <c r="BO38" i="1" s="1"/>
  <c r="BO15" i="1" a="1"/>
  <c r="BO15" i="1" s="1"/>
  <c r="BO336" i="1" a="1"/>
  <c r="BO336" i="1" s="1"/>
  <c r="BO312" i="1" a="1"/>
  <c r="BO312" i="1" s="1"/>
  <c r="CG361" i="1"/>
  <c r="BO361" i="1" a="1"/>
  <c r="BO361" i="1" s="1"/>
  <c r="BT361" i="1"/>
  <c r="BY361" i="1" s="1"/>
  <c r="BO66" i="1" a="1"/>
  <c r="BO66" i="1" s="1"/>
  <c r="BO114" i="1" a="1"/>
  <c r="BO114" i="1" s="1"/>
  <c r="BO142" i="1" a="1"/>
  <c r="BO142" i="1" s="1"/>
  <c r="BO233" i="1" a="1"/>
  <c r="BO233" i="1" s="1"/>
  <c r="BO168" i="1" a="1"/>
  <c r="BO168" i="1" s="1"/>
  <c r="CG54" i="1"/>
  <c r="BO54" i="1" a="1"/>
  <c r="BO54" i="1" s="1"/>
  <c r="BQ54" i="1" s="1"/>
  <c r="BT54" i="1"/>
  <c r="BY54" i="1" s="1"/>
  <c r="BO143" i="1" a="1"/>
  <c r="BO143" i="1" s="1"/>
  <c r="BO210" i="1" a="1"/>
  <c r="BO210" i="1" s="1"/>
  <c r="BO258" i="1" a="1"/>
  <c r="BO258" i="1" s="1"/>
  <c r="BO289" i="1" a="1"/>
  <c r="BO289" i="1" s="1"/>
  <c r="BO307" i="1" a="1"/>
  <c r="BO307" i="1" s="1"/>
  <c r="BO108" i="1" a="1"/>
  <c r="BO108" i="1" s="1"/>
  <c r="BO298" i="1" a="1"/>
  <c r="BO298" i="1" s="1"/>
  <c r="CP351" i="1"/>
  <c r="CN351" i="1"/>
  <c r="CM351" i="1"/>
  <c r="CM225" i="1"/>
  <c r="CN225" i="1"/>
  <c r="CP225" i="1"/>
  <c r="CP387" i="1"/>
  <c r="CN387" i="1"/>
  <c r="CM387" i="1"/>
  <c r="CP68" i="1"/>
  <c r="CN68" i="1"/>
  <c r="CM68" i="1"/>
  <c r="CP408" i="1"/>
  <c r="CN408" i="1"/>
  <c r="CM408" i="1"/>
  <c r="CN356" i="1"/>
  <c r="CP356" i="1"/>
  <c r="CM356" i="1"/>
  <c r="CP251" i="1"/>
  <c r="CM251" i="1"/>
  <c r="CN251" i="1"/>
  <c r="CN101" i="1"/>
  <c r="CP101" i="1"/>
  <c r="CM101" i="1"/>
  <c r="CP410" i="1"/>
  <c r="CN410" i="1"/>
  <c r="CM410" i="1"/>
  <c r="CP404" i="1"/>
  <c r="CN404" i="1"/>
  <c r="CM404" i="1"/>
  <c r="BO188" i="1" a="1"/>
  <c r="BO188" i="1" s="1"/>
  <c r="BO63" i="1" a="1"/>
  <c r="BO63" i="1" s="1"/>
  <c r="BT309" i="1"/>
  <c r="BY309" i="1" s="1"/>
  <c r="CG309" i="1"/>
  <c r="BO309" i="1" a="1"/>
  <c r="BO309" i="1" s="1"/>
  <c r="BQ370" i="1"/>
  <c r="BO246" i="1" a="1"/>
  <c r="BO246" i="1" s="1"/>
  <c r="BO96" i="1" a="1"/>
  <c r="BO96" i="1" s="1"/>
  <c r="BO328" i="1" a="1"/>
  <c r="BO328" i="1" s="1"/>
  <c r="BO360" i="1" a="1"/>
  <c r="BO360" i="1" s="1"/>
  <c r="BT360" i="1"/>
  <c r="BY360" i="1" s="1"/>
  <c r="CG360" i="1"/>
  <c r="BO231" i="1" a="1"/>
  <c r="BO231" i="1" s="1"/>
  <c r="BO273" i="1" a="1"/>
  <c r="BO273" i="1" s="1"/>
  <c r="BO65" i="1" a="1"/>
  <c r="BO65" i="1" s="1"/>
  <c r="BO259" i="1" a="1"/>
  <c r="BO259" i="1" s="1"/>
  <c r="CG330" i="1"/>
  <c r="BT330" i="1"/>
  <c r="BY330" i="1" s="1"/>
  <c r="BO330" i="1" a="1"/>
  <c r="BO330" i="1" s="1"/>
  <c r="BO271" i="1" a="1"/>
  <c r="BO271" i="1" s="1"/>
  <c r="BO305" i="1" a="1"/>
  <c r="BO305" i="1" s="1"/>
  <c r="BO131" i="1" a="1"/>
  <c r="BO131" i="1" s="1"/>
  <c r="BO177" i="1" a="1"/>
  <c r="BO177" i="1" s="1"/>
  <c r="BO170" i="1" a="1"/>
  <c r="BO170" i="1" s="1"/>
  <c r="BT170" i="1"/>
  <c r="BY170" i="1" s="1"/>
  <c r="CG170" i="1"/>
  <c r="BO243" i="1" a="1"/>
  <c r="BO243" i="1" s="1"/>
  <c r="BT243" i="1"/>
  <c r="BY243" i="1" s="1"/>
  <c r="CG243" i="1"/>
  <c r="CM261" i="1"/>
  <c r="CN261" i="1"/>
  <c r="CP261" i="1"/>
  <c r="CP363" i="1"/>
  <c r="CN363" i="1"/>
  <c r="CM363" i="1"/>
  <c r="CN344" i="1"/>
  <c r="CP344" i="1"/>
  <c r="CM344" i="1"/>
  <c r="CN47" i="1"/>
  <c r="CM47" i="1"/>
  <c r="CP47" i="1"/>
  <c r="BO244" i="1" a="1"/>
  <c r="BO244" i="1" s="1"/>
  <c r="BO299" i="1" a="1"/>
  <c r="BO299" i="1" s="1"/>
  <c r="BO205" i="1" a="1"/>
  <c r="BO205" i="1" s="1"/>
  <c r="BO126" i="1" a="1"/>
  <c r="BO126" i="1" s="1"/>
  <c r="BO334" i="1" a="1"/>
  <c r="BO334" i="1" s="1"/>
  <c r="BO213" i="1" a="1"/>
  <c r="BO213" i="1" s="1"/>
  <c r="BO383" i="1" a="1"/>
  <c r="BO383" i="1" s="1"/>
  <c r="CG383" i="1"/>
  <c r="BT383" i="1"/>
  <c r="BY383" i="1" s="1"/>
  <c r="BO358" i="1" a="1"/>
  <c r="BO358" i="1" s="1"/>
  <c r="BT358" i="1"/>
  <c r="BY358" i="1" s="1"/>
  <c r="CG358" i="1"/>
  <c r="CB370" i="1"/>
  <c r="CI370" i="1" s="1"/>
  <c r="CA370" i="1"/>
  <c r="BZ370" i="1"/>
  <c r="BO147" i="1" a="1"/>
  <c r="BO147" i="1" s="1"/>
  <c r="BO173" i="1" a="1"/>
  <c r="BO173" i="1" s="1"/>
  <c r="CG173" i="1"/>
  <c r="BT173" i="1"/>
  <c r="BY173" i="1" s="1"/>
  <c r="BO78" i="1" a="1"/>
  <c r="BO78" i="1" s="1"/>
  <c r="BO133" i="1" a="1"/>
  <c r="BO133" i="1" s="1"/>
  <c r="BO265" i="1" a="1"/>
  <c r="BO265" i="1" s="1"/>
  <c r="BO346" i="1" a="1"/>
  <c r="BO346" i="1" s="1"/>
  <c r="BT346" i="1"/>
  <c r="BY346" i="1" s="1"/>
  <c r="CG346" i="1"/>
  <c r="BO365" i="1" a="1"/>
  <c r="BO365" i="1" s="1"/>
  <c r="CG365" i="1"/>
  <c r="BT365" i="1"/>
  <c r="BY365" i="1" s="1"/>
  <c r="BO74" i="1" a="1"/>
  <c r="BO74" i="1" s="1"/>
  <c r="CG393" i="1"/>
  <c r="BT393" i="1"/>
  <c r="BY393" i="1" s="1"/>
  <c r="BO393" i="1" a="1"/>
  <c r="BO393" i="1" s="1"/>
  <c r="BQ393" i="1" s="1"/>
  <c r="BT362" i="1"/>
  <c r="BY362" i="1" s="1"/>
  <c r="BO362" i="1" a="1"/>
  <c r="BO362" i="1" s="1"/>
  <c r="CG362" i="1"/>
  <c r="CG377" i="1"/>
  <c r="BT377" i="1"/>
  <c r="BY377" i="1" s="1"/>
  <c r="BO377" i="1" a="1"/>
  <c r="BO377" i="1" s="1"/>
  <c r="BO297" i="1" a="1"/>
  <c r="BO297" i="1" s="1"/>
  <c r="CP369" i="1"/>
  <c r="CM369" i="1"/>
  <c r="CN369" i="1"/>
  <c r="CP252" i="1"/>
  <c r="CN252" i="1"/>
  <c r="CM252" i="1"/>
  <c r="CN390" i="1"/>
  <c r="CM390" i="1"/>
  <c r="CP390" i="1"/>
  <c r="CP392" i="1"/>
  <c r="CN392" i="1"/>
  <c r="CM392" i="1"/>
  <c r="BO152" i="1" a="1"/>
  <c r="BO152" i="1" s="1"/>
  <c r="BO379" i="1" a="1"/>
  <c r="BO379" i="1" s="1"/>
  <c r="CG379" i="1"/>
  <c r="BT379" i="1"/>
  <c r="BY379" i="1" s="1"/>
  <c r="BT400" i="1"/>
  <c r="BY400" i="1" s="1"/>
  <c r="BO400" i="1" a="1"/>
  <c r="BO400" i="1" s="1"/>
  <c r="CG400" i="1"/>
  <c r="BO327" i="1" a="1"/>
  <c r="BO327" i="1" s="1"/>
  <c r="BT352" i="1"/>
  <c r="BY352" i="1" s="1"/>
  <c r="CG352" i="1"/>
  <c r="BO352" i="1" a="1"/>
  <c r="BO352" i="1" s="1"/>
  <c r="BO254" i="1" a="1"/>
  <c r="BO254" i="1" s="1"/>
  <c r="BO46" i="1" a="1"/>
  <c r="BO46" i="1" s="1"/>
  <c r="BO104" i="1" a="1"/>
  <c r="BO104" i="1" s="1"/>
  <c r="BT344" i="1"/>
  <c r="BY344" i="1" s="1"/>
  <c r="CG344" i="1"/>
  <c r="BO344" i="1" a="1"/>
  <c r="BO344" i="1" s="1"/>
  <c r="CG364" i="1"/>
  <c r="BO364" i="1" a="1"/>
  <c r="BO364" i="1" s="1"/>
  <c r="BT364" i="1"/>
  <c r="BY364" i="1" s="1"/>
  <c r="BO239" i="1" a="1"/>
  <c r="BO239" i="1" s="1"/>
  <c r="BO26" i="1" a="1"/>
  <c r="BO26" i="1" s="1"/>
  <c r="BO159" i="1" a="1"/>
  <c r="BO159" i="1" s="1"/>
  <c r="BO248" i="1" a="1"/>
  <c r="BO248" i="1" s="1"/>
  <c r="BO40" i="1" a="1"/>
  <c r="BO40" i="1" s="1"/>
  <c r="BO160" i="1" a="1"/>
  <c r="BO160" i="1" s="1"/>
  <c r="CG396" i="1"/>
  <c r="BO396" i="1" a="1"/>
  <c r="BO396" i="1" s="1"/>
  <c r="BQ396" i="1" s="1"/>
  <c r="BT396" i="1"/>
  <c r="BY396" i="1" s="1"/>
  <c r="CG178" i="1"/>
  <c r="BT178" i="1"/>
  <c r="BY178" i="1" s="1"/>
  <c r="BO178" i="1" a="1"/>
  <c r="BO178" i="1" s="1"/>
  <c r="BO218" i="1" a="1"/>
  <c r="BO218" i="1" s="1"/>
  <c r="BO264" i="1" a="1"/>
  <c r="BO264" i="1" s="1"/>
  <c r="BO398" i="1" a="1"/>
  <c r="BO398" i="1" s="1"/>
  <c r="BT398" i="1"/>
  <c r="BY398" i="1" s="1"/>
  <c r="CG398" i="1"/>
  <c r="BO116" i="1" a="1"/>
  <c r="BO116" i="1" s="1"/>
  <c r="BO332" i="1" a="1"/>
  <c r="BO332" i="1" s="1"/>
  <c r="BO349" i="1" a="1"/>
  <c r="BO349" i="1" s="1"/>
  <c r="CG349" i="1"/>
  <c r="BT349" i="1"/>
  <c r="BY349" i="1" s="1"/>
  <c r="BO43" i="1" a="1"/>
  <c r="BO43" i="1" s="1"/>
  <c r="CP358" i="1"/>
  <c r="CM358" i="1"/>
  <c r="CN358" i="1"/>
  <c r="CP411" i="1"/>
  <c r="CN411" i="1"/>
  <c r="CM411" i="1"/>
  <c r="CP343" i="1"/>
  <c r="CN343" i="1"/>
  <c r="CM343" i="1"/>
  <c r="CP128" i="1"/>
  <c r="CN128" i="1"/>
  <c r="CM128" i="1"/>
  <c r="CP345" i="1"/>
  <c r="CN345" i="1"/>
  <c r="CM345" i="1"/>
  <c r="CN374" i="1"/>
  <c r="CM374" i="1"/>
  <c r="CP374" i="1"/>
  <c r="CP395" i="1"/>
  <c r="CN395" i="1"/>
  <c r="CM395" i="1"/>
  <c r="CP354" i="1"/>
  <c r="CN354" i="1"/>
  <c r="CM354" i="1"/>
  <c r="CP241" i="1"/>
  <c r="CN241" i="1"/>
  <c r="CM241" i="1"/>
  <c r="CN178" i="1"/>
  <c r="CP178" i="1"/>
  <c r="CM178" i="1"/>
  <c r="BT369" i="1"/>
  <c r="BY369" i="1" s="1"/>
  <c r="BO369" i="1" a="1"/>
  <c r="BO369" i="1" s="1"/>
  <c r="CG369" i="1"/>
  <c r="BT252" i="1"/>
  <c r="BY252" i="1" s="1"/>
  <c r="CG252" i="1"/>
  <c r="BO252" i="1" a="1"/>
  <c r="BO252" i="1" s="1"/>
  <c r="BO229" i="1" a="1"/>
  <c r="BO229" i="1" s="1"/>
  <c r="BO77" i="1" a="1"/>
  <c r="BO77" i="1" s="1"/>
  <c r="BO153" i="1" a="1"/>
  <c r="BO153" i="1" s="1"/>
  <c r="BO237" i="1" a="1"/>
  <c r="BO237" i="1" s="1"/>
  <c r="BO221" i="1" a="1"/>
  <c r="BO221" i="1" s="1"/>
  <c r="BO22" i="1" a="1"/>
  <c r="BO22" i="1" s="1"/>
  <c r="BO411" i="1" a="1"/>
  <c r="BO411" i="1" s="1"/>
  <c r="BT411" i="1"/>
  <c r="BY411" i="1" s="1"/>
  <c r="CG411" i="1"/>
  <c r="BO335" i="1" a="1"/>
  <c r="BO335" i="1" s="1"/>
  <c r="BO86" i="1" a="1"/>
  <c r="BO86" i="1" s="1"/>
  <c r="BO25" i="1" a="1"/>
  <c r="BO25" i="1" s="1"/>
  <c r="BO73" i="1" a="1"/>
  <c r="BO73" i="1" s="1"/>
  <c r="BO405" i="1" a="1"/>
  <c r="BO405" i="1" s="1"/>
  <c r="CG405" i="1"/>
  <c r="BT405" i="1"/>
  <c r="BY405" i="1" s="1"/>
  <c r="BO129" i="1" a="1"/>
  <c r="BO129" i="1" s="1"/>
  <c r="BO192" i="1" a="1"/>
  <c r="BO192" i="1" s="1"/>
  <c r="BO41" i="1" a="1"/>
  <c r="BO41" i="1" s="1"/>
  <c r="BO263" i="1" a="1"/>
  <c r="BO263" i="1" s="1"/>
  <c r="BO211" i="1" a="1"/>
  <c r="BO211" i="1" s="1"/>
  <c r="BO209" i="1" a="1"/>
  <c r="BO209" i="1" s="1"/>
  <c r="BO227" i="1" a="1"/>
  <c r="BO227" i="1" s="1"/>
  <c r="BO31" i="1" a="1"/>
  <c r="BO31" i="1" s="1"/>
  <c r="BO284" i="1" a="1"/>
  <c r="BO284" i="1" s="1"/>
  <c r="BO279" i="1" a="1"/>
  <c r="BO279" i="1" s="1"/>
  <c r="BO124" i="1" a="1"/>
  <c r="BO124" i="1" s="1"/>
  <c r="CM381" i="1"/>
  <c r="CP381" i="1"/>
  <c r="CN381" i="1"/>
  <c r="CM371" i="1"/>
  <c r="CP371" i="1"/>
  <c r="CN371" i="1"/>
  <c r="CP368" i="1"/>
  <c r="CN368" i="1"/>
  <c r="CM368" i="1"/>
  <c r="CP372" i="1"/>
  <c r="CN372" i="1"/>
  <c r="CM372" i="1"/>
  <c r="CN406" i="1"/>
  <c r="CP406" i="1"/>
  <c r="CM406" i="1"/>
  <c r="BO155" i="1" a="1"/>
  <c r="BO155" i="1" s="1"/>
  <c r="BO260" i="1" a="1"/>
  <c r="BO260" i="1" s="1"/>
  <c r="BO286" i="1" a="1"/>
  <c r="BO286" i="1" s="1"/>
  <c r="BO94" i="1" a="1"/>
  <c r="BO94" i="1" s="1"/>
  <c r="BO326" i="1" a="1"/>
  <c r="BO326" i="1" s="1"/>
  <c r="BO214" i="1" a="1"/>
  <c r="BO214" i="1" s="1"/>
  <c r="BT262" i="1"/>
  <c r="BY262" i="1" s="1"/>
  <c r="BO262" i="1" a="1"/>
  <c r="BO262" i="1" s="1"/>
  <c r="CG262" i="1"/>
  <c r="BO282" i="1" a="1"/>
  <c r="BO282" i="1" s="1"/>
  <c r="BO303" i="1" a="1"/>
  <c r="BO303" i="1" s="1"/>
  <c r="BT345" i="1"/>
  <c r="BY345" i="1" s="1"/>
  <c r="CG345" i="1"/>
  <c r="BO345" i="1" a="1"/>
  <c r="BO345" i="1" s="1"/>
  <c r="BO191" i="1" a="1"/>
  <c r="BO191" i="1" s="1"/>
  <c r="BT399" i="1"/>
  <c r="BY399" i="1" s="1"/>
  <c r="CG399" i="1"/>
  <c r="BO399" i="1" a="1"/>
  <c r="BO399" i="1" s="1"/>
  <c r="BO57" i="1" a="1"/>
  <c r="BO57" i="1" s="1"/>
  <c r="BO256" i="1" a="1"/>
  <c r="BO256" i="1" s="1"/>
  <c r="BO80" i="1" a="1"/>
  <c r="BO80" i="1" s="1"/>
  <c r="BO59" i="1" a="1"/>
  <c r="BO59" i="1" s="1"/>
  <c r="BT404" i="1"/>
  <c r="BY404" i="1" s="1"/>
  <c r="CG404" i="1"/>
  <c r="BO404" i="1" a="1"/>
  <c r="BO404" i="1" s="1"/>
  <c r="BO130" i="1" a="1"/>
  <c r="BO130" i="1" s="1"/>
  <c r="BO89" i="1" a="1"/>
  <c r="BO89" i="1" s="1"/>
  <c r="BT407" i="1"/>
  <c r="BY407" i="1" s="1"/>
  <c r="CG407" i="1"/>
  <c r="BO407" i="1" a="1"/>
  <c r="BO407" i="1" s="1"/>
  <c r="CG339" i="1"/>
  <c r="BO339" i="1" a="1"/>
  <c r="BO339" i="1" s="1"/>
  <c r="BT339" i="1"/>
  <c r="BY339" i="1" s="1"/>
  <c r="CG355" i="1"/>
  <c r="BO355" i="1" a="1"/>
  <c r="BO355" i="1" s="1"/>
  <c r="BT355" i="1"/>
  <c r="BY355" i="1" s="1"/>
  <c r="CG371" i="1"/>
  <c r="BT371" i="1"/>
  <c r="BY371" i="1" s="1"/>
  <c r="BO371" i="1" a="1"/>
  <c r="BO371" i="1" s="1"/>
  <c r="BO92" i="1" a="1"/>
  <c r="BO92" i="1" s="1"/>
  <c r="CG179" i="1"/>
  <c r="BO179" i="1" a="1"/>
  <c r="BO179" i="1" s="1"/>
  <c r="BT179" i="1"/>
  <c r="BY179" i="1" s="1"/>
  <c r="BO285" i="1" a="1"/>
  <c r="BO285" i="1" s="1"/>
  <c r="CP154" i="1"/>
  <c r="CN154" i="1"/>
  <c r="CM154" i="1"/>
  <c r="CP382" i="1"/>
  <c r="CN382" i="1"/>
  <c r="CM382" i="1"/>
  <c r="CN403" i="1"/>
  <c r="CM403" i="1"/>
  <c r="CP403" i="1"/>
  <c r="CP355" i="1"/>
  <c r="CN355" i="1"/>
  <c r="CM355" i="1"/>
  <c r="BO196" i="1" a="1"/>
  <c r="BO196" i="1" s="1"/>
  <c r="BO245" i="1" a="1"/>
  <c r="BO245" i="1" s="1"/>
  <c r="BO103" i="1" a="1"/>
  <c r="BO103" i="1" s="1"/>
  <c r="BO23" i="1" a="1"/>
  <c r="BO23" i="1" s="1"/>
  <c r="CG182" i="1"/>
  <c r="BT182" i="1"/>
  <c r="BY182" i="1" s="1"/>
  <c r="BO182" i="1" a="1"/>
  <c r="BO182" i="1" s="1"/>
  <c r="BO293" i="1" a="1"/>
  <c r="BO293" i="1" s="1"/>
  <c r="BO247" i="1" a="1"/>
  <c r="BO247" i="1" s="1"/>
  <c r="BO39" i="1" a="1"/>
  <c r="BO39" i="1" s="1"/>
  <c r="BO16" i="1" a="1"/>
  <c r="BO16" i="1" s="1"/>
  <c r="BO97" i="1" a="1"/>
  <c r="BO97" i="1" s="1"/>
  <c r="BO167" i="1" a="1"/>
  <c r="BO167" i="1" s="1"/>
  <c r="BO200" i="1" a="1"/>
  <c r="BO200" i="1" s="1"/>
  <c r="BO276" i="1" a="1"/>
  <c r="BO276" i="1" s="1"/>
  <c r="BO347" i="1" a="1"/>
  <c r="BO347" i="1" s="1"/>
  <c r="BT347" i="1"/>
  <c r="BY347" i="1" s="1"/>
  <c r="CG347" i="1"/>
  <c r="BO150" i="1" a="1"/>
  <c r="BO150" i="1" s="1"/>
  <c r="BO226" i="1" a="1"/>
  <c r="BO226" i="1" s="1"/>
  <c r="BO132" i="1" a="1"/>
  <c r="BO132" i="1" s="1"/>
  <c r="BO316" i="1" a="1"/>
  <c r="BO316" i="1" s="1"/>
  <c r="CP21" i="1"/>
  <c r="CN21" i="1"/>
  <c r="CM21" i="1"/>
  <c r="CM384" i="1"/>
  <c r="CP384" i="1"/>
  <c r="CN384" i="1"/>
  <c r="CN361" i="1"/>
  <c r="CM361" i="1"/>
  <c r="CP361" i="1"/>
  <c r="CM397" i="1"/>
  <c r="CP397" i="1"/>
  <c r="CN397" i="1"/>
  <c r="CP56" i="1"/>
  <c r="CN56" i="1"/>
  <c r="CM56" i="1"/>
  <c r="BO300" i="1" a="1"/>
  <c r="BO300" i="1" s="1"/>
  <c r="BO317" i="1" a="1"/>
  <c r="BO317" i="1" s="1"/>
  <c r="BO18" i="1" a="1"/>
  <c r="BO18" i="1" s="1"/>
  <c r="BO253" i="1" a="1"/>
  <c r="BO253" i="1" s="1"/>
  <c r="BO91" i="1" a="1"/>
  <c r="BO91" i="1" s="1"/>
  <c r="BO268" i="1" a="1"/>
  <c r="BO268" i="1" s="1"/>
  <c r="CG381" i="1"/>
  <c r="BT381" i="1"/>
  <c r="BY381" i="1" s="1"/>
  <c r="BO381" i="1" a="1"/>
  <c r="BO381" i="1" s="1"/>
  <c r="BO324" i="1" a="1"/>
  <c r="BO324" i="1" s="1"/>
  <c r="BO158" i="1" a="1"/>
  <c r="BO158" i="1" s="1"/>
  <c r="BO79" i="1" a="1"/>
  <c r="BO79" i="1" s="1"/>
  <c r="BO53" i="1" a="1"/>
  <c r="BO53" i="1" s="1"/>
  <c r="BO88" i="1" a="1"/>
  <c r="BO88" i="1" s="1"/>
  <c r="CG366" i="1"/>
  <c r="BO313" i="1" a="1"/>
  <c r="BO313" i="1" s="1"/>
  <c r="BO29" i="1" a="1"/>
  <c r="BO29" i="1" s="1"/>
  <c r="BO48" i="1" a="1"/>
  <c r="BO48" i="1" s="1"/>
  <c r="BO249" i="1" a="1"/>
  <c r="BO249" i="1" s="1"/>
  <c r="BO93" i="1" a="1"/>
  <c r="BO93" i="1" s="1"/>
  <c r="BO99" i="1" a="1"/>
  <c r="BO99" i="1" s="1"/>
  <c r="BO186" i="1" a="1"/>
  <c r="BO186" i="1" s="1"/>
  <c r="CG56" i="1"/>
  <c r="BO56" i="1" a="1"/>
  <c r="BO56" i="1" s="1"/>
  <c r="BT56" i="1"/>
  <c r="BY56" i="1" s="1"/>
  <c r="CG388" i="1"/>
  <c r="BT388" i="1"/>
  <c r="BY388" i="1" s="1"/>
  <c r="BO388" i="1" a="1"/>
  <c r="BO388" i="1" s="1"/>
  <c r="BT308" i="1"/>
  <c r="BY308" i="1" s="1"/>
  <c r="CG308" i="1"/>
  <c r="BO308" i="1" a="1"/>
  <c r="BO308" i="1" s="1"/>
  <c r="BO340" i="1" a="1"/>
  <c r="BO340" i="1" s="1"/>
  <c r="CG356" i="1"/>
  <c r="BT356" i="1"/>
  <c r="BY356" i="1" s="1"/>
  <c r="BO356" i="1" a="1"/>
  <c r="BO356" i="1" s="1"/>
  <c r="EO339" i="1"/>
  <c r="DY339" i="1"/>
  <c r="BP339" i="1" s="1" a="1"/>
  <c r="BP339" i="1" s="1"/>
  <c r="EV396" i="1"/>
  <c r="EX396" i="1"/>
  <c r="DY357" i="1"/>
  <c r="BP357" i="1" s="1" a="1"/>
  <c r="BP357" i="1" s="1"/>
  <c r="CX369" i="1"/>
  <c r="DY369" i="1"/>
  <c r="BP369" i="1" s="1" a="1"/>
  <c r="BP369" i="1" s="1"/>
  <c r="EX387" i="1"/>
  <c r="EV387" i="1"/>
  <c r="EX349" i="1"/>
  <c r="EV349" i="1"/>
  <c r="DY356" i="1"/>
  <c r="BP356" i="1" s="1" a="1"/>
  <c r="BP356" i="1" s="1"/>
  <c r="EO356" i="1"/>
  <c r="AB88" i="1"/>
  <c r="AI88" i="1" s="1"/>
  <c r="AB267" i="1"/>
  <c r="AI267" i="1" s="1"/>
  <c r="AB26" i="1"/>
  <c r="AI26" i="1" s="1"/>
  <c r="AB40" i="1"/>
  <c r="AI40" i="1" s="1"/>
  <c r="AB134" i="1"/>
  <c r="AI134" i="1" s="1"/>
  <c r="AB115" i="1"/>
  <c r="AI115" i="1" s="1"/>
  <c r="AB35" i="1"/>
  <c r="AB310" i="1"/>
  <c r="AI310" i="1" s="1"/>
  <c r="AB173" i="1"/>
  <c r="AB230" i="1"/>
  <c r="AI230" i="1" s="1"/>
  <c r="AB268" i="1"/>
  <c r="AI268" i="1" s="1"/>
  <c r="AB303" i="1"/>
  <c r="AI303" i="1" s="1"/>
  <c r="AB158" i="1"/>
  <c r="AI158" i="1" s="1"/>
  <c r="AB207" i="1"/>
  <c r="AB159" i="1"/>
  <c r="AI159" i="1" s="1"/>
  <c r="AB201" i="1"/>
  <c r="AI201" i="1" s="1"/>
  <c r="AB48" i="1"/>
  <c r="AI48" i="1" s="1"/>
  <c r="AB306" i="1"/>
  <c r="AI306" i="1" s="1"/>
  <c r="AB194" i="1"/>
  <c r="AI194" i="1" s="1"/>
  <c r="AB371" i="1"/>
  <c r="AB377" i="1"/>
  <c r="AB151" i="1"/>
  <c r="AI151" i="1" s="1"/>
  <c r="AB265" i="1"/>
  <c r="AI265" i="1" s="1"/>
  <c r="AB34" i="1"/>
  <c r="AB298" i="1"/>
  <c r="AI298" i="1" s="1"/>
  <c r="AB390" i="1"/>
  <c r="AB291" i="1"/>
  <c r="AI291" i="1" s="1"/>
  <c r="AB90" i="1"/>
  <c r="AI90" i="1" s="1"/>
  <c r="AB110" i="1"/>
  <c r="AI110" i="1" s="1"/>
  <c r="EX347" i="1"/>
  <c r="EV347" i="1"/>
  <c r="AB281" i="1"/>
  <c r="AI281" i="1" s="1"/>
  <c r="AB320" i="1"/>
  <c r="AI320" i="1" s="1"/>
  <c r="AB79" i="1"/>
  <c r="AI79" i="1" s="1"/>
  <c r="AB153" i="1"/>
  <c r="AI153" i="1" s="1"/>
  <c r="AB351" i="1"/>
  <c r="AB292" i="1"/>
  <c r="AI292" i="1" s="1"/>
  <c r="AB343" i="1"/>
  <c r="AB148" i="1"/>
  <c r="AI148" i="1" s="1"/>
  <c r="AB247" i="1"/>
  <c r="AI247" i="1" s="1"/>
  <c r="AB405" i="1"/>
  <c r="AB329" i="1"/>
  <c r="AI329" i="1" s="1"/>
  <c r="AB216" i="1"/>
  <c r="AI216" i="1" s="1"/>
  <c r="AB256" i="1"/>
  <c r="AI256" i="1" s="1"/>
  <c r="AB66" i="1"/>
  <c r="AI66" i="1" s="1"/>
  <c r="AB347" i="1"/>
  <c r="AB241" i="1"/>
  <c r="AB296" i="1"/>
  <c r="AI296" i="1" s="1"/>
  <c r="AB150" i="1"/>
  <c r="AI150" i="1" s="1"/>
  <c r="AB33" i="1"/>
  <c r="AI33" i="1" s="1"/>
  <c r="AB195" i="1"/>
  <c r="AI195" i="1" s="1"/>
  <c r="AB235" i="1"/>
  <c r="AI235" i="1" s="1"/>
  <c r="AB93" i="1"/>
  <c r="AI93" i="1" s="1"/>
  <c r="AB109" i="1"/>
  <c r="AI109" i="1" s="1"/>
  <c r="AB260" i="1"/>
  <c r="AI260" i="1" s="1"/>
  <c r="AB317" i="1"/>
  <c r="AI317" i="1" s="1"/>
  <c r="AB301" i="1"/>
  <c r="AI301" i="1" s="1"/>
  <c r="AB29" i="1"/>
  <c r="AI29" i="1" s="1"/>
  <c r="AB407" i="1"/>
  <c r="AB197" i="1"/>
  <c r="AB237" i="1"/>
  <c r="AI237" i="1" s="1"/>
  <c r="AB61" i="1"/>
  <c r="AI61" i="1" s="1"/>
  <c r="AB380" i="1"/>
  <c r="AB190" i="1"/>
  <c r="AI190" i="1" s="1"/>
  <c r="AB96" i="1"/>
  <c r="AI96" i="1" s="1"/>
  <c r="AB128" i="1"/>
  <c r="AB360" i="1"/>
  <c r="AB304" i="1"/>
  <c r="AI304" i="1" s="1"/>
  <c r="AB361" i="1"/>
  <c r="AB276" i="1"/>
  <c r="AI276" i="1" s="1"/>
  <c r="AB142" i="1"/>
  <c r="AI142" i="1" s="1"/>
  <c r="AB283" i="1"/>
  <c r="AI283" i="1" s="1"/>
  <c r="AB123" i="1"/>
  <c r="AI123" i="1" s="1"/>
  <c r="AB178" i="1"/>
  <c r="AB242" i="1"/>
  <c r="AI242" i="1" s="1"/>
  <c r="AB92" i="1"/>
  <c r="AI92" i="1" s="1"/>
  <c r="AB108" i="1"/>
  <c r="AI108" i="1" s="1"/>
  <c r="AB179" i="1"/>
  <c r="AB378" i="1"/>
  <c r="AB155" i="1"/>
  <c r="AI155" i="1" s="1"/>
  <c r="AB196" i="1"/>
  <c r="AI196" i="1" s="1"/>
  <c r="AB228" i="1"/>
  <c r="AI228" i="1" s="1"/>
  <c r="AB44" i="1"/>
  <c r="AB129" i="1"/>
  <c r="AI129" i="1" s="1"/>
  <c r="AB295" i="1"/>
  <c r="AI295" i="1" s="1"/>
  <c r="AB305" i="1"/>
  <c r="AI305" i="1" s="1"/>
  <c r="AB114" i="1"/>
  <c r="AI114" i="1" s="1"/>
  <c r="AB140" i="1"/>
  <c r="AI140" i="1" s="1"/>
  <c r="AB234" i="1"/>
  <c r="AI234" i="1" s="1"/>
  <c r="AB398" i="1"/>
  <c r="AB103" i="1"/>
  <c r="AI103" i="1" s="1"/>
  <c r="AB327" i="1"/>
  <c r="AI327" i="1" s="1"/>
  <c r="AB381" i="1"/>
  <c r="AB394" i="1"/>
  <c r="AB104" i="1"/>
  <c r="AI104" i="1" s="1"/>
  <c r="AB328" i="1"/>
  <c r="AI328" i="1" s="1"/>
  <c r="AB166" i="1"/>
  <c r="AI166" i="1" s="1"/>
  <c r="AB215" i="1"/>
  <c r="AI215" i="1" s="1"/>
  <c r="AB255" i="1"/>
  <c r="AI255" i="1" s="1"/>
  <c r="AB39" i="1"/>
  <c r="AI39" i="1" s="1"/>
  <c r="AB385" i="1"/>
  <c r="AB167" i="1"/>
  <c r="AI167" i="1" s="1"/>
  <c r="AB53" i="1"/>
  <c r="AI53" i="1" s="1"/>
  <c r="AB185" i="1"/>
  <c r="AI185" i="1" s="1"/>
  <c r="AB209" i="1"/>
  <c r="AI209" i="1" s="1"/>
  <c r="AB30" i="1"/>
  <c r="AI30" i="1" s="1"/>
  <c r="AB99" i="1"/>
  <c r="AI99" i="1" s="1"/>
  <c r="AB135" i="1"/>
  <c r="AI135" i="1" s="1"/>
  <c r="AB202" i="1"/>
  <c r="AI202" i="1" s="1"/>
  <c r="AB56" i="1"/>
  <c r="AB136" i="1"/>
  <c r="AI136" i="1" s="1"/>
  <c r="AB62" i="1"/>
  <c r="AI62" i="1" s="1"/>
  <c r="AB372" i="1"/>
  <c r="AB137" i="1"/>
  <c r="AI137" i="1" s="1"/>
  <c r="AB180" i="1"/>
  <c r="AI180" i="1" s="1"/>
  <c r="AB87" i="1"/>
  <c r="AI87" i="1" s="1"/>
  <c r="AB406" i="1"/>
  <c r="AB127" i="1"/>
  <c r="AI127" i="1" s="1"/>
  <c r="AB339" i="1"/>
  <c r="AB205" i="1"/>
  <c r="AI205" i="1" s="1"/>
  <c r="AB401" i="1"/>
  <c r="AB300" i="1"/>
  <c r="AI300" i="1" s="1"/>
  <c r="AB154" i="1"/>
  <c r="AB352" i="1"/>
  <c r="AB198" i="1"/>
  <c r="AI198" i="1" s="1"/>
  <c r="AB272" i="1"/>
  <c r="AI272" i="1" s="1"/>
  <c r="AB97" i="1"/>
  <c r="AI97" i="1" s="1"/>
  <c r="AB337" i="1"/>
  <c r="AI337" i="1" s="1"/>
  <c r="AB74" i="1"/>
  <c r="AI74" i="1" s="1"/>
  <c r="AB160" i="1"/>
  <c r="AI160" i="1" s="1"/>
  <c r="AB249" i="1"/>
  <c r="AI249" i="1" s="1"/>
  <c r="AB387" i="1"/>
  <c r="AB397" i="1"/>
  <c r="AB284" i="1"/>
  <c r="AI284" i="1" s="1"/>
  <c r="AB82" i="1"/>
  <c r="AI82" i="1" s="1"/>
  <c r="AB285" i="1"/>
  <c r="AI285" i="1" s="1"/>
  <c r="AB145" i="1"/>
  <c r="AI145" i="1" s="1"/>
  <c r="AB70" i="1"/>
  <c r="AI70" i="1" s="1"/>
  <c r="AB309" i="1"/>
  <c r="AB118" i="1"/>
  <c r="AI118" i="1" s="1"/>
  <c r="AB19" i="1"/>
  <c r="AI19" i="1" s="1"/>
  <c r="AB238" i="1"/>
  <c r="AI238" i="1" s="1"/>
  <c r="AB65" i="1"/>
  <c r="AI65" i="1" s="1"/>
  <c r="AB131" i="1"/>
  <c r="AI131" i="1" s="1"/>
  <c r="AB315" i="1"/>
  <c r="AI315" i="1" s="1"/>
  <c r="AB116" i="1"/>
  <c r="AI116" i="1" s="1"/>
  <c r="AB356" i="1"/>
  <c r="AB203" i="1"/>
  <c r="AB243" i="1"/>
  <c r="AB89" i="1"/>
  <c r="AI89" i="1" s="1"/>
  <c r="AB316" i="1"/>
  <c r="AI316" i="1" s="1"/>
  <c r="AB117" i="1"/>
  <c r="AI117" i="1" s="1"/>
  <c r="AB391" i="1"/>
  <c r="AB266" i="1"/>
  <c r="AI266" i="1" s="1"/>
  <c r="AB280" i="1"/>
  <c r="AB299" i="1"/>
  <c r="AI299" i="1" s="1"/>
  <c r="AB410" i="1"/>
  <c r="AB25" i="1"/>
  <c r="AI25" i="1" s="1"/>
  <c r="AB156" i="1"/>
  <c r="AB181" i="1"/>
  <c r="AI181" i="1" s="1"/>
  <c r="AB383" i="1"/>
  <c r="AB139" i="1"/>
  <c r="AI139" i="1" s="1"/>
  <c r="AB182" i="1"/>
  <c r="AB24" i="1"/>
  <c r="AI24" i="1" s="1"/>
  <c r="AB324" i="1"/>
  <c r="AI324" i="1" s="1"/>
  <c r="AB174" i="1"/>
  <c r="AI174" i="1" s="1"/>
  <c r="AB364" i="1"/>
  <c r="AB223" i="1"/>
  <c r="AI223" i="1" s="1"/>
  <c r="AB47" i="1"/>
  <c r="AB395" i="1"/>
  <c r="AB175" i="1"/>
  <c r="AI175" i="1" s="1"/>
  <c r="AB365" i="1"/>
  <c r="AB224" i="1"/>
  <c r="AB270" i="1"/>
  <c r="AI270" i="1" s="1"/>
  <c r="AB362" i="1"/>
  <c r="AB41" i="1"/>
  <c r="AI41" i="1" s="1"/>
  <c r="AB393" i="1"/>
  <c r="AB143" i="1"/>
  <c r="AI143" i="1" s="1"/>
  <c r="AB355" i="1"/>
  <c r="AB250" i="1"/>
  <c r="AI250" i="1" s="1"/>
  <c r="AB32" i="1"/>
  <c r="AI32" i="1" s="1"/>
  <c r="AB162" i="1"/>
  <c r="AI162" i="1" s="1"/>
  <c r="AB15" i="1"/>
  <c r="AI15" i="1" s="1"/>
  <c r="AB236" i="1"/>
  <c r="AI236" i="1" s="1"/>
  <c r="EX358" i="1"/>
  <c r="EV358" i="1"/>
  <c r="AB78" i="1"/>
  <c r="AI78" i="1" s="1"/>
  <c r="AB392" i="1"/>
  <c r="AB396" i="1"/>
  <c r="AB122" i="1"/>
  <c r="AI122" i="1" s="1"/>
  <c r="AB336" i="1"/>
  <c r="AI336" i="1" s="1"/>
  <c r="AB95" i="1"/>
  <c r="AI95" i="1" s="1"/>
  <c r="AB206" i="1"/>
  <c r="AI206" i="1" s="1"/>
  <c r="AB246" i="1"/>
  <c r="AI246" i="1" s="1"/>
  <c r="AB384" i="1"/>
  <c r="AB49" i="1"/>
  <c r="AI49" i="1" s="1"/>
  <c r="AB105" i="1"/>
  <c r="AI105" i="1" s="1"/>
  <c r="AB50" i="1"/>
  <c r="AI50" i="1" s="1"/>
  <c r="AB375" i="1"/>
  <c r="AB22" i="1"/>
  <c r="AI22" i="1" s="1"/>
  <c r="AB168" i="1"/>
  <c r="AI168" i="1" s="1"/>
  <c r="AB107" i="1"/>
  <c r="AI107" i="1" s="1"/>
  <c r="AB348" i="1"/>
  <c r="AB388" i="1"/>
  <c r="AB289" i="1"/>
  <c r="AI289" i="1" s="1"/>
  <c r="AB409" i="1"/>
  <c r="AB125" i="1"/>
  <c r="AI125" i="1" s="1"/>
  <c r="AB163" i="1"/>
  <c r="AI163" i="1" s="1"/>
  <c r="AB204" i="1"/>
  <c r="AI204" i="1" s="1"/>
  <c r="AB98" i="1"/>
  <c r="AI98" i="1" s="1"/>
  <c r="AB282" i="1"/>
  <c r="AI282" i="1" s="1"/>
  <c r="EV156" i="1"/>
  <c r="AB20" i="1"/>
  <c r="AI20" i="1" s="1"/>
  <c r="AB213" i="1"/>
  <c r="AI213" i="1" s="1"/>
  <c r="AB36" i="1"/>
  <c r="AI36" i="1" s="1"/>
  <c r="AB111" i="1"/>
  <c r="AI111" i="1" s="1"/>
  <c r="AB37" i="1"/>
  <c r="AI37" i="1" s="1"/>
  <c r="AB402" i="1"/>
  <c r="AB344" i="1"/>
  <c r="AB73" i="1"/>
  <c r="AI73" i="1" s="1"/>
  <c r="AB232" i="1"/>
  <c r="AI232" i="1" s="1"/>
  <c r="AB330" i="1"/>
  <c r="AB217" i="1"/>
  <c r="AI217" i="1" s="1"/>
  <c r="AB31" i="1"/>
  <c r="AI31" i="1" s="1"/>
  <c r="AB161" i="1"/>
  <c r="AI161" i="1" s="1"/>
  <c r="AB210" i="1"/>
  <c r="AI210" i="1" s="1"/>
  <c r="AB258" i="1"/>
  <c r="AI258" i="1" s="1"/>
  <c r="AB55" i="1"/>
  <c r="AI55" i="1" s="1"/>
  <c r="AB144" i="1"/>
  <c r="AI144" i="1" s="1"/>
  <c r="AB211" i="1"/>
  <c r="AI211" i="1" s="1"/>
  <c r="AB333" i="1"/>
  <c r="AI333" i="1" s="1"/>
  <c r="AB357" i="1"/>
  <c r="AB52" i="1"/>
  <c r="AI52" i="1" s="1"/>
  <c r="AB400" i="1"/>
  <c r="AB102" i="1"/>
  <c r="AI102" i="1" s="1"/>
  <c r="AB126" i="1"/>
  <c r="AI126" i="1" s="1"/>
  <c r="AB294" i="1"/>
  <c r="AI294" i="1" s="1"/>
  <c r="AB245" i="1"/>
  <c r="AI245" i="1" s="1"/>
  <c r="AB146" i="1"/>
  <c r="AI146" i="1" s="1"/>
  <c r="AB358" i="1"/>
  <c r="AB63" i="1"/>
  <c r="AI63" i="1" s="1"/>
  <c r="AB147" i="1"/>
  <c r="AI147" i="1" s="1"/>
  <c r="AB157" i="1"/>
  <c r="AI157" i="1" s="1"/>
  <c r="AB38" i="1"/>
  <c r="AI38" i="1" s="1"/>
  <c r="AB354" i="1"/>
  <c r="AB192" i="1"/>
  <c r="AI192" i="1" s="1"/>
  <c r="AB274" i="1"/>
  <c r="AI274" i="1" s="1"/>
  <c r="AB51" i="1"/>
  <c r="AI51" i="1" s="1"/>
  <c r="AB366" i="1"/>
  <c r="AB257" i="1"/>
  <c r="AI257" i="1" s="1"/>
  <c r="AB277" i="1"/>
  <c r="AI277" i="1" s="1"/>
  <c r="AB67" i="1"/>
  <c r="AI67" i="1" s="1"/>
  <c r="AB54" i="1"/>
  <c r="AB186" i="1"/>
  <c r="AI186" i="1" s="1"/>
  <c r="AB42" i="1"/>
  <c r="AI42" i="1" s="1"/>
  <c r="AB408" i="1"/>
  <c r="AB124" i="1"/>
  <c r="AI124" i="1" s="1"/>
  <c r="AB170" i="1"/>
  <c r="AB187" i="1"/>
  <c r="AI187" i="1" s="1"/>
  <c r="AB43" i="1"/>
  <c r="AI43" i="1" s="1"/>
  <c r="AB389" i="1"/>
  <c r="AB83" i="1"/>
  <c r="AI83" i="1" s="1"/>
  <c r="AB373" i="1"/>
  <c r="AB229" i="1"/>
  <c r="AI229" i="1" s="1"/>
  <c r="AB164" i="1"/>
  <c r="AI164" i="1" s="1"/>
  <c r="AB253" i="1"/>
  <c r="AI253" i="1" s="1"/>
  <c r="AB318" i="1"/>
  <c r="AI318" i="1" s="1"/>
  <c r="AB359" i="1"/>
  <c r="AB214" i="1"/>
  <c r="AI214" i="1" s="1"/>
  <c r="AB254" i="1"/>
  <c r="AI254" i="1" s="1"/>
  <c r="AB112" i="1"/>
  <c r="AI112" i="1" s="1"/>
  <c r="AB353" i="1"/>
  <c r="AB191" i="1"/>
  <c r="AI191" i="1" s="1"/>
  <c r="AB403" i="1"/>
  <c r="AB325" i="1"/>
  <c r="AI325" i="1" s="1"/>
  <c r="AB200" i="1"/>
  <c r="AI200" i="1" s="1"/>
  <c r="AB240" i="1"/>
  <c r="AI240" i="1" s="1"/>
  <c r="AB338" i="1"/>
  <c r="AB176" i="1"/>
  <c r="AI176" i="1" s="1"/>
  <c r="AB263" i="1"/>
  <c r="AI263" i="1" s="1"/>
  <c r="AB58" i="1"/>
  <c r="AI58" i="1" s="1"/>
  <c r="AB218" i="1"/>
  <c r="AI218" i="1" s="1"/>
  <c r="AB297" i="1"/>
  <c r="AI297" i="1" s="1"/>
  <c r="AB332" i="1"/>
  <c r="AI332" i="1" s="1"/>
  <c r="AB251" i="1"/>
  <c r="AB308" i="1"/>
  <c r="AB133" i="1"/>
  <c r="AI133" i="1" s="1"/>
  <c r="AB212" i="1"/>
  <c r="AI212" i="1" s="1"/>
  <c r="AB379" i="1"/>
  <c r="AB80" i="1"/>
  <c r="AI80" i="1" s="1"/>
  <c r="AB404" i="1"/>
  <c r="AB130" i="1"/>
  <c r="AI130" i="1" s="1"/>
  <c r="AB23" i="1"/>
  <c r="AI23" i="1" s="1"/>
  <c r="AB189" i="1"/>
  <c r="AI189" i="1" s="1"/>
  <c r="AB221" i="1"/>
  <c r="AI221" i="1" s="1"/>
  <c r="AB45" i="1"/>
  <c r="AI45" i="1" s="1"/>
  <c r="AB77" i="1"/>
  <c r="AI77" i="1" s="1"/>
  <c r="AB21" i="1"/>
  <c r="AB64" i="1"/>
  <c r="AI64" i="1" s="1"/>
  <c r="AB311" i="1"/>
  <c r="AI311" i="1" s="1"/>
  <c r="AB269" i="1"/>
  <c r="AI269" i="1" s="1"/>
  <c r="AB57" i="1"/>
  <c r="AI57" i="1" s="1"/>
  <c r="AB346" i="1"/>
  <c r="AB225" i="1"/>
  <c r="AB314" i="1"/>
  <c r="AI314" i="1" s="1"/>
  <c r="AB331" i="1"/>
  <c r="AB169" i="1"/>
  <c r="AI169" i="1" s="1"/>
  <c r="AB68" i="1"/>
  <c r="AB307" i="1"/>
  <c r="AI307" i="1" s="1"/>
  <c r="AB132" i="1"/>
  <c r="AI132" i="1" s="1"/>
  <c r="AB219" i="1"/>
  <c r="AI219" i="1" s="1"/>
  <c r="AB290" i="1"/>
  <c r="AI290" i="1" s="1"/>
  <c r="AB341" i="1"/>
  <c r="AI341" i="1" s="1"/>
  <c r="AB171" i="1"/>
  <c r="AI171" i="1" s="1"/>
  <c r="AB188" i="1"/>
  <c r="AI188" i="1" s="1"/>
  <c r="AB86" i="1"/>
  <c r="AI86" i="1" s="1"/>
  <c r="AB138" i="1"/>
  <c r="AI138" i="1" s="1"/>
  <c r="AB323" i="1"/>
  <c r="AI323" i="1" s="1"/>
  <c r="AB334" i="1"/>
  <c r="AI334" i="1" s="1"/>
  <c r="AB71" i="1"/>
  <c r="AI71" i="1" s="1"/>
  <c r="AB119" i="1"/>
  <c r="AI119" i="1" s="1"/>
  <c r="AB335" i="1"/>
  <c r="AI335" i="1" s="1"/>
  <c r="AB165" i="1"/>
  <c r="AI165" i="1" s="1"/>
  <c r="AB46" i="1"/>
  <c r="AI46" i="1" s="1"/>
  <c r="AB345" i="1"/>
  <c r="AB231" i="1"/>
  <c r="AI231" i="1" s="1"/>
  <c r="AB273" i="1"/>
  <c r="AI273" i="1" s="1"/>
  <c r="AB374" i="1"/>
  <c r="AB28" i="1"/>
  <c r="AI28" i="1" s="1"/>
  <c r="AB193" i="1"/>
  <c r="AI193" i="1" s="1"/>
  <c r="AB75" i="1"/>
  <c r="AI75" i="1" s="1"/>
  <c r="AB81" i="1"/>
  <c r="AI81" i="1" s="1"/>
  <c r="AB226" i="1"/>
  <c r="AI226" i="1" s="1"/>
  <c r="AB264" i="1"/>
  <c r="AI264" i="1" s="1"/>
  <c r="AB100" i="1"/>
  <c r="AI100" i="1" s="1"/>
  <c r="AB259" i="1"/>
  <c r="AI259" i="1" s="1"/>
  <c r="AB279" i="1"/>
  <c r="AI279" i="1" s="1"/>
  <c r="AB101" i="1"/>
  <c r="EX400" i="1"/>
  <c r="EV400" i="1"/>
  <c r="AB244" i="1"/>
  <c r="AI244" i="1" s="1"/>
  <c r="AB286" i="1"/>
  <c r="AI286" i="1" s="1"/>
  <c r="AB84" i="1"/>
  <c r="AI84" i="1" s="1"/>
  <c r="AB94" i="1"/>
  <c r="AI94" i="1" s="1"/>
  <c r="AB326" i="1"/>
  <c r="AI326" i="1" s="1"/>
  <c r="AB18" i="1"/>
  <c r="AI18" i="1" s="1"/>
  <c r="AB106" i="1"/>
  <c r="AB261" i="1"/>
  <c r="AB222" i="1"/>
  <c r="AI222" i="1" s="1"/>
  <c r="AB262" i="1"/>
  <c r="AB319" i="1"/>
  <c r="AI319" i="1" s="1"/>
  <c r="AB120" i="1"/>
  <c r="AI120" i="1" s="1"/>
  <c r="AB239" i="1"/>
  <c r="AI239" i="1" s="1"/>
  <c r="AB312" i="1"/>
  <c r="AI312" i="1" s="1"/>
  <c r="AB184" i="1"/>
  <c r="AI184" i="1" s="1"/>
  <c r="AB248" i="1"/>
  <c r="AI248" i="1" s="1"/>
  <c r="AB386" i="1"/>
  <c r="AB149" i="1"/>
  <c r="AI149" i="1" s="1"/>
  <c r="AB233" i="1"/>
  <c r="AI233" i="1" s="1"/>
  <c r="AB271" i="1"/>
  <c r="AI271" i="1" s="1"/>
  <c r="AB376" i="1"/>
  <c r="AB367" i="1"/>
  <c r="AB278" i="1"/>
  <c r="AI278" i="1" s="1"/>
  <c r="AB340" i="1"/>
  <c r="AI340" i="1" s="1"/>
  <c r="AB368" i="1"/>
  <c r="AB69" i="1"/>
  <c r="AB16" i="1"/>
  <c r="AI16" i="1" s="1"/>
  <c r="AB17" i="1"/>
  <c r="AI17" i="1" s="1"/>
  <c r="AB322" i="1"/>
  <c r="AI322" i="1" s="1"/>
  <c r="AB293" i="1"/>
  <c r="AI293" i="1" s="1"/>
  <c r="AB302" i="1"/>
  <c r="AI302" i="1" s="1"/>
  <c r="AB342" i="1"/>
  <c r="AI342" i="1" s="1"/>
  <c r="AB172" i="1"/>
  <c r="AI172" i="1" s="1"/>
  <c r="AB60" i="1"/>
  <c r="AI60" i="1" s="1"/>
  <c r="AB91" i="1"/>
  <c r="AI91" i="1" s="1"/>
  <c r="AB411" i="1"/>
  <c r="AB85" i="1"/>
  <c r="AI85" i="1" s="1"/>
  <c r="AB363" i="1"/>
  <c r="AB72" i="1"/>
  <c r="AI72" i="1" s="1"/>
  <c r="AB183" i="1"/>
  <c r="AB199" i="1"/>
  <c r="AI199" i="1" s="1"/>
  <c r="AB382" i="1"/>
  <c r="AB113" i="1"/>
  <c r="AI113" i="1" s="1"/>
  <c r="AB141" i="1"/>
  <c r="AI141" i="1" s="1"/>
  <c r="AB208" i="1"/>
  <c r="AI208" i="1" s="1"/>
  <c r="AB59" i="1"/>
  <c r="AI59" i="1" s="1"/>
  <c r="AB288" i="1"/>
  <c r="AI288" i="1" s="1"/>
  <c r="AG370" i="1"/>
  <c r="AC370" i="1"/>
  <c r="AB177" i="1"/>
  <c r="AI177" i="1" s="1"/>
  <c r="AB76" i="1"/>
  <c r="AI76" i="1" s="1"/>
  <c r="AB14" i="1"/>
  <c r="AI14" i="1" s="1"/>
  <c r="AB349" i="1"/>
  <c r="AB227" i="1"/>
  <c r="AI227" i="1" s="1"/>
  <c r="AB399" i="1"/>
  <c r="AB321" i="1"/>
  <c r="AI321" i="1" s="1"/>
  <c r="AB152" i="1"/>
  <c r="AI152" i="1" s="1"/>
  <c r="AB350" i="1"/>
  <c r="AB369" i="1"/>
  <c r="AB220" i="1"/>
  <c r="AB252" i="1"/>
  <c r="AB121" i="1"/>
  <c r="AI121" i="1" s="1"/>
  <c r="AB27" i="1"/>
  <c r="AI27" i="1" s="1"/>
  <c r="AB313" i="1"/>
  <c r="AI313" i="1" s="1"/>
  <c r="AB412" i="1"/>
  <c r="EX21" i="1"/>
  <c r="EV21" i="1"/>
  <c r="EM202" i="1"/>
  <c r="EM172" i="1"/>
  <c r="EM236" i="1"/>
  <c r="EM106" i="1"/>
  <c r="EM107" i="1"/>
  <c r="EM346" i="1"/>
  <c r="EM186" i="1"/>
  <c r="EM344" i="1"/>
  <c r="EM60" i="1"/>
  <c r="EQ412" i="1"/>
  <c r="EQ362" i="1"/>
  <c r="EQ69" i="1"/>
  <c r="EQ224" i="1"/>
  <c r="EG220" i="1"/>
  <c r="EG69" i="1"/>
  <c r="EQ280" i="1"/>
  <c r="EQ262" i="1"/>
  <c r="EG370" i="1"/>
  <c r="EQ370" i="1"/>
  <c r="EQ391" i="1"/>
  <c r="EQ406" i="1"/>
  <c r="EG406" i="1"/>
  <c r="EQ410" i="1"/>
  <c r="EG280" i="1"/>
  <c r="EQ383" i="1"/>
  <c r="EQ128" i="1"/>
  <c r="EQ402" i="1"/>
  <c r="E13" i="1"/>
  <c r="D13" i="1"/>
  <c r="E7" i="1"/>
  <c r="D7" i="1"/>
  <c r="H13" i="1"/>
  <c r="CU13" i="1" s="1"/>
  <c r="H7" i="1"/>
  <c r="G13" i="1"/>
  <c r="CT13" i="1" s="1"/>
  <c r="G7" i="1"/>
  <c r="K7" i="1"/>
  <c r="K13" i="1"/>
  <c r="J7" i="1"/>
  <c r="J13" i="1"/>
  <c r="B7" i="1"/>
  <c r="N57" i="5"/>
  <c r="L57" i="5"/>
  <c r="U57" i="5" s="1"/>
  <c r="J57" i="5" s="1"/>
  <c r="N56" i="5"/>
  <c r="L56" i="5"/>
  <c r="U56" i="5" s="1"/>
  <c r="J56" i="5" s="1"/>
  <c r="N55" i="5"/>
  <c r="L55" i="5"/>
  <c r="U55" i="5" s="1"/>
  <c r="J55" i="5" s="1"/>
  <c r="N54" i="5"/>
  <c r="L54" i="5"/>
  <c r="U54" i="5" s="1"/>
  <c r="J54" i="5" s="1"/>
  <c r="N53" i="5"/>
  <c r="L53" i="5"/>
  <c r="U53" i="5" s="1"/>
  <c r="J53" i="5" s="1"/>
  <c r="N52" i="5"/>
  <c r="L52" i="5"/>
  <c r="U52" i="5" s="1"/>
  <c r="J52" i="5" s="1"/>
  <c r="N51" i="5"/>
  <c r="L51" i="5"/>
  <c r="U51" i="5" s="1"/>
  <c r="J51" i="5" s="1"/>
  <c r="N50" i="5"/>
  <c r="L50" i="5"/>
  <c r="U50" i="5" s="1"/>
  <c r="J50" i="5" s="1"/>
  <c r="N49" i="5"/>
  <c r="L49" i="5"/>
  <c r="U49" i="5" s="1"/>
  <c r="J49" i="5" s="1"/>
  <c r="N48" i="5"/>
  <c r="L48" i="5"/>
  <c r="U48" i="5" s="1"/>
  <c r="J48" i="5" s="1"/>
  <c r="N47" i="5"/>
  <c r="L47" i="5"/>
  <c r="U47" i="5" s="1"/>
  <c r="J47" i="5" s="1"/>
  <c r="N46" i="5"/>
  <c r="L46" i="5"/>
  <c r="U46" i="5" s="1"/>
  <c r="J46" i="5" s="1"/>
  <c r="N45" i="5"/>
  <c r="L45" i="5"/>
  <c r="U45" i="5" s="1"/>
  <c r="J45" i="5" s="1"/>
  <c r="N44" i="5"/>
  <c r="L44" i="5"/>
  <c r="U44" i="5" s="1"/>
  <c r="J44" i="5" s="1"/>
  <c r="N43" i="5"/>
  <c r="L43" i="5"/>
  <c r="U43" i="5" s="1"/>
  <c r="J43" i="5" s="1"/>
  <c r="N42" i="5"/>
  <c r="L42" i="5"/>
  <c r="U42" i="5" s="1"/>
  <c r="J42" i="5" s="1"/>
  <c r="N41" i="5"/>
  <c r="L41" i="5"/>
  <c r="U41" i="5" s="1"/>
  <c r="J41" i="5" s="1"/>
  <c r="N40" i="5"/>
  <c r="L40" i="5"/>
  <c r="U40" i="5" s="1"/>
  <c r="J40" i="5" s="1"/>
  <c r="N39" i="5"/>
  <c r="L39" i="5"/>
  <c r="U39" i="5" s="1"/>
  <c r="J39" i="5" s="1"/>
  <c r="N38" i="5"/>
  <c r="L38" i="5"/>
  <c r="U38" i="5" s="1"/>
  <c r="J38" i="5" s="1"/>
  <c r="N37" i="5"/>
  <c r="L37" i="5"/>
  <c r="U37" i="5" s="1"/>
  <c r="J37" i="5" s="1"/>
  <c r="N36" i="5"/>
  <c r="L36" i="5"/>
  <c r="U36" i="5" s="1"/>
  <c r="J36" i="5" s="1"/>
  <c r="N35" i="5"/>
  <c r="L35" i="5"/>
  <c r="U35" i="5" s="1"/>
  <c r="J35" i="5" s="1"/>
  <c r="N34" i="5"/>
  <c r="L34" i="5"/>
  <c r="U34" i="5" s="1"/>
  <c r="J34" i="5" s="1"/>
  <c r="N33" i="5"/>
  <c r="L33" i="5"/>
  <c r="U33" i="5" s="1"/>
  <c r="J33" i="5" s="1"/>
  <c r="N32" i="5"/>
  <c r="L32" i="5"/>
  <c r="U32" i="5" s="1"/>
  <c r="J32" i="5" s="1"/>
  <c r="N31" i="5"/>
  <c r="L31" i="5"/>
  <c r="U31" i="5" s="1"/>
  <c r="J31" i="5" s="1"/>
  <c r="N30" i="5"/>
  <c r="L30" i="5"/>
  <c r="U30" i="5" s="1"/>
  <c r="J30" i="5" s="1"/>
  <c r="B13" i="1"/>
  <c r="Q13" i="1" s="1"/>
  <c r="BV7" i="1"/>
  <c r="M13" i="1"/>
  <c r="L57" i="15"/>
  <c r="K57" i="15"/>
  <c r="N57" i="15" s="1"/>
  <c r="L56" i="15"/>
  <c r="K56" i="15"/>
  <c r="N56" i="15" s="1"/>
  <c r="L55" i="15"/>
  <c r="K55" i="15"/>
  <c r="N55" i="15" s="1"/>
  <c r="L54" i="15"/>
  <c r="K54" i="15"/>
  <c r="N54" i="15" s="1"/>
  <c r="L53" i="15"/>
  <c r="K53" i="15"/>
  <c r="N53" i="15" s="1"/>
  <c r="L52" i="15"/>
  <c r="K52" i="15"/>
  <c r="N52" i="15" s="1"/>
  <c r="L51" i="15"/>
  <c r="K51" i="15"/>
  <c r="N51" i="15" s="1"/>
  <c r="L50" i="15"/>
  <c r="K50" i="15"/>
  <c r="N50" i="15" s="1"/>
  <c r="L49" i="15"/>
  <c r="K49" i="15"/>
  <c r="N49" i="15" s="1"/>
  <c r="L48" i="15"/>
  <c r="K48" i="15"/>
  <c r="N48" i="15" s="1"/>
  <c r="L47" i="15"/>
  <c r="K47" i="15"/>
  <c r="N47" i="15" s="1"/>
  <c r="L46" i="15"/>
  <c r="K46" i="15"/>
  <c r="N46" i="15" s="1"/>
  <c r="L45" i="15"/>
  <c r="K45" i="15"/>
  <c r="N45" i="15" s="1"/>
  <c r="L44" i="15"/>
  <c r="K44" i="15"/>
  <c r="N44" i="15" s="1"/>
  <c r="L43" i="15"/>
  <c r="K43" i="15"/>
  <c r="N43" i="15" s="1"/>
  <c r="L42" i="15"/>
  <c r="K42" i="15"/>
  <c r="N42" i="15" s="1"/>
  <c r="L41" i="15"/>
  <c r="K41" i="15"/>
  <c r="N41" i="15" s="1"/>
  <c r="L40" i="15"/>
  <c r="K40" i="15"/>
  <c r="N40" i="15" s="1"/>
  <c r="L39" i="15"/>
  <c r="K39" i="15"/>
  <c r="N39" i="15" s="1"/>
  <c r="L38" i="15"/>
  <c r="K38" i="15"/>
  <c r="N38" i="15" s="1"/>
  <c r="L37" i="15"/>
  <c r="K37" i="15"/>
  <c r="N37" i="15" s="1"/>
  <c r="L36" i="15"/>
  <c r="K36" i="15"/>
  <c r="N36" i="15" s="1"/>
  <c r="L35" i="15"/>
  <c r="K35" i="15"/>
  <c r="N35" i="15" s="1"/>
  <c r="L34" i="15"/>
  <c r="K34" i="15"/>
  <c r="N34" i="15" s="1"/>
  <c r="L33" i="15"/>
  <c r="K33" i="15"/>
  <c r="N33" i="15" s="1"/>
  <c r="L32" i="15"/>
  <c r="K32" i="15"/>
  <c r="N32" i="15" s="1"/>
  <c r="L31" i="15"/>
  <c r="K31" i="15"/>
  <c r="N31" i="15" s="1"/>
  <c r="L30" i="15"/>
  <c r="K30" i="15"/>
  <c r="N30" i="15" s="1"/>
  <c r="L29" i="15"/>
  <c r="K29" i="15"/>
  <c r="N29" i="15" s="1"/>
  <c r="L28" i="15"/>
  <c r="K28" i="15"/>
  <c r="N28" i="15" s="1"/>
  <c r="L27" i="15"/>
  <c r="K27" i="15"/>
  <c r="N27" i="15" s="1"/>
  <c r="L26" i="15"/>
  <c r="K26" i="15"/>
  <c r="N26" i="15" s="1"/>
  <c r="L25" i="15"/>
  <c r="K25" i="15"/>
  <c r="N25" i="15" s="1"/>
  <c r="L24" i="15"/>
  <c r="K24" i="15"/>
  <c r="N24" i="15" s="1"/>
  <c r="L23" i="15"/>
  <c r="K23" i="15"/>
  <c r="N23" i="15" s="1"/>
  <c r="L22" i="15"/>
  <c r="K22" i="15"/>
  <c r="N22" i="15" s="1"/>
  <c r="L21" i="15"/>
  <c r="K21" i="15"/>
  <c r="N21" i="15" s="1"/>
  <c r="L20" i="15"/>
  <c r="K20" i="15"/>
  <c r="L19" i="15"/>
  <c r="L18" i="15"/>
  <c r="K18" i="15"/>
  <c r="N18" i="15" s="1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P7" i="15"/>
  <c r="K7" i="15"/>
  <c r="O7" i="5"/>
  <c r="M7" i="1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D407" i="5"/>
  <c r="C407" i="5"/>
  <c r="B407" i="5"/>
  <c r="D406" i="5"/>
  <c r="C406" i="5"/>
  <c r="B406" i="5"/>
  <c r="D405" i="5"/>
  <c r="C405" i="5"/>
  <c r="B405" i="5"/>
  <c r="D404" i="5"/>
  <c r="C404" i="5"/>
  <c r="B404" i="5"/>
  <c r="D403" i="5"/>
  <c r="C403" i="5"/>
  <c r="B403" i="5"/>
  <c r="D402" i="5"/>
  <c r="C402" i="5"/>
  <c r="B402" i="5"/>
  <c r="D401" i="5"/>
  <c r="C401" i="5"/>
  <c r="B401" i="5"/>
  <c r="D400" i="5"/>
  <c r="C400" i="5"/>
  <c r="B400" i="5"/>
  <c r="D399" i="5"/>
  <c r="C399" i="5"/>
  <c r="B399" i="5"/>
  <c r="D398" i="5"/>
  <c r="C398" i="5"/>
  <c r="B398" i="5"/>
  <c r="D397" i="5"/>
  <c r="C397" i="5"/>
  <c r="B397" i="5"/>
  <c r="D396" i="5"/>
  <c r="C396" i="5"/>
  <c r="B396" i="5"/>
  <c r="D395" i="5"/>
  <c r="C395" i="5"/>
  <c r="B395" i="5"/>
  <c r="D394" i="5"/>
  <c r="C394" i="5"/>
  <c r="B394" i="5"/>
  <c r="D393" i="5"/>
  <c r="C393" i="5"/>
  <c r="B393" i="5"/>
  <c r="D392" i="5"/>
  <c r="C392" i="5"/>
  <c r="B392" i="5"/>
  <c r="D391" i="5"/>
  <c r="C391" i="5"/>
  <c r="B391" i="5"/>
  <c r="D390" i="5"/>
  <c r="C390" i="5"/>
  <c r="B390" i="5"/>
  <c r="D389" i="5"/>
  <c r="C389" i="5"/>
  <c r="B389" i="5"/>
  <c r="D388" i="5"/>
  <c r="C388" i="5"/>
  <c r="B388" i="5"/>
  <c r="D387" i="5"/>
  <c r="C387" i="5"/>
  <c r="B387" i="5"/>
  <c r="D386" i="5"/>
  <c r="C386" i="5"/>
  <c r="B386" i="5"/>
  <c r="D385" i="5"/>
  <c r="C385" i="5"/>
  <c r="B385" i="5"/>
  <c r="D384" i="5"/>
  <c r="C384" i="5"/>
  <c r="B384" i="5"/>
  <c r="D383" i="5"/>
  <c r="C383" i="5"/>
  <c r="B383" i="5"/>
  <c r="D382" i="5"/>
  <c r="C382" i="5"/>
  <c r="B382" i="5"/>
  <c r="D381" i="5"/>
  <c r="C381" i="5"/>
  <c r="B381" i="5"/>
  <c r="D380" i="5"/>
  <c r="C380" i="5"/>
  <c r="B380" i="5"/>
  <c r="D379" i="5"/>
  <c r="C379" i="5"/>
  <c r="B379" i="5"/>
  <c r="D378" i="5"/>
  <c r="C378" i="5"/>
  <c r="B378" i="5"/>
  <c r="D377" i="5"/>
  <c r="C377" i="5"/>
  <c r="B377" i="5"/>
  <c r="D376" i="5"/>
  <c r="C376" i="5"/>
  <c r="B376" i="5"/>
  <c r="D375" i="5"/>
  <c r="C375" i="5"/>
  <c r="B375" i="5"/>
  <c r="D374" i="5"/>
  <c r="C374" i="5"/>
  <c r="B374" i="5"/>
  <c r="D373" i="5"/>
  <c r="C373" i="5"/>
  <c r="B373" i="5"/>
  <c r="D372" i="5"/>
  <c r="C372" i="5"/>
  <c r="B372" i="5"/>
  <c r="D371" i="5"/>
  <c r="C371" i="5"/>
  <c r="B371" i="5"/>
  <c r="D370" i="5"/>
  <c r="C370" i="5"/>
  <c r="B370" i="5"/>
  <c r="D369" i="5"/>
  <c r="C369" i="5"/>
  <c r="B369" i="5"/>
  <c r="D368" i="5"/>
  <c r="C368" i="5"/>
  <c r="B368" i="5"/>
  <c r="D367" i="5"/>
  <c r="C367" i="5"/>
  <c r="B367" i="5"/>
  <c r="D366" i="5"/>
  <c r="C366" i="5"/>
  <c r="B366" i="5"/>
  <c r="D365" i="5"/>
  <c r="C365" i="5"/>
  <c r="B365" i="5"/>
  <c r="D364" i="5"/>
  <c r="C364" i="5"/>
  <c r="B364" i="5"/>
  <c r="D363" i="5"/>
  <c r="C363" i="5"/>
  <c r="B363" i="5"/>
  <c r="D362" i="5"/>
  <c r="C362" i="5"/>
  <c r="B362" i="5"/>
  <c r="D361" i="5"/>
  <c r="C361" i="5"/>
  <c r="B361" i="5"/>
  <c r="D360" i="5"/>
  <c r="C360" i="5"/>
  <c r="B360" i="5"/>
  <c r="D359" i="5"/>
  <c r="C359" i="5"/>
  <c r="B359" i="5"/>
  <c r="D358" i="5"/>
  <c r="C358" i="5"/>
  <c r="B358" i="5"/>
  <c r="D357" i="5"/>
  <c r="C357" i="5"/>
  <c r="B357" i="5"/>
  <c r="D356" i="5"/>
  <c r="C356" i="5"/>
  <c r="B356" i="5"/>
  <c r="D355" i="5"/>
  <c r="C355" i="5"/>
  <c r="B355" i="5"/>
  <c r="D354" i="5"/>
  <c r="C354" i="5"/>
  <c r="B354" i="5"/>
  <c r="D353" i="5"/>
  <c r="C353" i="5"/>
  <c r="B353" i="5"/>
  <c r="D352" i="5"/>
  <c r="C352" i="5"/>
  <c r="B352" i="5"/>
  <c r="D351" i="5"/>
  <c r="C351" i="5"/>
  <c r="B351" i="5"/>
  <c r="D350" i="5"/>
  <c r="C350" i="5"/>
  <c r="B350" i="5"/>
  <c r="D349" i="5"/>
  <c r="C349" i="5"/>
  <c r="B349" i="5"/>
  <c r="D348" i="5"/>
  <c r="C348" i="5"/>
  <c r="B348" i="5"/>
  <c r="D347" i="5"/>
  <c r="C347" i="5"/>
  <c r="B347" i="5"/>
  <c r="D346" i="5"/>
  <c r="C346" i="5"/>
  <c r="B346" i="5"/>
  <c r="D345" i="5"/>
  <c r="C345" i="5"/>
  <c r="B345" i="5"/>
  <c r="D344" i="5"/>
  <c r="C344" i="5"/>
  <c r="B344" i="5"/>
  <c r="D343" i="5"/>
  <c r="C343" i="5"/>
  <c r="B343" i="5"/>
  <c r="D342" i="5"/>
  <c r="C342" i="5"/>
  <c r="B342" i="5"/>
  <c r="D341" i="5"/>
  <c r="C341" i="5"/>
  <c r="B341" i="5"/>
  <c r="D340" i="5"/>
  <c r="C340" i="5"/>
  <c r="B340" i="5"/>
  <c r="D339" i="5"/>
  <c r="C339" i="5"/>
  <c r="B339" i="5"/>
  <c r="D338" i="5"/>
  <c r="C338" i="5"/>
  <c r="B338" i="5"/>
  <c r="D337" i="5"/>
  <c r="C337" i="5"/>
  <c r="B337" i="5"/>
  <c r="D336" i="5"/>
  <c r="C336" i="5"/>
  <c r="B336" i="5"/>
  <c r="D335" i="5"/>
  <c r="C335" i="5"/>
  <c r="B335" i="5"/>
  <c r="D334" i="5"/>
  <c r="C334" i="5"/>
  <c r="B334" i="5"/>
  <c r="D333" i="5"/>
  <c r="C333" i="5"/>
  <c r="B333" i="5"/>
  <c r="D332" i="5"/>
  <c r="C332" i="5"/>
  <c r="B332" i="5"/>
  <c r="D331" i="5"/>
  <c r="C331" i="5"/>
  <c r="B331" i="5"/>
  <c r="D330" i="5"/>
  <c r="C330" i="5"/>
  <c r="B330" i="5"/>
  <c r="D329" i="5"/>
  <c r="C329" i="5"/>
  <c r="B329" i="5"/>
  <c r="D328" i="5"/>
  <c r="C328" i="5"/>
  <c r="B328" i="5"/>
  <c r="D327" i="5"/>
  <c r="C327" i="5"/>
  <c r="B327" i="5"/>
  <c r="D326" i="5"/>
  <c r="C326" i="5"/>
  <c r="B326" i="5"/>
  <c r="D325" i="5"/>
  <c r="C325" i="5"/>
  <c r="B325" i="5"/>
  <c r="D324" i="5"/>
  <c r="C324" i="5"/>
  <c r="B324" i="5"/>
  <c r="D323" i="5"/>
  <c r="C323" i="5"/>
  <c r="B323" i="5"/>
  <c r="D322" i="5"/>
  <c r="C322" i="5"/>
  <c r="B322" i="5"/>
  <c r="D321" i="5"/>
  <c r="C321" i="5"/>
  <c r="B321" i="5"/>
  <c r="D320" i="5"/>
  <c r="C320" i="5"/>
  <c r="B320" i="5"/>
  <c r="D319" i="5"/>
  <c r="C319" i="5"/>
  <c r="B319" i="5"/>
  <c r="D318" i="5"/>
  <c r="C318" i="5"/>
  <c r="B318" i="5"/>
  <c r="D317" i="5"/>
  <c r="C317" i="5"/>
  <c r="B317" i="5"/>
  <c r="D316" i="5"/>
  <c r="C316" i="5"/>
  <c r="B316" i="5"/>
  <c r="D315" i="5"/>
  <c r="C315" i="5"/>
  <c r="B315" i="5"/>
  <c r="D314" i="5"/>
  <c r="C314" i="5"/>
  <c r="B314" i="5"/>
  <c r="D313" i="5"/>
  <c r="C313" i="5"/>
  <c r="B313" i="5"/>
  <c r="D312" i="5"/>
  <c r="C312" i="5"/>
  <c r="B312" i="5"/>
  <c r="D311" i="5"/>
  <c r="C311" i="5"/>
  <c r="B311" i="5"/>
  <c r="D310" i="5"/>
  <c r="C310" i="5"/>
  <c r="B310" i="5"/>
  <c r="D309" i="5"/>
  <c r="C309" i="5"/>
  <c r="B309" i="5"/>
  <c r="D308" i="5"/>
  <c r="C308" i="5"/>
  <c r="B308" i="5"/>
  <c r="D307" i="5"/>
  <c r="C307" i="5"/>
  <c r="B307" i="5"/>
  <c r="D306" i="5"/>
  <c r="C306" i="5"/>
  <c r="B306" i="5"/>
  <c r="D305" i="5"/>
  <c r="C305" i="5"/>
  <c r="B305" i="5"/>
  <c r="D304" i="5"/>
  <c r="C304" i="5"/>
  <c r="B304" i="5"/>
  <c r="D303" i="5"/>
  <c r="C303" i="5"/>
  <c r="B303" i="5"/>
  <c r="D302" i="5"/>
  <c r="C302" i="5"/>
  <c r="B302" i="5"/>
  <c r="D301" i="5"/>
  <c r="C301" i="5"/>
  <c r="B301" i="5"/>
  <c r="D300" i="5"/>
  <c r="C300" i="5"/>
  <c r="B300" i="5"/>
  <c r="D299" i="5"/>
  <c r="C299" i="5"/>
  <c r="B299" i="5"/>
  <c r="D298" i="5"/>
  <c r="C298" i="5"/>
  <c r="B298" i="5"/>
  <c r="D297" i="5"/>
  <c r="C297" i="5"/>
  <c r="B297" i="5"/>
  <c r="D296" i="5"/>
  <c r="C296" i="5"/>
  <c r="B296" i="5"/>
  <c r="D295" i="5"/>
  <c r="C295" i="5"/>
  <c r="B295" i="5"/>
  <c r="D294" i="5"/>
  <c r="C294" i="5"/>
  <c r="B294" i="5"/>
  <c r="D293" i="5"/>
  <c r="C293" i="5"/>
  <c r="B293" i="5"/>
  <c r="D292" i="5"/>
  <c r="C292" i="5"/>
  <c r="B292" i="5"/>
  <c r="D291" i="5"/>
  <c r="C291" i="5"/>
  <c r="B291" i="5"/>
  <c r="D290" i="5"/>
  <c r="C290" i="5"/>
  <c r="B290" i="5"/>
  <c r="D289" i="5"/>
  <c r="C289" i="5"/>
  <c r="B289" i="5"/>
  <c r="D288" i="5"/>
  <c r="C288" i="5"/>
  <c r="B288" i="5"/>
  <c r="D287" i="5"/>
  <c r="C287" i="5"/>
  <c r="B287" i="5"/>
  <c r="D286" i="5"/>
  <c r="C286" i="5"/>
  <c r="B286" i="5"/>
  <c r="D285" i="5"/>
  <c r="C285" i="5"/>
  <c r="B285" i="5"/>
  <c r="D284" i="5"/>
  <c r="C284" i="5"/>
  <c r="B284" i="5"/>
  <c r="D283" i="5"/>
  <c r="C283" i="5"/>
  <c r="B283" i="5"/>
  <c r="D282" i="5"/>
  <c r="C282" i="5"/>
  <c r="B282" i="5"/>
  <c r="D281" i="5"/>
  <c r="C281" i="5"/>
  <c r="B281" i="5"/>
  <c r="D280" i="5"/>
  <c r="C280" i="5"/>
  <c r="B280" i="5"/>
  <c r="D279" i="5"/>
  <c r="C279" i="5"/>
  <c r="B279" i="5"/>
  <c r="D278" i="5"/>
  <c r="C278" i="5"/>
  <c r="B278" i="5"/>
  <c r="D277" i="5"/>
  <c r="C277" i="5"/>
  <c r="B277" i="5"/>
  <c r="D276" i="5"/>
  <c r="C276" i="5"/>
  <c r="B276" i="5"/>
  <c r="D275" i="5"/>
  <c r="C275" i="5"/>
  <c r="B275" i="5"/>
  <c r="D274" i="5"/>
  <c r="C274" i="5"/>
  <c r="B274" i="5"/>
  <c r="D273" i="5"/>
  <c r="C273" i="5"/>
  <c r="B273" i="5"/>
  <c r="D272" i="5"/>
  <c r="C272" i="5"/>
  <c r="B272" i="5"/>
  <c r="D271" i="5"/>
  <c r="C271" i="5"/>
  <c r="B271" i="5"/>
  <c r="D270" i="5"/>
  <c r="C270" i="5"/>
  <c r="B270" i="5"/>
  <c r="D269" i="5"/>
  <c r="C269" i="5"/>
  <c r="B269" i="5"/>
  <c r="D268" i="5"/>
  <c r="C268" i="5"/>
  <c r="B268" i="5"/>
  <c r="D267" i="5"/>
  <c r="C267" i="5"/>
  <c r="B267" i="5"/>
  <c r="D266" i="5"/>
  <c r="C266" i="5"/>
  <c r="B266" i="5"/>
  <c r="D265" i="5"/>
  <c r="C265" i="5"/>
  <c r="B265" i="5"/>
  <c r="D264" i="5"/>
  <c r="C264" i="5"/>
  <c r="B264" i="5"/>
  <c r="D263" i="5"/>
  <c r="C263" i="5"/>
  <c r="B263" i="5"/>
  <c r="D262" i="5"/>
  <c r="C262" i="5"/>
  <c r="B262" i="5"/>
  <c r="D261" i="5"/>
  <c r="C261" i="5"/>
  <c r="B261" i="5"/>
  <c r="D260" i="5"/>
  <c r="C260" i="5"/>
  <c r="B260" i="5"/>
  <c r="D259" i="5"/>
  <c r="C259" i="5"/>
  <c r="B259" i="5"/>
  <c r="D258" i="5"/>
  <c r="C258" i="5"/>
  <c r="B258" i="5"/>
  <c r="D257" i="5"/>
  <c r="C257" i="5"/>
  <c r="B257" i="5"/>
  <c r="D256" i="5"/>
  <c r="C256" i="5"/>
  <c r="B256" i="5"/>
  <c r="D255" i="5"/>
  <c r="C255" i="5"/>
  <c r="B255" i="5"/>
  <c r="D254" i="5"/>
  <c r="C254" i="5"/>
  <c r="B254" i="5"/>
  <c r="D253" i="5"/>
  <c r="C253" i="5"/>
  <c r="B253" i="5"/>
  <c r="D252" i="5"/>
  <c r="C252" i="5"/>
  <c r="B252" i="5"/>
  <c r="D251" i="5"/>
  <c r="C251" i="5"/>
  <c r="B251" i="5"/>
  <c r="D250" i="5"/>
  <c r="C250" i="5"/>
  <c r="B250" i="5"/>
  <c r="D249" i="5"/>
  <c r="C249" i="5"/>
  <c r="B249" i="5"/>
  <c r="D248" i="5"/>
  <c r="C248" i="5"/>
  <c r="B248" i="5"/>
  <c r="D247" i="5"/>
  <c r="C247" i="5"/>
  <c r="B247" i="5"/>
  <c r="D246" i="5"/>
  <c r="C246" i="5"/>
  <c r="B246" i="5"/>
  <c r="D245" i="5"/>
  <c r="C245" i="5"/>
  <c r="B245" i="5"/>
  <c r="D244" i="5"/>
  <c r="C244" i="5"/>
  <c r="B244" i="5"/>
  <c r="D243" i="5"/>
  <c r="C243" i="5"/>
  <c r="B243" i="5"/>
  <c r="D242" i="5"/>
  <c r="C242" i="5"/>
  <c r="B242" i="5"/>
  <c r="D241" i="5"/>
  <c r="C241" i="5"/>
  <c r="B241" i="5"/>
  <c r="D240" i="5"/>
  <c r="C240" i="5"/>
  <c r="B240" i="5"/>
  <c r="D239" i="5"/>
  <c r="C239" i="5"/>
  <c r="B239" i="5"/>
  <c r="D238" i="5"/>
  <c r="C238" i="5"/>
  <c r="B238" i="5"/>
  <c r="D237" i="5"/>
  <c r="C237" i="5"/>
  <c r="B237" i="5"/>
  <c r="D236" i="5"/>
  <c r="C236" i="5"/>
  <c r="B236" i="5"/>
  <c r="D235" i="5"/>
  <c r="C235" i="5"/>
  <c r="B235" i="5"/>
  <c r="D234" i="5"/>
  <c r="C234" i="5"/>
  <c r="B234" i="5"/>
  <c r="D233" i="5"/>
  <c r="C233" i="5"/>
  <c r="B233" i="5"/>
  <c r="D232" i="5"/>
  <c r="C232" i="5"/>
  <c r="B232" i="5"/>
  <c r="D231" i="5"/>
  <c r="C231" i="5"/>
  <c r="B231" i="5"/>
  <c r="D230" i="5"/>
  <c r="C230" i="5"/>
  <c r="B230" i="5"/>
  <c r="D229" i="5"/>
  <c r="C229" i="5"/>
  <c r="B229" i="5"/>
  <c r="D228" i="5"/>
  <c r="C228" i="5"/>
  <c r="B228" i="5"/>
  <c r="D227" i="5"/>
  <c r="C227" i="5"/>
  <c r="B227" i="5"/>
  <c r="D226" i="5"/>
  <c r="C226" i="5"/>
  <c r="B226" i="5"/>
  <c r="D225" i="5"/>
  <c r="C225" i="5"/>
  <c r="B225" i="5"/>
  <c r="D224" i="5"/>
  <c r="C224" i="5"/>
  <c r="B224" i="5"/>
  <c r="D223" i="5"/>
  <c r="C223" i="5"/>
  <c r="B223" i="5"/>
  <c r="D222" i="5"/>
  <c r="C222" i="5"/>
  <c r="B222" i="5"/>
  <c r="D221" i="5"/>
  <c r="C221" i="5"/>
  <c r="B221" i="5"/>
  <c r="D220" i="5"/>
  <c r="C220" i="5"/>
  <c r="B220" i="5"/>
  <c r="D219" i="5"/>
  <c r="C219" i="5"/>
  <c r="B219" i="5"/>
  <c r="D218" i="5"/>
  <c r="C218" i="5"/>
  <c r="B218" i="5"/>
  <c r="D217" i="5"/>
  <c r="C217" i="5"/>
  <c r="B217" i="5"/>
  <c r="D216" i="5"/>
  <c r="C216" i="5"/>
  <c r="B216" i="5"/>
  <c r="D215" i="5"/>
  <c r="C215" i="5"/>
  <c r="B215" i="5"/>
  <c r="D214" i="5"/>
  <c r="C214" i="5"/>
  <c r="B214" i="5"/>
  <c r="D213" i="5"/>
  <c r="C213" i="5"/>
  <c r="B213" i="5"/>
  <c r="D212" i="5"/>
  <c r="C212" i="5"/>
  <c r="B212" i="5"/>
  <c r="D211" i="5"/>
  <c r="C211" i="5"/>
  <c r="B211" i="5"/>
  <c r="D210" i="5"/>
  <c r="C210" i="5"/>
  <c r="B210" i="5"/>
  <c r="D209" i="5"/>
  <c r="C209" i="5"/>
  <c r="B209" i="5"/>
  <c r="D208" i="5"/>
  <c r="C208" i="5"/>
  <c r="B208" i="5"/>
  <c r="D207" i="5"/>
  <c r="C207" i="5"/>
  <c r="B207" i="5"/>
  <c r="D206" i="5"/>
  <c r="C206" i="5"/>
  <c r="B206" i="5"/>
  <c r="D205" i="5"/>
  <c r="C205" i="5"/>
  <c r="B205" i="5"/>
  <c r="D204" i="5"/>
  <c r="C204" i="5"/>
  <c r="B204" i="5"/>
  <c r="D203" i="5"/>
  <c r="C203" i="5"/>
  <c r="B203" i="5"/>
  <c r="D202" i="5"/>
  <c r="C202" i="5"/>
  <c r="B202" i="5"/>
  <c r="D201" i="5"/>
  <c r="C201" i="5"/>
  <c r="B201" i="5"/>
  <c r="D200" i="5"/>
  <c r="C200" i="5"/>
  <c r="B200" i="5"/>
  <c r="D199" i="5"/>
  <c r="C199" i="5"/>
  <c r="B199" i="5"/>
  <c r="D198" i="5"/>
  <c r="C198" i="5"/>
  <c r="B198" i="5"/>
  <c r="D197" i="5"/>
  <c r="C197" i="5"/>
  <c r="B197" i="5"/>
  <c r="D196" i="5"/>
  <c r="C196" i="5"/>
  <c r="B196" i="5"/>
  <c r="D195" i="5"/>
  <c r="C195" i="5"/>
  <c r="B195" i="5"/>
  <c r="D194" i="5"/>
  <c r="C194" i="5"/>
  <c r="B194" i="5"/>
  <c r="D193" i="5"/>
  <c r="C193" i="5"/>
  <c r="B193" i="5"/>
  <c r="D192" i="5"/>
  <c r="C192" i="5"/>
  <c r="B192" i="5"/>
  <c r="D191" i="5"/>
  <c r="C191" i="5"/>
  <c r="B191" i="5"/>
  <c r="D190" i="5"/>
  <c r="C190" i="5"/>
  <c r="B190" i="5"/>
  <c r="D189" i="5"/>
  <c r="C189" i="5"/>
  <c r="B189" i="5"/>
  <c r="D188" i="5"/>
  <c r="C188" i="5"/>
  <c r="B188" i="5"/>
  <c r="D187" i="5"/>
  <c r="C187" i="5"/>
  <c r="B187" i="5"/>
  <c r="D186" i="5"/>
  <c r="C186" i="5"/>
  <c r="B186" i="5"/>
  <c r="D185" i="5"/>
  <c r="C185" i="5"/>
  <c r="B185" i="5"/>
  <c r="D184" i="5"/>
  <c r="C184" i="5"/>
  <c r="B184" i="5"/>
  <c r="D183" i="5"/>
  <c r="C183" i="5"/>
  <c r="B183" i="5"/>
  <c r="D182" i="5"/>
  <c r="C182" i="5"/>
  <c r="B182" i="5"/>
  <c r="D181" i="5"/>
  <c r="C181" i="5"/>
  <c r="B181" i="5"/>
  <c r="D180" i="5"/>
  <c r="C180" i="5"/>
  <c r="B180" i="5"/>
  <c r="D179" i="5"/>
  <c r="C179" i="5"/>
  <c r="B179" i="5"/>
  <c r="D178" i="5"/>
  <c r="C178" i="5"/>
  <c r="B178" i="5"/>
  <c r="D177" i="5"/>
  <c r="C177" i="5"/>
  <c r="B177" i="5"/>
  <c r="D176" i="5"/>
  <c r="C176" i="5"/>
  <c r="B176" i="5"/>
  <c r="D175" i="5"/>
  <c r="C175" i="5"/>
  <c r="B175" i="5"/>
  <c r="D174" i="5"/>
  <c r="C174" i="5"/>
  <c r="B174" i="5"/>
  <c r="D173" i="5"/>
  <c r="C173" i="5"/>
  <c r="B173" i="5"/>
  <c r="D172" i="5"/>
  <c r="C172" i="5"/>
  <c r="B172" i="5"/>
  <c r="D171" i="5"/>
  <c r="C171" i="5"/>
  <c r="B171" i="5"/>
  <c r="D170" i="5"/>
  <c r="C170" i="5"/>
  <c r="B170" i="5"/>
  <c r="D169" i="5"/>
  <c r="C169" i="5"/>
  <c r="B169" i="5"/>
  <c r="D168" i="5"/>
  <c r="C168" i="5"/>
  <c r="B168" i="5"/>
  <c r="D167" i="5"/>
  <c r="C167" i="5"/>
  <c r="B167" i="5"/>
  <c r="D166" i="5"/>
  <c r="C166" i="5"/>
  <c r="B166" i="5"/>
  <c r="D165" i="5"/>
  <c r="C165" i="5"/>
  <c r="B165" i="5"/>
  <c r="D164" i="5"/>
  <c r="C164" i="5"/>
  <c r="B164" i="5"/>
  <c r="D163" i="5"/>
  <c r="C163" i="5"/>
  <c r="B163" i="5"/>
  <c r="D162" i="5"/>
  <c r="C162" i="5"/>
  <c r="B162" i="5"/>
  <c r="D161" i="5"/>
  <c r="C161" i="5"/>
  <c r="B161" i="5"/>
  <c r="D160" i="5"/>
  <c r="C160" i="5"/>
  <c r="B160" i="5"/>
  <c r="D159" i="5"/>
  <c r="C159" i="5"/>
  <c r="B159" i="5"/>
  <c r="D158" i="5"/>
  <c r="C158" i="5"/>
  <c r="B158" i="5"/>
  <c r="D157" i="5"/>
  <c r="C157" i="5"/>
  <c r="B157" i="5"/>
  <c r="D156" i="5"/>
  <c r="C156" i="5"/>
  <c r="B156" i="5"/>
  <c r="D155" i="5"/>
  <c r="C155" i="5"/>
  <c r="B155" i="5"/>
  <c r="D154" i="5"/>
  <c r="C154" i="5"/>
  <c r="B154" i="5"/>
  <c r="D153" i="5"/>
  <c r="C153" i="5"/>
  <c r="B153" i="5"/>
  <c r="D152" i="5"/>
  <c r="C152" i="5"/>
  <c r="B152" i="5"/>
  <c r="D151" i="5"/>
  <c r="C151" i="5"/>
  <c r="B151" i="5"/>
  <c r="D150" i="5"/>
  <c r="C150" i="5"/>
  <c r="B150" i="5"/>
  <c r="D149" i="5"/>
  <c r="C149" i="5"/>
  <c r="B149" i="5"/>
  <c r="D148" i="5"/>
  <c r="C148" i="5"/>
  <c r="B148" i="5"/>
  <c r="D147" i="5"/>
  <c r="C147" i="5"/>
  <c r="B147" i="5"/>
  <c r="D146" i="5"/>
  <c r="C146" i="5"/>
  <c r="B146" i="5"/>
  <c r="D145" i="5"/>
  <c r="C145" i="5"/>
  <c r="B145" i="5"/>
  <c r="D144" i="5"/>
  <c r="C144" i="5"/>
  <c r="B144" i="5"/>
  <c r="D143" i="5"/>
  <c r="C143" i="5"/>
  <c r="B143" i="5"/>
  <c r="D142" i="5"/>
  <c r="C142" i="5"/>
  <c r="B142" i="5"/>
  <c r="D141" i="5"/>
  <c r="C141" i="5"/>
  <c r="B141" i="5"/>
  <c r="D140" i="5"/>
  <c r="C140" i="5"/>
  <c r="B140" i="5"/>
  <c r="D139" i="5"/>
  <c r="C139" i="5"/>
  <c r="B139" i="5"/>
  <c r="D138" i="5"/>
  <c r="C138" i="5"/>
  <c r="B138" i="5"/>
  <c r="D137" i="5"/>
  <c r="C137" i="5"/>
  <c r="B137" i="5"/>
  <c r="D136" i="5"/>
  <c r="C136" i="5"/>
  <c r="B136" i="5"/>
  <c r="D135" i="5"/>
  <c r="C135" i="5"/>
  <c r="B135" i="5"/>
  <c r="D134" i="5"/>
  <c r="C134" i="5"/>
  <c r="B134" i="5"/>
  <c r="D133" i="5"/>
  <c r="C133" i="5"/>
  <c r="B133" i="5"/>
  <c r="D132" i="5"/>
  <c r="C132" i="5"/>
  <c r="B132" i="5"/>
  <c r="D131" i="5"/>
  <c r="C131" i="5"/>
  <c r="B131" i="5"/>
  <c r="D130" i="5"/>
  <c r="C130" i="5"/>
  <c r="B130" i="5"/>
  <c r="D129" i="5"/>
  <c r="C129" i="5"/>
  <c r="B129" i="5"/>
  <c r="D128" i="5"/>
  <c r="C128" i="5"/>
  <c r="B128" i="5"/>
  <c r="D127" i="5"/>
  <c r="C127" i="5"/>
  <c r="B127" i="5"/>
  <c r="D126" i="5"/>
  <c r="C126" i="5"/>
  <c r="B126" i="5"/>
  <c r="D125" i="5"/>
  <c r="C125" i="5"/>
  <c r="B125" i="5"/>
  <c r="D124" i="5"/>
  <c r="C124" i="5"/>
  <c r="B124" i="5"/>
  <c r="D123" i="5"/>
  <c r="C123" i="5"/>
  <c r="B123" i="5"/>
  <c r="D122" i="5"/>
  <c r="C122" i="5"/>
  <c r="B122" i="5"/>
  <c r="D121" i="5"/>
  <c r="C121" i="5"/>
  <c r="B121" i="5"/>
  <c r="D120" i="5"/>
  <c r="C120" i="5"/>
  <c r="B120" i="5"/>
  <c r="D119" i="5"/>
  <c r="C119" i="5"/>
  <c r="B119" i="5"/>
  <c r="D118" i="5"/>
  <c r="C118" i="5"/>
  <c r="B118" i="5"/>
  <c r="D117" i="5"/>
  <c r="C117" i="5"/>
  <c r="B117" i="5"/>
  <c r="D116" i="5"/>
  <c r="C116" i="5"/>
  <c r="B116" i="5"/>
  <c r="D115" i="5"/>
  <c r="C115" i="5"/>
  <c r="B115" i="5"/>
  <c r="D114" i="5"/>
  <c r="C114" i="5"/>
  <c r="B114" i="5"/>
  <c r="D113" i="5"/>
  <c r="C113" i="5"/>
  <c r="B113" i="5"/>
  <c r="D112" i="5"/>
  <c r="C112" i="5"/>
  <c r="B112" i="5"/>
  <c r="D111" i="5"/>
  <c r="C111" i="5"/>
  <c r="B111" i="5"/>
  <c r="D110" i="5"/>
  <c r="C110" i="5"/>
  <c r="B110" i="5"/>
  <c r="D109" i="5"/>
  <c r="C109" i="5"/>
  <c r="B109" i="5"/>
  <c r="D108" i="5"/>
  <c r="C108" i="5"/>
  <c r="B108" i="5"/>
  <c r="D107" i="5"/>
  <c r="C107" i="5"/>
  <c r="B107" i="5"/>
  <c r="D106" i="5"/>
  <c r="C106" i="5"/>
  <c r="B106" i="5"/>
  <c r="D105" i="5"/>
  <c r="C105" i="5"/>
  <c r="B105" i="5"/>
  <c r="D104" i="5"/>
  <c r="C104" i="5"/>
  <c r="B104" i="5"/>
  <c r="D103" i="5"/>
  <c r="C103" i="5"/>
  <c r="B103" i="5"/>
  <c r="D102" i="5"/>
  <c r="C102" i="5"/>
  <c r="B102" i="5"/>
  <c r="D101" i="5"/>
  <c r="C101" i="5"/>
  <c r="B101" i="5"/>
  <c r="D100" i="5"/>
  <c r="C100" i="5"/>
  <c r="B100" i="5"/>
  <c r="D99" i="5"/>
  <c r="C99" i="5"/>
  <c r="B99" i="5"/>
  <c r="D98" i="5"/>
  <c r="C98" i="5"/>
  <c r="B98" i="5"/>
  <c r="D97" i="5"/>
  <c r="C97" i="5"/>
  <c r="B97" i="5"/>
  <c r="D96" i="5"/>
  <c r="C96" i="5"/>
  <c r="B96" i="5"/>
  <c r="D95" i="5"/>
  <c r="C95" i="5"/>
  <c r="B95" i="5"/>
  <c r="D94" i="5"/>
  <c r="C94" i="5"/>
  <c r="B94" i="5"/>
  <c r="D93" i="5"/>
  <c r="C93" i="5"/>
  <c r="B93" i="5"/>
  <c r="D92" i="5"/>
  <c r="C92" i="5"/>
  <c r="B92" i="5"/>
  <c r="D91" i="5"/>
  <c r="C91" i="5"/>
  <c r="B91" i="5"/>
  <c r="D90" i="5"/>
  <c r="C90" i="5"/>
  <c r="B90" i="5"/>
  <c r="D89" i="5"/>
  <c r="C89" i="5"/>
  <c r="B89" i="5"/>
  <c r="D88" i="5"/>
  <c r="C88" i="5"/>
  <c r="B88" i="5"/>
  <c r="D87" i="5"/>
  <c r="C87" i="5"/>
  <c r="B87" i="5"/>
  <c r="D86" i="5"/>
  <c r="C86" i="5"/>
  <c r="B86" i="5"/>
  <c r="D85" i="5"/>
  <c r="C85" i="5"/>
  <c r="B85" i="5"/>
  <c r="D84" i="5"/>
  <c r="C84" i="5"/>
  <c r="B84" i="5"/>
  <c r="D83" i="5"/>
  <c r="C83" i="5"/>
  <c r="B83" i="5"/>
  <c r="D82" i="5"/>
  <c r="C82" i="5"/>
  <c r="B82" i="5"/>
  <c r="D81" i="5"/>
  <c r="C81" i="5"/>
  <c r="B81" i="5"/>
  <c r="D80" i="5"/>
  <c r="C80" i="5"/>
  <c r="B80" i="5"/>
  <c r="D79" i="5"/>
  <c r="C79" i="5"/>
  <c r="B79" i="5"/>
  <c r="D78" i="5"/>
  <c r="C78" i="5"/>
  <c r="B78" i="5"/>
  <c r="D77" i="5"/>
  <c r="C77" i="5"/>
  <c r="B77" i="5"/>
  <c r="D76" i="5"/>
  <c r="C76" i="5"/>
  <c r="B76" i="5"/>
  <c r="D75" i="5"/>
  <c r="C75" i="5"/>
  <c r="B75" i="5"/>
  <c r="D74" i="5"/>
  <c r="C74" i="5"/>
  <c r="B74" i="5"/>
  <c r="D73" i="5"/>
  <c r="C73" i="5"/>
  <c r="B73" i="5"/>
  <c r="D72" i="5"/>
  <c r="C72" i="5"/>
  <c r="B72" i="5"/>
  <c r="D71" i="5"/>
  <c r="C71" i="5"/>
  <c r="B71" i="5"/>
  <c r="D70" i="5"/>
  <c r="C70" i="5"/>
  <c r="B70" i="5"/>
  <c r="D69" i="5"/>
  <c r="C69" i="5"/>
  <c r="B69" i="5"/>
  <c r="D68" i="5"/>
  <c r="C68" i="5"/>
  <c r="B68" i="5"/>
  <c r="D67" i="5"/>
  <c r="C67" i="5"/>
  <c r="B67" i="5"/>
  <c r="D66" i="5"/>
  <c r="C66" i="5"/>
  <c r="B66" i="5"/>
  <c r="D65" i="5"/>
  <c r="C65" i="5"/>
  <c r="B65" i="5"/>
  <c r="D64" i="5"/>
  <c r="C64" i="5"/>
  <c r="B64" i="5"/>
  <c r="D63" i="5"/>
  <c r="C63" i="5"/>
  <c r="B63" i="5"/>
  <c r="D62" i="5"/>
  <c r="C62" i="5"/>
  <c r="B62" i="5"/>
  <c r="D61" i="5"/>
  <c r="C61" i="5"/>
  <c r="B61" i="5"/>
  <c r="D60" i="5"/>
  <c r="C60" i="5"/>
  <c r="B60" i="5"/>
  <c r="D59" i="5"/>
  <c r="C59" i="5"/>
  <c r="B59" i="5"/>
  <c r="D58" i="5"/>
  <c r="C58" i="5"/>
  <c r="B58" i="5"/>
  <c r="D57" i="5"/>
  <c r="C57" i="5"/>
  <c r="B57" i="5"/>
  <c r="D56" i="5"/>
  <c r="C56" i="5"/>
  <c r="B56" i="5"/>
  <c r="D55" i="5"/>
  <c r="C55" i="5"/>
  <c r="B55" i="5"/>
  <c r="D54" i="5"/>
  <c r="C54" i="5"/>
  <c r="B54" i="5"/>
  <c r="D53" i="5"/>
  <c r="C53" i="5"/>
  <c r="B53" i="5"/>
  <c r="D52" i="5"/>
  <c r="C52" i="5"/>
  <c r="B52" i="5"/>
  <c r="D51" i="5"/>
  <c r="C51" i="5"/>
  <c r="B51" i="5"/>
  <c r="D50" i="5"/>
  <c r="C50" i="5"/>
  <c r="B50" i="5"/>
  <c r="D49" i="5"/>
  <c r="C49" i="5"/>
  <c r="B49" i="5"/>
  <c r="D48" i="5"/>
  <c r="C48" i="5"/>
  <c r="B48" i="5"/>
  <c r="D47" i="5"/>
  <c r="C47" i="5"/>
  <c r="B47" i="5"/>
  <c r="D46" i="5"/>
  <c r="C46" i="5"/>
  <c r="B46" i="5"/>
  <c r="D45" i="5"/>
  <c r="C45" i="5"/>
  <c r="B45" i="5"/>
  <c r="D44" i="5"/>
  <c r="C44" i="5"/>
  <c r="B44" i="5"/>
  <c r="D43" i="5"/>
  <c r="C43" i="5"/>
  <c r="B43" i="5"/>
  <c r="D42" i="5"/>
  <c r="C42" i="5"/>
  <c r="B42" i="5"/>
  <c r="D41" i="5"/>
  <c r="C41" i="5"/>
  <c r="B41" i="5"/>
  <c r="D40" i="5"/>
  <c r="C40" i="5"/>
  <c r="B40" i="5"/>
  <c r="D39" i="5"/>
  <c r="C39" i="5"/>
  <c r="B39" i="5"/>
  <c r="D38" i="5"/>
  <c r="C38" i="5"/>
  <c r="B38" i="5"/>
  <c r="D37" i="5"/>
  <c r="C37" i="5"/>
  <c r="B37" i="5"/>
  <c r="D36" i="5"/>
  <c r="C36" i="5"/>
  <c r="B36" i="5"/>
  <c r="D35" i="5"/>
  <c r="C35" i="5"/>
  <c r="B35" i="5"/>
  <c r="D34" i="5"/>
  <c r="C34" i="5"/>
  <c r="B34" i="5"/>
  <c r="D33" i="5"/>
  <c r="C33" i="5"/>
  <c r="B33" i="5"/>
  <c r="D32" i="5"/>
  <c r="C32" i="5"/>
  <c r="B32" i="5"/>
  <c r="D31" i="5"/>
  <c r="C31" i="5"/>
  <c r="B31" i="5"/>
  <c r="D30" i="5"/>
  <c r="C30" i="5"/>
  <c r="B30" i="5"/>
  <c r="D29" i="5"/>
  <c r="C29" i="5"/>
  <c r="B29" i="5"/>
  <c r="D28" i="5"/>
  <c r="C28" i="5"/>
  <c r="B28" i="5"/>
  <c r="D27" i="5"/>
  <c r="C27" i="5"/>
  <c r="B27" i="5"/>
  <c r="D26" i="5"/>
  <c r="C26" i="5"/>
  <c r="B26" i="5"/>
  <c r="D25" i="5"/>
  <c r="C25" i="5"/>
  <c r="B25" i="5"/>
  <c r="D24" i="5"/>
  <c r="C24" i="5"/>
  <c r="B24" i="5"/>
  <c r="D23" i="5"/>
  <c r="C23" i="5"/>
  <c r="B23" i="5"/>
  <c r="D22" i="5"/>
  <c r="C22" i="5"/>
  <c r="B22" i="5"/>
  <c r="D21" i="5"/>
  <c r="C21" i="5"/>
  <c r="B21" i="5"/>
  <c r="D20" i="5"/>
  <c r="C20" i="5"/>
  <c r="B20" i="5"/>
  <c r="D19" i="5"/>
  <c r="C19" i="5"/>
  <c r="B19" i="5"/>
  <c r="D18" i="5"/>
  <c r="C18" i="5"/>
  <c r="B18" i="5"/>
  <c r="D17" i="5"/>
  <c r="C17" i="5"/>
  <c r="B17" i="5"/>
  <c r="D16" i="5"/>
  <c r="C16" i="5"/>
  <c r="B16" i="5"/>
  <c r="D15" i="5"/>
  <c r="C15" i="5"/>
  <c r="B15" i="5"/>
  <c r="D14" i="5"/>
  <c r="C14" i="5"/>
  <c r="B14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B8" i="5"/>
  <c r="E8" i="5" s="1"/>
  <c r="C8" i="5"/>
  <c r="D8" i="5"/>
  <c r="C1" i="16"/>
  <c r="D1" i="16" s="1"/>
  <c r="E1" i="16" s="1"/>
  <c r="F1" i="16" s="1"/>
  <c r="G1" i="16" s="1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AI1" i="16" s="1"/>
  <c r="AJ1" i="16" s="1"/>
  <c r="AK1" i="16" s="1"/>
  <c r="AL1" i="16" s="1"/>
  <c r="AM1" i="16" s="1"/>
  <c r="AN1" i="16" s="1"/>
  <c r="AO1" i="16" s="1"/>
  <c r="AP1" i="16" s="1"/>
  <c r="AQ1" i="16" s="1"/>
  <c r="AR1" i="16" s="1"/>
  <c r="AS1" i="16" s="1"/>
  <c r="AT1" i="16" s="1"/>
  <c r="AU1" i="16" s="1"/>
  <c r="AV1" i="16" s="1"/>
  <c r="AW1" i="16" s="1"/>
  <c r="AX1" i="16" s="1"/>
  <c r="AY1" i="16" s="1"/>
  <c r="AZ1" i="16" s="1"/>
  <c r="BA1" i="16" s="1"/>
  <c r="BB1" i="16" s="1"/>
  <c r="BC1" i="16" s="1"/>
  <c r="BD1" i="16" s="1"/>
  <c r="BE1" i="16" s="1"/>
  <c r="BF1" i="16" s="1"/>
  <c r="BG1" i="16" s="1"/>
  <c r="BH1" i="16" s="1"/>
  <c r="BI1" i="16" s="1"/>
  <c r="BJ1" i="16" s="1"/>
  <c r="BK1" i="16" s="1"/>
  <c r="BL1" i="16" s="1"/>
  <c r="BM1" i="16" s="1"/>
  <c r="BN1" i="16" s="1"/>
  <c r="BO1" i="16" s="1"/>
  <c r="BP1" i="16" s="1"/>
  <c r="BQ1" i="16" s="1"/>
  <c r="BR1" i="16" s="1"/>
  <c r="BS1" i="16" s="1"/>
  <c r="BT1" i="16" s="1"/>
  <c r="BU1" i="16" s="1"/>
  <c r="BV1" i="16" s="1"/>
  <c r="BW1" i="16" s="1"/>
  <c r="BX1" i="16" s="1"/>
  <c r="BY1" i="16" s="1"/>
  <c r="BZ1" i="16" s="1"/>
  <c r="CA1" i="16" s="1"/>
  <c r="CB1" i="16" s="1"/>
  <c r="CC1" i="16" s="1"/>
  <c r="CD1" i="16" s="1"/>
  <c r="CE1" i="16" s="1"/>
  <c r="CF1" i="16" s="1"/>
  <c r="CG1" i="16" s="1"/>
  <c r="CH1" i="16" s="1"/>
  <c r="CI1" i="16" s="1"/>
  <c r="CJ1" i="16" s="1"/>
  <c r="CK1" i="16" s="1"/>
  <c r="CL1" i="16" s="1"/>
  <c r="CM1" i="16" s="1"/>
  <c r="CN1" i="16" s="1"/>
  <c r="CO1" i="16" s="1"/>
  <c r="CP1" i="16" s="1"/>
  <c r="CQ1" i="16" s="1"/>
  <c r="CR1" i="16" s="1"/>
  <c r="CS1" i="16" s="1"/>
  <c r="CT1" i="16" s="1"/>
  <c r="CU1" i="16" s="1"/>
  <c r="CV1" i="16" s="1"/>
  <c r="CW1" i="16" s="1"/>
  <c r="CX1" i="16" s="1"/>
  <c r="CY1" i="16" s="1"/>
  <c r="CZ1" i="16" s="1"/>
  <c r="DA1" i="16" s="1"/>
  <c r="L8" i="15"/>
  <c r="K8" i="15"/>
  <c r="B9" i="15"/>
  <c r="B10" i="15" s="1"/>
  <c r="B11" i="15" s="1"/>
  <c r="B12" i="15" s="1"/>
  <c r="B13" i="15" s="1"/>
  <c r="B14" i="15" s="1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EO406" i="1" l="1"/>
  <c r="EG252" i="1"/>
  <c r="EO401" i="1"/>
  <c r="BT183" i="1"/>
  <c r="BY183" i="1" s="1"/>
  <c r="BO395" i="1" a="1"/>
  <c r="BO395" i="1" s="1"/>
  <c r="BO224" i="1" a="1"/>
  <c r="BO224" i="1" s="1"/>
  <c r="BO21" i="1" a="1"/>
  <c r="BO21" i="1" s="1"/>
  <c r="BT343" i="1"/>
  <c r="BY343" i="1" s="1"/>
  <c r="CZ412" i="1"/>
  <c r="AR370" i="1"/>
  <c r="CX309" i="1"/>
  <c r="CG343" i="1"/>
  <c r="BT409" i="1"/>
  <c r="BY409" i="1" s="1"/>
  <c r="EO106" i="1"/>
  <c r="BT156" i="1"/>
  <c r="BY156" i="1" s="1"/>
  <c r="CG35" i="1"/>
  <c r="BO409" i="1" a="1"/>
  <c r="BO409" i="1" s="1"/>
  <c r="BO376" i="1" a="1"/>
  <c r="BO376" i="1" s="1"/>
  <c r="CG156" i="1"/>
  <c r="BO154" i="1" a="1"/>
  <c r="BO154" i="1" s="1"/>
  <c r="BT35" i="1"/>
  <c r="BY35" i="1" s="1"/>
  <c r="DY262" i="1"/>
  <c r="BP262" i="1" s="1" a="1"/>
  <c r="BP262" i="1" s="1"/>
  <c r="BQ262" i="1" s="1"/>
  <c r="CG376" i="1"/>
  <c r="BO331" i="1" a="1"/>
  <c r="BO331" i="1" s="1"/>
  <c r="BT154" i="1"/>
  <c r="BY154" i="1" s="1"/>
  <c r="CG331" i="1"/>
  <c r="BO280" i="1" a="1"/>
  <c r="BO280" i="1" s="1"/>
  <c r="BQ280" i="1" s="1"/>
  <c r="CG401" i="1"/>
  <c r="BT366" i="1"/>
  <c r="BY366" i="1" s="1"/>
  <c r="CG280" i="1"/>
  <c r="BO401" i="1" a="1"/>
  <c r="BO401" i="1" s="1"/>
  <c r="EO262" i="1"/>
  <c r="DY410" i="1"/>
  <c r="BP410" i="1" s="1" a="1"/>
  <c r="BP410" i="1" s="1"/>
  <c r="EQ183" i="1"/>
  <c r="DY183" i="1"/>
  <c r="BP183" i="1" s="1" a="1"/>
  <c r="BP183" i="1" s="1"/>
  <c r="BR183" i="1" s="1"/>
  <c r="CR183" i="1" s="1"/>
  <c r="CZ183" i="1"/>
  <c r="DY412" i="1"/>
  <c r="BP412" i="1" s="1" a="1"/>
  <c r="BP412" i="1" s="1"/>
  <c r="BQ412" i="1" s="1"/>
  <c r="AN397" i="1"/>
  <c r="AT397" i="1" s="1"/>
  <c r="AN356" i="1"/>
  <c r="BH356" i="1" s="1"/>
  <c r="AN154" i="1"/>
  <c r="ER154" i="1" s="1"/>
  <c r="AN346" i="1"/>
  <c r="AN344" i="1"/>
  <c r="AN128" i="1"/>
  <c r="AT128" i="1" s="1"/>
  <c r="AN383" i="1"/>
  <c r="AR383" i="1" s="1"/>
  <c r="AN382" i="1"/>
  <c r="BD382" i="1" s="1"/>
  <c r="BI382" i="1" s="1"/>
  <c r="AN412" i="1"/>
  <c r="ER412" i="1" s="1"/>
  <c r="AN377" i="1"/>
  <c r="BI370" i="1"/>
  <c r="AN101" i="1"/>
  <c r="AR101" i="1" s="1"/>
  <c r="AY370" i="1"/>
  <c r="BH370" i="1"/>
  <c r="AT370" i="1"/>
  <c r="ER370" i="1"/>
  <c r="EO350" i="1"/>
  <c r="AN44" i="1"/>
  <c r="AR44" i="1" s="1"/>
  <c r="DY350" i="1"/>
  <c r="BP350" i="1" s="1" a="1"/>
  <c r="BP350" i="1" s="1"/>
  <c r="BQ350" i="1" s="1"/>
  <c r="AN409" i="1"/>
  <c r="BH409" i="1" s="1"/>
  <c r="AN179" i="1"/>
  <c r="AN47" i="1"/>
  <c r="AR47" i="1" s="1"/>
  <c r="EO408" i="1"/>
  <c r="AN354" i="1"/>
  <c r="AT354" i="1" s="1"/>
  <c r="DY408" i="1"/>
  <c r="BP408" i="1" s="1" a="1"/>
  <c r="BP408" i="1" s="1"/>
  <c r="ES372" i="1"/>
  <c r="AN68" i="1"/>
  <c r="AT68" i="1" s="1"/>
  <c r="AN376" i="1"/>
  <c r="BD376" i="1" s="1"/>
  <c r="EB376" i="1" s="1" a="1"/>
  <c r="EB376" i="1" s="1"/>
  <c r="EL376" i="1" s="1"/>
  <c r="ES412" i="1"/>
  <c r="AN35" i="1"/>
  <c r="ER35" i="1" s="1"/>
  <c r="ES352" i="1"/>
  <c r="EO156" i="1"/>
  <c r="DY345" i="1"/>
  <c r="BP345" i="1" s="1" a="1"/>
  <c r="BP345" i="1" s="1"/>
  <c r="BQ345" i="1" s="1"/>
  <c r="EG156" i="1"/>
  <c r="EQ345" i="1"/>
  <c r="EQ156" i="1"/>
  <c r="BQ392" i="1"/>
  <c r="EO345" i="1"/>
  <c r="EG345" i="1"/>
  <c r="BQ178" i="1"/>
  <c r="EO392" i="1"/>
  <c r="EO261" i="1"/>
  <c r="BQ399" i="1"/>
  <c r="DY243" i="1"/>
  <c r="BP243" i="1" s="1" a="1"/>
  <c r="BP243" i="1" s="1"/>
  <c r="BQ243" i="1" s="1"/>
  <c r="CZ252" i="1"/>
  <c r="DY252" i="1"/>
  <c r="BP252" i="1" s="1" a="1"/>
  <c r="BP252" i="1" s="1"/>
  <c r="DY69" i="1"/>
  <c r="BP69" i="1" s="1" a="1"/>
  <c r="BP69" i="1" s="1"/>
  <c r="BQ69" i="1" s="1"/>
  <c r="DY362" i="1"/>
  <c r="BP362" i="1" s="1" a="1"/>
  <c r="BP362" i="1" s="1"/>
  <c r="BQ362" i="1" s="1"/>
  <c r="CZ402" i="1"/>
  <c r="EG183" i="1"/>
  <c r="EN394" i="1"/>
  <c r="EO383" i="1"/>
  <c r="DY106" i="1"/>
  <c r="BP106" i="1" s="1" a="1"/>
  <c r="BP106" i="1" s="1"/>
  <c r="BR106" i="1" s="1"/>
  <c r="CR106" i="1" s="1"/>
  <c r="CZ262" i="1"/>
  <c r="CX243" i="1"/>
  <c r="EG243" i="1" s="1"/>
  <c r="EO179" i="1"/>
  <c r="DY179" i="1"/>
  <c r="BP179" i="1" s="1" a="1"/>
  <c r="BP179" i="1" s="1"/>
  <c r="BR179" i="1" s="1"/>
  <c r="CR179" i="1" s="1"/>
  <c r="CX179" i="1"/>
  <c r="CZ179" i="1" s="1"/>
  <c r="EO373" i="1"/>
  <c r="EO379" i="1"/>
  <c r="EG402" i="1"/>
  <c r="EG357" i="1"/>
  <c r="DY371" i="1"/>
  <c r="BP371" i="1" s="1" a="1"/>
  <c r="BP371" i="1" s="1"/>
  <c r="BQ371" i="1" s="1"/>
  <c r="EO397" i="1"/>
  <c r="CX397" i="1"/>
  <c r="EG397" i="1" s="1"/>
  <c r="DY397" i="1"/>
  <c r="BP397" i="1" s="1" a="1"/>
  <c r="BP397" i="1" s="1"/>
  <c r="BQ397" i="1" s="1"/>
  <c r="EO360" i="1"/>
  <c r="CX360" i="1"/>
  <c r="CZ360" i="1" s="1"/>
  <c r="DY360" i="1"/>
  <c r="BP360" i="1" s="1" a="1"/>
  <c r="BP360" i="1" s="1"/>
  <c r="BR360" i="1" s="1"/>
  <c r="CR360" i="1" s="1"/>
  <c r="EN68" i="1"/>
  <c r="EG68" i="1"/>
  <c r="CX376" i="1"/>
  <c r="DY309" i="1"/>
  <c r="BP309" i="1" s="1" a="1"/>
  <c r="BP309" i="1" s="1"/>
  <c r="BR309" i="1" s="1"/>
  <c r="CR309" i="1" s="1"/>
  <c r="CX392" i="1"/>
  <c r="EN392" i="1" s="1"/>
  <c r="BQ384" i="1"/>
  <c r="EO396" i="1"/>
  <c r="CX261" i="1"/>
  <c r="CZ261" i="1" s="1"/>
  <c r="CX371" i="1"/>
  <c r="EN371" i="1" s="1"/>
  <c r="EO391" i="1"/>
  <c r="DY406" i="1"/>
  <c r="BP406" i="1" s="1" a="1"/>
  <c r="BP406" i="1" s="1"/>
  <c r="BR406" i="1" s="1"/>
  <c r="CR406" i="1" s="1"/>
  <c r="CZ357" i="1"/>
  <c r="DY379" i="1"/>
  <c r="BP379" i="1" s="1" a="1"/>
  <c r="BP379" i="1" s="1"/>
  <c r="BQ379" i="1" s="1"/>
  <c r="DY308" i="1"/>
  <c r="BP308" i="1" s="1" a="1"/>
  <c r="BP308" i="1" s="1"/>
  <c r="BQ308" i="1" s="1"/>
  <c r="EQ220" i="1"/>
  <c r="BQ409" i="1"/>
  <c r="CZ410" i="1"/>
  <c r="EO409" i="1"/>
  <c r="DY401" i="1"/>
  <c r="BP401" i="1" s="1" a="1"/>
  <c r="BP401" i="1" s="1"/>
  <c r="BQ401" i="1" s="1"/>
  <c r="EO252" i="1"/>
  <c r="BQ355" i="1"/>
  <c r="CX409" i="1"/>
  <c r="CZ409" i="1" s="1"/>
  <c r="AY356" i="1"/>
  <c r="EG128" i="1"/>
  <c r="EQ252" i="1"/>
  <c r="EG410" i="1"/>
  <c r="DY220" i="1"/>
  <c r="BP220" i="1" s="1" a="1"/>
  <c r="BP220" i="1" s="1"/>
  <c r="BQ220" i="1" s="1"/>
  <c r="EG394" i="1"/>
  <c r="EO357" i="1"/>
  <c r="BD409" i="1"/>
  <c r="DK409" i="1" s="1"/>
  <c r="AY409" i="1"/>
  <c r="EO224" i="1"/>
  <c r="DY376" i="1"/>
  <c r="BP376" i="1" s="1" a="1"/>
  <c r="BP376" i="1" s="1"/>
  <c r="BQ376" i="1" s="1"/>
  <c r="AT409" i="1"/>
  <c r="BQ389" i="1"/>
  <c r="DY391" i="1"/>
  <c r="BP391" i="1" s="1" a="1"/>
  <c r="BP391" i="1" s="1"/>
  <c r="BR391" i="1" s="1"/>
  <c r="CR391" i="1" s="1"/>
  <c r="CX178" i="1"/>
  <c r="EG178" i="1" s="1"/>
  <c r="EN370" i="1"/>
  <c r="CZ370" i="1"/>
  <c r="CZ106" i="1"/>
  <c r="EQ106" i="1"/>
  <c r="EG379" i="1"/>
  <c r="CZ391" i="1"/>
  <c r="CZ54" i="1"/>
  <c r="EG391" i="1"/>
  <c r="EG54" i="1"/>
  <c r="EQ379" i="1"/>
  <c r="EQ54" i="1"/>
  <c r="EG106" i="1"/>
  <c r="CZ379" i="1"/>
  <c r="CX251" i="1"/>
  <c r="DY251" i="1"/>
  <c r="BP251" i="1" s="1" a="1"/>
  <c r="BP251" i="1" s="1"/>
  <c r="BQ251" i="1" s="1"/>
  <c r="EO251" i="1"/>
  <c r="EN353" i="1"/>
  <c r="EQ353" i="1"/>
  <c r="DY347" i="1"/>
  <c r="BP347" i="1" s="1" a="1"/>
  <c r="BP347" i="1" s="1"/>
  <c r="BR347" i="1" s="1"/>
  <c r="CR347" i="1" s="1"/>
  <c r="EO347" i="1"/>
  <c r="CX347" i="1"/>
  <c r="EG347" i="1" s="1"/>
  <c r="CX405" i="1"/>
  <c r="EN405" i="1" s="1"/>
  <c r="DY405" i="1"/>
  <c r="BP405" i="1" s="1" a="1"/>
  <c r="BP405" i="1" s="1"/>
  <c r="BQ405" i="1" s="1"/>
  <c r="EO405" i="1"/>
  <c r="EO400" i="1"/>
  <c r="CX400" i="1"/>
  <c r="BD101" i="1"/>
  <c r="EB101" i="1" s="1" a="1"/>
  <c r="EB101" i="1" s="1"/>
  <c r="EL101" i="1" s="1"/>
  <c r="AR179" i="1"/>
  <c r="BD179" i="1"/>
  <c r="BI179" i="1" s="1"/>
  <c r="AR128" i="1"/>
  <c r="CX368" i="1"/>
  <c r="EN368" i="1" s="1"/>
  <c r="BD44" i="1"/>
  <c r="BI44" i="1" s="1"/>
  <c r="AR376" i="1"/>
  <c r="DY368" i="1"/>
  <c r="BP368" i="1" s="1" a="1"/>
  <c r="BP368" i="1" s="1"/>
  <c r="BQ368" i="1" s="1"/>
  <c r="AR346" i="1"/>
  <c r="BD346" i="1"/>
  <c r="BI346" i="1" s="1"/>
  <c r="AR397" i="1"/>
  <c r="AR344" i="1"/>
  <c r="BD344" i="1"/>
  <c r="EB344" i="1" s="1" a="1"/>
  <c r="EB344" i="1" s="1"/>
  <c r="EL344" i="1" s="1"/>
  <c r="BD383" i="1"/>
  <c r="EB383" i="1" s="1" a="1"/>
  <c r="EB383" i="1" s="1"/>
  <c r="EL383" i="1" s="1"/>
  <c r="AR382" i="1"/>
  <c r="AR412" i="1"/>
  <c r="BD412" i="1"/>
  <c r="BI412" i="1" s="1"/>
  <c r="DL370" i="1"/>
  <c r="DK370" i="1"/>
  <c r="DG370" i="1"/>
  <c r="AR377" i="1"/>
  <c r="BD377" i="1"/>
  <c r="EB377" i="1" s="1" a="1"/>
  <c r="EB377" i="1" s="1"/>
  <c r="EL377" i="1" s="1"/>
  <c r="EQ407" i="1"/>
  <c r="EQ364" i="1"/>
  <c r="CZ156" i="1"/>
  <c r="CZ220" i="1"/>
  <c r="EQ357" i="1"/>
  <c r="CZ393" i="1"/>
  <c r="EQ393" i="1"/>
  <c r="EG373" i="1"/>
  <c r="CZ406" i="1"/>
  <c r="CZ364" i="1"/>
  <c r="EG350" i="1"/>
  <c r="CZ350" i="1"/>
  <c r="EQ350" i="1"/>
  <c r="EQ401" i="1"/>
  <c r="EQ373" i="1"/>
  <c r="CZ373" i="1"/>
  <c r="EG364" i="1"/>
  <c r="CX338" i="1"/>
  <c r="CZ338" i="1" s="1"/>
  <c r="DY338" i="1"/>
  <c r="BP338" i="1" s="1" a="1"/>
  <c r="BP338" i="1" s="1"/>
  <c r="BQ338" i="1" s="1"/>
  <c r="EO338" i="1"/>
  <c r="DY101" i="1"/>
  <c r="BP101" i="1" s="1" a="1"/>
  <c r="BP101" i="1" s="1"/>
  <c r="BR101" i="1" s="1"/>
  <c r="CR101" i="1" s="1"/>
  <c r="EO101" i="1"/>
  <c r="CX101" i="1"/>
  <c r="ES363" i="1"/>
  <c r="EO411" i="1"/>
  <c r="CZ382" i="1"/>
  <c r="AN359" i="1"/>
  <c r="BH359" i="1" s="1"/>
  <c r="CX380" i="1"/>
  <c r="EO380" i="1"/>
  <c r="DY380" i="1"/>
  <c r="BP380" i="1" s="1" a="1"/>
  <c r="BP380" i="1" s="1"/>
  <c r="BQ380" i="1" s="1"/>
  <c r="CX390" i="1"/>
  <c r="DY390" i="1"/>
  <c r="BP390" i="1" s="1" a="1"/>
  <c r="BP390" i="1" s="1"/>
  <c r="BQ390" i="1" s="1"/>
  <c r="ES383" i="1"/>
  <c r="ES351" i="1"/>
  <c r="EO390" i="1"/>
  <c r="AN368" i="1"/>
  <c r="AN390" i="1"/>
  <c r="CX355" i="1"/>
  <c r="EO355" i="1"/>
  <c r="CX387" i="1"/>
  <c r="EG387" i="1" s="1"/>
  <c r="EO387" i="1"/>
  <c r="DY387" i="1"/>
  <c r="BP387" i="1" s="1" a="1"/>
  <c r="BP387" i="1" s="1"/>
  <c r="BQ387" i="1" s="1"/>
  <c r="EQ411" i="1"/>
  <c r="BQ374" i="1"/>
  <c r="CZ345" i="1"/>
  <c r="CX363" i="1"/>
  <c r="DY363" i="1"/>
  <c r="BP363" i="1" s="1" a="1"/>
  <c r="BP363" i="1" s="1"/>
  <c r="BQ363" i="1" s="1"/>
  <c r="EO363" i="1"/>
  <c r="CX374" i="1"/>
  <c r="CZ374" i="1" s="1"/>
  <c r="EO374" i="1"/>
  <c r="CX384" i="1"/>
  <c r="EO384" i="1"/>
  <c r="CX308" i="1"/>
  <c r="CZ308" i="1" s="1"/>
  <c r="EO359" i="1"/>
  <c r="AT356" i="1"/>
  <c r="ES406" i="1"/>
  <c r="DY411" i="1"/>
  <c r="BP411" i="1" s="1" a="1"/>
  <c r="BP411" i="1" s="1"/>
  <c r="BR411" i="1" s="1"/>
  <c r="CR411" i="1" s="1"/>
  <c r="DY359" i="1"/>
  <c r="BP359" i="1" s="1" a="1"/>
  <c r="BP359" i="1" s="1"/>
  <c r="BR359" i="1" s="1"/>
  <c r="CR359" i="1" s="1"/>
  <c r="DY156" i="1"/>
  <c r="BP156" i="1" s="1" a="1"/>
  <c r="BP156" i="1" s="1"/>
  <c r="BQ156" i="1" s="1"/>
  <c r="AN373" i="1"/>
  <c r="AN262" i="1"/>
  <c r="EQ359" i="1"/>
  <c r="ES349" i="1"/>
  <c r="EQ382" i="1"/>
  <c r="CX399" i="1"/>
  <c r="CZ399" i="1" s="1"/>
  <c r="EO399" i="1"/>
  <c r="CX389" i="1"/>
  <c r="EO389" i="1"/>
  <c r="EQ68" i="1"/>
  <c r="EG411" i="1"/>
  <c r="AN379" i="1"/>
  <c r="BH379" i="1" s="1"/>
  <c r="CX154" i="1"/>
  <c r="EO154" i="1"/>
  <c r="ES398" i="1"/>
  <c r="EO54" i="1"/>
  <c r="BQ128" i="1"/>
  <c r="CZ68" i="1"/>
  <c r="EG359" i="1"/>
  <c r="BQ381" i="1"/>
  <c r="ES400" i="1"/>
  <c r="CZ407" i="1"/>
  <c r="EG383" i="1"/>
  <c r="CZ359" i="1"/>
  <c r="DY383" i="1"/>
  <c r="BP383" i="1" s="1" a="1"/>
  <c r="BP383" i="1" s="1"/>
  <c r="BQ383" i="1" s="1"/>
  <c r="DY154" i="1"/>
  <c r="BP154" i="1" s="1" a="1"/>
  <c r="BP154" i="1" s="1"/>
  <c r="BQ154" i="1" s="1"/>
  <c r="EG382" i="1"/>
  <c r="DY400" i="1"/>
  <c r="BP400" i="1" s="1" a="1"/>
  <c r="BP400" i="1" s="1"/>
  <c r="BR400" i="1" s="1"/>
  <c r="CR400" i="1" s="1"/>
  <c r="CZ411" i="1"/>
  <c r="EO410" i="1"/>
  <c r="BQ402" i="1"/>
  <c r="BQ252" i="1"/>
  <c r="ES371" i="1"/>
  <c r="ES378" i="1"/>
  <c r="BQ261" i="1"/>
  <c r="EG407" i="1"/>
  <c r="DY407" i="1"/>
  <c r="BP407" i="1" s="1" a="1"/>
  <c r="BP407" i="1" s="1"/>
  <c r="BR407" i="1" s="1"/>
  <c r="CR407" i="1" s="1"/>
  <c r="EO407" i="1"/>
  <c r="ER128" i="1"/>
  <c r="CZ396" i="1"/>
  <c r="ES394" i="1"/>
  <c r="EO382" i="1"/>
  <c r="AT412" i="1"/>
  <c r="AT344" i="1"/>
  <c r="CX44" i="1"/>
  <c r="DY44" i="1"/>
  <c r="EO44" i="1"/>
  <c r="ES366" i="1"/>
  <c r="DY353" i="1"/>
  <c r="AT382" i="1"/>
  <c r="CZ224" i="1"/>
  <c r="ES360" i="1"/>
  <c r="ES350" i="1"/>
  <c r="DY68" i="1"/>
  <c r="BR47" i="1"/>
  <c r="CR47" i="1" s="1"/>
  <c r="ES365" i="1"/>
  <c r="ES404" i="1"/>
  <c r="ER383" i="1"/>
  <c r="BR408" i="1"/>
  <c r="CR408" i="1" s="1"/>
  <c r="ES388" i="1"/>
  <c r="ES381" i="1"/>
  <c r="BQ47" i="1"/>
  <c r="DY382" i="1"/>
  <c r="EO353" i="1"/>
  <c r="AT346" i="1"/>
  <c r="ES403" i="1"/>
  <c r="ES405" i="1"/>
  <c r="ES379" i="1"/>
  <c r="AT179" i="1"/>
  <c r="ES374" i="1"/>
  <c r="CZ353" i="1"/>
  <c r="BR369" i="1"/>
  <c r="CR369" i="1" s="1"/>
  <c r="EO68" i="1"/>
  <c r="ES368" i="1"/>
  <c r="BR251" i="1"/>
  <c r="CR251" i="1" s="1"/>
  <c r="DY224" i="1"/>
  <c r="EG393" i="1"/>
  <c r="ES354" i="1"/>
  <c r="BR373" i="1"/>
  <c r="CR373" i="1" s="1"/>
  <c r="ES376" i="1"/>
  <c r="ES391" i="1"/>
  <c r="CX47" i="1"/>
  <c r="CZ47" i="1" s="1"/>
  <c r="EO47" i="1"/>
  <c r="CX343" i="1"/>
  <c r="EG343" i="1" s="1"/>
  <c r="DY343" i="1"/>
  <c r="BR374" i="1"/>
  <c r="CR374" i="1" s="1"/>
  <c r="ES348" i="1"/>
  <c r="AT376" i="1"/>
  <c r="BR357" i="1"/>
  <c r="CR357" i="1" s="1"/>
  <c r="EG405" i="1"/>
  <c r="ES362" i="1"/>
  <c r="BR410" i="1"/>
  <c r="CR410" i="1" s="1"/>
  <c r="BQ394" i="1"/>
  <c r="CX365" i="1"/>
  <c r="DY365" i="1"/>
  <c r="ES369" i="1"/>
  <c r="EG262" i="1"/>
  <c r="EG353" i="1"/>
  <c r="BR69" i="1"/>
  <c r="CR69" i="1" s="1"/>
  <c r="CX385" i="1"/>
  <c r="DY385" i="1"/>
  <c r="BR412" i="1"/>
  <c r="CR412" i="1" s="1"/>
  <c r="ES407" i="1"/>
  <c r="ER101" i="1"/>
  <c r="ES396" i="1"/>
  <c r="CX381" i="1"/>
  <c r="CZ381" i="1" s="1"/>
  <c r="EO381" i="1"/>
  <c r="ES355" i="1"/>
  <c r="ER346" i="1"/>
  <c r="ES393" i="1"/>
  <c r="EG224" i="1"/>
  <c r="ES347" i="1"/>
  <c r="ES409" i="1"/>
  <c r="ES364" i="1"/>
  <c r="ES401" i="1"/>
  <c r="ES353" i="1"/>
  <c r="ES380" i="1"/>
  <c r="ES402" i="1"/>
  <c r="ES399" i="1"/>
  <c r="ES392" i="1"/>
  <c r="ES384" i="1"/>
  <c r="ES387" i="1"/>
  <c r="ES408" i="1"/>
  <c r="ES410" i="1"/>
  <c r="EG396" i="1"/>
  <c r="ER376" i="1"/>
  <c r="BR392" i="1"/>
  <c r="CR392" i="1" s="1"/>
  <c r="ES367" i="1"/>
  <c r="BR261" i="1"/>
  <c r="CR261" i="1" s="1"/>
  <c r="BR384" i="1"/>
  <c r="CR384" i="1" s="1"/>
  <c r="BQ364" i="1"/>
  <c r="BR394" i="1"/>
  <c r="CR394" i="1" s="1"/>
  <c r="BR243" i="1"/>
  <c r="CR243" i="1" s="1"/>
  <c r="ES357" i="1"/>
  <c r="AT383" i="1"/>
  <c r="ES397" i="1"/>
  <c r="BR350" i="1"/>
  <c r="CR350" i="1" s="1"/>
  <c r="CX348" i="1"/>
  <c r="DY348" i="1"/>
  <c r="EO348" i="1"/>
  <c r="BR389" i="1"/>
  <c r="CR389" i="1" s="1"/>
  <c r="CX344" i="1"/>
  <c r="CZ344" i="1" s="1"/>
  <c r="DY344" i="1"/>
  <c r="EO344" i="1"/>
  <c r="ES356" i="1"/>
  <c r="CZ394" i="1"/>
  <c r="BR397" i="1"/>
  <c r="CR397" i="1" s="1"/>
  <c r="EG409" i="1"/>
  <c r="EQ396" i="1"/>
  <c r="ES382" i="1"/>
  <c r="CX388" i="1"/>
  <c r="CZ388" i="1" s="1"/>
  <c r="DY388" i="1"/>
  <c r="EO388" i="1"/>
  <c r="CX398" i="1"/>
  <c r="CZ398" i="1" s="1"/>
  <c r="DY398" i="1"/>
  <c r="EO398" i="1"/>
  <c r="ES375" i="1"/>
  <c r="AN408" i="1"/>
  <c r="BH408" i="1" s="1"/>
  <c r="AN56" i="1"/>
  <c r="AN357" i="1"/>
  <c r="BR280" i="1"/>
  <c r="CR280" i="1" s="1"/>
  <c r="AN394" i="1"/>
  <c r="BQ106" i="1"/>
  <c r="ES386" i="1"/>
  <c r="AN402" i="1"/>
  <c r="BH402" i="1" s="1"/>
  <c r="AN360" i="1"/>
  <c r="AN347" i="1"/>
  <c r="BH347" i="1" s="1"/>
  <c r="AR409" i="1"/>
  <c r="ER409" i="1"/>
  <c r="CX386" i="1"/>
  <c r="DY386" i="1"/>
  <c r="EO386" i="1"/>
  <c r="AN385" i="1"/>
  <c r="BQ373" i="1"/>
  <c r="BQ391" i="1"/>
  <c r="CX346" i="1"/>
  <c r="EO346" i="1"/>
  <c r="DY346" i="1"/>
  <c r="AN353" i="1"/>
  <c r="BH353" i="1" s="1"/>
  <c r="AN386" i="1"/>
  <c r="AN21" i="1"/>
  <c r="AN389" i="1"/>
  <c r="BH389" i="1" s="1"/>
  <c r="CX372" i="1"/>
  <c r="DY372" i="1"/>
  <c r="EO372" i="1"/>
  <c r="AN178" i="1"/>
  <c r="BH178" i="1" s="1"/>
  <c r="AN405" i="1"/>
  <c r="BH405" i="1" s="1"/>
  <c r="AN309" i="1"/>
  <c r="AN106" i="1"/>
  <c r="BH106" i="1" s="1"/>
  <c r="AN330" i="1"/>
  <c r="ES361" i="1"/>
  <c r="BR387" i="1"/>
  <c r="CR387" i="1" s="1"/>
  <c r="CX225" i="1"/>
  <c r="EO225" i="1"/>
  <c r="DY225" i="1"/>
  <c r="AN374" i="1"/>
  <c r="BH374" i="1" s="1"/>
  <c r="AN252" i="1"/>
  <c r="AN392" i="1"/>
  <c r="AN400" i="1"/>
  <c r="BH400" i="1" s="1"/>
  <c r="AN387" i="1"/>
  <c r="AN156" i="1"/>
  <c r="AN34" i="1"/>
  <c r="BH34" i="1" s="1"/>
  <c r="CX403" i="1"/>
  <c r="CZ403" i="1" s="1"/>
  <c r="DY403" i="1"/>
  <c r="EO403" i="1"/>
  <c r="AN183" i="1"/>
  <c r="BH183" i="1" s="1"/>
  <c r="CX361" i="1"/>
  <c r="EG361" i="1" s="1"/>
  <c r="DY361" i="1"/>
  <c r="EO361" i="1"/>
  <c r="AN411" i="1"/>
  <c r="BH411" i="1" s="1"/>
  <c r="AN355" i="1"/>
  <c r="BH355" i="1" s="1"/>
  <c r="AN343" i="1"/>
  <c r="AN362" i="1"/>
  <c r="BH362" i="1" s="1"/>
  <c r="AN358" i="1"/>
  <c r="CX354" i="1"/>
  <c r="DY354" i="1"/>
  <c r="EO354" i="1"/>
  <c r="CX182" i="1"/>
  <c r="DY182" i="1"/>
  <c r="EO182" i="1"/>
  <c r="AN54" i="1"/>
  <c r="BH54" i="1" s="1"/>
  <c r="CX173" i="1"/>
  <c r="EO173" i="1"/>
  <c r="DY173" i="1"/>
  <c r="CX367" i="1"/>
  <c r="CZ367" i="1" s="1"/>
  <c r="EO367" i="1"/>
  <c r="DY367" i="1"/>
  <c r="CX330" i="1"/>
  <c r="DY330" i="1"/>
  <c r="EO330" i="1"/>
  <c r="CX21" i="1"/>
  <c r="EG21" i="1" s="1"/>
  <c r="EO21" i="1"/>
  <c r="DY21" i="1"/>
  <c r="AN380" i="1"/>
  <c r="BH380" i="1" s="1"/>
  <c r="CZ401" i="1"/>
  <c r="EG401" i="1"/>
  <c r="AN407" i="1"/>
  <c r="BH407" i="1" s="1"/>
  <c r="AN361" i="1"/>
  <c r="BH361" i="1" s="1"/>
  <c r="CX375" i="1"/>
  <c r="EO375" i="1"/>
  <c r="DY375" i="1"/>
  <c r="AN173" i="1"/>
  <c r="CX352" i="1"/>
  <c r="CZ352" i="1" s="1"/>
  <c r="DY352" i="1"/>
  <c r="EO352" i="1"/>
  <c r="AN369" i="1"/>
  <c r="BH369" i="1" s="1"/>
  <c r="AN367" i="1"/>
  <c r="BH367" i="1" s="1"/>
  <c r="CX331" i="1"/>
  <c r="CZ331" i="1" s="1"/>
  <c r="DY331" i="1"/>
  <c r="EO331" i="1"/>
  <c r="AN352" i="1"/>
  <c r="AN401" i="1"/>
  <c r="AN393" i="1"/>
  <c r="AN365" i="1"/>
  <c r="BH365" i="1" s="1"/>
  <c r="AN224" i="1"/>
  <c r="BH224" i="1" s="1"/>
  <c r="AN372" i="1"/>
  <c r="BH372" i="1" s="1"/>
  <c r="AN375" i="1"/>
  <c r="AN69" i="1"/>
  <c r="AN338" i="1"/>
  <c r="BH338" i="1" s="1"/>
  <c r="CX366" i="1"/>
  <c r="DY366" i="1"/>
  <c r="EO366" i="1"/>
  <c r="AN348" i="1"/>
  <c r="BH348" i="1" s="1"/>
  <c r="AN331" i="1"/>
  <c r="BH331" i="1" s="1"/>
  <c r="AN403" i="1"/>
  <c r="BH403" i="1" s="1"/>
  <c r="AN350" i="1"/>
  <c r="AN182" i="1"/>
  <c r="AN243" i="1"/>
  <c r="BH243" i="1" s="1"/>
  <c r="AN384" i="1"/>
  <c r="AN220" i="1"/>
  <c r="BH220" i="1" s="1"/>
  <c r="AN366" i="1"/>
  <c r="CX395" i="1"/>
  <c r="CZ395" i="1" s="1"/>
  <c r="EO395" i="1"/>
  <c r="DY395" i="1"/>
  <c r="CX404" i="1"/>
  <c r="DY404" i="1"/>
  <c r="EO404" i="1"/>
  <c r="AN280" i="1"/>
  <c r="AN391" i="1"/>
  <c r="EN376" i="1"/>
  <c r="CZ376" i="1"/>
  <c r="EG376" i="1"/>
  <c r="EQ376" i="1"/>
  <c r="CX351" i="1"/>
  <c r="CZ351" i="1" s="1"/>
  <c r="EO351" i="1"/>
  <c r="DY351" i="1"/>
  <c r="DY349" i="1"/>
  <c r="EO349" i="1"/>
  <c r="CX349" i="1"/>
  <c r="AN395" i="1"/>
  <c r="BH395" i="1" s="1"/>
  <c r="AN363" i="1"/>
  <c r="AN388" i="1"/>
  <c r="BH388" i="1" s="1"/>
  <c r="CX241" i="1"/>
  <c r="EO241" i="1"/>
  <c r="DY241" i="1"/>
  <c r="DA399" i="1"/>
  <c r="AN225" i="1"/>
  <c r="BH225" i="1" s="1"/>
  <c r="CX35" i="1"/>
  <c r="EO35" i="1"/>
  <c r="DY35" i="1"/>
  <c r="DY56" i="1"/>
  <c r="CX56" i="1"/>
  <c r="EO56" i="1"/>
  <c r="AN241" i="1"/>
  <c r="BH241" i="1" s="1"/>
  <c r="AN399" i="1"/>
  <c r="BH399" i="1" s="1"/>
  <c r="CX34" i="1"/>
  <c r="EG34" i="1" s="1"/>
  <c r="DY34" i="1"/>
  <c r="EO34" i="1"/>
  <c r="AN345" i="1"/>
  <c r="BH345" i="1" s="1"/>
  <c r="AN381" i="1"/>
  <c r="AN404" i="1"/>
  <c r="AN406" i="1"/>
  <c r="AR356" i="1"/>
  <c r="ER356" i="1"/>
  <c r="AN410" i="1"/>
  <c r="BH410" i="1" s="1"/>
  <c r="CX378" i="1"/>
  <c r="DY378" i="1"/>
  <c r="EO378" i="1"/>
  <c r="AN396" i="1"/>
  <c r="BH396" i="1" s="1"/>
  <c r="AN364" i="1"/>
  <c r="BH364" i="1" s="1"/>
  <c r="CX358" i="1"/>
  <c r="DY358" i="1"/>
  <c r="EO358" i="1"/>
  <c r="AN251" i="1"/>
  <c r="AN339" i="1"/>
  <c r="DY377" i="1"/>
  <c r="CX377" i="1"/>
  <c r="EO377" i="1"/>
  <c r="AN371" i="1"/>
  <c r="AN378" i="1"/>
  <c r="BH378" i="1" s="1"/>
  <c r="AN398" i="1"/>
  <c r="BH398" i="1" s="1"/>
  <c r="AN261" i="1"/>
  <c r="BH261" i="1" s="1"/>
  <c r="AN308" i="1"/>
  <c r="AN351" i="1"/>
  <c r="AN349" i="1"/>
  <c r="BH349" i="1" s="1"/>
  <c r="BR356" i="1"/>
  <c r="CR356" i="1" s="1"/>
  <c r="BR402" i="1"/>
  <c r="CR402" i="1" s="1"/>
  <c r="BQ410" i="1"/>
  <c r="ES411" i="1"/>
  <c r="BR339" i="1"/>
  <c r="CR339" i="1" s="1"/>
  <c r="BR54" i="1"/>
  <c r="CR54" i="1" s="1"/>
  <c r="BQ356" i="1"/>
  <c r="BR393" i="1"/>
  <c r="CR393" i="1" s="1"/>
  <c r="BZ404" i="1"/>
  <c r="CB404" i="1"/>
  <c r="CI404" i="1" s="1"/>
  <c r="CA404" i="1"/>
  <c r="CB393" i="1"/>
  <c r="CI393" i="1" s="1"/>
  <c r="BZ393" i="1"/>
  <c r="CA393" i="1"/>
  <c r="CB395" i="1"/>
  <c r="CI395" i="1" s="1"/>
  <c r="BZ395" i="1"/>
  <c r="CA395" i="1"/>
  <c r="BR383" i="1"/>
  <c r="CR383" i="1" s="1"/>
  <c r="BZ35" i="1"/>
  <c r="CB35" i="1"/>
  <c r="CI35" i="1" s="1"/>
  <c r="CA35" i="1"/>
  <c r="CB356" i="1"/>
  <c r="CI356" i="1" s="1"/>
  <c r="CA356" i="1"/>
  <c r="BZ356" i="1"/>
  <c r="CB101" i="1"/>
  <c r="CI101" i="1" s="1"/>
  <c r="BZ101" i="1"/>
  <c r="CA101" i="1"/>
  <c r="BR128" i="1"/>
  <c r="CR128" i="1" s="1"/>
  <c r="CB384" i="1"/>
  <c r="CI384" i="1" s="1"/>
  <c r="CA384" i="1"/>
  <c r="BZ384" i="1"/>
  <c r="BZ68" i="1"/>
  <c r="CB68" i="1"/>
  <c r="CI68" i="1" s="1"/>
  <c r="CA68" i="1"/>
  <c r="CB339" i="1"/>
  <c r="CI339" i="1" s="1"/>
  <c r="CA339" i="1"/>
  <c r="BZ339" i="1"/>
  <c r="CB349" i="1"/>
  <c r="CI349" i="1" s="1"/>
  <c r="BZ349" i="1"/>
  <c r="CA349" i="1"/>
  <c r="CB364" i="1"/>
  <c r="CI364" i="1" s="1"/>
  <c r="CA364" i="1"/>
  <c r="BZ364" i="1"/>
  <c r="CB386" i="1"/>
  <c r="CI386" i="1" s="1"/>
  <c r="CA386" i="1"/>
  <c r="BZ386" i="1"/>
  <c r="BZ182" i="1"/>
  <c r="CA182" i="1"/>
  <c r="CB182" i="1"/>
  <c r="CI182" i="1" s="1"/>
  <c r="BQ339" i="1"/>
  <c r="CA352" i="1"/>
  <c r="CB352" i="1"/>
  <c r="CI352" i="1" s="1"/>
  <c r="BZ352" i="1"/>
  <c r="CB243" i="1"/>
  <c r="CI243" i="1" s="1"/>
  <c r="BZ243" i="1"/>
  <c r="CA243" i="1"/>
  <c r="CB156" i="1"/>
  <c r="CI156" i="1" s="1"/>
  <c r="BZ156" i="1"/>
  <c r="CA156" i="1"/>
  <c r="CB183" i="1"/>
  <c r="CI183" i="1" s="1"/>
  <c r="CA183" i="1"/>
  <c r="BZ183" i="1"/>
  <c r="BR379" i="1"/>
  <c r="CR379" i="1" s="1"/>
  <c r="CB380" i="1"/>
  <c r="CI380" i="1" s="1"/>
  <c r="CA380" i="1"/>
  <c r="BZ380" i="1"/>
  <c r="CB251" i="1"/>
  <c r="CI251" i="1" s="1"/>
  <c r="CA251" i="1"/>
  <c r="BZ251" i="1"/>
  <c r="CB410" i="1"/>
  <c r="CI410" i="1" s="1"/>
  <c r="CA410" i="1"/>
  <c r="BZ410" i="1"/>
  <c r="CA252" i="1"/>
  <c r="BZ252" i="1"/>
  <c r="CB252" i="1"/>
  <c r="CI252" i="1" s="1"/>
  <c r="CB387" i="1"/>
  <c r="CI387" i="1" s="1"/>
  <c r="CA387" i="1"/>
  <c r="BZ387" i="1"/>
  <c r="CB350" i="1"/>
  <c r="CI350" i="1" s="1"/>
  <c r="CA350" i="1"/>
  <c r="BZ350" i="1"/>
  <c r="CB368" i="1"/>
  <c r="CI368" i="1" s="1"/>
  <c r="CA368" i="1"/>
  <c r="BZ368" i="1"/>
  <c r="CB406" i="1"/>
  <c r="CI406" i="1" s="1"/>
  <c r="CA406" i="1"/>
  <c r="BZ406" i="1"/>
  <c r="CB21" i="1"/>
  <c r="CI21" i="1" s="1"/>
  <c r="CA21" i="1"/>
  <c r="BZ21" i="1"/>
  <c r="BZ347" i="1"/>
  <c r="CB347" i="1"/>
  <c r="CI347" i="1" s="1"/>
  <c r="CA347" i="1"/>
  <c r="CB345" i="1"/>
  <c r="CI345" i="1" s="1"/>
  <c r="CA345" i="1"/>
  <c r="BZ345" i="1"/>
  <c r="CB178" i="1"/>
  <c r="CI178" i="1" s="1"/>
  <c r="CA178" i="1"/>
  <c r="BZ178" i="1"/>
  <c r="BZ309" i="1"/>
  <c r="CB309" i="1"/>
  <c r="CI309" i="1" s="1"/>
  <c r="CA309" i="1"/>
  <c r="CB357" i="1"/>
  <c r="CI357" i="1" s="1"/>
  <c r="CA357" i="1"/>
  <c r="BZ357" i="1"/>
  <c r="BZ225" i="1"/>
  <c r="CB225" i="1"/>
  <c r="CI225" i="1" s="1"/>
  <c r="CA225" i="1"/>
  <c r="CB408" i="1"/>
  <c r="CI408" i="1" s="1"/>
  <c r="CA408" i="1"/>
  <c r="BZ408" i="1"/>
  <c r="CA374" i="1"/>
  <c r="BZ374" i="1"/>
  <c r="CB374" i="1"/>
  <c r="CI374" i="1" s="1"/>
  <c r="CB367" i="1"/>
  <c r="CI367" i="1" s="1"/>
  <c r="CA367" i="1"/>
  <c r="BZ367" i="1"/>
  <c r="CA261" i="1"/>
  <c r="BZ261" i="1"/>
  <c r="CB261" i="1"/>
  <c r="CI261" i="1" s="1"/>
  <c r="BQ347" i="1"/>
  <c r="BZ179" i="1"/>
  <c r="CB179" i="1"/>
  <c r="CI179" i="1" s="1"/>
  <c r="CA179" i="1"/>
  <c r="BQ369" i="1"/>
  <c r="CA170" i="1"/>
  <c r="CB170" i="1"/>
  <c r="CI170" i="1" s="1"/>
  <c r="BZ170" i="1"/>
  <c r="CB128" i="1"/>
  <c r="CI128" i="1" s="1"/>
  <c r="BZ128" i="1"/>
  <c r="CA128" i="1"/>
  <c r="CB106" i="1"/>
  <c r="CI106" i="1" s="1"/>
  <c r="CA106" i="1"/>
  <c r="BZ106" i="1"/>
  <c r="CB382" i="1"/>
  <c r="CI382" i="1" s="1"/>
  <c r="CA382" i="1"/>
  <c r="BZ382" i="1"/>
  <c r="BQ408" i="1"/>
  <c r="CA359" i="1"/>
  <c r="BZ359" i="1"/>
  <c r="CB359" i="1"/>
  <c r="CI359" i="1" s="1"/>
  <c r="BZ407" i="1"/>
  <c r="CB407" i="1"/>
  <c r="CI407" i="1" s="1"/>
  <c r="CA407" i="1"/>
  <c r="BR399" i="1"/>
  <c r="CR399" i="1" s="1"/>
  <c r="CB369" i="1"/>
  <c r="CI369" i="1" s="1"/>
  <c r="CA369" i="1"/>
  <c r="BZ369" i="1"/>
  <c r="CB344" i="1"/>
  <c r="CI344" i="1" s="1"/>
  <c r="CA344" i="1"/>
  <c r="BZ344" i="1"/>
  <c r="CA377" i="1"/>
  <c r="BZ377" i="1"/>
  <c r="CB377" i="1"/>
  <c r="CI377" i="1" s="1"/>
  <c r="BZ358" i="1"/>
  <c r="CB358" i="1"/>
  <c r="CI358" i="1" s="1"/>
  <c r="CA358" i="1"/>
  <c r="CB360" i="1"/>
  <c r="CI360" i="1" s="1"/>
  <c r="CA360" i="1"/>
  <c r="BZ360" i="1"/>
  <c r="BQ357" i="1"/>
  <c r="CA203" i="1"/>
  <c r="CB203" i="1"/>
  <c r="CI203" i="1" s="1"/>
  <c r="BZ203" i="1"/>
  <c r="CB389" i="1"/>
  <c r="CI389" i="1" s="1"/>
  <c r="CA389" i="1"/>
  <c r="BZ389" i="1"/>
  <c r="CB392" i="1"/>
  <c r="CI392" i="1" s="1"/>
  <c r="CA392" i="1"/>
  <c r="BZ392" i="1"/>
  <c r="CB363" i="1"/>
  <c r="CI363" i="1" s="1"/>
  <c r="CA363" i="1"/>
  <c r="BZ363" i="1"/>
  <c r="CB365" i="1"/>
  <c r="CI365" i="1" s="1"/>
  <c r="CA365" i="1"/>
  <c r="BZ365" i="1"/>
  <c r="CB330" i="1"/>
  <c r="CI330" i="1" s="1"/>
  <c r="CA330" i="1"/>
  <c r="BZ330" i="1"/>
  <c r="BQ360" i="1"/>
  <c r="BR355" i="1"/>
  <c r="CR355" i="1" s="1"/>
  <c r="CB224" i="1"/>
  <c r="CI224" i="1" s="1"/>
  <c r="CA224" i="1"/>
  <c r="BZ224" i="1"/>
  <c r="CA207" i="1"/>
  <c r="BZ207" i="1"/>
  <c r="CB207" i="1"/>
  <c r="CI207" i="1" s="1"/>
  <c r="CB378" i="1"/>
  <c r="CI378" i="1" s="1"/>
  <c r="CA378" i="1"/>
  <c r="BZ378" i="1"/>
  <c r="CB47" i="1"/>
  <c r="CI47" i="1" s="1"/>
  <c r="CA47" i="1"/>
  <c r="BZ47" i="1"/>
  <c r="BR409" i="1"/>
  <c r="CR409" i="1" s="1"/>
  <c r="CB390" i="1"/>
  <c r="CI390" i="1" s="1"/>
  <c r="CA390" i="1"/>
  <c r="BZ390" i="1"/>
  <c r="CB376" i="1"/>
  <c r="CI376" i="1" s="1"/>
  <c r="CA376" i="1"/>
  <c r="BZ376" i="1"/>
  <c r="CB331" i="1"/>
  <c r="CI331" i="1" s="1"/>
  <c r="CA331" i="1"/>
  <c r="BZ331" i="1"/>
  <c r="CB400" i="1"/>
  <c r="CI400" i="1" s="1"/>
  <c r="CA400" i="1"/>
  <c r="BZ400" i="1"/>
  <c r="CB383" i="1"/>
  <c r="CI383" i="1" s="1"/>
  <c r="CA383" i="1"/>
  <c r="BZ383" i="1"/>
  <c r="CB54" i="1"/>
  <c r="CI54" i="1" s="1"/>
  <c r="CA54" i="1"/>
  <c r="BZ54" i="1"/>
  <c r="CB397" i="1"/>
  <c r="CI397" i="1" s="1"/>
  <c r="CA397" i="1"/>
  <c r="BZ397" i="1"/>
  <c r="BR396" i="1"/>
  <c r="CR396" i="1" s="1"/>
  <c r="BZ401" i="1"/>
  <c r="CA401" i="1"/>
  <c r="CB401" i="1"/>
  <c r="CI401" i="1" s="1"/>
  <c r="BR262" i="1"/>
  <c r="CR262" i="1" s="1"/>
  <c r="CB343" i="1"/>
  <c r="CI343" i="1" s="1"/>
  <c r="CA343" i="1"/>
  <c r="BZ343" i="1"/>
  <c r="BZ366" i="1"/>
  <c r="CB366" i="1"/>
  <c r="CI366" i="1" s="1"/>
  <c r="CA366" i="1"/>
  <c r="CB379" i="1"/>
  <c r="CI379" i="1" s="1"/>
  <c r="BZ379" i="1"/>
  <c r="CA379" i="1"/>
  <c r="CB173" i="1"/>
  <c r="CI173" i="1" s="1"/>
  <c r="BZ173" i="1"/>
  <c r="CA173" i="1"/>
  <c r="CB403" i="1"/>
  <c r="CI403" i="1" s="1"/>
  <c r="CA403" i="1"/>
  <c r="BZ403" i="1"/>
  <c r="CB348" i="1"/>
  <c r="CI348" i="1" s="1"/>
  <c r="CA348" i="1"/>
  <c r="BZ348" i="1"/>
  <c r="CA308" i="1"/>
  <c r="CB308" i="1"/>
  <c r="CI308" i="1" s="1"/>
  <c r="BZ308" i="1"/>
  <c r="BR381" i="1"/>
  <c r="CR381" i="1" s="1"/>
  <c r="CA280" i="1"/>
  <c r="BZ280" i="1"/>
  <c r="CB280" i="1"/>
  <c r="CI280" i="1" s="1"/>
  <c r="BZ44" i="1"/>
  <c r="CB44" i="1"/>
  <c r="CI44" i="1" s="1"/>
  <c r="CA44" i="1"/>
  <c r="CB354" i="1"/>
  <c r="CI354" i="1" s="1"/>
  <c r="CA354" i="1"/>
  <c r="BZ354" i="1"/>
  <c r="CB373" i="1"/>
  <c r="CI373" i="1" s="1"/>
  <c r="CA373" i="1"/>
  <c r="BZ373" i="1"/>
  <c r="CB154" i="1"/>
  <c r="CI154" i="1" s="1"/>
  <c r="CA154" i="1"/>
  <c r="BZ154" i="1"/>
  <c r="CB398" i="1"/>
  <c r="CI398" i="1" s="1"/>
  <c r="CA398" i="1"/>
  <c r="BZ398" i="1"/>
  <c r="CB346" i="1"/>
  <c r="CI346" i="1" s="1"/>
  <c r="CA346" i="1"/>
  <c r="BZ346" i="1"/>
  <c r="BR252" i="1"/>
  <c r="CR252" i="1" s="1"/>
  <c r="CB351" i="1"/>
  <c r="CI351" i="1" s="1"/>
  <c r="CA351" i="1"/>
  <c r="BZ351" i="1"/>
  <c r="BZ409" i="1"/>
  <c r="CB409" i="1"/>
  <c r="CI409" i="1" s="1"/>
  <c r="CA409" i="1"/>
  <c r="CB375" i="1"/>
  <c r="CI375" i="1" s="1"/>
  <c r="CA375" i="1"/>
  <c r="BZ375" i="1"/>
  <c r="CB372" i="1"/>
  <c r="CI372" i="1" s="1"/>
  <c r="CA372" i="1"/>
  <c r="BZ372" i="1"/>
  <c r="BR345" i="1"/>
  <c r="CR345" i="1" s="1"/>
  <c r="BZ388" i="1"/>
  <c r="CB388" i="1"/>
  <c r="CI388" i="1" s="1"/>
  <c r="CA388" i="1"/>
  <c r="BZ381" i="1"/>
  <c r="CA381" i="1"/>
  <c r="CB381" i="1"/>
  <c r="CI381" i="1" s="1"/>
  <c r="CB371" i="1"/>
  <c r="CI371" i="1" s="1"/>
  <c r="CA371" i="1"/>
  <c r="BZ371" i="1"/>
  <c r="CB396" i="1"/>
  <c r="CI396" i="1" s="1"/>
  <c r="CA396" i="1"/>
  <c r="BZ396" i="1"/>
  <c r="BR178" i="1"/>
  <c r="CR178" i="1" s="1"/>
  <c r="CA412" i="1"/>
  <c r="CB412" i="1"/>
  <c r="CI412" i="1" s="1"/>
  <c r="BZ412" i="1"/>
  <c r="BZ197" i="1"/>
  <c r="CB197" i="1"/>
  <c r="CI197" i="1" s="1"/>
  <c r="CA197" i="1"/>
  <c r="CB353" i="1"/>
  <c r="CI353" i="1" s="1"/>
  <c r="CA353" i="1"/>
  <c r="BZ353" i="1"/>
  <c r="CB391" i="1"/>
  <c r="CI391" i="1" s="1"/>
  <c r="CA391" i="1"/>
  <c r="BZ391" i="1"/>
  <c r="CB34" i="1"/>
  <c r="CI34" i="1" s="1"/>
  <c r="CA34" i="1"/>
  <c r="BZ34" i="1"/>
  <c r="CB69" i="1"/>
  <c r="CI69" i="1" s="1"/>
  <c r="CA69" i="1"/>
  <c r="BZ69" i="1"/>
  <c r="BZ262" i="1"/>
  <c r="CB262" i="1"/>
  <c r="CI262" i="1" s="1"/>
  <c r="CA262" i="1"/>
  <c r="CB405" i="1"/>
  <c r="CI405" i="1" s="1"/>
  <c r="CA405" i="1"/>
  <c r="BZ405" i="1"/>
  <c r="CB411" i="1"/>
  <c r="CI411" i="1" s="1"/>
  <c r="CA411" i="1"/>
  <c r="BZ411" i="1"/>
  <c r="CA362" i="1"/>
  <c r="CB362" i="1"/>
  <c r="CI362" i="1" s="1"/>
  <c r="BZ362" i="1"/>
  <c r="CA361" i="1"/>
  <c r="CB361" i="1"/>
  <c r="CI361" i="1" s="1"/>
  <c r="BZ361" i="1"/>
  <c r="BR364" i="1"/>
  <c r="CR364" i="1" s="1"/>
  <c r="CB385" i="1"/>
  <c r="CI385" i="1" s="1"/>
  <c r="BZ385" i="1"/>
  <c r="CA385" i="1"/>
  <c r="CB338" i="1"/>
  <c r="CI338" i="1" s="1"/>
  <c r="CA338" i="1"/>
  <c r="BZ338" i="1"/>
  <c r="CA241" i="1"/>
  <c r="CB241" i="1"/>
  <c r="CI241" i="1" s="1"/>
  <c r="BZ241" i="1"/>
  <c r="BR308" i="1"/>
  <c r="CR308" i="1" s="1"/>
  <c r="CB402" i="1"/>
  <c r="CI402" i="1" s="1"/>
  <c r="CA402" i="1"/>
  <c r="BZ402" i="1"/>
  <c r="CZ392" i="1"/>
  <c r="CA56" i="1"/>
  <c r="BZ56" i="1"/>
  <c r="CB56" i="1"/>
  <c r="CI56" i="1" s="1"/>
  <c r="CA355" i="1"/>
  <c r="BZ355" i="1"/>
  <c r="CB355" i="1"/>
  <c r="CI355" i="1" s="1"/>
  <c r="CB399" i="1"/>
  <c r="CI399" i="1" s="1"/>
  <c r="CA399" i="1"/>
  <c r="BZ399" i="1"/>
  <c r="CB220" i="1"/>
  <c r="CI220" i="1" s="1"/>
  <c r="BZ220" i="1"/>
  <c r="CA220" i="1"/>
  <c r="BR405" i="1"/>
  <c r="CR405" i="1" s="1"/>
  <c r="CB394" i="1"/>
  <c r="CI394" i="1" s="1"/>
  <c r="CA394" i="1"/>
  <c r="BZ394" i="1"/>
  <c r="EN339" i="1"/>
  <c r="EG339" i="1"/>
  <c r="EQ339" i="1"/>
  <c r="CZ339" i="1"/>
  <c r="ES358" i="1"/>
  <c r="ES395" i="1"/>
  <c r="EN397" i="1"/>
  <c r="CZ397" i="1"/>
  <c r="EN369" i="1"/>
  <c r="EQ369" i="1"/>
  <c r="EG369" i="1"/>
  <c r="CZ369" i="1"/>
  <c r="EN356" i="1"/>
  <c r="EQ356" i="1"/>
  <c r="EG356" i="1"/>
  <c r="CZ356" i="1"/>
  <c r="ES373" i="1"/>
  <c r="EN101" i="1"/>
  <c r="CZ101" i="1"/>
  <c r="EG101" i="1"/>
  <c r="EQ101" i="1"/>
  <c r="AG393" i="1"/>
  <c r="AC393" i="1"/>
  <c r="AC220" i="1"/>
  <c r="AG220" i="1"/>
  <c r="AG386" i="1"/>
  <c r="AC386" i="1"/>
  <c r="AC106" i="1"/>
  <c r="AG106" i="1"/>
  <c r="AG345" i="1"/>
  <c r="AC345" i="1"/>
  <c r="AG331" i="1"/>
  <c r="AC331" i="1"/>
  <c r="AG366" i="1"/>
  <c r="AC366" i="1"/>
  <c r="AG357" i="1"/>
  <c r="AC357" i="1"/>
  <c r="AC182" i="1"/>
  <c r="AG182" i="1"/>
  <c r="AG406" i="1"/>
  <c r="AC406" i="1"/>
  <c r="AG347" i="1"/>
  <c r="AC347" i="1"/>
  <c r="ES385" i="1"/>
  <c r="AC262" i="1"/>
  <c r="AG262" i="1"/>
  <c r="AG359" i="1"/>
  <c r="AC359" i="1"/>
  <c r="AG243" i="1"/>
  <c r="AC243" i="1"/>
  <c r="AG394" i="1"/>
  <c r="AC394" i="1"/>
  <c r="AG408" i="1"/>
  <c r="AC408" i="1"/>
  <c r="AG412" i="1"/>
  <c r="AC412" i="1"/>
  <c r="AC369" i="1"/>
  <c r="AG369" i="1"/>
  <c r="AG363" i="1"/>
  <c r="AC363" i="1"/>
  <c r="AG403" i="1"/>
  <c r="AC403" i="1"/>
  <c r="AG330" i="1"/>
  <c r="AC330" i="1"/>
  <c r="AG396" i="1"/>
  <c r="AC396" i="1"/>
  <c r="AC280" i="1"/>
  <c r="AG280" i="1"/>
  <c r="EN360" i="1"/>
  <c r="EQ360" i="1"/>
  <c r="EG360" i="1"/>
  <c r="ES390" i="1"/>
  <c r="AG350" i="1"/>
  <c r="AC350" i="1"/>
  <c r="AG101" i="1"/>
  <c r="AC101" i="1"/>
  <c r="AG389" i="1"/>
  <c r="AC389" i="1"/>
  <c r="AC395" i="1"/>
  <c r="AG395" i="1"/>
  <c r="AG203" i="1"/>
  <c r="AC203" i="1"/>
  <c r="AG401" i="1"/>
  <c r="AC401" i="1"/>
  <c r="AC44" i="1"/>
  <c r="AG44" i="1"/>
  <c r="AG361" i="1"/>
  <c r="AC361" i="1"/>
  <c r="EN347" i="1"/>
  <c r="CZ347" i="1"/>
  <c r="EQ347" i="1"/>
  <c r="AG351" i="1"/>
  <c r="AC351" i="1"/>
  <c r="AG343" i="1"/>
  <c r="AC343" i="1"/>
  <c r="AG382" i="1"/>
  <c r="AC382" i="1"/>
  <c r="AC367" i="1"/>
  <c r="AG367" i="1"/>
  <c r="AG225" i="1"/>
  <c r="AC225" i="1"/>
  <c r="ES389" i="1"/>
  <c r="AG392" i="1"/>
  <c r="AC392" i="1"/>
  <c r="AG47" i="1"/>
  <c r="AC47" i="1"/>
  <c r="AG385" i="1"/>
  <c r="AC385" i="1"/>
  <c r="AG381" i="1"/>
  <c r="AC381" i="1"/>
  <c r="AC380" i="1"/>
  <c r="AG380" i="1"/>
  <c r="ER344" i="1"/>
  <c r="AG69" i="1"/>
  <c r="AC69" i="1"/>
  <c r="ES359" i="1"/>
  <c r="AG384" i="1"/>
  <c r="AC384" i="1"/>
  <c r="AG356" i="1"/>
  <c r="AC356" i="1"/>
  <c r="AG374" i="1"/>
  <c r="AC374" i="1"/>
  <c r="AG404" i="1"/>
  <c r="AC404" i="1"/>
  <c r="AC308" i="1"/>
  <c r="AG308" i="1"/>
  <c r="AG353" i="1"/>
  <c r="AC353" i="1"/>
  <c r="AG309" i="1"/>
  <c r="AC309" i="1"/>
  <c r="ES377" i="1"/>
  <c r="AG368" i="1"/>
  <c r="AC368" i="1"/>
  <c r="AG344" i="1"/>
  <c r="AC344" i="1"/>
  <c r="AC391" i="1"/>
  <c r="AG391" i="1"/>
  <c r="AG56" i="1"/>
  <c r="AC56" i="1"/>
  <c r="AC377" i="1"/>
  <c r="AG377" i="1"/>
  <c r="AG207" i="1"/>
  <c r="AC207" i="1"/>
  <c r="R13" i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AG183" i="1"/>
  <c r="AC183" i="1"/>
  <c r="AG411" i="1"/>
  <c r="AC411" i="1"/>
  <c r="AC376" i="1"/>
  <c r="AG376" i="1"/>
  <c r="AG54" i="1"/>
  <c r="AC54" i="1"/>
  <c r="AG354" i="1"/>
  <c r="AC354" i="1"/>
  <c r="AC358" i="1"/>
  <c r="AG358" i="1"/>
  <c r="AG400" i="1"/>
  <c r="AC400" i="1"/>
  <c r="AG355" i="1"/>
  <c r="AC355" i="1"/>
  <c r="AG362" i="1"/>
  <c r="AC362" i="1"/>
  <c r="AG364" i="1"/>
  <c r="AC364" i="1"/>
  <c r="AG397" i="1"/>
  <c r="AC397" i="1"/>
  <c r="AC178" i="1"/>
  <c r="AG178" i="1"/>
  <c r="AC365" i="1"/>
  <c r="AG365" i="1"/>
  <c r="AG261" i="1"/>
  <c r="AC261" i="1"/>
  <c r="EN400" i="1"/>
  <c r="EQ400" i="1"/>
  <c r="EG400" i="1"/>
  <c r="CZ400" i="1"/>
  <c r="AG251" i="1"/>
  <c r="AC251" i="1"/>
  <c r="AG338" i="1"/>
  <c r="AC338" i="1"/>
  <c r="AG373" i="1"/>
  <c r="AC373" i="1"/>
  <c r="AG402" i="1"/>
  <c r="AC402" i="1"/>
  <c r="AG371" i="1"/>
  <c r="AC371" i="1"/>
  <c r="AC35" i="1"/>
  <c r="AG35" i="1"/>
  <c r="AG399" i="1"/>
  <c r="AC399" i="1"/>
  <c r="AG387" i="1"/>
  <c r="AC387" i="1"/>
  <c r="AG339" i="1"/>
  <c r="AC339" i="1"/>
  <c r="EN179" i="1"/>
  <c r="EG179" i="1"/>
  <c r="EQ179" i="1"/>
  <c r="AG197" i="1"/>
  <c r="AC197" i="1"/>
  <c r="AG407" i="1"/>
  <c r="AC407" i="1"/>
  <c r="AG390" i="1"/>
  <c r="AC390" i="1"/>
  <c r="AG34" i="1"/>
  <c r="AC34" i="1"/>
  <c r="AG173" i="1"/>
  <c r="AC173" i="1"/>
  <c r="AG348" i="1"/>
  <c r="AC348" i="1"/>
  <c r="AC68" i="1"/>
  <c r="AG68" i="1"/>
  <c r="AG346" i="1"/>
  <c r="AC346" i="1"/>
  <c r="AG21" i="1"/>
  <c r="AC21" i="1"/>
  <c r="AC170" i="1"/>
  <c r="AG170" i="1"/>
  <c r="AG375" i="1"/>
  <c r="AC375" i="1"/>
  <c r="AC383" i="1"/>
  <c r="AG383" i="1"/>
  <c r="AG378" i="1"/>
  <c r="AC378" i="1"/>
  <c r="EN309" i="1"/>
  <c r="EQ309" i="1"/>
  <c r="CZ309" i="1"/>
  <c r="EG309" i="1"/>
  <c r="AG352" i="1"/>
  <c r="AC352" i="1"/>
  <c r="AG398" i="1"/>
  <c r="AC398" i="1"/>
  <c r="AG360" i="1"/>
  <c r="AC360" i="1"/>
  <c r="AG252" i="1"/>
  <c r="AC252" i="1"/>
  <c r="AG388" i="1"/>
  <c r="AC388" i="1"/>
  <c r="AC224" i="1"/>
  <c r="AG224" i="1"/>
  <c r="AC179" i="1"/>
  <c r="AG179" i="1"/>
  <c r="AG241" i="1"/>
  <c r="AC241" i="1"/>
  <c r="AG405" i="1"/>
  <c r="AC405" i="1"/>
  <c r="AG349" i="1"/>
  <c r="AC349" i="1"/>
  <c r="AG379" i="1"/>
  <c r="AC379" i="1"/>
  <c r="AC409" i="1"/>
  <c r="AG409" i="1"/>
  <c r="AC156" i="1"/>
  <c r="AG156" i="1"/>
  <c r="AC410" i="1"/>
  <c r="AG410" i="1"/>
  <c r="AC154" i="1"/>
  <c r="AG154" i="1"/>
  <c r="AG372" i="1"/>
  <c r="AC372" i="1"/>
  <c r="AC128" i="1"/>
  <c r="AG128" i="1"/>
  <c r="O34" i="5"/>
  <c r="W34" i="5" s="1"/>
  <c r="O42" i="5"/>
  <c r="W42" i="5" s="1"/>
  <c r="O50" i="5"/>
  <c r="W50" i="5" s="1"/>
  <c r="O51" i="5"/>
  <c r="W51" i="5" s="1"/>
  <c r="EN408" i="1"/>
  <c r="EG408" i="1"/>
  <c r="CZ408" i="1"/>
  <c r="EQ408" i="1"/>
  <c r="O35" i="5"/>
  <c r="W35" i="5" s="1"/>
  <c r="O36" i="5"/>
  <c r="W36" i="5" s="1"/>
  <c r="O44" i="5"/>
  <c r="W44" i="5" s="1"/>
  <c r="O52" i="5"/>
  <c r="W52" i="5" s="1"/>
  <c r="O43" i="5"/>
  <c r="W43" i="5" s="1"/>
  <c r="O37" i="5"/>
  <c r="W37" i="5" s="1"/>
  <c r="O45" i="5"/>
  <c r="W45" i="5" s="1"/>
  <c r="O53" i="5"/>
  <c r="W53" i="5" s="1"/>
  <c r="O41" i="5"/>
  <c r="W41" i="5" s="1"/>
  <c r="O33" i="5"/>
  <c r="W33" i="5" s="1"/>
  <c r="O30" i="5"/>
  <c r="W30" i="5" s="1"/>
  <c r="O38" i="5"/>
  <c r="W38" i="5" s="1"/>
  <c r="O46" i="5"/>
  <c r="W46" i="5" s="1"/>
  <c r="O54" i="5"/>
  <c r="W54" i="5" s="1"/>
  <c r="O49" i="5"/>
  <c r="W49" i="5" s="1"/>
  <c r="O31" i="5"/>
  <c r="W31" i="5" s="1"/>
  <c r="O39" i="5"/>
  <c r="W39" i="5" s="1"/>
  <c r="O47" i="5"/>
  <c r="W47" i="5" s="1"/>
  <c r="O55" i="5"/>
  <c r="W55" i="5" s="1"/>
  <c r="O57" i="5"/>
  <c r="W57" i="5" s="1"/>
  <c r="Y57" i="5" s="1"/>
  <c r="O13" i="1"/>
  <c r="O32" i="5"/>
  <c r="W32" i="5" s="1"/>
  <c r="O40" i="5"/>
  <c r="W40" i="5" s="1"/>
  <c r="O48" i="5"/>
  <c r="W48" i="5" s="1"/>
  <c r="O56" i="5"/>
  <c r="W56" i="5" s="1"/>
  <c r="CW13" i="1"/>
  <c r="CV13" i="1"/>
  <c r="EB44" i="1" a="1"/>
  <c r="EB44" i="1" s="1"/>
  <c r="EL44" i="1" s="1"/>
  <c r="P35" i="5"/>
  <c r="M35" i="5"/>
  <c r="P43" i="5"/>
  <c r="M43" i="5"/>
  <c r="P51" i="5"/>
  <c r="M51" i="5"/>
  <c r="P36" i="5"/>
  <c r="M36" i="5"/>
  <c r="P44" i="5"/>
  <c r="M44" i="5"/>
  <c r="P52" i="5"/>
  <c r="M52" i="5"/>
  <c r="P37" i="5"/>
  <c r="M37" i="5"/>
  <c r="P45" i="5"/>
  <c r="M45" i="5"/>
  <c r="P53" i="5"/>
  <c r="M53" i="5"/>
  <c r="P42" i="5"/>
  <c r="M42" i="5"/>
  <c r="P30" i="5"/>
  <c r="M30" i="5"/>
  <c r="P38" i="5"/>
  <c r="M38" i="5"/>
  <c r="P46" i="5"/>
  <c r="M46" i="5"/>
  <c r="P54" i="5"/>
  <c r="M54" i="5"/>
  <c r="P31" i="5"/>
  <c r="M31" i="5"/>
  <c r="P39" i="5"/>
  <c r="M39" i="5"/>
  <c r="P47" i="5"/>
  <c r="M47" i="5"/>
  <c r="P55" i="5"/>
  <c r="M55" i="5"/>
  <c r="P34" i="5"/>
  <c r="M34" i="5"/>
  <c r="P50" i="5"/>
  <c r="M50" i="5"/>
  <c r="P32" i="5"/>
  <c r="M32" i="5"/>
  <c r="P40" i="5"/>
  <c r="M40" i="5"/>
  <c r="P48" i="5"/>
  <c r="M48" i="5"/>
  <c r="P56" i="5"/>
  <c r="M56" i="5"/>
  <c r="P33" i="5"/>
  <c r="M33" i="5"/>
  <c r="P41" i="5"/>
  <c r="M41" i="5"/>
  <c r="P49" i="5"/>
  <c r="M49" i="5"/>
  <c r="P57" i="5"/>
  <c r="M57" i="5"/>
  <c r="K19" i="15"/>
  <c r="N20" i="15"/>
  <c r="BD128" i="1" l="1"/>
  <c r="EB128" i="1" s="1" a="1"/>
  <c r="EB128" i="1" s="1"/>
  <c r="EL128" i="1" s="1"/>
  <c r="BQ359" i="1"/>
  <c r="BR371" i="1"/>
  <c r="CR371" i="1" s="1"/>
  <c r="ER397" i="1"/>
  <c r="BD397" i="1"/>
  <c r="BI397" i="1" s="1"/>
  <c r="BD356" i="1"/>
  <c r="DL356" i="1" s="1"/>
  <c r="AR354" i="1"/>
  <c r="BQ183" i="1"/>
  <c r="AT35" i="1"/>
  <c r="BD35" i="1"/>
  <c r="BI35" i="1" s="1"/>
  <c r="AR35" i="1"/>
  <c r="BQ179" i="1"/>
  <c r="BD68" i="1"/>
  <c r="BI68" i="1" s="1"/>
  <c r="AR68" i="1"/>
  <c r="BD47" i="1"/>
  <c r="DK47" i="1" s="1"/>
  <c r="BQ309" i="1"/>
  <c r="AT101" i="1"/>
  <c r="BD354" i="1"/>
  <c r="EB354" i="1" s="1" a="1"/>
  <c r="EB354" i="1" s="1"/>
  <c r="EL354" i="1" s="1"/>
  <c r="BR401" i="1"/>
  <c r="CR401" i="1" s="1"/>
  <c r="BR376" i="1"/>
  <c r="CR376" i="1" s="1"/>
  <c r="BI377" i="1"/>
  <c r="AY381" i="1"/>
  <c r="BH381" i="1"/>
  <c r="AY339" i="1"/>
  <c r="BH339" i="1"/>
  <c r="AY280" i="1"/>
  <c r="BH280" i="1"/>
  <c r="AY358" i="1"/>
  <c r="BH358" i="1"/>
  <c r="AY392" i="1"/>
  <c r="BH392" i="1"/>
  <c r="AT368" i="1"/>
  <c r="BH368" i="1"/>
  <c r="BD154" i="1"/>
  <c r="AY35" i="1"/>
  <c r="BH35" i="1"/>
  <c r="AY47" i="1"/>
  <c r="BH47" i="1"/>
  <c r="ER47" i="1"/>
  <c r="AT47" i="1"/>
  <c r="AY377" i="1"/>
  <c r="BH377" i="1"/>
  <c r="AT377" i="1"/>
  <c r="ER377" i="1"/>
  <c r="AY390" i="1"/>
  <c r="BH390" i="1"/>
  <c r="AY251" i="1"/>
  <c r="BH251" i="1"/>
  <c r="AY252" i="1"/>
  <c r="BH252" i="1"/>
  <c r="AY21" i="1"/>
  <c r="BH21" i="1"/>
  <c r="AY360" i="1"/>
  <c r="BH360" i="1"/>
  <c r="EQ392" i="1"/>
  <c r="AT154" i="1"/>
  <c r="BI344" i="1"/>
  <c r="AY343" i="1"/>
  <c r="BH343" i="1"/>
  <c r="AY386" i="1"/>
  <c r="BH386" i="1"/>
  <c r="BR368" i="1"/>
  <c r="CR368" i="1" s="1"/>
  <c r="DG356" i="1"/>
  <c r="AY344" i="1"/>
  <c r="BH344" i="1"/>
  <c r="BI356" i="1"/>
  <c r="AY363" i="1"/>
  <c r="BH363" i="1"/>
  <c r="CZ178" i="1"/>
  <c r="AY179" i="1"/>
  <c r="BH179" i="1"/>
  <c r="ER179" i="1"/>
  <c r="AY69" i="1"/>
  <c r="BH69" i="1"/>
  <c r="AY173" i="1"/>
  <c r="BH173" i="1"/>
  <c r="AY412" i="1"/>
  <c r="BH412" i="1"/>
  <c r="AY375" i="1"/>
  <c r="BH375" i="1"/>
  <c r="AY394" i="1"/>
  <c r="BH394" i="1"/>
  <c r="BI409" i="1"/>
  <c r="AY397" i="1"/>
  <c r="BH397" i="1"/>
  <c r="AY382" i="1"/>
  <c r="BH382" i="1"/>
  <c r="ER382" i="1"/>
  <c r="BQ101" i="1"/>
  <c r="AY351" i="1"/>
  <c r="BH351" i="1"/>
  <c r="AY366" i="1"/>
  <c r="BH366" i="1"/>
  <c r="AY357" i="1"/>
  <c r="BH357" i="1"/>
  <c r="AY262" i="1"/>
  <c r="BH262" i="1"/>
  <c r="AY387" i="1"/>
  <c r="BH387" i="1"/>
  <c r="AY308" i="1"/>
  <c r="BH308" i="1"/>
  <c r="AY330" i="1"/>
  <c r="BH330" i="1"/>
  <c r="AY56" i="1"/>
  <c r="BH56" i="1"/>
  <c r="AY373" i="1"/>
  <c r="BH373" i="1"/>
  <c r="AY68" i="1"/>
  <c r="BH68" i="1"/>
  <c r="ER68" i="1"/>
  <c r="BI101" i="1"/>
  <c r="BI383" i="1"/>
  <c r="AY384" i="1"/>
  <c r="BH384" i="1"/>
  <c r="AY393" i="1"/>
  <c r="BH393" i="1"/>
  <c r="AY354" i="1"/>
  <c r="BH354" i="1"/>
  <c r="ER354" i="1"/>
  <c r="AY101" i="1"/>
  <c r="BH101" i="1"/>
  <c r="AY383" i="1"/>
  <c r="BH383" i="1"/>
  <c r="AY401" i="1"/>
  <c r="BH401" i="1"/>
  <c r="AY309" i="1"/>
  <c r="BH309" i="1"/>
  <c r="AY385" i="1"/>
  <c r="BH385" i="1"/>
  <c r="AY44" i="1"/>
  <c r="BH44" i="1"/>
  <c r="ER44" i="1"/>
  <c r="AT44" i="1"/>
  <c r="AY404" i="1"/>
  <c r="BH404" i="1"/>
  <c r="AY391" i="1"/>
  <c r="BH391" i="1"/>
  <c r="AY182" i="1"/>
  <c r="BH182" i="1"/>
  <c r="AY352" i="1"/>
  <c r="BH352" i="1"/>
  <c r="AY154" i="1"/>
  <c r="BH154" i="1"/>
  <c r="AR154" i="1"/>
  <c r="AY371" i="1"/>
  <c r="BH371" i="1"/>
  <c r="AY350" i="1"/>
  <c r="BH350" i="1"/>
  <c r="BI376" i="1"/>
  <c r="BI128" i="1"/>
  <c r="AY346" i="1"/>
  <c r="BH346" i="1"/>
  <c r="AY406" i="1"/>
  <c r="BH406" i="1"/>
  <c r="AY156" i="1"/>
  <c r="BH156" i="1"/>
  <c r="AY376" i="1"/>
  <c r="BH376" i="1"/>
  <c r="AY128" i="1"/>
  <c r="BH128" i="1"/>
  <c r="CZ371" i="1"/>
  <c r="EG338" i="1"/>
  <c r="EQ397" i="1"/>
  <c r="EG371" i="1"/>
  <c r="BR362" i="1"/>
  <c r="CR362" i="1" s="1"/>
  <c r="EG392" i="1"/>
  <c r="BR220" i="1"/>
  <c r="CR220" i="1" s="1"/>
  <c r="BQ411" i="1"/>
  <c r="EN243" i="1"/>
  <c r="CZ243" i="1"/>
  <c r="EQ243" i="1"/>
  <c r="DK356" i="1"/>
  <c r="DN356" i="1" s="1"/>
  <c r="EZ356" i="1" s="1"/>
  <c r="EQ371" i="1"/>
  <c r="BQ406" i="1"/>
  <c r="BR338" i="1"/>
  <c r="CR338" i="1" s="1"/>
  <c r="DL409" i="1"/>
  <c r="DN409" i="1" s="1"/>
  <c r="EZ409" i="1" s="1"/>
  <c r="BD369" i="1"/>
  <c r="AY369" i="1"/>
  <c r="BD400" i="1"/>
  <c r="BI400" i="1" s="1"/>
  <c r="AY400" i="1"/>
  <c r="BR390" i="1"/>
  <c r="CR390" i="1" s="1"/>
  <c r="BD389" i="1"/>
  <c r="EB389" i="1" s="1" a="1"/>
  <c r="EB389" i="1" s="1"/>
  <c r="EL389" i="1" s="1"/>
  <c r="AY389" i="1"/>
  <c r="BD347" i="1"/>
  <c r="DL347" i="1" s="1"/>
  <c r="AY347" i="1"/>
  <c r="BD388" i="1"/>
  <c r="DG388" i="1" s="1"/>
  <c r="AY388" i="1"/>
  <c r="BD362" i="1"/>
  <c r="DK362" i="1" s="1"/>
  <c r="AY362" i="1"/>
  <c r="DG409" i="1"/>
  <c r="EN409" i="1"/>
  <c r="EQ409" i="1"/>
  <c r="EN261" i="1"/>
  <c r="EQ261" i="1"/>
  <c r="EG261" i="1"/>
  <c r="BD364" i="1"/>
  <c r="AY364" i="1"/>
  <c r="BD338" i="1"/>
  <c r="DG338" i="1" s="1"/>
  <c r="AY338" i="1"/>
  <c r="BD374" i="1"/>
  <c r="DK374" i="1" s="1"/>
  <c r="AY374" i="1"/>
  <c r="BD402" i="1"/>
  <c r="AY402" i="1"/>
  <c r="BD368" i="1"/>
  <c r="DL368" i="1" s="1"/>
  <c r="AY368" i="1"/>
  <c r="BD241" i="1"/>
  <c r="BI241" i="1" s="1"/>
  <c r="AY241" i="1"/>
  <c r="BD399" i="1"/>
  <c r="BI399" i="1" s="1"/>
  <c r="AY399" i="1"/>
  <c r="BD349" i="1"/>
  <c r="AY349" i="1"/>
  <c r="BD396" i="1"/>
  <c r="AY396" i="1"/>
  <c r="BD395" i="1"/>
  <c r="DK395" i="1" s="1"/>
  <c r="AY395" i="1"/>
  <c r="BD355" i="1"/>
  <c r="DK355" i="1" s="1"/>
  <c r="AY355" i="1"/>
  <c r="BD353" i="1"/>
  <c r="AY353" i="1"/>
  <c r="BD411" i="1"/>
  <c r="DL411" i="1" s="1"/>
  <c r="AY411" i="1"/>
  <c r="BD372" i="1"/>
  <c r="BI372" i="1" s="1"/>
  <c r="AY372" i="1"/>
  <c r="BD261" i="1"/>
  <c r="DL261" i="1" s="1"/>
  <c r="AY261" i="1"/>
  <c r="BD224" i="1"/>
  <c r="AY224" i="1"/>
  <c r="BD398" i="1"/>
  <c r="AY398" i="1"/>
  <c r="BD410" i="1"/>
  <c r="EB410" i="1" s="1" a="1"/>
  <c r="EB410" i="1" s="1"/>
  <c r="EL410" i="1" s="1"/>
  <c r="AY410" i="1"/>
  <c r="BD220" i="1"/>
  <c r="BI220" i="1" s="1"/>
  <c r="AY220" i="1"/>
  <c r="BD365" i="1"/>
  <c r="AY365" i="1"/>
  <c r="BD361" i="1"/>
  <c r="AY361" i="1"/>
  <c r="BD378" i="1"/>
  <c r="DG378" i="1" s="1"/>
  <c r="AY378" i="1"/>
  <c r="BD407" i="1"/>
  <c r="BI407" i="1" s="1"/>
  <c r="AY407" i="1"/>
  <c r="BD54" i="1"/>
  <c r="AY54" i="1"/>
  <c r="BD183" i="1"/>
  <c r="AY183" i="1"/>
  <c r="BD243" i="1"/>
  <c r="DL243" i="1" s="1"/>
  <c r="AY243" i="1"/>
  <c r="BD106" i="1"/>
  <c r="DK106" i="1" s="1"/>
  <c r="AY106" i="1"/>
  <c r="BD225" i="1"/>
  <c r="AY225" i="1"/>
  <c r="BD408" i="1"/>
  <c r="DL408" i="1" s="1"/>
  <c r="AY408" i="1"/>
  <c r="BD380" i="1"/>
  <c r="DL380" i="1" s="1"/>
  <c r="AY380" i="1"/>
  <c r="BD405" i="1"/>
  <c r="DG405" i="1" s="1"/>
  <c r="AY405" i="1"/>
  <c r="BD359" i="1"/>
  <c r="AY359" i="1"/>
  <c r="BD403" i="1"/>
  <c r="AY403" i="1"/>
  <c r="BD34" i="1"/>
  <c r="DK34" i="1" s="1"/>
  <c r="AY34" i="1"/>
  <c r="BD178" i="1"/>
  <c r="AY178" i="1"/>
  <c r="BD379" i="1"/>
  <c r="EB379" i="1" s="1" a="1"/>
  <c r="EB379" i="1" s="1"/>
  <c r="EL379" i="1" s="1"/>
  <c r="AY379" i="1"/>
  <c r="BD345" i="1"/>
  <c r="EB345" i="1" s="1" a="1"/>
  <c r="EB345" i="1" s="1"/>
  <c r="EL345" i="1" s="1"/>
  <c r="AY345" i="1"/>
  <c r="BD331" i="1"/>
  <c r="DG331" i="1" s="1"/>
  <c r="AY331" i="1"/>
  <c r="BD348" i="1"/>
  <c r="BI348" i="1" s="1"/>
  <c r="AY348" i="1"/>
  <c r="BD367" i="1"/>
  <c r="EB367" i="1" s="1" a="1"/>
  <c r="EB367" i="1" s="1"/>
  <c r="EL367" i="1" s="1"/>
  <c r="AY367" i="1"/>
  <c r="EN178" i="1"/>
  <c r="EQ178" i="1"/>
  <c r="EG368" i="1"/>
  <c r="CZ368" i="1"/>
  <c r="EQ405" i="1"/>
  <c r="EQ368" i="1"/>
  <c r="CZ405" i="1"/>
  <c r="Q56" i="5"/>
  <c r="R56" i="5" s="1"/>
  <c r="Q35" i="5"/>
  <c r="R35" i="5" s="1"/>
  <c r="S35" i="5"/>
  <c r="Q33" i="5"/>
  <c r="R33" i="5" s="1"/>
  <c r="BR363" i="1"/>
  <c r="CR363" i="1" s="1"/>
  <c r="BR154" i="1"/>
  <c r="CR154" i="1" s="1"/>
  <c r="EN251" i="1"/>
  <c r="EQ251" i="1"/>
  <c r="CZ251" i="1"/>
  <c r="EG251" i="1"/>
  <c r="AT371" i="1"/>
  <c r="BD371" i="1"/>
  <c r="BI371" i="1" s="1"/>
  <c r="AT401" i="1"/>
  <c r="BD401" i="1"/>
  <c r="BI401" i="1" s="1"/>
  <c r="AT330" i="1"/>
  <c r="BD330" i="1"/>
  <c r="BI330" i="1" s="1"/>
  <c r="AT357" i="1"/>
  <c r="BD357" i="1"/>
  <c r="BI357" i="1" s="1"/>
  <c r="DL354" i="1"/>
  <c r="AT406" i="1"/>
  <c r="BD406" i="1"/>
  <c r="BI406" i="1" s="1"/>
  <c r="AT182" i="1"/>
  <c r="BD182" i="1"/>
  <c r="BI182" i="1" s="1"/>
  <c r="AT352" i="1"/>
  <c r="BD352" i="1"/>
  <c r="BI352" i="1" s="1"/>
  <c r="DL106" i="1"/>
  <c r="AT56" i="1"/>
  <c r="BD56" i="1"/>
  <c r="BI56" i="1" s="1"/>
  <c r="AT390" i="1"/>
  <c r="BD390" i="1"/>
  <c r="BI390" i="1" s="1"/>
  <c r="DL412" i="1"/>
  <c r="DK412" i="1"/>
  <c r="DG412" i="1"/>
  <c r="DG35" i="1"/>
  <c r="DL35" i="1"/>
  <c r="DK35" i="1"/>
  <c r="AT404" i="1"/>
  <c r="BD404" i="1"/>
  <c r="BI404" i="1" s="1"/>
  <c r="AT350" i="1"/>
  <c r="BD350" i="1"/>
  <c r="BI350" i="1" s="1"/>
  <c r="AT309" i="1"/>
  <c r="BD309" i="1"/>
  <c r="BD385" i="1"/>
  <c r="BI385" i="1" s="1"/>
  <c r="DL128" i="1"/>
  <c r="DK128" i="1"/>
  <c r="AT381" i="1"/>
  <c r="BD381" i="1"/>
  <c r="BI381" i="1" s="1"/>
  <c r="DG368" i="1"/>
  <c r="DG382" i="1"/>
  <c r="DL382" i="1"/>
  <c r="DK382" i="1"/>
  <c r="AT339" i="1"/>
  <c r="BD339" i="1"/>
  <c r="BI339" i="1" s="1"/>
  <c r="AT156" i="1"/>
  <c r="BD156" i="1"/>
  <c r="BI156" i="1" s="1"/>
  <c r="DK178" i="1"/>
  <c r="DG178" i="1"/>
  <c r="DK179" i="1"/>
  <c r="DG179" i="1"/>
  <c r="DL179" i="1"/>
  <c r="DG345" i="1"/>
  <c r="AT251" i="1"/>
  <c r="BD251" i="1"/>
  <c r="BI251" i="1" s="1"/>
  <c r="AT391" i="1"/>
  <c r="BD391" i="1"/>
  <c r="BI391" i="1" s="1"/>
  <c r="DL348" i="1"/>
  <c r="AT387" i="1"/>
  <c r="BD387" i="1"/>
  <c r="BI387" i="1" s="1"/>
  <c r="DL383" i="1"/>
  <c r="DK383" i="1"/>
  <c r="DG383" i="1"/>
  <c r="DL376" i="1"/>
  <c r="DK376" i="1"/>
  <c r="DG376" i="1"/>
  <c r="AT280" i="1"/>
  <c r="BD280" i="1"/>
  <c r="BI280" i="1" s="1"/>
  <c r="DL369" i="1"/>
  <c r="DK101" i="1"/>
  <c r="DG101" i="1"/>
  <c r="DL101" i="1"/>
  <c r="AT358" i="1"/>
  <c r="BD358" i="1"/>
  <c r="BI358" i="1" s="1"/>
  <c r="AT392" i="1"/>
  <c r="BD392" i="1"/>
  <c r="BI392" i="1" s="1"/>
  <c r="DL344" i="1"/>
  <c r="DK344" i="1"/>
  <c r="DG344" i="1"/>
  <c r="DL44" i="1"/>
  <c r="DK44" i="1"/>
  <c r="DG44" i="1"/>
  <c r="DK388" i="1"/>
  <c r="DG362" i="1"/>
  <c r="AT252" i="1"/>
  <c r="BD252" i="1"/>
  <c r="BI252" i="1" s="1"/>
  <c r="AT262" i="1"/>
  <c r="BD262" i="1"/>
  <c r="BI262" i="1" s="1"/>
  <c r="AT363" i="1"/>
  <c r="BD363" i="1"/>
  <c r="BI363" i="1" s="1"/>
  <c r="AT343" i="1"/>
  <c r="BD343" i="1"/>
  <c r="BI343" i="1" s="1"/>
  <c r="DG374" i="1"/>
  <c r="AT21" i="1"/>
  <c r="BD21" i="1"/>
  <c r="BI21" i="1" s="1"/>
  <c r="AT360" i="1"/>
  <c r="BD360" i="1"/>
  <c r="BI360" i="1" s="1"/>
  <c r="AT373" i="1"/>
  <c r="BD373" i="1"/>
  <c r="BI373" i="1" s="1"/>
  <c r="DG68" i="1"/>
  <c r="DK68" i="1"/>
  <c r="DK241" i="1"/>
  <c r="DL395" i="1"/>
  <c r="AT69" i="1"/>
  <c r="BD69" i="1"/>
  <c r="BI69" i="1" s="1"/>
  <c r="AT173" i="1"/>
  <c r="BD173" i="1"/>
  <c r="BI173" i="1" s="1"/>
  <c r="AT386" i="1"/>
  <c r="BD386" i="1"/>
  <c r="DL402" i="1"/>
  <c r="DG402" i="1"/>
  <c r="AT351" i="1"/>
  <c r="BD351" i="1"/>
  <c r="BI351" i="1" s="1"/>
  <c r="AT375" i="1"/>
  <c r="BD375" i="1"/>
  <c r="BI375" i="1" s="1"/>
  <c r="DG353" i="1"/>
  <c r="BQ407" i="1"/>
  <c r="DK154" i="1"/>
  <c r="DG154" i="1"/>
  <c r="DL154" i="1"/>
  <c r="AT308" i="1"/>
  <c r="BD308" i="1"/>
  <c r="BI308" i="1" s="1"/>
  <c r="DK372" i="1"/>
  <c r="DG379" i="1"/>
  <c r="DL379" i="1"/>
  <c r="DL377" i="1"/>
  <c r="DK377" i="1"/>
  <c r="DG377" i="1"/>
  <c r="DG261" i="1"/>
  <c r="AT366" i="1"/>
  <c r="BD366" i="1"/>
  <c r="BI366" i="1" s="1"/>
  <c r="AT359" i="1"/>
  <c r="DK397" i="1"/>
  <c r="DG397" i="1"/>
  <c r="DL397" i="1"/>
  <c r="DL47" i="1"/>
  <c r="DG220" i="1"/>
  <c r="DL220" i="1"/>
  <c r="AT394" i="1"/>
  <c r="BD394" i="1"/>
  <c r="BI394" i="1" s="1"/>
  <c r="AT384" i="1"/>
  <c r="BD384" i="1"/>
  <c r="BI384" i="1" s="1"/>
  <c r="AT393" i="1"/>
  <c r="BD393" i="1"/>
  <c r="BI393" i="1" s="1"/>
  <c r="DK407" i="1"/>
  <c r="EG374" i="1"/>
  <c r="DN370" i="1"/>
  <c r="EZ370" i="1" s="1"/>
  <c r="DL346" i="1"/>
  <c r="DK346" i="1"/>
  <c r="DG346" i="1"/>
  <c r="T41" i="5"/>
  <c r="Q34" i="5"/>
  <c r="R34" i="5" s="1"/>
  <c r="CZ387" i="1"/>
  <c r="S56" i="5"/>
  <c r="S34" i="5"/>
  <c r="Q57" i="5"/>
  <c r="R57" i="5" s="1"/>
  <c r="Q43" i="5"/>
  <c r="R43" i="5" s="1"/>
  <c r="S43" i="5"/>
  <c r="T35" i="5"/>
  <c r="S41" i="5"/>
  <c r="T32" i="5"/>
  <c r="Q32" i="5"/>
  <c r="R32" i="5" s="1"/>
  <c r="S46" i="5"/>
  <c r="Q47" i="5"/>
  <c r="R47" i="5" s="1"/>
  <c r="T56" i="5"/>
  <c r="S32" i="5"/>
  <c r="S33" i="5"/>
  <c r="T33" i="5"/>
  <c r="T46" i="5"/>
  <c r="Q46" i="5"/>
  <c r="R46" i="5" s="1"/>
  <c r="T43" i="5"/>
  <c r="EB397" i="1" a="1"/>
  <c r="EB397" i="1" s="1"/>
  <c r="EL397" i="1" s="1"/>
  <c r="BR156" i="1"/>
  <c r="CR156" i="1" s="1"/>
  <c r="EG308" i="1"/>
  <c r="EN308" i="1"/>
  <c r="EQ308" i="1"/>
  <c r="EN387" i="1"/>
  <c r="EQ387" i="1"/>
  <c r="EN380" i="1"/>
  <c r="EG380" i="1"/>
  <c r="EQ380" i="1"/>
  <c r="CZ380" i="1"/>
  <c r="EN384" i="1"/>
  <c r="CZ384" i="1"/>
  <c r="EG384" i="1"/>
  <c r="EQ384" i="1"/>
  <c r="EN355" i="1"/>
  <c r="CZ355" i="1"/>
  <c r="EQ355" i="1"/>
  <c r="EG355" i="1"/>
  <c r="EN154" i="1"/>
  <c r="EG154" i="1"/>
  <c r="EQ154" i="1"/>
  <c r="CZ154" i="1"/>
  <c r="BR380" i="1"/>
  <c r="CR380" i="1" s="1"/>
  <c r="EN374" i="1"/>
  <c r="EQ374" i="1"/>
  <c r="AR390" i="1"/>
  <c r="ER390" i="1"/>
  <c r="ER359" i="1"/>
  <c r="AR359" i="1"/>
  <c r="AR379" i="1"/>
  <c r="AT379" i="1"/>
  <c r="ER379" i="1"/>
  <c r="ER262" i="1"/>
  <c r="AR262" i="1"/>
  <c r="AR373" i="1"/>
  <c r="ER373" i="1"/>
  <c r="EN363" i="1"/>
  <c r="CZ363" i="1"/>
  <c r="EG363" i="1"/>
  <c r="EQ363" i="1"/>
  <c r="AR368" i="1"/>
  <c r="ER368" i="1"/>
  <c r="BQ400" i="1"/>
  <c r="EN389" i="1"/>
  <c r="CZ389" i="1"/>
  <c r="EQ389" i="1"/>
  <c r="EG389" i="1"/>
  <c r="EN399" i="1"/>
  <c r="EG399" i="1"/>
  <c r="EQ399" i="1"/>
  <c r="EN390" i="1"/>
  <c r="CZ390" i="1"/>
  <c r="EG390" i="1"/>
  <c r="EQ390" i="1"/>
  <c r="EN338" i="1"/>
  <c r="EQ338" i="1"/>
  <c r="EB35" i="1" a="1"/>
  <c r="EB35" i="1" s="1"/>
  <c r="EL35" i="1" s="1"/>
  <c r="EB346" i="1" a="1"/>
  <c r="EB346" i="1" s="1"/>
  <c r="EL346" i="1" s="1"/>
  <c r="EB409" i="1" a="1"/>
  <c r="EB409" i="1" s="1"/>
  <c r="EL409" i="1" s="1"/>
  <c r="T31" i="5"/>
  <c r="EB412" i="1" a="1"/>
  <c r="EB412" i="1" s="1"/>
  <c r="EL412" i="1" s="1"/>
  <c r="BP331" i="1" a="1"/>
  <c r="BP331" i="1" s="1"/>
  <c r="BR331" i="1" s="1"/>
  <c r="CR331" i="1" s="1"/>
  <c r="BP398" i="1" a="1"/>
  <c r="BP398" i="1" s="1"/>
  <c r="BR398" i="1" s="1"/>
  <c r="CR398" i="1" s="1"/>
  <c r="BP241" i="1" a="1"/>
  <c r="BP241" i="1" s="1"/>
  <c r="BR241" i="1" s="1"/>
  <c r="CR241" i="1" s="1"/>
  <c r="BP343" i="1" a="1"/>
  <c r="BP343" i="1" s="1"/>
  <c r="BQ343" i="1" s="1"/>
  <c r="BP68" i="1" a="1"/>
  <c r="BP68" i="1" s="1"/>
  <c r="BR68" i="1" s="1"/>
  <c r="CR68" i="1" s="1"/>
  <c r="BP377" i="1" a="1"/>
  <c r="BP377" i="1" s="1"/>
  <c r="BQ377" i="1" s="1"/>
  <c r="BP34" i="1" a="1"/>
  <c r="BP34" i="1" s="1"/>
  <c r="BR34" i="1" s="1"/>
  <c r="CR34" i="1" s="1"/>
  <c r="BP361" i="1" a="1"/>
  <c r="BP361" i="1" s="1"/>
  <c r="BR361" i="1" s="1"/>
  <c r="CR361" i="1" s="1"/>
  <c r="BP224" i="1" a="1"/>
  <c r="BP224" i="1" s="1"/>
  <c r="BQ224" i="1" s="1"/>
  <c r="BP375" i="1" a="1"/>
  <c r="BP375" i="1" s="1"/>
  <c r="BR375" i="1" s="1"/>
  <c r="CR375" i="1" s="1"/>
  <c r="BP35" i="1" a="1"/>
  <c r="BP35" i="1" s="1"/>
  <c r="BQ35" i="1" s="1"/>
  <c r="EG47" i="1"/>
  <c r="BP354" i="1" a="1"/>
  <c r="BP354" i="1" s="1"/>
  <c r="BR354" i="1" s="1"/>
  <c r="CR354" i="1" s="1"/>
  <c r="BP365" i="1" a="1"/>
  <c r="BP365" i="1" s="1"/>
  <c r="BQ365" i="1" s="1"/>
  <c r="BP44" i="1" a="1"/>
  <c r="BP44" i="1" s="1"/>
  <c r="BR44" i="1" s="1"/>
  <c r="CR44" i="1" s="1"/>
  <c r="BP367" i="1" a="1"/>
  <c r="BP367" i="1" s="1"/>
  <c r="BR367" i="1" s="1"/>
  <c r="CR367" i="1" s="1"/>
  <c r="BP21" i="1" a="1"/>
  <c r="BP21" i="1" s="1"/>
  <c r="BR21" i="1" s="1"/>
  <c r="CR21" i="1" s="1"/>
  <c r="BP182" i="1" a="1"/>
  <c r="BP182" i="1" s="1"/>
  <c r="BQ182" i="1" s="1"/>
  <c r="BP388" i="1" a="1"/>
  <c r="BP388" i="1" s="1"/>
  <c r="BR388" i="1" s="1"/>
  <c r="CR388" i="1" s="1"/>
  <c r="BP344" i="1" a="1"/>
  <c r="BP344" i="1" s="1"/>
  <c r="BR344" i="1" s="1"/>
  <c r="CR344" i="1" s="1"/>
  <c r="BP349" i="1" a="1"/>
  <c r="BP349" i="1" s="1"/>
  <c r="BR349" i="1" s="1"/>
  <c r="CR349" i="1" s="1"/>
  <c r="BP404" i="1" a="1"/>
  <c r="BP404" i="1" s="1"/>
  <c r="BQ404" i="1" s="1"/>
  <c r="BP403" i="1" a="1"/>
  <c r="BP403" i="1" s="1"/>
  <c r="BR403" i="1" s="1"/>
  <c r="CR403" i="1" s="1"/>
  <c r="BP385" i="1" a="1"/>
  <c r="BP385" i="1" s="1"/>
  <c r="BR385" i="1" s="1"/>
  <c r="CR385" i="1" s="1"/>
  <c r="BP378" i="1" a="1"/>
  <c r="BP378" i="1" s="1"/>
  <c r="BR378" i="1" s="1"/>
  <c r="CR378" i="1" s="1"/>
  <c r="BP351" i="1" a="1"/>
  <c r="BP351" i="1" s="1"/>
  <c r="BQ351" i="1" s="1"/>
  <c r="BP225" i="1" a="1"/>
  <c r="BP225" i="1" s="1"/>
  <c r="BR225" i="1" s="1"/>
  <c r="CR225" i="1" s="1"/>
  <c r="BP353" i="1" a="1"/>
  <c r="BP353" i="1" s="1"/>
  <c r="BQ353" i="1" s="1"/>
  <c r="BP56" i="1" a="1"/>
  <c r="BP56" i="1" s="1"/>
  <c r="BQ56" i="1" s="1"/>
  <c r="BP395" i="1" a="1"/>
  <c r="BP395" i="1" s="1"/>
  <c r="BR395" i="1" s="1"/>
  <c r="CR395" i="1" s="1"/>
  <c r="BP366" i="1" a="1"/>
  <c r="BP366" i="1" s="1"/>
  <c r="BR366" i="1" s="1"/>
  <c r="CR366" i="1" s="1"/>
  <c r="BP352" i="1" a="1"/>
  <c r="BP352" i="1" s="1"/>
  <c r="BR352" i="1" s="1"/>
  <c r="CR352" i="1" s="1"/>
  <c r="BP372" i="1" a="1"/>
  <c r="BP372" i="1" s="1"/>
  <c r="BR372" i="1" s="1"/>
  <c r="CR372" i="1" s="1"/>
  <c r="BP358" i="1" a="1"/>
  <c r="BP358" i="1" s="1"/>
  <c r="BQ358" i="1" s="1"/>
  <c r="EB179" i="1" a="1"/>
  <c r="EB179" i="1" s="1"/>
  <c r="EL179" i="1" s="1"/>
  <c r="BP330" i="1" a="1"/>
  <c r="BP330" i="1" s="1"/>
  <c r="BR330" i="1" s="1"/>
  <c r="CR330" i="1" s="1"/>
  <c r="BP173" i="1" a="1"/>
  <c r="BP173" i="1" s="1"/>
  <c r="BQ173" i="1" s="1"/>
  <c r="BP346" i="1" a="1"/>
  <c r="BP346" i="1" s="1"/>
  <c r="BR346" i="1" s="1"/>
  <c r="CR346" i="1" s="1"/>
  <c r="BP386" i="1" a="1"/>
  <c r="BP386" i="1" s="1"/>
  <c r="BR386" i="1" s="1"/>
  <c r="CR386" i="1" s="1"/>
  <c r="BP348" i="1" a="1"/>
  <c r="BP348" i="1" s="1"/>
  <c r="BR348" i="1" s="1"/>
  <c r="CR348" i="1" s="1"/>
  <c r="BP382" i="1" a="1"/>
  <c r="BP382" i="1" s="1"/>
  <c r="BR382" i="1" s="1"/>
  <c r="CR382" i="1" s="1"/>
  <c r="EB382" i="1" a="1"/>
  <c r="EB382" i="1" s="1"/>
  <c r="EL382" i="1" s="1"/>
  <c r="EB68" i="1" a="1"/>
  <c r="EB68" i="1" s="1"/>
  <c r="EL68" i="1" s="1"/>
  <c r="EG331" i="1"/>
  <c r="EN44" i="1"/>
  <c r="EG44" i="1"/>
  <c r="EQ44" i="1"/>
  <c r="CZ44" i="1"/>
  <c r="AT243" i="1"/>
  <c r="EG403" i="1"/>
  <c r="AT408" i="1"/>
  <c r="AT385" i="1"/>
  <c r="EN365" i="1"/>
  <c r="EG365" i="1"/>
  <c r="EQ365" i="1"/>
  <c r="CZ343" i="1"/>
  <c r="EN385" i="1"/>
  <c r="EG385" i="1"/>
  <c r="CZ385" i="1"/>
  <c r="EQ385" i="1"/>
  <c r="EN381" i="1"/>
  <c r="EG381" i="1"/>
  <c r="EQ381" i="1"/>
  <c r="CZ365" i="1"/>
  <c r="AT365" i="1"/>
  <c r="EN343" i="1"/>
  <c r="EQ343" i="1"/>
  <c r="EN47" i="1"/>
  <c r="EQ47" i="1"/>
  <c r="EN344" i="1"/>
  <c r="EQ344" i="1"/>
  <c r="EG344" i="1"/>
  <c r="EN398" i="1"/>
  <c r="EQ398" i="1"/>
  <c r="EG398" i="1"/>
  <c r="EN348" i="1"/>
  <c r="CZ348" i="1"/>
  <c r="EQ348" i="1"/>
  <c r="EG348" i="1"/>
  <c r="AT362" i="1"/>
  <c r="CZ361" i="1"/>
  <c r="EN388" i="1"/>
  <c r="EQ388" i="1"/>
  <c r="EG388" i="1"/>
  <c r="EB365" i="1" a="1"/>
  <c r="EB365" i="1" s="1"/>
  <c r="EL365" i="1" s="1"/>
  <c r="EB261" i="1" a="1"/>
  <c r="EB261" i="1" s="1"/>
  <c r="EL261" i="1" s="1"/>
  <c r="EB353" i="1" a="1"/>
  <c r="EB353" i="1" s="1"/>
  <c r="EL353" i="1" s="1"/>
  <c r="EB378" i="1" a="1"/>
  <c r="EB378" i="1" s="1"/>
  <c r="EL378" i="1" s="1"/>
  <c r="EB380" i="1" a="1"/>
  <c r="EB380" i="1" s="1"/>
  <c r="EL380" i="1" s="1"/>
  <c r="EB405" i="1" a="1"/>
  <c r="EB405" i="1" s="1"/>
  <c r="EL405" i="1" s="1"/>
  <c r="EB348" i="1" a="1"/>
  <c r="EB348" i="1" s="1"/>
  <c r="EL348" i="1" s="1"/>
  <c r="EB369" i="1" a="1"/>
  <c r="EB369" i="1" s="1"/>
  <c r="EL369" i="1" s="1"/>
  <c r="EB225" i="1" a="1"/>
  <c r="EB225" i="1" s="1"/>
  <c r="EL225" i="1" s="1"/>
  <c r="EB362" i="1" a="1"/>
  <c r="EB362" i="1" s="1"/>
  <c r="EL362" i="1" s="1"/>
  <c r="EB408" i="1" a="1"/>
  <c r="EB408" i="1" s="1"/>
  <c r="EL408" i="1" s="1"/>
  <c r="EB178" i="1" a="1"/>
  <c r="EB178" i="1" s="1"/>
  <c r="EL178" i="1" s="1"/>
  <c r="AL13" i="1"/>
  <c r="AK13" i="1"/>
  <c r="EB361" i="1" a="1"/>
  <c r="EB361" i="1" s="1"/>
  <c r="EL361" i="1" s="1"/>
  <c r="EB407" i="1" a="1"/>
  <c r="EB407" i="1" s="1"/>
  <c r="EL407" i="1" s="1"/>
  <c r="EB402" i="1" a="1"/>
  <c r="EB402" i="1" s="1"/>
  <c r="EL402" i="1" s="1"/>
  <c r="EN377" i="1"/>
  <c r="EG377" i="1"/>
  <c r="CZ377" i="1"/>
  <c r="EQ377" i="1"/>
  <c r="AR241" i="1"/>
  <c r="AT241" i="1"/>
  <c r="ER241" i="1"/>
  <c r="EN366" i="1"/>
  <c r="EQ366" i="1"/>
  <c r="EG366" i="1"/>
  <c r="CZ366" i="1"/>
  <c r="EN403" i="1"/>
  <c r="EQ403" i="1"/>
  <c r="AR387" i="1"/>
  <c r="ER387" i="1"/>
  <c r="AR339" i="1"/>
  <c r="ER339" i="1"/>
  <c r="AR345" i="1"/>
  <c r="ER345" i="1"/>
  <c r="AT345" i="1"/>
  <c r="AR362" i="1"/>
  <c r="ER362" i="1"/>
  <c r="EB355" i="1" a="1"/>
  <c r="EB355" i="1" s="1"/>
  <c r="EL355" i="1" s="1"/>
  <c r="AR178" i="1"/>
  <c r="AT178" i="1"/>
  <c r="ER178" i="1"/>
  <c r="AR402" i="1"/>
  <c r="ER402" i="1"/>
  <c r="AT402" i="1"/>
  <c r="AR357" i="1"/>
  <c r="ER357" i="1"/>
  <c r="CZ35" i="1"/>
  <c r="EG35" i="1"/>
  <c r="EN35" i="1"/>
  <c r="EQ35" i="1"/>
  <c r="EN395" i="1"/>
  <c r="EQ395" i="1"/>
  <c r="AR243" i="1"/>
  <c r="ER243" i="1"/>
  <c r="AR393" i="1"/>
  <c r="ER393" i="1"/>
  <c r="EN331" i="1"/>
  <c r="EQ331" i="1"/>
  <c r="AR173" i="1"/>
  <c r="ER173" i="1"/>
  <c r="EN367" i="1"/>
  <c r="EG367" i="1"/>
  <c r="EQ367" i="1"/>
  <c r="AR54" i="1"/>
  <c r="AT54" i="1"/>
  <c r="ER54" i="1"/>
  <c r="AR355" i="1"/>
  <c r="ER355" i="1"/>
  <c r="AT355" i="1"/>
  <c r="AR400" i="1"/>
  <c r="ER400" i="1"/>
  <c r="AT400" i="1"/>
  <c r="AR251" i="1"/>
  <c r="ER251" i="1"/>
  <c r="AT225" i="1"/>
  <c r="EN241" i="1"/>
  <c r="CZ241" i="1"/>
  <c r="EQ241" i="1"/>
  <c r="EG241" i="1"/>
  <c r="AR280" i="1"/>
  <c r="ER280" i="1"/>
  <c r="CZ21" i="1"/>
  <c r="EN21" i="1"/>
  <c r="EQ21" i="1"/>
  <c r="EN354" i="1"/>
  <c r="EG354" i="1"/>
  <c r="CZ354" i="1"/>
  <c r="EQ354" i="1"/>
  <c r="EB411" i="1" a="1"/>
  <c r="EB411" i="1" s="1"/>
  <c r="EL411" i="1" s="1"/>
  <c r="AR392" i="1"/>
  <c r="ER392" i="1"/>
  <c r="AR389" i="1"/>
  <c r="ER389" i="1"/>
  <c r="AT389" i="1"/>
  <c r="EN346" i="1"/>
  <c r="CZ346" i="1"/>
  <c r="EQ346" i="1"/>
  <c r="EG346" i="1"/>
  <c r="EN56" i="1"/>
  <c r="CZ56" i="1"/>
  <c r="EG56" i="1"/>
  <c r="EQ56" i="1"/>
  <c r="AR224" i="1"/>
  <c r="ER224" i="1"/>
  <c r="AT224" i="1"/>
  <c r="AR367" i="1"/>
  <c r="ER367" i="1"/>
  <c r="AT367" i="1"/>
  <c r="AR411" i="1"/>
  <c r="ER411" i="1"/>
  <c r="AT411" i="1"/>
  <c r="AT34" i="1"/>
  <c r="AR394" i="1"/>
  <c r="ER394" i="1"/>
  <c r="AR56" i="1"/>
  <c r="ER56" i="1"/>
  <c r="AR261" i="1"/>
  <c r="AT261" i="1"/>
  <c r="ER261" i="1"/>
  <c r="ER225" i="1"/>
  <c r="AR225" i="1"/>
  <c r="AR388" i="1"/>
  <c r="ER388" i="1"/>
  <c r="AT388" i="1"/>
  <c r="AR395" i="1"/>
  <c r="ER395" i="1"/>
  <c r="AT395" i="1"/>
  <c r="AR350" i="1"/>
  <c r="ER350" i="1"/>
  <c r="AR338" i="1"/>
  <c r="ER338" i="1"/>
  <c r="AT338" i="1"/>
  <c r="EN182" i="1"/>
  <c r="EQ182" i="1"/>
  <c r="EG182" i="1"/>
  <c r="CZ182" i="1"/>
  <c r="EN358" i="1"/>
  <c r="EQ358" i="1"/>
  <c r="AR406" i="1"/>
  <c r="ER406" i="1"/>
  <c r="AR369" i="1"/>
  <c r="ER369" i="1"/>
  <c r="AT369" i="1"/>
  <c r="EN330" i="1"/>
  <c r="CZ330" i="1"/>
  <c r="EG330" i="1"/>
  <c r="EQ330" i="1"/>
  <c r="ER34" i="1"/>
  <c r="AR34" i="1"/>
  <c r="AR398" i="1"/>
  <c r="ER398" i="1"/>
  <c r="AT398" i="1"/>
  <c r="AR404" i="1"/>
  <c r="ER404" i="1"/>
  <c r="AR363" i="1"/>
  <c r="ER363" i="1"/>
  <c r="AR391" i="1"/>
  <c r="ER391" i="1"/>
  <c r="EG395" i="1"/>
  <c r="AR343" i="1"/>
  <c r="ER343" i="1"/>
  <c r="EN361" i="1"/>
  <c r="EQ361" i="1"/>
  <c r="AR408" i="1"/>
  <c r="ER408" i="1"/>
  <c r="AR364" i="1"/>
  <c r="ER364" i="1"/>
  <c r="AT364" i="1"/>
  <c r="AR366" i="1"/>
  <c r="ER366" i="1"/>
  <c r="AT380" i="1"/>
  <c r="EN173" i="1"/>
  <c r="CZ173" i="1"/>
  <c r="EG173" i="1"/>
  <c r="EQ173" i="1"/>
  <c r="AR309" i="1"/>
  <c r="ER309" i="1"/>
  <c r="AR21" i="1"/>
  <c r="ER21" i="1"/>
  <c r="EN386" i="1"/>
  <c r="CZ386" i="1"/>
  <c r="EG386" i="1"/>
  <c r="EQ386" i="1"/>
  <c r="AR360" i="1"/>
  <c r="ER360" i="1"/>
  <c r="AR378" i="1"/>
  <c r="AT378" i="1"/>
  <c r="ER378" i="1"/>
  <c r="CZ349" i="1"/>
  <c r="EQ349" i="1"/>
  <c r="EG349" i="1"/>
  <c r="EN349" i="1"/>
  <c r="EB220" i="1" a="1"/>
  <c r="EB220" i="1" s="1"/>
  <c r="EL220" i="1" s="1"/>
  <c r="AR403" i="1"/>
  <c r="ER403" i="1"/>
  <c r="AT403" i="1"/>
  <c r="AR349" i="1"/>
  <c r="ER349" i="1"/>
  <c r="AT349" i="1"/>
  <c r="AR396" i="1"/>
  <c r="AT396" i="1"/>
  <c r="ER396" i="1"/>
  <c r="AR220" i="1"/>
  <c r="AT220" i="1"/>
  <c r="ER220" i="1"/>
  <c r="EB331" i="1" a="1"/>
  <c r="EB331" i="1" s="1"/>
  <c r="EL331" i="1" s="1"/>
  <c r="AR380" i="1"/>
  <c r="ER380" i="1"/>
  <c r="CZ358" i="1"/>
  <c r="AR405" i="1"/>
  <c r="ER405" i="1"/>
  <c r="AT405" i="1"/>
  <c r="CZ34" i="1"/>
  <c r="EN34" i="1"/>
  <c r="EQ34" i="1"/>
  <c r="AR331" i="1"/>
  <c r="ER331" i="1"/>
  <c r="AT331" i="1"/>
  <c r="AR69" i="1"/>
  <c r="ER69" i="1"/>
  <c r="EN375" i="1"/>
  <c r="CZ375" i="1"/>
  <c r="EQ375" i="1"/>
  <c r="EG375" i="1"/>
  <c r="EG358" i="1"/>
  <c r="AR156" i="1"/>
  <c r="ER156" i="1"/>
  <c r="AR252" i="1"/>
  <c r="ER252" i="1"/>
  <c r="EB374" i="1" a="1"/>
  <c r="EB374" i="1" s="1"/>
  <c r="EL374" i="1" s="1"/>
  <c r="EN372" i="1"/>
  <c r="CZ372" i="1"/>
  <c r="EQ372" i="1"/>
  <c r="EG372" i="1"/>
  <c r="AR386" i="1"/>
  <c r="ER386" i="1"/>
  <c r="AR381" i="1"/>
  <c r="ER381" i="1"/>
  <c r="AT399" i="1"/>
  <c r="AR384" i="1"/>
  <c r="ER384" i="1"/>
  <c r="AR374" i="1"/>
  <c r="AT374" i="1"/>
  <c r="ER374" i="1"/>
  <c r="AR351" i="1"/>
  <c r="ER351" i="1"/>
  <c r="EN378" i="1"/>
  <c r="EG378" i="1"/>
  <c r="EQ378" i="1"/>
  <c r="CZ378" i="1"/>
  <c r="AR182" i="1"/>
  <c r="ER182" i="1"/>
  <c r="AR375" i="1"/>
  <c r="ER375" i="1"/>
  <c r="AR365" i="1"/>
  <c r="ER365" i="1"/>
  <c r="AR361" i="1"/>
  <c r="ER361" i="1"/>
  <c r="AT361" i="1"/>
  <c r="AR183" i="1"/>
  <c r="ER183" i="1"/>
  <c r="AT183" i="1"/>
  <c r="AR330" i="1"/>
  <c r="ER330" i="1"/>
  <c r="AR353" i="1"/>
  <c r="ER353" i="1"/>
  <c r="AT353" i="1"/>
  <c r="AR371" i="1"/>
  <c r="ER371" i="1"/>
  <c r="AR399" i="1"/>
  <c r="ER399" i="1"/>
  <c r="EN351" i="1"/>
  <c r="EQ351" i="1"/>
  <c r="EG351" i="1"/>
  <c r="EB372" i="1" a="1"/>
  <c r="EB372" i="1" s="1"/>
  <c r="EL372" i="1" s="1"/>
  <c r="AR401" i="1"/>
  <c r="ER401" i="1"/>
  <c r="AR358" i="1"/>
  <c r="ER358" i="1"/>
  <c r="EB106" i="1" a="1"/>
  <c r="EB106" i="1" s="1"/>
  <c r="EL106" i="1" s="1"/>
  <c r="EB347" i="1" a="1"/>
  <c r="EB347" i="1" s="1"/>
  <c r="EL347" i="1" s="1"/>
  <c r="AR308" i="1"/>
  <c r="ER308" i="1"/>
  <c r="AR410" i="1"/>
  <c r="ER410" i="1"/>
  <c r="AT410" i="1"/>
  <c r="EB241" i="1" a="1"/>
  <c r="EB241" i="1" s="1"/>
  <c r="EL241" i="1" s="1"/>
  <c r="EN404" i="1"/>
  <c r="CZ404" i="1"/>
  <c r="EQ404" i="1"/>
  <c r="EG404" i="1"/>
  <c r="AR348" i="1"/>
  <c r="ER348" i="1"/>
  <c r="AT348" i="1"/>
  <c r="AR372" i="1"/>
  <c r="ER372" i="1"/>
  <c r="AT372" i="1"/>
  <c r="AR352" i="1"/>
  <c r="ER352" i="1"/>
  <c r="EN352" i="1"/>
  <c r="EG352" i="1"/>
  <c r="EQ352" i="1"/>
  <c r="AR407" i="1"/>
  <c r="ER407" i="1"/>
  <c r="AT407" i="1"/>
  <c r="EN225" i="1"/>
  <c r="CZ225" i="1"/>
  <c r="EG225" i="1"/>
  <c r="EQ225" i="1"/>
  <c r="AR106" i="1"/>
  <c r="AT106" i="1"/>
  <c r="ER106" i="1"/>
  <c r="AR385" i="1"/>
  <c r="ER385" i="1"/>
  <c r="AR347" i="1"/>
  <c r="ER347" i="1"/>
  <c r="AT347" i="1"/>
  <c r="T34" i="5"/>
  <c r="BL13" i="1"/>
  <c r="Z13" i="1"/>
  <c r="AA13" i="1" s="1"/>
  <c r="BK13" i="1"/>
  <c r="S44" i="5"/>
  <c r="Q44" i="5"/>
  <c r="R44" i="5" s="1"/>
  <c r="T44" i="5"/>
  <c r="S31" i="5"/>
  <c r="T54" i="5"/>
  <c r="T47" i="5"/>
  <c r="T53" i="5"/>
  <c r="S53" i="5"/>
  <c r="Q55" i="5"/>
  <c r="R55" i="5" s="1"/>
  <c r="S47" i="5"/>
  <c r="Q53" i="5"/>
  <c r="R53" i="5" s="1"/>
  <c r="S45" i="5"/>
  <c r="T55" i="5"/>
  <c r="T45" i="5"/>
  <c r="T57" i="5"/>
  <c r="Q31" i="5"/>
  <c r="R31" i="5" s="1"/>
  <c r="S57" i="5"/>
  <c r="T42" i="5"/>
  <c r="S42" i="5"/>
  <c r="Q42" i="5"/>
  <c r="R42" i="5" s="1"/>
  <c r="Q30" i="5"/>
  <c r="R30" i="5" s="1"/>
  <c r="T40" i="5"/>
  <c r="S48" i="5"/>
  <c r="S30" i="5"/>
  <c r="T30" i="5"/>
  <c r="S38" i="5"/>
  <c r="T48" i="5"/>
  <c r="Q48" i="5"/>
  <c r="R48" i="5" s="1"/>
  <c r="Q38" i="5"/>
  <c r="R38" i="5" s="1"/>
  <c r="T38" i="5"/>
  <c r="T36" i="5"/>
  <c r="Q54" i="5"/>
  <c r="R54" i="5" s="1"/>
  <c r="S36" i="5"/>
  <c r="S54" i="5"/>
  <c r="Q36" i="5"/>
  <c r="R36" i="5" s="1"/>
  <c r="Q52" i="5"/>
  <c r="R52" i="5" s="1"/>
  <c r="S52" i="5"/>
  <c r="T52" i="5"/>
  <c r="Q51" i="5"/>
  <c r="R51" i="5" s="1"/>
  <c r="S51" i="5"/>
  <c r="S55" i="5"/>
  <c r="Q45" i="5"/>
  <c r="R45" i="5" s="1"/>
  <c r="T39" i="5"/>
  <c r="T50" i="5"/>
  <c r="Q50" i="5"/>
  <c r="R50" i="5" s="1"/>
  <c r="S50" i="5"/>
  <c r="Q40" i="5"/>
  <c r="R40" i="5" s="1"/>
  <c r="S40" i="5"/>
  <c r="Q39" i="5"/>
  <c r="R39" i="5" s="1"/>
  <c r="Q41" i="5"/>
  <c r="R41" i="5" s="1"/>
  <c r="S39" i="5"/>
  <c r="T51" i="5"/>
  <c r="Q49" i="5"/>
  <c r="R49" i="5" s="1"/>
  <c r="S49" i="5"/>
  <c r="T49" i="5"/>
  <c r="Q37" i="5"/>
  <c r="R37" i="5" s="1"/>
  <c r="S37" i="5"/>
  <c r="T37" i="5"/>
  <c r="CV7" i="1"/>
  <c r="Y56" i="5"/>
  <c r="Y55" i="5" s="1"/>
  <c r="Y54" i="5" s="1"/>
  <c r="Y53" i="5" s="1"/>
  <c r="Y52" i="5" s="1"/>
  <c r="Y51" i="5" s="1"/>
  <c r="Y50" i="5" s="1"/>
  <c r="Y49" i="5" s="1"/>
  <c r="Y48" i="5" s="1"/>
  <c r="Y47" i="5" s="1"/>
  <c r="Y46" i="5" s="1"/>
  <c r="Y45" i="5" s="1"/>
  <c r="Y44" i="5" s="1"/>
  <c r="Y43" i="5" s="1"/>
  <c r="Y42" i="5" s="1"/>
  <c r="Y41" i="5" s="1"/>
  <c r="Y40" i="5" s="1"/>
  <c r="Y39" i="5" s="1"/>
  <c r="Y38" i="5" s="1"/>
  <c r="Y37" i="5" s="1"/>
  <c r="Y36" i="5" s="1"/>
  <c r="Y35" i="5" s="1"/>
  <c r="Y34" i="5" s="1"/>
  <c r="Y33" i="5" s="1"/>
  <c r="Y32" i="5" s="1"/>
  <c r="Y31" i="5" s="1"/>
  <c r="Y30" i="5" s="1"/>
  <c r="EB399" i="1" l="1" a="1"/>
  <c r="EB399" i="1" s="1"/>
  <c r="EL399" i="1" s="1"/>
  <c r="DL407" i="1"/>
  <c r="DK411" i="1"/>
  <c r="DL405" i="1"/>
  <c r="DG354" i="1"/>
  <c r="DG128" i="1"/>
  <c r="EB356" i="1" a="1"/>
  <c r="EB356" i="1" s="1"/>
  <c r="EL356" i="1" s="1"/>
  <c r="DG47" i="1"/>
  <c r="DG241" i="1"/>
  <c r="DG399" i="1"/>
  <c r="DK378" i="1"/>
  <c r="EB34" i="1" a="1"/>
  <c r="EB34" i="1" s="1"/>
  <c r="EL34" i="1" s="1"/>
  <c r="DG410" i="1"/>
  <c r="EB395" i="1" a="1"/>
  <c r="EB395" i="1" s="1"/>
  <c r="EL395" i="1" s="1"/>
  <c r="EB338" i="1" a="1"/>
  <c r="EB338" i="1" s="1"/>
  <c r="EL338" i="1" s="1"/>
  <c r="DK243" i="1"/>
  <c r="DN243" i="1" s="1"/>
  <c r="DL68" i="1"/>
  <c r="DN68" i="1" s="1"/>
  <c r="DL399" i="1"/>
  <c r="DK331" i="1"/>
  <c r="DG372" i="1"/>
  <c r="DK348" i="1"/>
  <c r="DG348" i="1"/>
  <c r="DG407" i="1"/>
  <c r="DL372" i="1"/>
  <c r="EB368" i="1" a="1"/>
  <c r="EB368" i="1" s="1"/>
  <c r="EL368" i="1" s="1"/>
  <c r="DK354" i="1"/>
  <c r="DN354" i="1" s="1"/>
  <c r="EZ354" i="1" s="1"/>
  <c r="BI354" i="1"/>
  <c r="EB47" i="1" a="1"/>
  <c r="EB47" i="1" s="1"/>
  <c r="EL47" i="1" s="1"/>
  <c r="BI47" i="1"/>
  <c r="BM13" i="1"/>
  <c r="BT20" i="1"/>
  <c r="DK399" i="1"/>
  <c r="DN399" i="1" s="1"/>
  <c r="EZ399" i="1" s="1"/>
  <c r="DK347" i="1"/>
  <c r="DN347" i="1" s="1"/>
  <c r="EZ347" i="1" s="1"/>
  <c r="DK369" i="1"/>
  <c r="BI369" i="1"/>
  <c r="EB154" i="1" a="1"/>
  <c r="EB154" i="1" s="1"/>
  <c r="EL154" i="1" s="1"/>
  <c r="BI154" i="1"/>
  <c r="DK54" i="1"/>
  <c r="BI54" i="1"/>
  <c r="DK224" i="1"/>
  <c r="BI224" i="1"/>
  <c r="DL224" i="1"/>
  <c r="DK405" i="1"/>
  <c r="BI405" i="1"/>
  <c r="DK261" i="1"/>
  <c r="BI261" i="1"/>
  <c r="EB54" i="1" a="1"/>
  <c r="EB54" i="1" s="1"/>
  <c r="EL54" i="1" s="1"/>
  <c r="DG408" i="1"/>
  <c r="DL331" i="1"/>
  <c r="BI331" i="1"/>
  <c r="DK380" i="1"/>
  <c r="DN380" i="1" s="1"/>
  <c r="EZ380" i="1" s="1"/>
  <c r="BI380" i="1"/>
  <c r="DL378" i="1"/>
  <c r="BI378" i="1"/>
  <c r="DK396" i="1"/>
  <c r="BI396" i="1"/>
  <c r="DL349" i="1"/>
  <c r="BI349" i="1"/>
  <c r="DL364" i="1"/>
  <c r="BI364" i="1"/>
  <c r="DL400" i="1"/>
  <c r="DK345" i="1"/>
  <c r="BI345" i="1"/>
  <c r="DK408" i="1"/>
  <c r="DN408" i="1" s="1"/>
  <c r="EZ408" i="1" s="1"/>
  <c r="BI408" i="1"/>
  <c r="DK361" i="1"/>
  <c r="BI361" i="1"/>
  <c r="DG411" i="1"/>
  <c r="BI411" i="1"/>
  <c r="DK368" i="1"/>
  <c r="DN368" i="1" s="1"/>
  <c r="EZ368" i="1" s="1"/>
  <c r="BI368" i="1"/>
  <c r="DL362" i="1"/>
  <c r="DN362" i="1" s="1"/>
  <c r="EZ362" i="1" s="1"/>
  <c r="BI362" i="1"/>
  <c r="DG400" i="1"/>
  <c r="EB309" i="1" a="1"/>
  <c r="EB309" i="1" s="1"/>
  <c r="EL309" i="1" s="1"/>
  <c r="BI309" i="1"/>
  <c r="DL183" i="1"/>
  <c r="BI183" i="1"/>
  <c r="DK367" i="1"/>
  <c r="BI367" i="1"/>
  <c r="DK400" i="1"/>
  <c r="DK379" i="1"/>
  <c r="BI379" i="1"/>
  <c r="DL225" i="1"/>
  <c r="BI225" i="1"/>
  <c r="DL365" i="1"/>
  <c r="BI365" i="1"/>
  <c r="DK353" i="1"/>
  <c r="BI353" i="1"/>
  <c r="DK402" i="1"/>
  <c r="DN402" i="1" s="1"/>
  <c r="EZ402" i="1" s="1"/>
  <c r="BI402" i="1"/>
  <c r="EB388" i="1" a="1"/>
  <c r="EB388" i="1" s="1"/>
  <c r="EL388" i="1" s="1"/>
  <c r="BI388" i="1"/>
  <c r="EB396" i="1" a="1"/>
  <c r="EB396" i="1" s="1"/>
  <c r="EL396" i="1" s="1"/>
  <c r="DK220" i="1"/>
  <c r="DN220" i="1" s="1"/>
  <c r="DL241" i="1"/>
  <c r="DN241" i="1" s="1"/>
  <c r="DG380" i="1"/>
  <c r="DL398" i="1"/>
  <c r="BI398" i="1"/>
  <c r="EB400" i="1" a="1"/>
  <c r="EB400" i="1" s="1"/>
  <c r="EL400" i="1" s="1"/>
  <c r="EB349" i="1" a="1"/>
  <c r="EB349" i="1" s="1"/>
  <c r="EL349" i="1" s="1"/>
  <c r="DL54" i="1"/>
  <c r="DL396" i="1"/>
  <c r="DN396" i="1" s="1"/>
  <c r="EZ396" i="1" s="1"/>
  <c r="DL178" i="1"/>
  <c r="DN178" i="1" s="1"/>
  <c r="BI178" i="1"/>
  <c r="DG106" i="1"/>
  <c r="BI106" i="1"/>
  <c r="DL355" i="1"/>
  <c r="BI355" i="1"/>
  <c r="DL374" i="1"/>
  <c r="DN374" i="1" s="1"/>
  <c r="EZ374" i="1" s="1"/>
  <c r="BI374" i="1"/>
  <c r="DG347" i="1"/>
  <c r="BI347" i="1"/>
  <c r="DL403" i="1"/>
  <c r="BI403" i="1"/>
  <c r="EB359" i="1" a="1"/>
  <c r="EB359" i="1" s="1"/>
  <c r="EL359" i="1" s="1"/>
  <c r="BI359" i="1"/>
  <c r="DG54" i="1"/>
  <c r="DK349" i="1"/>
  <c r="BQ378" i="1"/>
  <c r="DL34" i="1"/>
  <c r="DN34" i="1" s="1"/>
  <c r="BI34" i="1"/>
  <c r="DG243" i="1"/>
  <c r="BI243" i="1"/>
  <c r="DK410" i="1"/>
  <c r="BI410" i="1"/>
  <c r="DG395" i="1"/>
  <c r="BI395" i="1"/>
  <c r="DK338" i="1"/>
  <c r="BI338" i="1"/>
  <c r="DK389" i="1"/>
  <c r="BI389" i="1"/>
  <c r="EB386" i="1" a="1"/>
  <c r="EB386" i="1" s="1"/>
  <c r="EL386" i="1" s="1"/>
  <c r="BI386" i="1"/>
  <c r="BQ372" i="1"/>
  <c r="EB224" i="1" a="1"/>
  <c r="EB224" i="1" s="1"/>
  <c r="EL224" i="1" s="1"/>
  <c r="BR343" i="1"/>
  <c r="CR343" i="1" s="1"/>
  <c r="BQ241" i="1"/>
  <c r="DG359" i="1"/>
  <c r="DG224" i="1"/>
  <c r="DG355" i="1"/>
  <c r="DL361" i="1"/>
  <c r="DN361" i="1" s="1"/>
  <c r="EZ361" i="1" s="1"/>
  <c r="BQ331" i="1"/>
  <c r="DG361" i="1"/>
  <c r="DG389" i="1"/>
  <c r="DG225" i="1"/>
  <c r="DG365" i="1"/>
  <c r="DK225" i="1"/>
  <c r="DN225" i="1" s="1"/>
  <c r="BR35" i="1"/>
  <c r="CR35" i="1" s="1"/>
  <c r="DK365" i="1"/>
  <c r="DL345" i="1"/>
  <c r="DG396" i="1"/>
  <c r="DL389" i="1"/>
  <c r="BR351" i="1"/>
  <c r="CR351" i="1" s="1"/>
  <c r="DG349" i="1"/>
  <c r="DL338" i="1"/>
  <c r="EB403" i="1" a="1"/>
  <c r="EB403" i="1" s="1"/>
  <c r="EL403" i="1" s="1"/>
  <c r="EB364" i="1" a="1"/>
  <c r="EB364" i="1" s="1"/>
  <c r="EL364" i="1" s="1"/>
  <c r="DL410" i="1"/>
  <c r="DN410" i="1" s="1"/>
  <c r="EZ410" i="1" s="1"/>
  <c r="DL367" i="1"/>
  <c r="EB183" i="1" a="1"/>
  <c r="EB183" i="1" s="1"/>
  <c r="EL183" i="1" s="1"/>
  <c r="DG398" i="1"/>
  <c r="DG367" i="1"/>
  <c r="DK359" i="1"/>
  <c r="DK398" i="1"/>
  <c r="DL353" i="1"/>
  <c r="DL388" i="1"/>
  <c r="DN388" i="1" s="1"/>
  <c r="EZ388" i="1" s="1"/>
  <c r="DG34" i="1"/>
  <c r="DG183" i="1"/>
  <c r="DL359" i="1"/>
  <c r="DG364" i="1"/>
  <c r="DK183" i="1"/>
  <c r="DK364" i="1"/>
  <c r="DG403" i="1"/>
  <c r="EB398" i="1" a="1"/>
  <c r="EB398" i="1" s="1"/>
  <c r="EL398" i="1" s="1"/>
  <c r="DG369" i="1"/>
  <c r="DK403" i="1"/>
  <c r="DN403" i="1" s="1"/>
  <c r="EZ403" i="1" s="1"/>
  <c r="BQ354" i="1"/>
  <c r="EB243" i="1" a="1"/>
  <c r="EB243" i="1" s="1"/>
  <c r="EL243" i="1" s="1"/>
  <c r="BQ21" i="1"/>
  <c r="DN412" i="1"/>
  <c r="EZ412" i="1" s="1"/>
  <c r="DN47" i="1"/>
  <c r="DN411" i="1"/>
  <c r="EZ411" i="1" s="1"/>
  <c r="DN407" i="1"/>
  <c r="EZ407" i="1" s="1"/>
  <c r="DN44" i="1"/>
  <c r="DN377" i="1"/>
  <c r="EZ377" i="1" s="1"/>
  <c r="DN382" i="1"/>
  <c r="EZ382" i="1" s="1"/>
  <c r="DN344" i="1"/>
  <c r="DN376" i="1"/>
  <c r="EZ376" i="1" s="1"/>
  <c r="DN379" i="1"/>
  <c r="EZ379" i="1" s="1"/>
  <c r="DN405" i="1"/>
  <c r="EZ405" i="1" s="1"/>
  <c r="DN261" i="1"/>
  <c r="DN106" i="1"/>
  <c r="DN383" i="1"/>
  <c r="EZ383" i="1" s="1"/>
  <c r="DN128" i="1"/>
  <c r="BQ395" i="1"/>
  <c r="DN348" i="1"/>
  <c r="EZ348" i="1" s="1"/>
  <c r="DN372" i="1"/>
  <c r="EZ372" i="1" s="1"/>
  <c r="DK351" i="1"/>
  <c r="DG351" i="1"/>
  <c r="DL351" i="1"/>
  <c r="DL406" i="1"/>
  <c r="DK406" i="1"/>
  <c r="DG406" i="1"/>
  <c r="DL384" i="1"/>
  <c r="DK384" i="1"/>
  <c r="DG384" i="1"/>
  <c r="DL21" i="1"/>
  <c r="DK21" i="1"/>
  <c r="DG21" i="1"/>
  <c r="DG385" i="1"/>
  <c r="DL385" i="1"/>
  <c r="DK385" i="1"/>
  <c r="DN346" i="1"/>
  <c r="DL308" i="1"/>
  <c r="DG308" i="1"/>
  <c r="DK308" i="1"/>
  <c r="EB385" i="1" a="1"/>
  <c r="EB385" i="1" s="1"/>
  <c r="EL385" i="1" s="1"/>
  <c r="DL390" i="1"/>
  <c r="DK390" i="1"/>
  <c r="DG390" i="1"/>
  <c r="DL262" i="1"/>
  <c r="DK262" i="1"/>
  <c r="DG262" i="1"/>
  <c r="DL156" i="1"/>
  <c r="DK156" i="1"/>
  <c r="DG156" i="1"/>
  <c r="DL309" i="1"/>
  <c r="DK309" i="1"/>
  <c r="DG309" i="1"/>
  <c r="DL366" i="1"/>
  <c r="DK366" i="1"/>
  <c r="DG366" i="1"/>
  <c r="DL56" i="1"/>
  <c r="DK56" i="1"/>
  <c r="DG56" i="1"/>
  <c r="DL386" i="1"/>
  <c r="DK386" i="1"/>
  <c r="DG386" i="1"/>
  <c r="DN369" i="1"/>
  <c r="EZ369" i="1" s="1"/>
  <c r="DK357" i="1"/>
  <c r="DG357" i="1"/>
  <c r="DL357" i="1"/>
  <c r="DN154" i="1"/>
  <c r="DL343" i="1"/>
  <c r="DK343" i="1"/>
  <c r="DG343" i="1"/>
  <c r="DL280" i="1"/>
  <c r="DK280" i="1"/>
  <c r="DG280" i="1"/>
  <c r="DG391" i="1"/>
  <c r="DL391" i="1"/>
  <c r="DK391" i="1"/>
  <c r="DL330" i="1"/>
  <c r="DK330" i="1"/>
  <c r="DG330" i="1"/>
  <c r="DN355" i="1"/>
  <c r="EZ355" i="1" s="1"/>
  <c r="DN349" i="1"/>
  <c r="EZ349" i="1" s="1"/>
  <c r="DL251" i="1"/>
  <c r="DK251" i="1"/>
  <c r="DG251" i="1"/>
  <c r="DG339" i="1"/>
  <c r="DL339" i="1"/>
  <c r="DK339" i="1"/>
  <c r="DL350" i="1"/>
  <c r="DK350" i="1"/>
  <c r="DG350" i="1"/>
  <c r="DG394" i="1"/>
  <c r="DK394" i="1"/>
  <c r="DL394" i="1"/>
  <c r="DL392" i="1"/>
  <c r="DK392" i="1"/>
  <c r="DG392" i="1"/>
  <c r="DG381" i="1"/>
  <c r="DL381" i="1"/>
  <c r="DK381" i="1"/>
  <c r="DL352" i="1"/>
  <c r="DK352" i="1"/>
  <c r="DG352" i="1"/>
  <c r="DL401" i="1"/>
  <c r="DK401" i="1"/>
  <c r="DG401" i="1"/>
  <c r="DG173" i="1"/>
  <c r="DL173" i="1"/>
  <c r="DK173" i="1"/>
  <c r="DL404" i="1"/>
  <c r="DK404" i="1"/>
  <c r="DG404" i="1"/>
  <c r="DL363" i="1"/>
  <c r="DK363" i="1"/>
  <c r="DG363" i="1"/>
  <c r="DL252" i="1"/>
  <c r="DK252" i="1"/>
  <c r="DG252" i="1"/>
  <c r="DL358" i="1"/>
  <c r="DK358" i="1"/>
  <c r="DG358" i="1"/>
  <c r="DG182" i="1"/>
  <c r="DL182" i="1"/>
  <c r="DK182" i="1"/>
  <c r="DL69" i="1"/>
  <c r="DK69" i="1"/>
  <c r="DG69" i="1"/>
  <c r="DK373" i="1"/>
  <c r="DG373" i="1"/>
  <c r="DL373" i="1"/>
  <c r="DN35" i="1"/>
  <c r="DK375" i="1"/>
  <c r="DG375" i="1"/>
  <c r="DL375" i="1"/>
  <c r="DL387" i="1"/>
  <c r="DK387" i="1"/>
  <c r="DG387" i="1"/>
  <c r="DK371" i="1"/>
  <c r="DG371" i="1"/>
  <c r="DL371" i="1"/>
  <c r="DL393" i="1"/>
  <c r="DK393" i="1"/>
  <c r="DG393" i="1"/>
  <c r="DN397" i="1"/>
  <c r="EZ397" i="1" s="1"/>
  <c r="DN395" i="1"/>
  <c r="EZ395" i="1" s="1"/>
  <c r="DK360" i="1"/>
  <c r="DG360" i="1"/>
  <c r="DL360" i="1"/>
  <c r="DN101" i="1"/>
  <c r="DN179" i="1"/>
  <c r="EB280" i="1" a="1"/>
  <c r="EB280" i="1" s="1"/>
  <c r="EL280" i="1" s="1"/>
  <c r="EB390" i="1" a="1"/>
  <c r="EB390" i="1" s="1"/>
  <c r="EL390" i="1" s="1"/>
  <c r="BQ34" i="1"/>
  <c r="BR365" i="1"/>
  <c r="CR365" i="1" s="1"/>
  <c r="BR404" i="1"/>
  <c r="CR404" i="1" s="1"/>
  <c r="EB373" i="1" a="1"/>
  <c r="EB373" i="1" s="1"/>
  <c r="EL373" i="1" s="1"/>
  <c r="EB262" i="1" a="1"/>
  <c r="EB262" i="1" s="1"/>
  <c r="EL262" i="1" s="1"/>
  <c r="BR173" i="1"/>
  <c r="CR173" i="1" s="1"/>
  <c r="BQ375" i="1"/>
  <c r="EB394" i="1" a="1"/>
  <c r="EB394" i="1" s="1"/>
  <c r="EL394" i="1" s="1"/>
  <c r="EB173" i="1" a="1"/>
  <c r="EB173" i="1" s="1"/>
  <c r="EL173" i="1" s="1"/>
  <c r="BQ348" i="1"/>
  <c r="BQ225" i="1"/>
  <c r="BQ330" i="1"/>
  <c r="BQ344" i="1"/>
  <c r="BR182" i="1"/>
  <c r="CR182" i="1" s="1"/>
  <c r="EB69" i="1" a="1"/>
  <c r="EB69" i="1" s="1"/>
  <c r="EL69" i="1" s="1"/>
  <c r="BQ382" i="1"/>
  <c r="BR224" i="1"/>
  <c r="CR224" i="1" s="1"/>
  <c r="BQ367" i="1"/>
  <c r="BQ346" i="1"/>
  <c r="BQ349" i="1"/>
  <c r="BR353" i="1"/>
  <c r="CR353" i="1" s="1"/>
  <c r="BQ388" i="1"/>
  <c r="EB351" i="1" a="1"/>
  <c r="EB351" i="1" s="1"/>
  <c r="EL351" i="1" s="1"/>
  <c r="BR56" i="1"/>
  <c r="CR56" i="1" s="1"/>
  <c r="BR377" i="1"/>
  <c r="CR377" i="1" s="1"/>
  <c r="BQ385" i="1"/>
  <c r="BQ366" i="1"/>
  <c r="BQ361" i="1"/>
  <c r="BQ386" i="1"/>
  <c r="BQ403" i="1"/>
  <c r="BQ44" i="1"/>
  <c r="BR358" i="1"/>
  <c r="CR358" i="1" s="1"/>
  <c r="BQ68" i="1"/>
  <c r="BQ398" i="1"/>
  <c r="BQ352" i="1"/>
  <c r="EB360" i="1" a="1"/>
  <c r="EB360" i="1" s="1"/>
  <c r="EL360" i="1" s="1"/>
  <c r="EB366" i="1" a="1"/>
  <c r="EB366" i="1" s="1"/>
  <c r="EL366" i="1" s="1"/>
  <c r="BT275" i="1"/>
  <c r="BY275" i="1" s="1"/>
  <c r="BT287" i="1"/>
  <c r="BY287" i="1" s="1"/>
  <c r="BT176" i="1"/>
  <c r="BY176" i="1" s="1"/>
  <c r="BT30" i="1"/>
  <c r="BY30" i="1" s="1"/>
  <c r="BT174" i="1"/>
  <c r="BY174" i="1" s="1"/>
  <c r="BT109" i="1"/>
  <c r="BY109" i="1" s="1"/>
  <c r="BT115" i="1"/>
  <c r="BY115" i="1" s="1"/>
  <c r="BT320" i="1"/>
  <c r="BY320" i="1" s="1"/>
  <c r="BT95" i="1"/>
  <c r="BY95" i="1" s="1"/>
  <c r="BT72" i="1"/>
  <c r="BY72" i="1" s="1"/>
  <c r="BT341" i="1"/>
  <c r="BY341" i="1" s="1"/>
  <c r="BT45" i="1"/>
  <c r="BY45" i="1" s="1"/>
  <c r="BT143" i="1"/>
  <c r="BY143" i="1" s="1"/>
  <c r="BT231" i="1"/>
  <c r="BY231" i="1" s="1"/>
  <c r="BT271" i="1"/>
  <c r="BY271" i="1" s="1"/>
  <c r="BT265" i="1"/>
  <c r="BY265" i="1" s="1"/>
  <c r="BT227" i="1"/>
  <c r="BY227" i="1" s="1"/>
  <c r="BT89" i="1"/>
  <c r="BY89" i="1" s="1"/>
  <c r="BT91" i="1"/>
  <c r="BY91" i="1" s="1"/>
  <c r="BT79" i="1"/>
  <c r="BY79" i="1" s="1"/>
  <c r="BT186" i="1"/>
  <c r="BY186" i="1" s="1"/>
  <c r="BT292" i="1"/>
  <c r="BY292" i="1" s="1"/>
  <c r="BT329" i="1"/>
  <c r="BY329" i="1" s="1"/>
  <c r="BT76" i="1"/>
  <c r="BY76" i="1" s="1"/>
  <c r="BT238" i="1"/>
  <c r="BY238" i="1" s="1"/>
  <c r="BT50" i="1"/>
  <c r="BY50" i="1" s="1"/>
  <c r="BT113" i="1"/>
  <c r="BY113" i="1" s="1"/>
  <c r="BT26" i="1"/>
  <c r="BY26" i="1" s="1"/>
  <c r="BT326" i="1"/>
  <c r="BY326" i="1" s="1"/>
  <c r="BT27" i="1"/>
  <c r="BY27" i="1" s="1"/>
  <c r="BT324" i="1"/>
  <c r="BY324" i="1" s="1"/>
  <c r="BT151" i="1"/>
  <c r="BY151" i="1" s="1"/>
  <c r="BT120" i="1"/>
  <c r="BY120" i="1" s="1"/>
  <c r="BT161" i="1"/>
  <c r="BY161" i="1" s="1"/>
  <c r="BT162" i="1"/>
  <c r="BY162" i="1" s="1"/>
  <c r="BT296" i="1"/>
  <c r="BY296" i="1" s="1"/>
  <c r="BT334" i="1"/>
  <c r="BY334" i="1" s="1"/>
  <c r="BT149" i="1"/>
  <c r="BY149" i="1" s="1"/>
  <c r="BT237" i="1"/>
  <c r="BY237" i="1" s="1"/>
  <c r="BT31" i="1"/>
  <c r="BY31" i="1" s="1"/>
  <c r="BT293" i="1"/>
  <c r="BY293" i="1" s="1"/>
  <c r="BT18" i="1"/>
  <c r="BY18" i="1" s="1"/>
  <c r="BT315" i="1"/>
  <c r="BY315" i="1" s="1"/>
  <c r="BT163" i="1"/>
  <c r="BY163" i="1" s="1"/>
  <c r="BT295" i="1"/>
  <c r="BY295" i="1" s="1"/>
  <c r="BT67" i="1"/>
  <c r="BY67" i="1" s="1"/>
  <c r="BT111" i="1"/>
  <c r="BY111" i="1" s="1"/>
  <c r="BT230" i="1"/>
  <c r="BY230" i="1" s="1"/>
  <c r="BT288" i="1"/>
  <c r="BY288" i="1" s="1"/>
  <c r="BT42" i="1"/>
  <c r="BY42" i="1" s="1"/>
  <c r="BT322" i="1"/>
  <c r="BY322" i="1" s="1"/>
  <c r="BT148" i="1"/>
  <c r="BY148" i="1" s="1"/>
  <c r="BT250" i="1"/>
  <c r="BY250" i="1" s="1"/>
  <c r="BT281" i="1"/>
  <c r="BY281" i="1" s="1"/>
  <c r="BT75" i="1"/>
  <c r="BY75" i="1" s="1"/>
  <c r="BT290" i="1"/>
  <c r="BY290" i="1" s="1"/>
  <c r="BT291" i="1"/>
  <c r="BY291" i="1" s="1"/>
  <c r="BT168" i="1"/>
  <c r="BY168" i="1" s="1"/>
  <c r="BT63" i="1"/>
  <c r="BY63" i="1" s="1"/>
  <c r="BT116" i="1"/>
  <c r="BY116" i="1" s="1"/>
  <c r="BT25" i="1"/>
  <c r="BY25" i="1" s="1"/>
  <c r="BT41" i="1"/>
  <c r="BY41" i="1" s="1"/>
  <c r="BT191" i="1"/>
  <c r="BY191" i="1" s="1"/>
  <c r="BT59" i="1"/>
  <c r="BY59" i="1" s="1"/>
  <c r="BT196" i="1"/>
  <c r="BY196" i="1" s="1"/>
  <c r="BT226" i="1"/>
  <c r="BY226" i="1" s="1"/>
  <c r="BT253" i="1"/>
  <c r="BY253" i="1" s="1"/>
  <c r="BT99" i="1"/>
  <c r="BY99" i="1" s="1"/>
  <c r="BT93" i="1"/>
  <c r="BY93" i="1" s="1"/>
  <c r="BT70" i="1"/>
  <c r="BY70" i="1" s="1"/>
  <c r="BT216" i="1"/>
  <c r="BY216" i="1" s="1"/>
  <c r="BT90" i="1"/>
  <c r="BY90" i="1" s="1"/>
  <c r="BT38" i="1"/>
  <c r="BY38" i="1" s="1"/>
  <c r="BT307" i="1"/>
  <c r="BY307" i="1" s="1"/>
  <c r="BT305" i="1"/>
  <c r="BY305" i="1" s="1"/>
  <c r="BT147" i="1"/>
  <c r="BY147" i="1" s="1"/>
  <c r="BT159" i="1"/>
  <c r="BY159" i="1" s="1"/>
  <c r="BT221" i="1"/>
  <c r="BY221" i="1" s="1"/>
  <c r="BT284" i="1"/>
  <c r="BY284" i="1" s="1"/>
  <c r="BT71" i="1"/>
  <c r="BY71" i="1" s="1"/>
  <c r="BT158" i="1"/>
  <c r="BY158" i="1" s="1"/>
  <c r="BT289" i="1"/>
  <c r="BY289" i="1" s="1"/>
  <c r="BT323" i="1"/>
  <c r="BY323" i="1" s="1"/>
  <c r="BT87" i="1"/>
  <c r="BY87" i="1" s="1"/>
  <c r="BT98" i="1"/>
  <c r="BY98" i="1" s="1"/>
  <c r="BT189" i="1"/>
  <c r="BY189" i="1" s="1"/>
  <c r="BT193" i="1"/>
  <c r="BY193" i="1" s="1"/>
  <c r="BT33" i="1"/>
  <c r="BY33" i="1" s="1"/>
  <c r="BT184" i="1"/>
  <c r="BY184" i="1" s="1"/>
  <c r="BT139" i="1"/>
  <c r="BY139" i="1" s="1"/>
  <c r="BT123" i="1"/>
  <c r="BY123" i="1" s="1"/>
  <c r="BT240" i="1"/>
  <c r="BY240" i="1" s="1"/>
  <c r="BT108" i="1"/>
  <c r="BY108" i="1" s="1"/>
  <c r="BT213" i="1"/>
  <c r="BY213" i="1" s="1"/>
  <c r="BT104" i="1"/>
  <c r="BY104" i="1" s="1"/>
  <c r="BT155" i="1"/>
  <c r="BY155" i="1" s="1"/>
  <c r="BT167" i="1"/>
  <c r="BY167" i="1" s="1"/>
  <c r="BT201" i="1"/>
  <c r="BY201" i="1" s="1"/>
  <c r="BT32" i="1"/>
  <c r="BY32" i="1" s="1"/>
  <c r="BT145" i="1"/>
  <c r="BY145" i="1" s="1"/>
  <c r="BT61" i="1"/>
  <c r="BY61" i="1" s="1"/>
  <c r="BT112" i="1"/>
  <c r="BY112" i="1" s="1"/>
  <c r="BT270" i="1"/>
  <c r="BY270" i="1" s="1"/>
  <c r="BT100" i="1"/>
  <c r="BY100" i="1" s="1"/>
  <c r="BT325" i="1"/>
  <c r="BY325" i="1" s="1"/>
  <c r="BT36" i="1"/>
  <c r="BY36" i="1" s="1"/>
  <c r="BT82" i="1"/>
  <c r="BY82" i="1" s="1"/>
  <c r="BT110" i="1"/>
  <c r="BY110" i="1" s="1"/>
  <c r="BT28" i="1"/>
  <c r="BY28" i="1" s="1"/>
  <c r="BT60" i="1"/>
  <c r="BY60" i="1" s="1"/>
  <c r="BT314" i="1"/>
  <c r="BY314" i="1" s="1"/>
  <c r="BT248" i="1"/>
  <c r="BY248" i="1" s="1"/>
  <c r="BT332" i="1"/>
  <c r="BY332" i="1" s="1"/>
  <c r="BT279" i="1"/>
  <c r="BY279" i="1" s="1"/>
  <c r="BT214" i="1"/>
  <c r="BY214" i="1" s="1"/>
  <c r="BT200" i="1"/>
  <c r="BY200" i="1" s="1"/>
  <c r="BT316" i="1"/>
  <c r="BY316" i="1" s="1"/>
  <c r="BT313" i="1"/>
  <c r="BY313" i="1" s="1"/>
  <c r="BT340" i="1"/>
  <c r="BY340" i="1" s="1"/>
  <c r="BT127" i="1"/>
  <c r="BY127" i="1" s="1"/>
  <c r="BT46" i="1"/>
  <c r="BY46" i="1" s="1"/>
  <c r="BT204" i="1"/>
  <c r="BY204" i="1" s="1"/>
  <c r="BT85" i="1"/>
  <c r="BY85" i="1" s="1"/>
  <c r="BT333" i="1"/>
  <c r="BY333" i="1" s="1"/>
  <c r="BT135" i="1"/>
  <c r="BY135" i="1" s="1"/>
  <c r="BT165" i="1"/>
  <c r="BY165" i="1" s="1"/>
  <c r="BT15" i="1"/>
  <c r="BY15" i="1" s="1"/>
  <c r="BT66" i="1"/>
  <c r="BY66" i="1" s="1"/>
  <c r="BT244" i="1"/>
  <c r="BY244" i="1" s="1"/>
  <c r="BT73" i="1"/>
  <c r="BY73" i="1" s="1"/>
  <c r="BT263" i="1"/>
  <c r="BY263" i="1" s="1"/>
  <c r="BT247" i="1"/>
  <c r="BY247" i="1" s="1"/>
  <c r="BT267" i="1"/>
  <c r="BY267" i="1" s="1"/>
  <c r="BT29" i="1"/>
  <c r="BY29" i="1" s="1"/>
  <c r="BT285" i="1"/>
  <c r="BY285" i="1" s="1"/>
  <c r="BT199" i="1"/>
  <c r="BY199" i="1" s="1"/>
  <c r="BT171" i="1"/>
  <c r="BY171" i="1" s="1"/>
  <c r="BT242" i="1"/>
  <c r="BY242" i="1" s="1"/>
  <c r="BT172" i="1"/>
  <c r="BY172" i="1" s="1"/>
  <c r="BT134" i="1"/>
  <c r="BY134" i="1" s="1"/>
  <c r="BT83" i="1"/>
  <c r="BY83" i="1" s="1"/>
  <c r="BT146" i="1"/>
  <c r="BY146" i="1" s="1"/>
  <c r="BT274" i="1"/>
  <c r="BY274" i="1" s="1"/>
  <c r="BT223" i="1"/>
  <c r="BY223" i="1" s="1"/>
  <c r="BT169" i="1"/>
  <c r="BY169" i="1" s="1"/>
  <c r="BT336" i="1"/>
  <c r="BY336" i="1" s="1"/>
  <c r="BT114" i="1"/>
  <c r="BY114" i="1" s="1"/>
  <c r="BT298" i="1"/>
  <c r="BY298" i="1" s="1"/>
  <c r="BT246" i="1"/>
  <c r="BY246" i="1" s="1"/>
  <c r="BT273" i="1"/>
  <c r="BY273" i="1" s="1"/>
  <c r="BT131" i="1"/>
  <c r="BY131" i="1" s="1"/>
  <c r="BT327" i="1"/>
  <c r="BY327" i="1" s="1"/>
  <c r="BT40" i="1"/>
  <c r="BY40" i="1" s="1"/>
  <c r="BT211" i="1"/>
  <c r="BY211" i="1" s="1"/>
  <c r="BT260" i="1"/>
  <c r="BY260" i="1" s="1"/>
  <c r="BT245" i="1"/>
  <c r="BY245" i="1" s="1"/>
  <c r="BT133" i="1"/>
  <c r="BY133" i="1" s="1"/>
  <c r="BY20" i="1"/>
  <c r="BT140" i="1"/>
  <c r="BY140" i="1" s="1"/>
  <c r="BT49" i="1"/>
  <c r="BY49" i="1" s="1"/>
  <c r="BT219" i="1"/>
  <c r="BY219" i="1" s="1"/>
  <c r="BT232" i="1"/>
  <c r="BY232" i="1" s="1"/>
  <c r="BT138" i="1"/>
  <c r="BY138" i="1" s="1"/>
  <c r="BT118" i="1"/>
  <c r="BY118" i="1" s="1"/>
  <c r="BT206" i="1"/>
  <c r="BY206" i="1" s="1"/>
  <c r="BT229" i="1"/>
  <c r="BY229" i="1" s="1"/>
  <c r="BT22" i="1"/>
  <c r="BY22" i="1" s="1"/>
  <c r="BT130" i="1"/>
  <c r="BY130" i="1" s="1"/>
  <c r="BT92" i="1"/>
  <c r="BY92" i="1" s="1"/>
  <c r="BT103" i="1"/>
  <c r="BY103" i="1" s="1"/>
  <c r="BT39" i="1"/>
  <c r="BY39" i="1" s="1"/>
  <c r="BT235" i="1"/>
  <c r="BY235" i="1" s="1"/>
  <c r="BT302" i="1"/>
  <c r="BY302" i="1" s="1"/>
  <c r="BT233" i="1"/>
  <c r="BY233" i="1" s="1"/>
  <c r="BT255" i="1"/>
  <c r="BY255" i="1" s="1"/>
  <c r="BT58" i="1"/>
  <c r="BY58" i="1" s="1"/>
  <c r="BT337" i="1"/>
  <c r="BY337" i="1" s="1"/>
  <c r="BT62" i="1"/>
  <c r="BY62" i="1" s="1"/>
  <c r="BT278" i="1"/>
  <c r="BY278" i="1" s="1"/>
  <c r="BT312" i="1"/>
  <c r="BY312" i="1" s="1"/>
  <c r="BT210" i="1"/>
  <c r="BY210" i="1" s="1"/>
  <c r="BT65" i="1"/>
  <c r="BY65" i="1" s="1"/>
  <c r="BT299" i="1"/>
  <c r="BY299" i="1" s="1"/>
  <c r="BT286" i="1"/>
  <c r="BY286" i="1" s="1"/>
  <c r="BT300" i="1"/>
  <c r="BY300" i="1" s="1"/>
  <c r="BT48" i="1"/>
  <c r="BY48" i="1" s="1"/>
  <c r="BT277" i="1"/>
  <c r="BY277" i="1" s="1"/>
  <c r="BT328" i="1"/>
  <c r="BY328" i="1" s="1"/>
  <c r="BT192" i="1"/>
  <c r="BY192" i="1" s="1"/>
  <c r="BT150" i="1"/>
  <c r="BY150" i="1" s="1"/>
  <c r="BT342" i="1"/>
  <c r="BY342" i="1" s="1"/>
  <c r="BT117" i="1"/>
  <c r="BY117" i="1" s="1"/>
  <c r="BT37" i="1"/>
  <c r="BY37" i="1" s="1"/>
  <c r="BT272" i="1"/>
  <c r="BY272" i="1" s="1"/>
  <c r="BT102" i="1"/>
  <c r="BY102" i="1" s="1"/>
  <c r="BT52" i="1"/>
  <c r="BY52" i="1" s="1"/>
  <c r="BT190" i="1"/>
  <c r="BY190" i="1" s="1"/>
  <c r="BT283" i="1"/>
  <c r="BY283" i="1" s="1"/>
  <c r="BT17" i="1"/>
  <c r="BY17" i="1" s="1"/>
  <c r="BT215" i="1"/>
  <c r="BY215" i="1" s="1"/>
  <c r="BT180" i="1"/>
  <c r="BY180" i="1" s="1"/>
  <c r="BT202" i="1"/>
  <c r="BY202" i="1" s="1"/>
  <c r="BT198" i="1"/>
  <c r="BY198" i="1" s="1"/>
  <c r="BT142" i="1"/>
  <c r="BY142" i="1" s="1"/>
  <c r="BT188" i="1"/>
  <c r="BY188" i="1" s="1"/>
  <c r="BT177" i="1"/>
  <c r="BY177" i="1" s="1"/>
  <c r="BT218" i="1"/>
  <c r="BY218" i="1" s="1"/>
  <c r="BT124" i="1"/>
  <c r="BY124" i="1" s="1"/>
  <c r="BT282" i="1"/>
  <c r="BY282" i="1" s="1"/>
  <c r="BT57" i="1"/>
  <c r="BY57" i="1" s="1"/>
  <c r="BT276" i="1"/>
  <c r="BY276" i="1" s="1"/>
  <c r="BT53" i="1"/>
  <c r="BY53" i="1" s="1"/>
  <c r="BT137" i="1"/>
  <c r="BY137" i="1" s="1"/>
  <c r="BT175" i="1"/>
  <c r="BY175" i="1" s="1"/>
  <c r="BT107" i="1"/>
  <c r="BY107" i="1" s="1"/>
  <c r="BT212" i="1"/>
  <c r="BY212" i="1" s="1"/>
  <c r="BT294" i="1"/>
  <c r="BY294" i="1" s="1"/>
  <c r="BT228" i="1"/>
  <c r="BY228" i="1" s="1"/>
  <c r="BT259" i="1"/>
  <c r="BY259" i="1" s="1"/>
  <c r="BT74" i="1"/>
  <c r="BY74" i="1" s="1"/>
  <c r="BT297" i="1"/>
  <c r="BY297" i="1" s="1"/>
  <c r="BT239" i="1"/>
  <c r="BY239" i="1" s="1"/>
  <c r="BT264" i="1"/>
  <c r="BY264" i="1" s="1"/>
  <c r="BT43" i="1"/>
  <c r="BY43" i="1" s="1"/>
  <c r="BT94" i="1"/>
  <c r="BY94" i="1" s="1"/>
  <c r="BT23" i="1"/>
  <c r="BY23" i="1" s="1"/>
  <c r="BT16" i="1"/>
  <c r="BY16" i="1" s="1"/>
  <c r="BT268" i="1"/>
  <c r="BY268" i="1" s="1"/>
  <c r="BT141" i="1"/>
  <c r="BY141" i="1" s="1"/>
  <c r="BT321" i="1"/>
  <c r="BY321" i="1" s="1"/>
  <c r="BT195" i="1"/>
  <c r="BY195" i="1" s="1"/>
  <c r="BT24" i="1"/>
  <c r="BY24" i="1" s="1"/>
  <c r="BT55" i="1"/>
  <c r="BY55" i="1" s="1"/>
  <c r="BT217" i="1"/>
  <c r="BY217" i="1" s="1"/>
  <c r="BT136" i="1"/>
  <c r="BY136" i="1" s="1"/>
  <c r="BT96" i="1"/>
  <c r="BY96" i="1" s="1"/>
  <c r="BT144" i="1"/>
  <c r="BY144" i="1" s="1"/>
  <c r="BT205" i="1"/>
  <c r="BY205" i="1" s="1"/>
  <c r="BT78" i="1"/>
  <c r="BY78" i="1" s="1"/>
  <c r="BT160" i="1"/>
  <c r="BY160" i="1" s="1"/>
  <c r="BT335" i="1"/>
  <c r="BY335" i="1" s="1"/>
  <c r="BT209" i="1"/>
  <c r="BY209" i="1" s="1"/>
  <c r="BT303" i="1"/>
  <c r="BY303" i="1" s="1"/>
  <c r="BT256" i="1"/>
  <c r="BY256" i="1" s="1"/>
  <c r="BT88" i="1"/>
  <c r="BY88" i="1" s="1"/>
  <c r="BT208" i="1"/>
  <c r="BY208" i="1" s="1"/>
  <c r="BT51" i="1"/>
  <c r="BY51" i="1" s="1"/>
  <c r="BT164" i="1"/>
  <c r="BY164" i="1" s="1"/>
  <c r="BT222" i="1"/>
  <c r="BY222" i="1" s="1"/>
  <c r="BT166" i="1"/>
  <c r="BY166" i="1" s="1"/>
  <c r="BT304" i="1"/>
  <c r="BY304" i="1" s="1"/>
  <c r="BT185" i="1"/>
  <c r="BY185" i="1" s="1"/>
  <c r="BT14" i="1"/>
  <c r="BY14" i="1" s="1"/>
  <c r="BT64" i="1"/>
  <c r="BY64" i="1" s="1"/>
  <c r="BT306" i="1"/>
  <c r="BY306" i="1" s="1"/>
  <c r="BT181" i="1"/>
  <c r="BY181" i="1" s="1"/>
  <c r="BT119" i="1"/>
  <c r="BY119" i="1" s="1"/>
  <c r="BT269" i="1"/>
  <c r="BY269" i="1" s="1"/>
  <c r="BT257" i="1"/>
  <c r="BY257" i="1" s="1"/>
  <c r="BT319" i="1"/>
  <c r="BY319" i="1" s="1"/>
  <c r="BT258" i="1"/>
  <c r="BY258" i="1" s="1"/>
  <c r="BT122" i="1"/>
  <c r="BY122" i="1" s="1"/>
  <c r="BT77" i="1"/>
  <c r="BY77" i="1" s="1"/>
  <c r="BT129" i="1"/>
  <c r="BY129" i="1" s="1"/>
  <c r="BT97" i="1"/>
  <c r="BY97" i="1" s="1"/>
  <c r="BT249" i="1"/>
  <c r="BY249" i="1" s="1"/>
  <c r="BT194" i="1"/>
  <c r="BY194" i="1" s="1"/>
  <c r="BT81" i="1"/>
  <c r="BY81" i="1" s="1"/>
  <c r="BT318" i="1"/>
  <c r="BY318" i="1" s="1"/>
  <c r="BT80" i="1"/>
  <c r="BY80" i="1" s="1"/>
  <c r="BT301" i="1"/>
  <c r="BY301" i="1" s="1"/>
  <c r="BT234" i="1"/>
  <c r="BY234" i="1" s="1"/>
  <c r="BT266" i="1"/>
  <c r="BY266" i="1" s="1"/>
  <c r="BT187" i="1"/>
  <c r="BY187" i="1" s="1"/>
  <c r="BT310" i="1"/>
  <c r="BY310" i="1" s="1"/>
  <c r="BT19" i="1"/>
  <c r="BY19" i="1" s="1"/>
  <c r="BT311" i="1"/>
  <c r="BY311" i="1" s="1"/>
  <c r="BT84" i="1"/>
  <c r="BY84" i="1" s="1"/>
  <c r="BT236" i="1"/>
  <c r="BY236" i="1" s="1"/>
  <c r="BT121" i="1"/>
  <c r="BY121" i="1" s="1"/>
  <c r="BT126" i="1"/>
  <c r="BY126" i="1" s="1"/>
  <c r="BT152" i="1"/>
  <c r="BY152" i="1" s="1"/>
  <c r="BT254" i="1"/>
  <c r="BY254" i="1" s="1"/>
  <c r="BT125" i="1"/>
  <c r="BY125" i="1" s="1"/>
  <c r="BT153" i="1"/>
  <c r="BY153" i="1" s="1"/>
  <c r="BT317" i="1"/>
  <c r="BY317" i="1" s="1"/>
  <c r="BT157" i="1"/>
  <c r="BY157" i="1" s="1"/>
  <c r="BT86" i="1"/>
  <c r="BY86" i="1" s="1"/>
  <c r="EB330" i="1" a="1"/>
  <c r="EB330" i="1" s="1"/>
  <c r="EL330" i="1" s="1"/>
  <c r="EB381" i="1" a="1"/>
  <c r="EB381" i="1" s="1"/>
  <c r="EL381" i="1" s="1"/>
  <c r="EB156" i="1" a="1"/>
  <c r="EB156" i="1" s="1"/>
  <c r="EL156" i="1" s="1"/>
  <c r="EB251" i="1" a="1"/>
  <c r="EB251" i="1" s="1"/>
  <c r="EL251" i="1" s="1"/>
  <c r="EB363" i="1" a="1"/>
  <c r="EB363" i="1" s="1"/>
  <c r="EL363" i="1" s="1"/>
  <c r="EB404" i="1" a="1"/>
  <c r="EB404" i="1" s="1"/>
  <c r="EL404" i="1" s="1"/>
  <c r="EB21" i="1" a="1"/>
  <c r="EB21" i="1" s="1"/>
  <c r="EL21" i="1" s="1"/>
  <c r="EB339" i="1" a="1"/>
  <c r="EB339" i="1" s="1"/>
  <c r="EL339" i="1" s="1"/>
  <c r="EB392" i="1" a="1"/>
  <c r="EB392" i="1" s="1"/>
  <c r="EL392" i="1" s="1"/>
  <c r="EB357" i="1" a="1"/>
  <c r="EB357" i="1" s="1"/>
  <c r="EL357" i="1" s="1"/>
  <c r="EB352" i="1" a="1"/>
  <c r="EB352" i="1" s="1"/>
  <c r="EL352" i="1" s="1"/>
  <c r="EB358" i="1" a="1"/>
  <c r="EB358" i="1" s="1"/>
  <c r="EL358" i="1" s="1"/>
  <c r="EB387" i="1" a="1"/>
  <c r="EB387" i="1" s="1"/>
  <c r="EL387" i="1" s="1"/>
  <c r="EB343" i="1" a="1"/>
  <c r="EB343" i="1" s="1"/>
  <c r="EL343" i="1" s="1"/>
  <c r="EB371" i="1" a="1"/>
  <c r="EB371" i="1" s="1"/>
  <c r="EL371" i="1" s="1"/>
  <c r="EB401" i="1" a="1"/>
  <c r="EB401" i="1" s="1"/>
  <c r="EL401" i="1" s="1"/>
  <c r="EB406" i="1" a="1"/>
  <c r="EB406" i="1" s="1"/>
  <c r="EL406" i="1" s="1"/>
  <c r="EB56" i="1" a="1"/>
  <c r="EB56" i="1" s="1"/>
  <c r="EL56" i="1" s="1"/>
  <c r="EB375" i="1" a="1"/>
  <c r="EB375" i="1" s="1"/>
  <c r="EL375" i="1" s="1"/>
  <c r="EB384" i="1" a="1"/>
  <c r="EB384" i="1" s="1"/>
  <c r="EL384" i="1" s="1"/>
  <c r="EB308" i="1" a="1"/>
  <c r="EB308" i="1" s="1"/>
  <c r="EL308" i="1" s="1"/>
  <c r="EB350" i="1" a="1"/>
  <c r="EB350" i="1" s="1"/>
  <c r="EL350" i="1" s="1"/>
  <c r="EB393" i="1" a="1"/>
  <c r="EB393" i="1" s="1"/>
  <c r="EL393" i="1" s="1"/>
  <c r="EB252" i="1" a="1"/>
  <c r="EB252" i="1" s="1"/>
  <c r="EL252" i="1" s="1"/>
  <c r="EB391" i="1" a="1"/>
  <c r="EB391" i="1" s="1"/>
  <c r="EL391" i="1" s="1"/>
  <c r="EB182" i="1" a="1"/>
  <c r="EB182" i="1" s="1"/>
  <c r="EL182" i="1" s="1"/>
  <c r="BT132" i="1"/>
  <c r="BY132" i="1" s="1"/>
  <c r="BT105" i="1"/>
  <c r="BY105" i="1" s="1"/>
  <c r="AB13" i="1"/>
  <c r="AI13" i="1"/>
  <c r="BN13" i="1"/>
  <c r="BB12" i="1"/>
  <c r="BC12" i="1"/>
  <c r="CA12" i="1"/>
  <c r="AC12" i="1"/>
  <c r="BZ12" i="1"/>
  <c r="DN224" i="1" l="1"/>
  <c r="DN353" i="1"/>
  <c r="EZ353" i="1" s="1"/>
  <c r="DN378" i="1"/>
  <c r="EZ378" i="1" s="1"/>
  <c r="DN400" i="1"/>
  <c r="EZ400" i="1" s="1"/>
  <c r="DN367" i="1"/>
  <c r="EZ367" i="1" s="1"/>
  <c r="DN183" i="1"/>
  <c r="DN389" i="1"/>
  <c r="EZ389" i="1" s="1"/>
  <c r="DN365" i="1"/>
  <c r="EZ365" i="1" s="1"/>
  <c r="DN398" i="1"/>
  <c r="EZ398" i="1" s="1"/>
  <c r="DN331" i="1"/>
  <c r="DN345" i="1"/>
  <c r="DN364" i="1"/>
  <c r="EZ364" i="1" s="1"/>
  <c r="DN54" i="1"/>
  <c r="DN338" i="1"/>
  <c r="DN359" i="1"/>
  <c r="EZ359" i="1" s="1"/>
  <c r="DN280" i="1"/>
  <c r="DN330" i="1"/>
  <c r="DN371" i="1"/>
  <c r="EZ371" i="1" s="1"/>
  <c r="DN391" i="1"/>
  <c r="EZ391" i="1" s="1"/>
  <c r="DN363" i="1"/>
  <c r="EZ363" i="1" s="1"/>
  <c r="DN366" i="1"/>
  <c r="EZ366" i="1" s="1"/>
  <c r="DN69" i="1"/>
  <c r="DN404" i="1"/>
  <c r="EZ404" i="1" s="1"/>
  <c r="DN309" i="1"/>
  <c r="DN381" i="1"/>
  <c r="EZ381" i="1" s="1"/>
  <c r="DN251" i="1"/>
  <c r="DN390" i="1"/>
  <c r="EZ390" i="1" s="1"/>
  <c r="DN406" i="1"/>
  <c r="EZ406" i="1" s="1"/>
  <c r="DN156" i="1"/>
  <c r="DN387" i="1"/>
  <c r="EZ387" i="1" s="1"/>
  <c r="DN350" i="1"/>
  <c r="EZ350" i="1" s="1"/>
  <c r="DN386" i="1"/>
  <c r="EZ386" i="1" s="1"/>
  <c r="DN392" i="1"/>
  <c r="EZ392" i="1" s="1"/>
  <c r="DN375" i="1"/>
  <c r="EZ375" i="1" s="1"/>
  <c r="DN358" i="1"/>
  <c r="EZ358" i="1" s="1"/>
  <c r="DN339" i="1"/>
  <c r="DN352" i="1"/>
  <c r="EZ352" i="1" s="1"/>
  <c r="DN360" i="1"/>
  <c r="EZ360" i="1" s="1"/>
  <c r="DN252" i="1"/>
  <c r="DN56" i="1"/>
  <c r="DN21" i="1"/>
  <c r="DN343" i="1"/>
  <c r="DN373" i="1"/>
  <c r="EZ373" i="1" s="1"/>
  <c r="DN384" i="1"/>
  <c r="EZ384" i="1" s="1"/>
  <c r="DN393" i="1"/>
  <c r="EZ393" i="1" s="1"/>
  <c r="DN357" i="1"/>
  <c r="EZ357" i="1" s="1"/>
  <c r="DN308" i="1"/>
  <c r="DN182" i="1"/>
  <c r="DN173" i="1"/>
  <c r="DN394" i="1"/>
  <c r="EZ394" i="1" s="1"/>
  <c r="DN351" i="1"/>
  <c r="EZ351" i="1" s="1"/>
  <c r="DN401" i="1"/>
  <c r="EZ401" i="1" s="1"/>
  <c r="DN262" i="1"/>
  <c r="DN385" i="1"/>
  <c r="EZ385" i="1" s="1"/>
  <c r="BB20" i="1"/>
  <c r="CB266" i="1"/>
  <c r="CI266" i="1" s="1"/>
  <c r="CA266" i="1"/>
  <c r="BZ266" i="1"/>
  <c r="CB318" i="1"/>
  <c r="CI318" i="1" s="1"/>
  <c r="CA318" i="1"/>
  <c r="BZ318" i="1"/>
  <c r="BZ125" i="1"/>
  <c r="CA125" i="1"/>
  <c r="CB125" i="1"/>
  <c r="CI125" i="1" s="1"/>
  <c r="CB81" i="1"/>
  <c r="CI81" i="1" s="1"/>
  <c r="CA81" i="1"/>
  <c r="BZ81" i="1"/>
  <c r="CB185" i="1"/>
  <c r="CI185" i="1" s="1"/>
  <c r="BZ185" i="1"/>
  <c r="CA185" i="1"/>
  <c r="BZ96" i="1"/>
  <c r="CA96" i="1"/>
  <c r="CB96" i="1"/>
  <c r="CI96" i="1" s="1"/>
  <c r="CB74" i="1"/>
  <c r="CI74" i="1" s="1"/>
  <c r="BZ74" i="1"/>
  <c r="CA74" i="1"/>
  <c r="CB142" i="1"/>
  <c r="CI142" i="1" s="1"/>
  <c r="CA142" i="1"/>
  <c r="BZ142" i="1"/>
  <c r="CA328" i="1"/>
  <c r="BZ328" i="1"/>
  <c r="CB328" i="1"/>
  <c r="CI328" i="1" s="1"/>
  <c r="CB235" i="1"/>
  <c r="CI235" i="1" s="1"/>
  <c r="CA235" i="1"/>
  <c r="BZ235" i="1"/>
  <c r="BZ245" i="1"/>
  <c r="CA245" i="1"/>
  <c r="CB245" i="1"/>
  <c r="CI245" i="1" s="1"/>
  <c r="CB134" i="1"/>
  <c r="CI134" i="1" s="1"/>
  <c r="CA134" i="1"/>
  <c r="BZ134" i="1"/>
  <c r="CB333" i="1"/>
  <c r="CI333" i="1" s="1"/>
  <c r="CA333" i="1"/>
  <c r="BZ333" i="1"/>
  <c r="BZ110" i="1"/>
  <c r="CB110" i="1"/>
  <c r="CI110" i="1" s="1"/>
  <c r="CA110" i="1"/>
  <c r="BZ240" i="1"/>
  <c r="CA240" i="1"/>
  <c r="CB240" i="1"/>
  <c r="CI240" i="1" s="1"/>
  <c r="BZ147" i="1"/>
  <c r="CA147" i="1"/>
  <c r="CB147" i="1"/>
  <c r="CI147" i="1" s="1"/>
  <c r="CA116" i="1"/>
  <c r="BZ116" i="1"/>
  <c r="CB116" i="1"/>
  <c r="CI116" i="1" s="1"/>
  <c r="CB163" i="1"/>
  <c r="CI163" i="1" s="1"/>
  <c r="BZ163" i="1"/>
  <c r="CA163" i="1"/>
  <c r="CB45" i="1"/>
  <c r="CI45" i="1" s="1"/>
  <c r="CA45" i="1"/>
  <c r="BZ45" i="1"/>
  <c r="CB254" i="1"/>
  <c r="CI254" i="1" s="1"/>
  <c r="CA254" i="1"/>
  <c r="BZ254" i="1"/>
  <c r="BZ194" i="1"/>
  <c r="CA194" i="1"/>
  <c r="CB194" i="1"/>
  <c r="CI194" i="1" s="1"/>
  <c r="CB304" i="1"/>
  <c r="CI304" i="1" s="1"/>
  <c r="BZ304" i="1"/>
  <c r="CA304" i="1"/>
  <c r="CA136" i="1"/>
  <c r="CB136" i="1"/>
  <c r="CI136" i="1" s="1"/>
  <c r="BZ136" i="1"/>
  <c r="CB259" i="1"/>
  <c r="CI259" i="1" s="1"/>
  <c r="BZ259" i="1"/>
  <c r="CA259" i="1"/>
  <c r="CB198" i="1"/>
  <c r="CI198" i="1" s="1"/>
  <c r="BZ198" i="1"/>
  <c r="CA198" i="1"/>
  <c r="BZ277" i="1"/>
  <c r="CB277" i="1"/>
  <c r="CI277" i="1" s="1"/>
  <c r="CA277" i="1"/>
  <c r="CA39" i="1"/>
  <c r="CB39" i="1"/>
  <c r="CI39" i="1" s="1"/>
  <c r="BZ39" i="1"/>
  <c r="CA260" i="1"/>
  <c r="BZ260" i="1"/>
  <c r="CB260" i="1"/>
  <c r="CI260" i="1" s="1"/>
  <c r="BZ172" i="1"/>
  <c r="CB172" i="1"/>
  <c r="CI172" i="1" s="1"/>
  <c r="CA172" i="1"/>
  <c r="CA85" i="1"/>
  <c r="CB85" i="1"/>
  <c r="CI85" i="1" s="1"/>
  <c r="BZ85" i="1"/>
  <c r="CA82" i="1"/>
  <c r="BZ82" i="1"/>
  <c r="CB82" i="1"/>
  <c r="CI82" i="1" s="1"/>
  <c r="CB123" i="1"/>
  <c r="CI123" i="1" s="1"/>
  <c r="BZ123" i="1"/>
  <c r="CA123" i="1"/>
  <c r="CB305" i="1"/>
  <c r="CI305" i="1" s="1"/>
  <c r="CA305" i="1"/>
  <c r="BZ305" i="1"/>
  <c r="CA63" i="1"/>
  <c r="BZ63" i="1"/>
  <c r="CB63" i="1"/>
  <c r="CI63" i="1" s="1"/>
  <c r="CB315" i="1"/>
  <c r="CI315" i="1" s="1"/>
  <c r="BZ315" i="1"/>
  <c r="CA315" i="1"/>
  <c r="CB113" i="1"/>
  <c r="CI113" i="1" s="1"/>
  <c r="CA113" i="1"/>
  <c r="BZ113" i="1"/>
  <c r="CB341" i="1"/>
  <c r="CI341" i="1" s="1"/>
  <c r="CA341" i="1"/>
  <c r="BZ341" i="1"/>
  <c r="CB249" i="1"/>
  <c r="CI249" i="1" s="1"/>
  <c r="BZ249" i="1"/>
  <c r="CA249" i="1"/>
  <c r="BZ217" i="1"/>
  <c r="CA217" i="1"/>
  <c r="CB217" i="1"/>
  <c r="CI217" i="1" s="1"/>
  <c r="CB202" i="1"/>
  <c r="CI202" i="1" s="1"/>
  <c r="CA202" i="1"/>
  <c r="BZ202" i="1"/>
  <c r="CB211" i="1"/>
  <c r="CI211" i="1" s="1"/>
  <c r="CA211" i="1"/>
  <c r="BZ211" i="1"/>
  <c r="CA242" i="1"/>
  <c r="BZ242" i="1"/>
  <c r="CB242" i="1"/>
  <c r="CI242" i="1" s="1"/>
  <c r="BZ204" i="1"/>
  <c r="CB204" i="1"/>
  <c r="CI204" i="1" s="1"/>
  <c r="CA204" i="1"/>
  <c r="BZ36" i="1"/>
  <c r="CB36" i="1"/>
  <c r="CI36" i="1" s="1"/>
  <c r="CA36" i="1"/>
  <c r="CB307" i="1"/>
  <c r="CI307" i="1" s="1"/>
  <c r="CA307" i="1"/>
  <c r="BZ307" i="1"/>
  <c r="CA168" i="1"/>
  <c r="BZ168" i="1"/>
  <c r="CB168" i="1"/>
  <c r="CI168" i="1" s="1"/>
  <c r="BZ50" i="1"/>
  <c r="CB50" i="1"/>
  <c r="CI50" i="1" s="1"/>
  <c r="CA50" i="1"/>
  <c r="CB72" i="1"/>
  <c r="CI72" i="1" s="1"/>
  <c r="BZ72" i="1"/>
  <c r="CA72" i="1"/>
  <c r="CA152" i="1"/>
  <c r="BZ152" i="1"/>
  <c r="CB152" i="1"/>
  <c r="CI152" i="1" s="1"/>
  <c r="CA228" i="1"/>
  <c r="BZ228" i="1"/>
  <c r="CB228" i="1"/>
  <c r="CI228" i="1" s="1"/>
  <c r="BZ48" i="1"/>
  <c r="CA48" i="1"/>
  <c r="CB48" i="1"/>
  <c r="CI48" i="1" s="1"/>
  <c r="CB126" i="1"/>
  <c r="CI126" i="1" s="1"/>
  <c r="CA126" i="1"/>
  <c r="BZ126" i="1"/>
  <c r="CB97" i="1"/>
  <c r="CI97" i="1" s="1"/>
  <c r="CA97" i="1"/>
  <c r="BZ97" i="1"/>
  <c r="BZ222" i="1"/>
  <c r="CA222" i="1"/>
  <c r="CB222" i="1"/>
  <c r="CI222" i="1" s="1"/>
  <c r="BZ55" i="1"/>
  <c r="CB55" i="1"/>
  <c r="CI55" i="1" s="1"/>
  <c r="CA55" i="1"/>
  <c r="BZ294" i="1"/>
  <c r="CA294" i="1"/>
  <c r="CB294" i="1"/>
  <c r="CI294" i="1" s="1"/>
  <c r="CB180" i="1"/>
  <c r="CI180" i="1" s="1"/>
  <c r="BZ180" i="1"/>
  <c r="CA180" i="1"/>
  <c r="CB300" i="1"/>
  <c r="CI300" i="1" s="1"/>
  <c r="BZ300" i="1"/>
  <c r="CA300" i="1"/>
  <c r="CB92" i="1"/>
  <c r="CI92" i="1" s="1"/>
  <c r="CA92" i="1"/>
  <c r="BZ92" i="1"/>
  <c r="CB40" i="1"/>
  <c r="CI40" i="1" s="1"/>
  <c r="CA40" i="1"/>
  <c r="BZ40" i="1"/>
  <c r="CB171" i="1"/>
  <c r="CI171" i="1" s="1"/>
  <c r="CA171" i="1"/>
  <c r="BZ171" i="1"/>
  <c r="BZ46" i="1"/>
  <c r="CB46" i="1"/>
  <c r="CI46" i="1" s="1"/>
  <c r="CA46" i="1"/>
  <c r="CA325" i="1"/>
  <c r="CB325" i="1"/>
  <c r="CI325" i="1" s="1"/>
  <c r="BZ325" i="1"/>
  <c r="CB184" i="1"/>
  <c r="CI184" i="1" s="1"/>
  <c r="CA184" i="1"/>
  <c r="BZ184" i="1"/>
  <c r="CB38" i="1"/>
  <c r="CI38" i="1" s="1"/>
  <c r="CA38" i="1"/>
  <c r="BZ38" i="1"/>
  <c r="CB291" i="1"/>
  <c r="CI291" i="1" s="1"/>
  <c r="CA291" i="1"/>
  <c r="BZ291" i="1"/>
  <c r="CB293" i="1"/>
  <c r="CI293" i="1" s="1"/>
  <c r="BZ293" i="1"/>
  <c r="CA293" i="1"/>
  <c r="BZ238" i="1"/>
  <c r="CA238" i="1"/>
  <c r="CB238" i="1"/>
  <c r="CI238" i="1" s="1"/>
  <c r="CA95" i="1"/>
  <c r="CB95" i="1"/>
  <c r="CI95" i="1" s="1"/>
  <c r="BZ95" i="1"/>
  <c r="CB166" i="1"/>
  <c r="CI166" i="1" s="1"/>
  <c r="CA166" i="1"/>
  <c r="BZ166" i="1"/>
  <c r="BZ103" i="1"/>
  <c r="CB103" i="1"/>
  <c r="CI103" i="1" s="1"/>
  <c r="CA103" i="1"/>
  <c r="CA121" i="1"/>
  <c r="BZ121" i="1"/>
  <c r="CB121" i="1"/>
  <c r="CI121" i="1" s="1"/>
  <c r="CA129" i="1"/>
  <c r="CB129" i="1"/>
  <c r="CI129" i="1" s="1"/>
  <c r="BZ129" i="1"/>
  <c r="CA164" i="1"/>
  <c r="BZ164" i="1"/>
  <c r="CB164" i="1"/>
  <c r="CI164" i="1" s="1"/>
  <c r="CB24" i="1"/>
  <c r="CI24" i="1" s="1"/>
  <c r="CA24" i="1"/>
  <c r="BZ24" i="1"/>
  <c r="CB212" i="1"/>
  <c r="CI212" i="1" s="1"/>
  <c r="BZ212" i="1"/>
  <c r="CA212" i="1"/>
  <c r="BZ215" i="1"/>
  <c r="CB215" i="1"/>
  <c r="CI215" i="1" s="1"/>
  <c r="CA215" i="1"/>
  <c r="BZ286" i="1"/>
  <c r="CA286" i="1"/>
  <c r="CB286" i="1"/>
  <c r="CI286" i="1" s="1"/>
  <c r="CA130" i="1"/>
  <c r="CB130" i="1"/>
  <c r="CI130" i="1" s="1"/>
  <c r="BZ130" i="1"/>
  <c r="CB327" i="1"/>
  <c r="CI327" i="1" s="1"/>
  <c r="CA327" i="1"/>
  <c r="BZ327" i="1"/>
  <c r="CB199" i="1"/>
  <c r="CI199" i="1" s="1"/>
  <c r="BZ199" i="1"/>
  <c r="CA199" i="1"/>
  <c r="CA127" i="1"/>
  <c r="BZ127" i="1"/>
  <c r="CB127" i="1"/>
  <c r="CI127" i="1" s="1"/>
  <c r="CB100" i="1"/>
  <c r="CI100" i="1" s="1"/>
  <c r="CA100" i="1"/>
  <c r="BZ100" i="1"/>
  <c r="CA33" i="1"/>
  <c r="CB33" i="1"/>
  <c r="CI33" i="1" s="1"/>
  <c r="BZ33" i="1"/>
  <c r="BZ90" i="1"/>
  <c r="CB90" i="1"/>
  <c r="CI90" i="1" s="1"/>
  <c r="CA90" i="1"/>
  <c r="CB290" i="1"/>
  <c r="CI290" i="1" s="1"/>
  <c r="BZ290" i="1"/>
  <c r="CA290" i="1"/>
  <c r="CB31" i="1"/>
  <c r="CI31" i="1" s="1"/>
  <c r="CA31" i="1"/>
  <c r="BZ31" i="1"/>
  <c r="CB76" i="1"/>
  <c r="CI76" i="1" s="1"/>
  <c r="CA76" i="1"/>
  <c r="BZ76" i="1"/>
  <c r="CB320" i="1"/>
  <c r="CI320" i="1" s="1"/>
  <c r="CA320" i="1"/>
  <c r="BZ320" i="1"/>
  <c r="BZ236" i="1"/>
  <c r="CB236" i="1"/>
  <c r="CI236" i="1" s="1"/>
  <c r="CA236" i="1"/>
  <c r="CA77" i="1"/>
  <c r="BZ77" i="1"/>
  <c r="CB77" i="1"/>
  <c r="CI77" i="1" s="1"/>
  <c r="CA51" i="1"/>
  <c r="CB51" i="1"/>
  <c r="CI51" i="1" s="1"/>
  <c r="BZ51" i="1"/>
  <c r="CB195" i="1"/>
  <c r="CI195" i="1" s="1"/>
  <c r="CA195" i="1"/>
  <c r="BZ195" i="1"/>
  <c r="BZ107" i="1"/>
  <c r="CA107" i="1"/>
  <c r="CB107" i="1"/>
  <c r="CI107" i="1" s="1"/>
  <c r="CB17" i="1"/>
  <c r="CI17" i="1" s="1"/>
  <c r="BZ17" i="1"/>
  <c r="CA17" i="1"/>
  <c r="BZ299" i="1"/>
  <c r="CB299" i="1"/>
  <c r="CI299" i="1" s="1"/>
  <c r="CA299" i="1"/>
  <c r="CB22" i="1"/>
  <c r="CI22" i="1" s="1"/>
  <c r="CA22" i="1"/>
  <c r="BZ22" i="1"/>
  <c r="CA285" i="1"/>
  <c r="CB285" i="1"/>
  <c r="CI285" i="1" s="1"/>
  <c r="BZ285" i="1"/>
  <c r="BZ340" i="1"/>
  <c r="CB340" i="1"/>
  <c r="CI340" i="1" s="1"/>
  <c r="CA340" i="1"/>
  <c r="BZ270" i="1"/>
  <c r="CB270" i="1"/>
  <c r="CI270" i="1" s="1"/>
  <c r="CA270" i="1"/>
  <c r="CB193" i="1"/>
  <c r="CI193" i="1" s="1"/>
  <c r="CA193" i="1"/>
  <c r="BZ193" i="1"/>
  <c r="CA216" i="1"/>
  <c r="CB216" i="1"/>
  <c r="CI216" i="1" s="1"/>
  <c r="BZ216" i="1"/>
  <c r="CA75" i="1"/>
  <c r="CB75" i="1"/>
  <c r="CI75" i="1" s="1"/>
  <c r="BZ75" i="1"/>
  <c r="CA237" i="1"/>
  <c r="CB237" i="1"/>
  <c r="CI237" i="1" s="1"/>
  <c r="BZ237" i="1"/>
  <c r="CB329" i="1"/>
  <c r="CI329" i="1" s="1"/>
  <c r="CA329" i="1"/>
  <c r="BZ329" i="1"/>
  <c r="BZ115" i="1"/>
  <c r="CB115" i="1"/>
  <c r="CI115" i="1" s="1"/>
  <c r="CA115" i="1"/>
  <c r="BZ84" i="1"/>
  <c r="CB84" i="1"/>
  <c r="CI84" i="1" s="1"/>
  <c r="CA84" i="1"/>
  <c r="CB122" i="1"/>
  <c r="CI122" i="1" s="1"/>
  <c r="CA122" i="1"/>
  <c r="BZ122" i="1"/>
  <c r="BZ208" i="1"/>
  <c r="CB208" i="1"/>
  <c r="CI208" i="1" s="1"/>
  <c r="CA208" i="1"/>
  <c r="CB321" i="1"/>
  <c r="CI321" i="1" s="1"/>
  <c r="CA321" i="1"/>
  <c r="BZ321" i="1"/>
  <c r="CA175" i="1"/>
  <c r="CB175" i="1"/>
  <c r="CI175" i="1" s="1"/>
  <c r="BZ175" i="1"/>
  <c r="CB283" i="1"/>
  <c r="CI283" i="1" s="1"/>
  <c r="BZ283" i="1"/>
  <c r="CA283" i="1"/>
  <c r="BZ65" i="1"/>
  <c r="CB65" i="1"/>
  <c r="CI65" i="1" s="1"/>
  <c r="CA65" i="1"/>
  <c r="BZ229" i="1"/>
  <c r="CB229" i="1"/>
  <c r="CI229" i="1" s="1"/>
  <c r="CA229" i="1"/>
  <c r="CB273" i="1"/>
  <c r="CI273" i="1" s="1"/>
  <c r="CA273" i="1"/>
  <c r="BZ273" i="1"/>
  <c r="CA29" i="1"/>
  <c r="BZ29" i="1"/>
  <c r="CB29" i="1"/>
  <c r="CI29" i="1" s="1"/>
  <c r="CB313" i="1"/>
  <c r="CI313" i="1" s="1"/>
  <c r="CA313" i="1"/>
  <c r="BZ313" i="1"/>
  <c r="BZ189" i="1"/>
  <c r="CA189" i="1"/>
  <c r="CB189" i="1"/>
  <c r="CI189" i="1" s="1"/>
  <c r="CB70" i="1"/>
  <c r="CI70" i="1" s="1"/>
  <c r="CA70" i="1"/>
  <c r="BZ70" i="1"/>
  <c r="BZ281" i="1"/>
  <c r="CA281" i="1"/>
  <c r="CB281" i="1"/>
  <c r="CI281" i="1" s="1"/>
  <c r="CB149" i="1"/>
  <c r="CI149" i="1" s="1"/>
  <c r="CA149" i="1"/>
  <c r="BZ149" i="1"/>
  <c r="BZ292" i="1"/>
  <c r="CA292" i="1"/>
  <c r="CB292" i="1"/>
  <c r="CI292" i="1" s="1"/>
  <c r="CB109" i="1"/>
  <c r="CI109" i="1" s="1"/>
  <c r="CA109" i="1"/>
  <c r="BZ109" i="1"/>
  <c r="CA311" i="1"/>
  <c r="CB311" i="1"/>
  <c r="CI311" i="1" s="1"/>
  <c r="BZ311" i="1"/>
  <c r="CA258" i="1"/>
  <c r="BZ258" i="1"/>
  <c r="CB258" i="1"/>
  <c r="CI258" i="1" s="1"/>
  <c r="CB88" i="1"/>
  <c r="CI88" i="1" s="1"/>
  <c r="CA88" i="1"/>
  <c r="BZ88" i="1"/>
  <c r="CA141" i="1"/>
  <c r="CB141" i="1"/>
  <c r="CI141" i="1" s="1"/>
  <c r="BZ141" i="1"/>
  <c r="CB137" i="1"/>
  <c r="CI137" i="1" s="1"/>
  <c r="CA137" i="1"/>
  <c r="BZ137" i="1"/>
  <c r="CB190" i="1"/>
  <c r="CI190" i="1" s="1"/>
  <c r="CA190" i="1"/>
  <c r="BZ190" i="1"/>
  <c r="CA210" i="1"/>
  <c r="CB210" i="1"/>
  <c r="CI210" i="1" s="1"/>
  <c r="BZ210" i="1"/>
  <c r="CA206" i="1"/>
  <c r="BZ206" i="1"/>
  <c r="CB206" i="1"/>
  <c r="CI206" i="1" s="1"/>
  <c r="CA246" i="1"/>
  <c r="CB246" i="1"/>
  <c r="CI246" i="1" s="1"/>
  <c r="BZ246" i="1"/>
  <c r="CB267" i="1"/>
  <c r="CI267" i="1" s="1"/>
  <c r="CA267" i="1"/>
  <c r="BZ267" i="1"/>
  <c r="CB316" i="1"/>
  <c r="CI316" i="1" s="1"/>
  <c r="BZ316" i="1"/>
  <c r="CA316" i="1"/>
  <c r="CA61" i="1"/>
  <c r="BZ61" i="1"/>
  <c r="CB61" i="1"/>
  <c r="CI61" i="1" s="1"/>
  <c r="CB98" i="1"/>
  <c r="CI98" i="1" s="1"/>
  <c r="CA98" i="1"/>
  <c r="BZ98" i="1"/>
  <c r="CB93" i="1"/>
  <c r="CI93" i="1" s="1"/>
  <c r="CA93" i="1"/>
  <c r="BZ93" i="1"/>
  <c r="CB250" i="1"/>
  <c r="CI250" i="1" s="1"/>
  <c r="CA250" i="1"/>
  <c r="BZ250" i="1"/>
  <c r="CB334" i="1"/>
  <c r="CI334" i="1" s="1"/>
  <c r="BZ334" i="1"/>
  <c r="CA334" i="1"/>
  <c r="BZ186" i="1"/>
  <c r="CB186" i="1"/>
  <c r="CI186" i="1" s="1"/>
  <c r="CA186" i="1"/>
  <c r="CA174" i="1"/>
  <c r="BZ174" i="1"/>
  <c r="CB174" i="1"/>
  <c r="CI174" i="1" s="1"/>
  <c r="CA19" i="1"/>
  <c r="CB19" i="1"/>
  <c r="CI19" i="1" s="1"/>
  <c r="BZ19" i="1"/>
  <c r="BZ319" i="1"/>
  <c r="CB319" i="1"/>
  <c r="CI319" i="1" s="1"/>
  <c r="CA319" i="1"/>
  <c r="BZ256" i="1"/>
  <c r="CB256" i="1"/>
  <c r="CI256" i="1" s="1"/>
  <c r="CA256" i="1"/>
  <c r="BZ268" i="1"/>
  <c r="CA268" i="1"/>
  <c r="CB268" i="1"/>
  <c r="CI268" i="1" s="1"/>
  <c r="CB53" i="1"/>
  <c r="CI53" i="1" s="1"/>
  <c r="CA53" i="1"/>
  <c r="BZ53" i="1"/>
  <c r="CA52" i="1"/>
  <c r="CB52" i="1"/>
  <c r="CI52" i="1" s="1"/>
  <c r="BZ52" i="1"/>
  <c r="CA312" i="1"/>
  <c r="CB312" i="1"/>
  <c r="CI312" i="1" s="1"/>
  <c r="BZ312" i="1"/>
  <c r="BZ118" i="1"/>
  <c r="CB118" i="1"/>
  <c r="CI118" i="1" s="1"/>
  <c r="CA118" i="1"/>
  <c r="CA298" i="1"/>
  <c r="BZ298" i="1"/>
  <c r="CB298" i="1"/>
  <c r="CI298" i="1" s="1"/>
  <c r="BZ247" i="1"/>
  <c r="CA247" i="1"/>
  <c r="CB247" i="1"/>
  <c r="CI247" i="1" s="1"/>
  <c r="BZ200" i="1"/>
  <c r="CB200" i="1"/>
  <c r="CI200" i="1" s="1"/>
  <c r="CA200" i="1"/>
  <c r="BZ145" i="1"/>
  <c r="CA145" i="1"/>
  <c r="CB145" i="1"/>
  <c r="CI145" i="1" s="1"/>
  <c r="CA87" i="1"/>
  <c r="BZ87" i="1"/>
  <c r="CB87" i="1"/>
  <c r="CI87" i="1" s="1"/>
  <c r="CA99" i="1"/>
  <c r="BZ99" i="1"/>
  <c r="CB99" i="1"/>
  <c r="CI99" i="1" s="1"/>
  <c r="CB148" i="1"/>
  <c r="CI148" i="1" s="1"/>
  <c r="CA148" i="1"/>
  <c r="BZ148" i="1"/>
  <c r="BZ296" i="1"/>
  <c r="CA296" i="1"/>
  <c r="CB296" i="1"/>
  <c r="CI296" i="1" s="1"/>
  <c r="CB79" i="1"/>
  <c r="CI79" i="1" s="1"/>
  <c r="BZ79" i="1"/>
  <c r="CA79" i="1"/>
  <c r="CB30" i="1"/>
  <c r="CI30" i="1" s="1"/>
  <c r="CA30" i="1"/>
  <c r="BZ30" i="1"/>
  <c r="CB257" i="1"/>
  <c r="CI257" i="1" s="1"/>
  <c r="BZ257" i="1"/>
  <c r="CA257" i="1"/>
  <c r="CA303" i="1"/>
  <c r="BZ303" i="1"/>
  <c r="CB303" i="1"/>
  <c r="CI303" i="1" s="1"/>
  <c r="CA276" i="1"/>
  <c r="CB276" i="1"/>
  <c r="CI276" i="1" s="1"/>
  <c r="BZ276" i="1"/>
  <c r="CB102" i="1"/>
  <c r="CI102" i="1" s="1"/>
  <c r="CA102" i="1"/>
  <c r="BZ102" i="1"/>
  <c r="BZ278" i="1"/>
  <c r="CA278" i="1"/>
  <c r="CB278" i="1"/>
  <c r="CI278" i="1" s="1"/>
  <c r="CB138" i="1"/>
  <c r="CI138" i="1" s="1"/>
  <c r="CA138" i="1"/>
  <c r="BZ138" i="1"/>
  <c r="CB114" i="1"/>
  <c r="CI114" i="1" s="1"/>
  <c r="CA114" i="1"/>
  <c r="BZ114" i="1"/>
  <c r="CA263" i="1"/>
  <c r="BZ263" i="1"/>
  <c r="CB263" i="1"/>
  <c r="CI263" i="1" s="1"/>
  <c r="BZ214" i="1"/>
  <c r="CB214" i="1"/>
  <c r="CI214" i="1" s="1"/>
  <c r="CA214" i="1"/>
  <c r="CA32" i="1"/>
  <c r="BZ32" i="1"/>
  <c r="CB32" i="1"/>
  <c r="CI32" i="1" s="1"/>
  <c r="BZ323" i="1"/>
  <c r="CB323" i="1"/>
  <c r="CI323" i="1" s="1"/>
  <c r="CA323" i="1"/>
  <c r="CB253" i="1"/>
  <c r="CI253" i="1" s="1"/>
  <c r="CA253" i="1"/>
  <c r="BZ253" i="1"/>
  <c r="CB322" i="1"/>
  <c r="CI322" i="1" s="1"/>
  <c r="CA322" i="1"/>
  <c r="BZ322" i="1"/>
  <c r="CB162" i="1"/>
  <c r="CI162" i="1" s="1"/>
  <c r="CA162" i="1"/>
  <c r="BZ162" i="1"/>
  <c r="CA91" i="1"/>
  <c r="BZ91" i="1"/>
  <c r="CB91" i="1"/>
  <c r="CI91" i="1" s="1"/>
  <c r="CB176" i="1"/>
  <c r="CI176" i="1" s="1"/>
  <c r="BZ176" i="1"/>
  <c r="CA176" i="1"/>
  <c r="CA310" i="1"/>
  <c r="BZ310" i="1"/>
  <c r="CB310" i="1"/>
  <c r="CI310" i="1" s="1"/>
  <c r="AC13" i="1"/>
  <c r="AC14" i="1" s="1"/>
  <c r="CA187" i="1"/>
  <c r="BZ187" i="1"/>
  <c r="CB187" i="1"/>
  <c r="CI187" i="1" s="1"/>
  <c r="CB269" i="1"/>
  <c r="CI269" i="1" s="1"/>
  <c r="BZ269" i="1"/>
  <c r="CA269" i="1"/>
  <c r="BZ209" i="1"/>
  <c r="CB209" i="1"/>
  <c r="CI209" i="1" s="1"/>
  <c r="CA209" i="1"/>
  <c r="CA57" i="1"/>
  <c r="BZ57" i="1"/>
  <c r="CB57" i="1"/>
  <c r="CI57" i="1" s="1"/>
  <c r="BZ272" i="1"/>
  <c r="CA272" i="1"/>
  <c r="CB272" i="1"/>
  <c r="CI272" i="1" s="1"/>
  <c r="CB62" i="1"/>
  <c r="CI62" i="1" s="1"/>
  <c r="CA62" i="1"/>
  <c r="BZ62" i="1"/>
  <c r="CA232" i="1"/>
  <c r="BZ232" i="1"/>
  <c r="CB232" i="1"/>
  <c r="CI232" i="1" s="1"/>
  <c r="CB336" i="1"/>
  <c r="CI336" i="1" s="1"/>
  <c r="CA336" i="1"/>
  <c r="BZ336" i="1"/>
  <c r="BZ73" i="1"/>
  <c r="CB73" i="1"/>
  <c r="CI73" i="1" s="1"/>
  <c r="CA73" i="1"/>
  <c r="CB279" i="1"/>
  <c r="CI279" i="1" s="1"/>
  <c r="BZ279" i="1"/>
  <c r="CA279" i="1"/>
  <c r="CB201" i="1"/>
  <c r="CI201" i="1" s="1"/>
  <c r="CA201" i="1"/>
  <c r="BZ201" i="1"/>
  <c r="CA289" i="1"/>
  <c r="BZ289" i="1"/>
  <c r="CB289" i="1"/>
  <c r="CI289" i="1" s="1"/>
  <c r="BZ226" i="1"/>
  <c r="CB226" i="1"/>
  <c r="CI226" i="1" s="1"/>
  <c r="CA226" i="1"/>
  <c r="CA42" i="1"/>
  <c r="CB42" i="1"/>
  <c r="CI42" i="1" s="1"/>
  <c r="BZ42" i="1"/>
  <c r="CB161" i="1"/>
  <c r="CI161" i="1" s="1"/>
  <c r="CA161" i="1"/>
  <c r="BZ161" i="1"/>
  <c r="CA89" i="1"/>
  <c r="CB89" i="1"/>
  <c r="CI89" i="1" s="1"/>
  <c r="BZ89" i="1"/>
  <c r="CA287" i="1"/>
  <c r="BZ287" i="1"/>
  <c r="CB287" i="1"/>
  <c r="CI287" i="1" s="1"/>
  <c r="CB335" i="1"/>
  <c r="CI335" i="1" s="1"/>
  <c r="CA335" i="1"/>
  <c r="BZ335" i="1"/>
  <c r="BZ94" i="1"/>
  <c r="CB94" i="1"/>
  <c r="CI94" i="1" s="1"/>
  <c r="CA94" i="1"/>
  <c r="CA282" i="1"/>
  <c r="CB282" i="1"/>
  <c r="CI282" i="1" s="1"/>
  <c r="BZ282" i="1"/>
  <c r="CA37" i="1"/>
  <c r="CB37" i="1"/>
  <c r="CI37" i="1" s="1"/>
  <c r="BZ37" i="1"/>
  <c r="CB337" i="1"/>
  <c r="CI337" i="1" s="1"/>
  <c r="CA337" i="1"/>
  <c r="BZ337" i="1"/>
  <c r="BZ219" i="1"/>
  <c r="CA219" i="1"/>
  <c r="CB219" i="1"/>
  <c r="CI219" i="1" s="1"/>
  <c r="CB169" i="1"/>
  <c r="CI169" i="1" s="1"/>
  <c r="BZ169" i="1"/>
  <c r="CA169" i="1"/>
  <c r="CB244" i="1"/>
  <c r="CI244" i="1" s="1"/>
  <c r="BZ244" i="1"/>
  <c r="CA244" i="1"/>
  <c r="CA332" i="1"/>
  <c r="BZ332" i="1"/>
  <c r="CB332" i="1"/>
  <c r="CI332" i="1" s="1"/>
  <c r="CA167" i="1"/>
  <c r="BZ167" i="1"/>
  <c r="CB167" i="1"/>
  <c r="CI167" i="1" s="1"/>
  <c r="CB158" i="1"/>
  <c r="CI158" i="1" s="1"/>
  <c r="CA158" i="1"/>
  <c r="BZ158" i="1"/>
  <c r="BZ196" i="1"/>
  <c r="CB196" i="1"/>
  <c r="CI196" i="1" s="1"/>
  <c r="CA196" i="1"/>
  <c r="BZ288" i="1"/>
  <c r="CB288" i="1"/>
  <c r="CI288" i="1" s="1"/>
  <c r="CA288" i="1"/>
  <c r="CB120" i="1"/>
  <c r="CI120" i="1" s="1"/>
  <c r="CA120" i="1"/>
  <c r="BZ120" i="1"/>
  <c r="BZ227" i="1"/>
  <c r="CB227" i="1"/>
  <c r="CI227" i="1" s="1"/>
  <c r="CA227" i="1"/>
  <c r="CA275" i="1"/>
  <c r="BZ275" i="1"/>
  <c r="CB275" i="1"/>
  <c r="CI275" i="1" s="1"/>
  <c r="BZ86" i="1"/>
  <c r="CB86" i="1"/>
  <c r="CI86" i="1" s="1"/>
  <c r="CA86" i="1"/>
  <c r="CA234" i="1"/>
  <c r="CB234" i="1"/>
  <c r="CI234" i="1" s="1"/>
  <c r="BZ234" i="1"/>
  <c r="CB181" i="1"/>
  <c r="CI181" i="1" s="1"/>
  <c r="BZ181" i="1"/>
  <c r="CA181" i="1"/>
  <c r="BZ160" i="1"/>
  <c r="CA160" i="1"/>
  <c r="CB160" i="1"/>
  <c r="CI160" i="1" s="1"/>
  <c r="BZ43" i="1"/>
  <c r="CA43" i="1"/>
  <c r="CB43" i="1"/>
  <c r="CI43" i="1" s="1"/>
  <c r="CA124" i="1"/>
  <c r="BZ124" i="1"/>
  <c r="CB124" i="1"/>
  <c r="CI124" i="1" s="1"/>
  <c r="CB117" i="1"/>
  <c r="CI117" i="1" s="1"/>
  <c r="CA117" i="1"/>
  <c r="BZ117" i="1"/>
  <c r="CB58" i="1"/>
  <c r="CI58" i="1" s="1"/>
  <c r="CA58" i="1"/>
  <c r="BZ58" i="1"/>
  <c r="BZ49" i="1"/>
  <c r="CB49" i="1"/>
  <c r="CI49" i="1" s="1"/>
  <c r="CA49" i="1"/>
  <c r="CB223" i="1"/>
  <c r="CI223" i="1" s="1"/>
  <c r="CA223" i="1"/>
  <c r="BZ223" i="1"/>
  <c r="CB66" i="1"/>
  <c r="CI66" i="1" s="1"/>
  <c r="CA66" i="1"/>
  <c r="BZ66" i="1"/>
  <c r="CA248" i="1"/>
  <c r="CB248" i="1"/>
  <c r="CI248" i="1" s="1"/>
  <c r="BZ248" i="1"/>
  <c r="CA155" i="1"/>
  <c r="BZ155" i="1"/>
  <c r="CB155" i="1"/>
  <c r="CI155" i="1" s="1"/>
  <c r="CB71" i="1"/>
  <c r="CI71" i="1" s="1"/>
  <c r="CA71" i="1"/>
  <c r="BZ71" i="1"/>
  <c r="BZ59" i="1"/>
  <c r="CB59" i="1"/>
  <c r="CI59" i="1" s="1"/>
  <c r="CA59" i="1"/>
  <c r="BZ230" i="1"/>
  <c r="CB230" i="1"/>
  <c r="CI230" i="1" s="1"/>
  <c r="CA230" i="1"/>
  <c r="CB151" i="1"/>
  <c r="CI151" i="1" s="1"/>
  <c r="CA151" i="1"/>
  <c r="BZ151" i="1"/>
  <c r="CB265" i="1"/>
  <c r="CI265" i="1" s="1"/>
  <c r="CA265" i="1"/>
  <c r="BZ265" i="1"/>
  <c r="BZ157" i="1"/>
  <c r="CA157" i="1"/>
  <c r="CB157" i="1"/>
  <c r="CI157" i="1" s="1"/>
  <c r="CB301" i="1"/>
  <c r="CI301" i="1" s="1"/>
  <c r="BZ301" i="1"/>
  <c r="CA301" i="1"/>
  <c r="CB306" i="1"/>
  <c r="CI306" i="1" s="1"/>
  <c r="CA306" i="1"/>
  <c r="BZ306" i="1"/>
  <c r="CA78" i="1"/>
  <c r="CB78" i="1"/>
  <c r="CI78" i="1" s="1"/>
  <c r="BZ78" i="1"/>
  <c r="CB264" i="1"/>
  <c r="CI264" i="1" s="1"/>
  <c r="CA264" i="1"/>
  <c r="BZ264" i="1"/>
  <c r="BZ218" i="1"/>
  <c r="CB218" i="1"/>
  <c r="CI218" i="1" s="1"/>
  <c r="CA218" i="1"/>
  <c r="CB342" i="1"/>
  <c r="CI342" i="1" s="1"/>
  <c r="CA342" i="1"/>
  <c r="BZ342" i="1"/>
  <c r="BZ255" i="1"/>
  <c r="CA255" i="1"/>
  <c r="CB255" i="1"/>
  <c r="CI255" i="1" s="1"/>
  <c r="CB140" i="1"/>
  <c r="CI140" i="1" s="1"/>
  <c r="CA140" i="1"/>
  <c r="BZ140" i="1"/>
  <c r="CA274" i="1"/>
  <c r="CB274" i="1"/>
  <c r="CI274" i="1" s="1"/>
  <c r="BZ274" i="1"/>
  <c r="CB314" i="1"/>
  <c r="CI314" i="1" s="1"/>
  <c r="CA314" i="1"/>
  <c r="BZ314" i="1"/>
  <c r="CB104" i="1"/>
  <c r="CI104" i="1" s="1"/>
  <c r="CA104" i="1"/>
  <c r="BZ104" i="1"/>
  <c r="CB284" i="1"/>
  <c r="CI284" i="1" s="1"/>
  <c r="CA284" i="1"/>
  <c r="BZ284" i="1"/>
  <c r="CB191" i="1"/>
  <c r="CI191" i="1" s="1"/>
  <c r="BZ191" i="1"/>
  <c r="CA191" i="1"/>
  <c r="CA111" i="1"/>
  <c r="BZ111" i="1"/>
  <c r="CB111" i="1"/>
  <c r="CI111" i="1" s="1"/>
  <c r="BZ324" i="1"/>
  <c r="CB324" i="1"/>
  <c r="CI324" i="1" s="1"/>
  <c r="CA324" i="1"/>
  <c r="CA271" i="1"/>
  <c r="CB271" i="1"/>
  <c r="CI271" i="1" s="1"/>
  <c r="BZ271" i="1"/>
  <c r="CB317" i="1"/>
  <c r="CI317" i="1" s="1"/>
  <c r="BZ317" i="1"/>
  <c r="CA317" i="1"/>
  <c r="BZ80" i="1"/>
  <c r="CA80" i="1"/>
  <c r="CB80" i="1"/>
  <c r="CI80" i="1" s="1"/>
  <c r="BZ64" i="1"/>
  <c r="CA64" i="1"/>
  <c r="CB64" i="1"/>
  <c r="CI64" i="1" s="1"/>
  <c r="CA205" i="1"/>
  <c r="CB205" i="1"/>
  <c r="CI205" i="1" s="1"/>
  <c r="BZ205" i="1"/>
  <c r="CB239" i="1"/>
  <c r="CI239" i="1" s="1"/>
  <c r="CA239" i="1"/>
  <c r="BZ239" i="1"/>
  <c r="BZ177" i="1"/>
  <c r="CA177" i="1"/>
  <c r="CB177" i="1"/>
  <c r="CI177" i="1" s="1"/>
  <c r="BZ150" i="1"/>
  <c r="CB150" i="1"/>
  <c r="CI150" i="1" s="1"/>
  <c r="CA150" i="1"/>
  <c r="CB233" i="1"/>
  <c r="CI233" i="1" s="1"/>
  <c r="BZ233" i="1"/>
  <c r="CA233" i="1"/>
  <c r="CA20" i="1"/>
  <c r="BZ146" i="1"/>
  <c r="CA146" i="1"/>
  <c r="CB146" i="1"/>
  <c r="CI146" i="1" s="1"/>
  <c r="CB165" i="1"/>
  <c r="CI165" i="1" s="1"/>
  <c r="CA165" i="1"/>
  <c r="BZ165" i="1"/>
  <c r="CA60" i="1"/>
  <c r="CB60" i="1"/>
  <c r="CI60" i="1" s="1"/>
  <c r="BZ60" i="1"/>
  <c r="BZ213" i="1"/>
  <c r="CB213" i="1"/>
  <c r="CI213" i="1" s="1"/>
  <c r="CA213" i="1"/>
  <c r="CB221" i="1"/>
  <c r="CI221" i="1" s="1"/>
  <c r="BZ221" i="1"/>
  <c r="CA221" i="1"/>
  <c r="CA41" i="1"/>
  <c r="CB41" i="1"/>
  <c r="CI41" i="1" s="1"/>
  <c r="BZ41" i="1"/>
  <c r="CA67" i="1"/>
  <c r="BZ67" i="1"/>
  <c r="CB67" i="1"/>
  <c r="CI67" i="1" s="1"/>
  <c r="CB27" i="1"/>
  <c r="CI27" i="1" s="1"/>
  <c r="CA27" i="1"/>
  <c r="BZ27" i="1"/>
  <c r="CA231" i="1"/>
  <c r="CB231" i="1"/>
  <c r="CI231" i="1" s="1"/>
  <c r="BZ231" i="1"/>
  <c r="CB119" i="1"/>
  <c r="CI119" i="1" s="1"/>
  <c r="BZ119" i="1"/>
  <c r="CA119" i="1"/>
  <c r="CA153" i="1"/>
  <c r="CB153" i="1"/>
  <c r="CI153" i="1" s="1"/>
  <c r="BZ153" i="1"/>
  <c r="CB144" i="1"/>
  <c r="CI144" i="1" s="1"/>
  <c r="CA144" i="1"/>
  <c r="BZ144" i="1"/>
  <c r="CB297" i="1"/>
  <c r="CI297" i="1" s="1"/>
  <c r="BZ297" i="1"/>
  <c r="CA297" i="1"/>
  <c r="CA188" i="1"/>
  <c r="CB188" i="1"/>
  <c r="CI188" i="1" s="1"/>
  <c r="BZ188" i="1"/>
  <c r="CA192" i="1"/>
  <c r="BZ192" i="1"/>
  <c r="CB192" i="1"/>
  <c r="CI192" i="1" s="1"/>
  <c r="CA302" i="1"/>
  <c r="BZ302" i="1"/>
  <c r="CB302" i="1"/>
  <c r="CI302" i="1" s="1"/>
  <c r="CB133" i="1"/>
  <c r="CI133" i="1" s="1"/>
  <c r="CA133" i="1"/>
  <c r="BZ133" i="1"/>
  <c r="BZ83" i="1"/>
  <c r="CB83" i="1"/>
  <c r="CI83" i="1" s="1"/>
  <c r="CA83" i="1"/>
  <c r="CA135" i="1"/>
  <c r="BZ135" i="1"/>
  <c r="CB135" i="1"/>
  <c r="CI135" i="1" s="1"/>
  <c r="BZ28" i="1"/>
  <c r="CB28" i="1"/>
  <c r="CI28" i="1" s="1"/>
  <c r="CA28" i="1"/>
  <c r="CB108" i="1"/>
  <c r="CI108" i="1" s="1"/>
  <c r="CA108" i="1"/>
  <c r="BZ108" i="1"/>
  <c r="BZ159" i="1"/>
  <c r="CB159" i="1"/>
  <c r="CI159" i="1" s="1"/>
  <c r="CA159" i="1"/>
  <c r="CB25" i="1"/>
  <c r="CI25" i="1" s="1"/>
  <c r="CA25" i="1"/>
  <c r="BZ25" i="1"/>
  <c r="BZ295" i="1"/>
  <c r="CB295" i="1"/>
  <c r="CI295" i="1" s="1"/>
  <c r="CA295" i="1"/>
  <c r="CA326" i="1"/>
  <c r="BZ326" i="1"/>
  <c r="CB326" i="1"/>
  <c r="CI326" i="1" s="1"/>
  <c r="CB143" i="1"/>
  <c r="CI143" i="1" s="1"/>
  <c r="CA143" i="1"/>
  <c r="BZ143" i="1"/>
  <c r="CB132" i="1"/>
  <c r="CI132" i="1" s="1"/>
  <c r="CA132" i="1"/>
  <c r="BZ132" i="1"/>
  <c r="EJ12" i="1"/>
  <c r="EJ13" i="1" s="1"/>
  <c r="L9" i="7"/>
  <c r="K59" i="7"/>
  <c r="M59" i="7" s="1"/>
  <c r="K58" i="7"/>
  <c r="L58" i="7" s="1"/>
  <c r="K57" i="7"/>
  <c r="M57" i="7" s="1"/>
  <c r="K56" i="7"/>
  <c r="M56" i="7" s="1"/>
  <c r="K55" i="7"/>
  <c r="L55" i="7" s="1"/>
  <c r="K54" i="7"/>
  <c r="M54" i="7" s="1"/>
  <c r="K53" i="7"/>
  <c r="M53" i="7" s="1"/>
  <c r="K52" i="7"/>
  <c r="M52" i="7" s="1"/>
  <c r="K51" i="7"/>
  <c r="M51" i="7" s="1"/>
  <c r="K50" i="7"/>
  <c r="M50" i="7" s="1"/>
  <c r="K49" i="7"/>
  <c r="M49" i="7" s="1"/>
  <c r="K48" i="7"/>
  <c r="M48" i="7" s="1"/>
  <c r="K47" i="7"/>
  <c r="L47" i="7" s="1"/>
  <c r="K46" i="7"/>
  <c r="M46" i="7" s="1"/>
  <c r="K45" i="7"/>
  <c r="L45" i="7" s="1"/>
  <c r="K44" i="7"/>
  <c r="L44" i="7" s="1"/>
  <c r="K43" i="7"/>
  <c r="M43" i="7" s="1"/>
  <c r="K42" i="7"/>
  <c r="L42" i="7" s="1"/>
  <c r="K41" i="7"/>
  <c r="M41" i="7" s="1"/>
  <c r="K40" i="7"/>
  <c r="M40" i="7" s="1"/>
  <c r="K39" i="7"/>
  <c r="L39" i="7" s="1"/>
  <c r="K38" i="7"/>
  <c r="M38" i="7" s="1"/>
  <c r="K37" i="7"/>
  <c r="M37" i="7" s="1"/>
  <c r="K36" i="7"/>
  <c r="M36" i="7" s="1"/>
  <c r="K35" i="7"/>
  <c r="M35" i="7" s="1"/>
  <c r="K34" i="7"/>
  <c r="M34" i="7" s="1"/>
  <c r="K10" i="7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N7" i="5"/>
  <c r="O6" i="7"/>
  <c r="B6" i="7"/>
  <c r="BB105" i="1" l="1"/>
  <c r="BB328" i="1" s="1"/>
  <c r="AG14" i="1"/>
  <c r="CA14" i="1"/>
  <c r="AC15" i="1"/>
  <c r="EJ14" i="1"/>
  <c r="EJ15" i="1" s="1"/>
  <c r="M47" i="7"/>
  <c r="L35" i="7"/>
  <c r="M55" i="7"/>
  <c r="L43" i="7"/>
  <c r="L51" i="7"/>
  <c r="L59" i="7"/>
  <c r="M39" i="7"/>
  <c r="L46" i="7"/>
  <c r="M42" i="7"/>
  <c r="M58" i="7"/>
  <c r="L48" i="7"/>
  <c r="M44" i="7"/>
  <c r="L10" i="7"/>
  <c r="L11" i="7" s="1"/>
  <c r="L12" i="7" s="1"/>
  <c r="L13" i="7" s="1"/>
  <c r="L49" i="7"/>
  <c r="M45" i="7"/>
  <c r="L34" i="7"/>
  <c r="L50" i="7"/>
  <c r="L36" i="7"/>
  <c r="L52" i="7"/>
  <c r="L37" i="7"/>
  <c r="L53" i="7"/>
  <c r="L38" i="7"/>
  <c r="L54" i="7"/>
  <c r="L40" i="7"/>
  <c r="L56" i="7"/>
  <c r="L41" i="7"/>
  <c r="L57" i="7"/>
  <c r="K26" i="7"/>
  <c r="K27" i="7" s="1"/>
  <c r="K28" i="7" s="1"/>
  <c r="K29" i="7" s="1"/>
  <c r="K30" i="7" s="1"/>
  <c r="K31" i="7" s="1"/>
  <c r="K32" i="7" s="1"/>
  <c r="K33" i="7" s="1"/>
  <c r="L1209" i="3"/>
  <c r="J1209" i="3"/>
  <c r="H1209" i="3"/>
  <c r="L1208" i="3"/>
  <c r="J1208" i="3"/>
  <c r="H1208" i="3"/>
  <c r="L1207" i="3"/>
  <c r="J1207" i="3"/>
  <c r="H1207" i="3"/>
  <c r="L1206" i="3"/>
  <c r="J1206" i="3"/>
  <c r="H1206" i="3"/>
  <c r="L1205" i="3"/>
  <c r="J1205" i="3"/>
  <c r="H1205" i="3"/>
  <c r="L1204" i="3"/>
  <c r="J1204" i="3"/>
  <c r="H1204" i="3"/>
  <c r="L1203" i="3"/>
  <c r="J1203" i="3"/>
  <c r="H1203" i="3"/>
  <c r="L1202" i="3"/>
  <c r="J1202" i="3"/>
  <c r="H1202" i="3"/>
  <c r="L1201" i="3"/>
  <c r="J1201" i="3"/>
  <c r="H1201" i="3"/>
  <c r="L1200" i="3"/>
  <c r="J1200" i="3"/>
  <c r="H1200" i="3"/>
  <c r="L1199" i="3"/>
  <c r="J1199" i="3"/>
  <c r="H1199" i="3"/>
  <c r="L1198" i="3"/>
  <c r="J1198" i="3"/>
  <c r="H1198" i="3"/>
  <c r="L1197" i="3"/>
  <c r="J1197" i="3"/>
  <c r="H1197" i="3"/>
  <c r="L1196" i="3"/>
  <c r="J1196" i="3"/>
  <c r="H1196" i="3"/>
  <c r="L1195" i="3"/>
  <c r="J1195" i="3"/>
  <c r="H1195" i="3"/>
  <c r="L1194" i="3"/>
  <c r="J1194" i="3"/>
  <c r="H1194" i="3"/>
  <c r="L1193" i="3"/>
  <c r="J1193" i="3"/>
  <c r="H1193" i="3"/>
  <c r="L1192" i="3"/>
  <c r="J1192" i="3"/>
  <c r="H1192" i="3"/>
  <c r="L1191" i="3"/>
  <c r="J1191" i="3"/>
  <c r="H1191" i="3"/>
  <c r="L1190" i="3"/>
  <c r="J1190" i="3"/>
  <c r="H1190" i="3"/>
  <c r="L1189" i="3"/>
  <c r="J1189" i="3"/>
  <c r="H1189" i="3"/>
  <c r="L1188" i="3"/>
  <c r="J1188" i="3"/>
  <c r="H1188" i="3"/>
  <c r="L1187" i="3"/>
  <c r="J1187" i="3"/>
  <c r="H1187" i="3"/>
  <c r="L1186" i="3"/>
  <c r="J1186" i="3"/>
  <c r="H1186" i="3"/>
  <c r="L1185" i="3"/>
  <c r="J1185" i="3"/>
  <c r="H1185" i="3"/>
  <c r="L1184" i="3"/>
  <c r="J1184" i="3"/>
  <c r="H1184" i="3"/>
  <c r="L1183" i="3"/>
  <c r="J1183" i="3"/>
  <c r="H1183" i="3"/>
  <c r="L1182" i="3"/>
  <c r="J1182" i="3"/>
  <c r="H1182" i="3"/>
  <c r="L1181" i="3"/>
  <c r="J1181" i="3"/>
  <c r="H1181" i="3"/>
  <c r="L1180" i="3"/>
  <c r="J1180" i="3"/>
  <c r="H1180" i="3"/>
  <c r="L1179" i="3"/>
  <c r="J1179" i="3"/>
  <c r="H1179" i="3"/>
  <c r="L1178" i="3"/>
  <c r="J1178" i="3"/>
  <c r="H1178" i="3"/>
  <c r="L1177" i="3"/>
  <c r="J1177" i="3"/>
  <c r="H1177" i="3"/>
  <c r="L1176" i="3"/>
  <c r="J1176" i="3"/>
  <c r="H1176" i="3"/>
  <c r="L1175" i="3"/>
  <c r="J1175" i="3"/>
  <c r="H1175" i="3"/>
  <c r="L1174" i="3"/>
  <c r="J1174" i="3"/>
  <c r="H1174" i="3"/>
  <c r="L1173" i="3"/>
  <c r="J1173" i="3"/>
  <c r="H1173" i="3"/>
  <c r="L1172" i="3"/>
  <c r="J1172" i="3"/>
  <c r="H1172" i="3"/>
  <c r="L1171" i="3"/>
  <c r="J1171" i="3"/>
  <c r="H1171" i="3"/>
  <c r="L1170" i="3"/>
  <c r="J1170" i="3"/>
  <c r="H1170" i="3"/>
  <c r="L1169" i="3"/>
  <c r="J1169" i="3"/>
  <c r="H1169" i="3"/>
  <c r="L1168" i="3"/>
  <c r="J1168" i="3"/>
  <c r="H1168" i="3"/>
  <c r="L1167" i="3"/>
  <c r="J1167" i="3"/>
  <c r="H1167" i="3"/>
  <c r="L1166" i="3"/>
  <c r="J1166" i="3"/>
  <c r="H1166" i="3"/>
  <c r="L1165" i="3"/>
  <c r="J1165" i="3"/>
  <c r="H1165" i="3"/>
  <c r="L1164" i="3"/>
  <c r="J1164" i="3"/>
  <c r="H1164" i="3"/>
  <c r="L1163" i="3"/>
  <c r="J1163" i="3"/>
  <c r="H1163" i="3"/>
  <c r="L1162" i="3"/>
  <c r="J1162" i="3"/>
  <c r="H1162" i="3"/>
  <c r="L1161" i="3"/>
  <c r="J1161" i="3"/>
  <c r="H1161" i="3"/>
  <c r="L1160" i="3"/>
  <c r="J1160" i="3"/>
  <c r="H1160" i="3"/>
  <c r="L1159" i="3"/>
  <c r="J1159" i="3"/>
  <c r="H1159" i="3"/>
  <c r="L1158" i="3"/>
  <c r="J1158" i="3"/>
  <c r="H1158" i="3"/>
  <c r="L1157" i="3"/>
  <c r="J1157" i="3"/>
  <c r="H1157" i="3"/>
  <c r="L1156" i="3"/>
  <c r="J1156" i="3"/>
  <c r="H1156" i="3"/>
  <c r="L1155" i="3"/>
  <c r="J1155" i="3"/>
  <c r="H1155" i="3"/>
  <c r="L1154" i="3"/>
  <c r="J1154" i="3"/>
  <c r="H1154" i="3"/>
  <c r="L1153" i="3"/>
  <c r="J1153" i="3"/>
  <c r="H1153" i="3"/>
  <c r="L1152" i="3"/>
  <c r="J1152" i="3"/>
  <c r="H1152" i="3"/>
  <c r="L1151" i="3"/>
  <c r="J1151" i="3"/>
  <c r="H1151" i="3"/>
  <c r="L1150" i="3"/>
  <c r="J1150" i="3"/>
  <c r="H1150" i="3"/>
  <c r="L1149" i="3"/>
  <c r="J1149" i="3"/>
  <c r="H1149" i="3"/>
  <c r="L1148" i="3"/>
  <c r="J1148" i="3"/>
  <c r="H1148" i="3"/>
  <c r="L1147" i="3"/>
  <c r="J1147" i="3"/>
  <c r="H1147" i="3"/>
  <c r="L1146" i="3"/>
  <c r="J1146" i="3"/>
  <c r="H1146" i="3"/>
  <c r="L1145" i="3"/>
  <c r="J1145" i="3"/>
  <c r="H1145" i="3"/>
  <c r="L1144" i="3"/>
  <c r="J1144" i="3"/>
  <c r="H1144" i="3"/>
  <c r="L1143" i="3"/>
  <c r="J1143" i="3"/>
  <c r="H1143" i="3"/>
  <c r="L1142" i="3"/>
  <c r="J1142" i="3"/>
  <c r="H1142" i="3"/>
  <c r="L1141" i="3"/>
  <c r="J1141" i="3"/>
  <c r="H1141" i="3"/>
  <c r="L1140" i="3"/>
  <c r="J1140" i="3"/>
  <c r="H1140" i="3"/>
  <c r="L1139" i="3"/>
  <c r="J1139" i="3"/>
  <c r="H1139" i="3"/>
  <c r="L1138" i="3"/>
  <c r="J1138" i="3"/>
  <c r="H1138" i="3"/>
  <c r="L1137" i="3"/>
  <c r="J1137" i="3"/>
  <c r="H1137" i="3"/>
  <c r="L1136" i="3"/>
  <c r="J1136" i="3"/>
  <c r="H1136" i="3"/>
  <c r="L1135" i="3"/>
  <c r="J1135" i="3"/>
  <c r="H1135" i="3"/>
  <c r="L1134" i="3"/>
  <c r="J1134" i="3"/>
  <c r="H1134" i="3"/>
  <c r="L1133" i="3"/>
  <c r="J1133" i="3"/>
  <c r="H1133" i="3"/>
  <c r="L1132" i="3"/>
  <c r="J1132" i="3"/>
  <c r="H1132" i="3"/>
  <c r="L1131" i="3"/>
  <c r="J1131" i="3"/>
  <c r="H1131" i="3"/>
  <c r="L1130" i="3"/>
  <c r="J1130" i="3"/>
  <c r="H1130" i="3"/>
  <c r="L1129" i="3"/>
  <c r="J1129" i="3"/>
  <c r="H1129" i="3"/>
  <c r="L1128" i="3"/>
  <c r="J1128" i="3"/>
  <c r="H1128" i="3"/>
  <c r="L1127" i="3"/>
  <c r="J1127" i="3"/>
  <c r="H1127" i="3"/>
  <c r="L1126" i="3"/>
  <c r="J1126" i="3"/>
  <c r="H1126" i="3"/>
  <c r="L1125" i="3"/>
  <c r="J1125" i="3"/>
  <c r="H1125" i="3"/>
  <c r="L1124" i="3"/>
  <c r="J1124" i="3"/>
  <c r="H1124" i="3"/>
  <c r="L1123" i="3"/>
  <c r="J1123" i="3"/>
  <c r="H1123" i="3"/>
  <c r="L1122" i="3"/>
  <c r="J1122" i="3"/>
  <c r="H1122" i="3"/>
  <c r="L1121" i="3"/>
  <c r="J1121" i="3"/>
  <c r="H1121" i="3"/>
  <c r="L1120" i="3"/>
  <c r="J1120" i="3"/>
  <c r="H1120" i="3"/>
  <c r="L1119" i="3"/>
  <c r="J1119" i="3"/>
  <c r="H1119" i="3"/>
  <c r="L1118" i="3"/>
  <c r="J1118" i="3"/>
  <c r="H1118" i="3"/>
  <c r="L1117" i="3"/>
  <c r="J1117" i="3"/>
  <c r="H1117" i="3"/>
  <c r="L1116" i="3"/>
  <c r="J1116" i="3"/>
  <c r="H1116" i="3"/>
  <c r="L1115" i="3"/>
  <c r="J1115" i="3"/>
  <c r="H1115" i="3"/>
  <c r="L1114" i="3"/>
  <c r="J1114" i="3"/>
  <c r="H1114" i="3"/>
  <c r="L1113" i="3"/>
  <c r="J1113" i="3"/>
  <c r="H1113" i="3"/>
  <c r="L1112" i="3"/>
  <c r="J1112" i="3"/>
  <c r="H1112" i="3"/>
  <c r="L1111" i="3"/>
  <c r="J1111" i="3"/>
  <c r="H1111" i="3"/>
  <c r="L1110" i="3"/>
  <c r="J1110" i="3"/>
  <c r="H1110" i="3"/>
  <c r="L1109" i="3"/>
  <c r="J1109" i="3"/>
  <c r="H1109" i="3"/>
  <c r="L1108" i="3"/>
  <c r="J1108" i="3"/>
  <c r="H1108" i="3"/>
  <c r="L1107" i="3"/>
  <c r="J1107" i="3"/>
  <c r="H1107" i="3"/>
  <c r="L1106" i="3"/>
  <c r="J1106" i="3"/>
  <c r="H1106" i="3"/>
  <c r="L1105" i="3"/>
  <c r="J1105" i="3"/>
  <c r="H1105" i="3"/>
  <c r="L1104" i="3"/>
  <c r="J1104" i="3"/>
  <c r="H1104" i="3"/>
  <c r="L1103" i="3"/>
  <c r="J1103" i="3"/>
  <c r="H1103" i="3"/>
  <c r="L1102" i="3"/>
  <c r="J1102" i="3"/>
  <c r="H1102" i="3"/>
  <c r="L1101" i="3"/>
  <c r="J1101" i="3"/>
  <c r="H1101" i="3"/>
  <c r="L1100" i="3"/>
  <c r="J1100" i="3"/>
  <c r="H1100" i="3"/>
  <c r="L1099" i="3"/>
  <c r="J1099" i="3"/>
  <c r="H1099" i="3"/>
  <c r="L1098" i="3"/>
  <c r="J1098" i="3"/>
  <c r="H1098" i="3"/>
  <c r="L1097" i="3"/>
  <c r="J1097" i="3"/>
  <c r="H1097" i="3"/>
  <c r="L1096" i="3"/>
  <c r="J1096" i="3"/>
  <c r="H1096" i="3"/>
  <c r="L1095" i="3"/>
  <c r="J1095" i="3"/>
  <c r="H1095" i="3"/>
  <c r="L1094" i="3"/>
  <c r="J1094" i="3"/>
  <c r="H1094" i="3"/>
  <c r="L1093" i="3"/>
  <c r="J1093" i="3"/>
  <c r="H1093" i="3"/>
  <c r="L1092" i="3"/>
  <c r="J1092" i="3"/>
  <c r="H1092" i="3"/>
  <c r="L1091" i="3"/>
  <c r="J1091" i="3"/>
  <c r="H1091" i="3"/>
  <c r="L1090" i="3"/>
  <c r="J1090" i="3"/>
  <c r="H1090" i="3"/>
  <c r="L1089" i="3"/>
  <c r="J1089" i="3"/>
  <c r="H1089" i="3"/>
  <c r="L1088" i="3"/>
  <c r="J1088" i="3"/>
  <c r="H1088" i="3"/>
  <c r="L1087" i="3"/>
  <c r="J1087" i="3"/>
  <c r="H1087" i="3"/>
  <c r="L1086" i="3"/>
  <c r="J1086" i="3"/>
  <c r="H1086" i="3"/>
  <c r="L1085" i="3"/>
  <c r="J1085" i="3"/>
  <c r="H1085" i="3"/>
  <c r="L1084" i="3"/>
  <c r="J1084" i="3"/>
  <c r="H1084" i="3"/>
  <c r="L1083" i="3"/>
  <c r="J1083" i="3"/>
  <c r="H1083" i="3"/>
  <c r="L1082" i="3"/>
  <c r="J1082" i="3"/>
  <c r="H1082" i="3"/>
  <c r="L1081" i="3"/>
  <c r="J1081" i="3"/>
  <c r="H1081" i="3"/>
  <c r="L1080" i="3"/>
  <c r="J1080" i="3"/>
  <c r="H1080" i="3"/>
  <c r="L1079" i="3"/>
  <c r="J1079" i="3"/>
  <c r="H1079" i="3"/>
  <c r="L1078" i="3"/>
  <c r="J1078" i="3"/>
  <c r="H1078" i="3"/>
  <c r="L1077" i="3"/>
  <c r="J1077" i="3"/>
  <c r="H1077" i="3"/>
  <c r="L1076" i="3"/>
  <c r="J1076" i="3"/>
  <c r="H1076" i="3"/>
  <c r="L1075" i="3"/>
  <c r="J1075" i="3"/>
  <c r="H1075" i="3"/>
  <c r="L1074" i="3"/>
  <c r="J1074" i="3"/>
  <c r="H1074" i="3"/>
  <c r="L1073" i="3"/>
  <c r="J1073" i="3"/>
  <c r="H1073" i="3"/>
  <c r="L1072" i="3"/>
  <c r="J1072" i="3"/>
  <c r="H1072" i="3"/>
  <c r="L1071" i="3"/>
  <c r="J1071" i="3"/>
  <c r="H1071" i="3"/>
  <c r="L1070" i="3"/>
  <c r="J1070" i="3"/>
  <c r="H1070" i="3"/>
  <c r="L1069" i="3"/>
  <c r="J1069" i="3"/>
  <c r="H1069" i="3"/>
  <c r="L1068" i="3"/>
  <c r="J1068" i="3"/>
  <c r="H1068" i="3"/>
  <c r="L1067" i="3"/>
  <c r="J1067" i="3"/>
  <c r="H1067" i="3"/>
  <c r="L1066" i="3"/>
  <c r="J1066" i="3"/>
  <c r="H1066" i="3"/>
  <c r="L1065" i="3"/>
  <c r="J1065" i="3"/>
  <c r="H1065" i="3"/>
  <c r="L1064" i="3"/>
  <c r="J1064" i="3"/>
  <c r="H1064" i="3"/>
  <c r="L1063" i="3"/>
  <c r="J1063" i="3"/>
  <c r="H1063" i="3"/>
  <c r="L1062" i="3"/>
  <c r="J1062" i="3"/>
  <c r="H1062" i="3"/>
  <c r="L1061" i="3"/>
  <c r="J1061" i="3"/>
  <c r="H1061" i="3"/>
  <c r="L1060" i="3"/>
  <c r="J1060" i="3"/>
  <c r="H1060" i="3"/>
  <c r="L1059" i="3"/>
  <c r="J1059" i="3"/>
  <c r="H1059" i="3"/>
  <c r="L1058" i="3"/>
  <c r="J1058" i="3"/>
  <c r="H1058" i="3"/>
  <c r="L1057" i="3"/>
  <c r="J1057" i="3"/>
  <c r="H1057" i="3"/>
  <c r="L1056" i="3"/>
  <c r="J1056" i="3"/>
  <c r="H1056" i="3"/>
  <c r="L1055" i="3"/>
  <c r="J1055" i="3"/>
  <c r="H1055" i="3"/>
  <c r="L1054" i="3"/>
  <c r="J1054" i="3"/>
  <c r="H1054" i="3"/>
  <c r="L1053" i="3"/>
  <c r="J1053" i="3"/>
  <c r="H1053" i="3"/>
  <c r="L1052" i="3"/>
  <c r="J1052" i="3"/>
  <c r="H1052" i="3"/>
  <c r="L1051" i="3"/>
  <c r="J1051" i="3"/>
  <c r="H1051" i="3"/>
  <c r="L1050" i="3"/>
  <c r="J1050" i="3"/>
  <c r="H1050" i="3"/>
  <c r="L1049" i="3"/>
  <c r="J1049" i="3"/>
  <c r="H1049" i="3"/>
  <c r="L1048" i="3"/>
  <c r="J1048" i="3"/>
  <c r="H1048" i="3"/>
  <c r="L1047" i="3"/>
  <c r="J1047" i="3"/>
  <c r="H1047" i="3"/>
  <c r="L1046" i="3"/>
  <c r="J1046" i="3"/>
  <c r="H1046" i="3"/>
  <c r="L1045" i="3"/>
  <c r="J1045" i="3"/>
  <c r="H1045" i="3"/>
  <c r="L1044" i="3"/>
  <c r="J1044" i="3"/>
  <c r="H1044" i="3"/>
  <c r="L1043" i="3"/>
  <c r="J1043" i="3"/>
  <c r="H1043" i="3"/>
  <c r="L1042" i="3"/>
  <c r="J1042" i="3"/>
  <c r="H1042" i="3"/>
  <c r="L1041" i="3"/>
  <c r="J1041" i="3"/>
  <c r="H1041" i="3"/>
  <c r="L1040" i="3"/>
  <c r="J1040" i="3"/>
  <c r="H1040" i="3"/>
  <c r="L1039" i="3"/>
  <c r="J1039" i="3"/>
  <c r="H1039" i="3"/>
  <c r="L1038" i="3"/>
  <c r="J1038" i="3"/>
  <c r="H1038" i="3"/>
  <c r="L1037" i="3"/>
  <c r="J1037" i="3"/>
  <c r="H1037" i="3"/>
  <c r="L1036" i="3"/>
  <c r="J1036" i="3"/>
  <c r="H1036" i="3"/>
  <c r="L1035" i="3"/>
  <c r="J1035" i="3"/>
  <c r="H1035" i="3"/>
  <c r="L1034" i="3"/>
  <c r="J1034" i="3"/>
  <c r="H1034" i="3"/>
  <c r="L1033" i="3"/>
  <c r="J1033" i="3"/>
  <c r="H1033" i="3"/>
  <c r="L1032" i="3"/>
  <c r="J1032" i="3"/>
  <c r="H1032" i="3"/>
  <c r="L1031" i="3"/>
  <c r="J1031" i="3"/>
  <c r="H1031" i="3"/>
  <c r="L1030" i="3"/>
  <c r="J1030" i="3"/>
  <c r="H1030" i="3"/>
  <c r="L1029" i="3"/>
  <c r="J1029" i="3"/>
  <c r="H1029" i="3"/>
  <c r="L1028" i="3"/>
  <c r="J1028" i="3"/>
  <c r="H1028" i="3"/>
  <c r="L1027" i="3"/>
  <c r="J1027" i="3"/>
  <c r="H1027" i="3"/>
  <c r="L1026" i="3"/>
  <c r="J1026" i="3"/>
  <c r="H1026" i="3"/>
  <c r="L1025" i="3"/>
  <c r="J1025" i="3"/>
  <c r="H1025" i="3"/>
  <c r="L1024" i="3"/>
  <c r="J1024" i="3"/>
  <c r="H1024" i="3"/>
  <c r="L1023" i="3"/>
  <c r="J1023" i="3"/>
  <c r="H1023" i="3"/>
  <c r="L1022" i="3"/>
  <c r="J1022" i="3"/>
  <c r="H1022" i="3"/>
  <c r="L1021" i="3"/>
  <c r="J1021" i="3"/>
  <c r="H1021" i="3"/>
  <c r="L1020" i="3"/>
  <c r="J1020" i="3"/>
  <c r="H1020" i="3"/>
  <c r="L1019" i="3"/>
  <c r="J1019" i="3"/>
  <c r="H1019" i="3"/>
  <c r="L1018" i="3"/>
  <c r="J1018" i="3"/>
  <c r="H1018" i="3"/>
  <c r="L1017" i="3"/>
  <c r="J1017" i="3"/>
  <c r="H1017" i="3"/>
  <c r="L1016" i="3"/>
  <c r="J1016" i="3"/>
  <c r="H1016" i="3"/>
  <c r="L1015" i="3"/>
  <c r="J1015" i="3"/>
  <c r="H1015" i="3"/>
  <c r="L1014" i="3"/>
  <c r="J1014" i="3"/>
  <c r="H1014" i="3"/>
  <c r="L1013" i="3"/>
  <c r="J1013" i="3"/>
  <c r="H1013" i="3"/>
  <c r="L1012" i="3"/>
  <c r="J1012" i="3"/>
  <c r="H1012" i="3"/>
  <c r="L1011" i="3"/>
  <c r="J1011" i="3"/>
  <c r="H1011" i="3"/>
  <c r="L1010" i="3"/>
  <c r="J1010" i="3"/>
  <c r="H1010" i="3"/>
  <c r="L1009" i="3"/>
  <c r="J1009" i="3"/>
  <c r="H1009" i="3"/>
  <c r="L1008" i="3"/>
  <c r="J1008" i="3"/>
  <c r="H1008" i="3"/>
  <c r="L1007" i="3"/>
  <c r="J1007" i="3"/>
  <c r="H1007" i="3"/>
  <c r="L1006" i="3"/>
  <c r="J1006" i="3"/>
  <c r="H1006" i="3"/>
  <c r="L1005" i="3"/>
  <c r="J1005" i="3"/>
  <c r="H1005" i="3"/>
  <c r="L1004" i="3"/>
  <c r="J1004" i="3"/>
  <c r="H1004" i="3"/>
  <c r="L1003" i="3"/>
  <c r="J1003" i="3"/>
  <c r="H1003" i="3"/>
  <c r="L1002" i="3"/>
  <c r="J1002" i="3"/>
  <c r="H1002" i="3"/>
  <c r="L1001" i="3"/>
  <c r="J1001" i="3"/>
  <c r="H1001" i="3"/>
  <c r="L1000" i="3"/>
  <c r="J1000" i="3"/>
  <c r="H1000" i="3"/>
  <c r="L999" i="3"/>
  <c r="J999" i="3"/>
  <c r="H999" i="3"/>
  <c r="L998" i="3"/>
  <c r="J998" i="3"/>
  <c r="H998" i="3"/>
  <c r="L997" i="3"/>
  <c r="J997" i="3"/>
  <c r="H997" i="3"/>
  <c r="L996" i="3"/>
  <c r="J996" i="3"/>
  <c r="H996" i="3"/>
  <c r="L995" i="3"/>
  <c r="J995" i="3"/>
  <c r="H995" i="3"/>
  <c r="L994" i="3"/>
  <c r="J994" i="3"/>
  <c r="H994" i="3"/>
  <c r="L993" i="3"/>
  <c r="J993" i="3"/>
  <c r="H993" i="3"/>
  <c r="L992" i="3"/>
  <c r="J992" i="3"/>
  <c r="H992" i="3"/>
  <c r="L991" i="3"/>
  <c r="J991" i="3"/>
  <c r="H991" i="3"/>
  <c r="L990" i="3"/>
  <c r="J990" i="3"/>
  <c r="H990" i="3"/>
  <c r="L989" i="3"/>
  <c r="J989" i="3"/>
  <c r="H989" i="3"/>
  <c r="L988" i="3"/>
  <c r="J988" i="3"/>
  <c r="H988" i="3"/>
  <c r="L987" i="3"/>
  <c r="J987" i="3"/>
  <c r="H987" i="3"/>
  <c r="L986" i="3"/>
  <c r="J986" i="3"/>
  <c r="H986" i="3"/>
  <c r="L985" i="3"/>
  <c r="J985" i="3"/>
  <c r="H985" i="3"/>
  <c r="L984" i="3"/>
  <c r="J984" i="3"/>
  <c r="H984" i="3"/>
  <c r="L983" i="3"/>
  <c r="J983" i="3"/>
  <c r="H983" i="3"/>
  <c r="L982" i="3"/>
  <c r="J982" i="3"/>
  <c r="H982" i="3"/>
  <c r="L981" i="3"/>
  <c r="J981" i="3"/>
  <c r="H981" i="3"/>
  <c r="L980" i="3"/>
  <c r="J980" i="3"/>
  <c r="H980" i="3"/>
  <c r="L979" i="3"/>
  <c r="J979" i="3"/>
  <c r="H979" i="3"/>
  <c r="L978" i="3"/>
  <c r="J978" i="3"/>
  <c r="H978" i="3"/>
  <c r="L977" i="3"/>
  <c r="J977" i="3"/>
  <c r="H977" i="3"/>
  <c r="L976" i="3"/>
  <c r="J976" i="3"/>
  <c r="H976" i="3"/>
  <c r="L975" i="3"/>
  <c r="J975" i="3"/>
  <c r="H975" i="3"/>
  <c r="L974" i="3"/>
  <c r="J974" i="3"/>
  <c r="H974" i="3"/>
  <c r="L973" i="3"/>
  <c r="J973" i="3"/>
  <c r="H973" i="3"/>
  <c r="L972" i="3"/>
  <c r="J972" i="3"/>
  <c r="H972" i="3"/>
  <c r="L971" i="3"/>
  <c r="J971" i="3"/>
  <c r="H971" i="3"/>
  <c r="L970" i="3"/>
  <c r="J970" i="3"/>
  <c r="H970" i="3"/>
  <c r="L969" i="3"/>
  <c r="J969" i="3"/>
  <c r="H969" i="3"/>
  <c r="L968" i="3"/>
  <c r="J968" i="3"/>
  <c r="H968" i="3"/>
  <c r="L967" i="3"/>
  <c r="J967" i="3"/>
  <c r="H967" i="3"/>
  <c r="L966" i="3"/>
  <c r="J966" i="3"/>
  <c r="H966" i="3"/>
  <c r="L965" i="3"/>
  <c r="J965" i="3"/>
  <c r="H965" i="3"/>
  <c r="L964" i="3"/>
  <c r="J964" i="3"/>
  <c r="H964" i="3"/>
  <c r="L963" i="3"/>
  <c r="J963" i="3"/>
  <c r="H963" i="3"/>
  <c r="L962" i="3"/>
  <c r="J962" i="3"/>
  <c r="H962" i="3"/>
  <c r="L961" i="3"/>
  <c r="J961" i="3"/>
  <c r="H961" i="3"/>
  <c r="L960" i="3"/>
  <c r="J960" i="3"/>
  <c r="H960" i="3"/>
  <c r="L959" i="3"/>
  <c r="J959" i="3"/>
  <c r="H959" i="3"/>
  <c r="L958" i="3"/>
  <c r="J958" i="3"/>
  <c r="H958" i="3"/>
  <c r="L957" i="3"/>
  <c r="J957" i="3"/>
  <c r="H957" i="3"/>
  <c r="L956" i="3"/>
  <c r="J956" i="3"/>
  <c r="H956" i="3"/>
  <c r="L955" i="3"/>
  <c r="J955" i="3"/>
  <c r="H955" i="3"/>
  <c r="L954" i="3"/>
  <c r="J954" i="3"/>
  <c r="H954" i="3"/>
  <c r="L953" i="3"/>
  <c r="J953" i="3"/>
  <c r="H953" i="3"/>
  <c r="L952" i="3"/>
  <c r="J952" i="3"/>
  <c r="H952" i="3"/>
  <c r="L951" i="3"/>
  <c r="J951" i="3"/>
  <c r="H951" i="3"/>
  <c r="L950" i="3"/>
  <c r="J950" i="3"/>
  <c r="H950" i="3"/>
  <c r="L949" i="3"/>
  <c r="J949" i="3"/>
  <c r="H949" i="3"/>
  <c r="L948" i="3"/>
  <c r="J948" i="3"/>
  <c r="H948" i="3"/>
  <c r="L947" i="3"/>
  <c r="J947" i="3"/>
  <c r="H947" i="3"/>
  <c r="L946" i="3"/>
  <c r="J946" i="3"/>
  <c r="H946" i="3"/>
  <c r="L945" i="3"/>
  <c r="J945" i="3"/>
  <c r="H945" i="3"/>
  <c r="L944" i="3"/>
  <c r="J944" i="3"/>
  <c r="H944" i="3"/>
  <c r="L943" i="3"/>
  <c r="J943" i="3"/>
  <c r="H943" i="3"/>
  <c r="L942" i="3"/>
  <c r="J942" i="3"/>
  <c r="H942" i="3"/>
  <c r="L941" i="3"/>
  <c r="J941" i="3"/>
  <c r="H941" i="3"/>
  <c r="L940" i="3"/>
  <c r="J940" i="3"/>
  <c r="H940" i="3"/>
  <c r="L939" i="3"/>
  <c r="J939" i="3"/>
  <c r="H939" i="3"/>
  <c r="L938" i="3"/>
  <c r="J938" i="3"/>
  <c r="H938" i="3"/>
  <c r="L937" i="3"/>
  <c r="J937" i="3"/>
  <c r="H937" i="3"/>
  <c r="L936" i="3"/>
  <c r="J936" i="3"/>
  <c r="H936" i="3"/>
  <c r="L935" i="3"/>
  <c r="J935" i="3"/>
  <c r="H935" i="3"/>
  <c r="L934" i="3"/>
  <c r="J934" i="3"/>
  <c r="H934" i="3"/>
  <c r="L933" i="3"/>
  <c r="J933" i="3"/>
  <c r="H933" i="3"/>
  <c r="L932" i="3"/>
  <c r="J932" i="3"/>
  <c r="H932" i="3"/>
  <c r="L931" i="3"/>
  <c r="J931" i="3"/>
  <c r="H931" i="3"/>
  <c r="L930" i="3"/>
  <c r="J930" i="3"/>
  <c r="H930" i="3"/>
  <c r="L929" i="3"/>
  <c r="J929" i="3"/>
  <c r="H929" i="3"/>
  <c r="L928" i="3"/>
  <c r="J928" i="3"/>
  <c r="H928" i="3"/>
  <c r="L927" i="3"/>
  <c r="J927" i="3"/>
  <c r="H927" i="3"/>
  <c r="L926" i="3"/>
  <c r="J926" i="3"/>
  <c r="H926" i="3"/>
  <c r="L925" i="3"/>
  <c r="J925" i="3"/>
  <c r="H925" i="3"/>
  <c r="L924" i="3"/>
  <c r="J924" i="3"/>
  <c r="H924" i="3"/>
  <c r="L923" i="3"/>
  <c r="J923" i="3"/>
  <c r="H923" i="3"/>
  <c r="L922" i="3"/>
  <c r="J922" i="3"/>
  <c r="H922" i="3"/>
  <c r="L921" i="3"/>
  <c r="J921" i="3"/>
  <c r="H921" i="3"/>
  <c r="L920" i="3"/>
  <c r="J920" i="3"/>
  <c r="H920" i="3"/>
  <c r="L919" i="3"/>
  <c r="J919" i="3"/>
  <c r="H919" i="3"/>
  <c r="L918" i="3"/>
  <c r="J918" i="3"/>
  <c r="H918" i="3"/>
  <c r="L917" i="3"/>
  <c r="J917" i="3"/>
  <c r="H917" i="3"/>
  <c r="L916" i="3"/>
  <c r="J916" i="3"/>
  <c r="H916" i="3"/>
  <c r="L915" i="3"/>
  <c r="J915" i="3"/>
  <c r="H915" i="3"/>
  <c r="L914" i="3"/>
  <c r="J914" i="3"/>
  <c r="H914" i="3"/>
  <c r="L913" i="3"/>
  <c r="J913" i="3"/>
  <c r="H913" i="3"/>
  <c r="L912" i="3"/>
  <c r="J912" i="3"/>
  <c r="H912" i="3"/>
  <c r="L911" i="3"/>
  <c r="J911" i="3"/>
  <c r="H911" i="3"/>
  <c r="L910" i="3"/>
  <c r="J910" i="3"/>
  <c r="H910" i="3"/>
  <c r="L909" i="3"/>
  <c r="J909" i="3"/>
  <c r="H909" i="3"/>
  <c r="L908" i="3"/>
  <c r="J908" i="3"/>
  <c r="H908" i="3"/>
  <c r="L907" i="3"/>
  <c r="J907" i="3"/>
  <c r="H907" i="3"/>
  <c r="L906" i="3"/>
  <c r="J906" i="3"/>
  <c r="H906" i="3"/>
  <c r="L905" i="3"/>
  <c r="J905" i="3"/>
  <c r="H905" i="3"/>
  <c r="L904" i="3"/>
  <c r="J904" i="3"/>
  <c r="H904" i="3"/>
  <c r="L903" i="3"/>
  <c r="J903" i="3"/>
  <c r="H903" i="3"/>
  <c r="L902" i="3"/>
  <c r="J902" i="3"/>
  <c r="H902" i="3"/>
  <c r="L901" i="3"/>
  <c r="J901" i="3"/>
  <c r="H901" i="3"/>
  <c r="L900" i="3"/>
  <c r="J900" i="3"/>
  <c r="H900" i="3"/>
  <c r="L899" i="3"/>
  <c r="J899" i="3"/>
  <c r="H899" i="3"/>
  <c r="L898" i="3"/>
  <c r="J898" i="3"/>
  <c r="H898" i="3"/>
  <c r="L897" i="3"/>
  <c r="J897" i="3"/>
  <c r="H897" i="3"/>
  <c r="L896" i="3"/>
  <c r="J896" i="3"/>
  <c r="H896" i="3"/>
  <c r="L895" i="3"/>
  <c r="J895" i="3"/>
  <c r="H895" i="3"/>
  <c r="L894" i="3"/>
  <c r="J894" i="3"/>
  <c r="H894" i="3"/>
  <c r="L893" i="3"/>
  <c r="J893" i="3"/>
  <c r="H893" i="3"/>
  <c r="L892" i="3"/>
  <c r="J892" i="3"/>
  <c r="H892" i="3"/>
  <c r="L891" i="3"/>
  <c r="J891" i="3"/>
  <c r="H891" i="3"/>
  <c r="L890" i="3"/>
  <c r="J890" i="3"/>
  <c r="H890" i="3"/>
  <c r="L889" i="3"/>
  <c r="J889" i="3"/>
  <c r="H889" i="3"/>
  <c r="L888" i="3"/>
  <c r="J888" i="3"/>
  <c r="H888" i="3"/>
  <c r="L887" i="3"/>
  <c r="J887" i="3"/>
  <c r="H887" i="3"/>
  <c r="L886" i="3"/>
  <c r="J886" i="3"/>
  <c r="H886" i="3"/>
  <c r="L885" i="3"/>
  <c r="J885" i="3"/>
  <c r="H885" i="3"/>
  <c r="L884" i="3"/>
  <c r="J884" i="3"/>
  <c r="H884" i="3"/>
  <c r="L883" i="3"/>
  <c r="J883" i="3"/>
  <c r="H883" i="3"/>
  <c r="L882" i="3"/>
  <c r="J882" i="3"/>
  <c r="H882" i="3"/>
  <c r="L881" i="3"/>
  <c r="J881" i="3"/>
  <c r="H881" i="3"/>
  <c r="L880" i="3"/>
  <c r="J880" i="3"/>
  <c r="H880" i="3"/>
  <c r="L879" i="3"/>
  <c r="J879" i="3"/>
  <c r="H879" i="3"/>
  <c r="L878" i="3"/>
  <c r="J878" i="3"/>
  <c r="H878" i="3"/>
  <c r="L877" i="3"/>
  <c r="J877" i="3"/>
  <c r="H877" i="3"/>
  <c r="L876" i="3"/>
  <c r="J876" i="3"/>
  <c r="H876" i="3"/>
  <c r="L875" i="3"/>
  <c r="J875" i="3"/>
  <c r="H875" i="3"/>
  <c r="L874" i="3"/>
  <c r="J874" i="3"/>
  <c r="H874" i="3"/>
  <c r="L873" i="3"/>
  <c r="J873" i="3"/>
  <c r="H873" i="3"/>
  <c r="L872" i="3"/>
  <c r="J872" i="3"/>
  <c r="H872" i="3"/>
  <c r="L871" i="3"/>
  <c r="J871" i="3"/>
  <c r="H871" i="3"/>
  <c r="L870" i="3"/>
  <c r="J870" i="3"/>
  <c r="H870" i="3"/>
  <c r="L869" i="3"/>
  <c r="J869" i="3"/>
  <c r="H869" i="3"/>
  <c r="L868" i="3"/>
  <c r="J868" i="3"/>
  <c r="H868" i="3"/>
  <c r="L867" i="3"/>
  <c r="J867" i="3"/>
  <c r="H867" i="3"/>
  <c r="L866" i="3"/>
  <c r="J866" i="3"/>
  <c r="H866" i="3"/>
  <c r="L865" i="3"/>
  <c r="J865" i="3"/>
  <c r="H865" i="3"/>
  <c r="L864" i="3"/>
  <c r="J864" i="3"/>
  <c r="H864" i="3"/>
  <c r="L863" i="3"/>
  <c r="J863" i="3"/>
  <c r="H863" i="3"/>
  <c r="L862" i="3"/>
  <c r="J862" i="3"/>
  <c r="H862" i="3"/>
  <c r="L861" i="3"/>
  <c r="J861" i="3"/>
  <c r="H861" i="3"/>
  <c r="L860" i="3"/>
  <c r="J860" i="3"/>
  <c r="H860" i="3"/>
  <c r="L859" i="3"/>
  <c r="J859" i="3"/>
  <c r="H859" i="3"/>
  <c r="L858" i="3"/>
  <c r="J858" i="3"/>
  <c r="H858" i="3"/>
  <c r="L857" i="3"/>
  <c r="J857" i="3"/>
  <c r="H857" i="3"/>
  <c r="L856" i="3"/>
  <c r="J856" i="3"/>
  <c r="H856" i="3"/>
  <c r="L855" i="3"/>
  <c r="J855" i="3"/>
  <c r="H855" i="3"/>
  <c r="L854" i="3"/>
  <c r="J854" i="3"/>
  <c r="H854" i="3"/>
  <c r="L853" i="3"/>
  <c r="J853" i="3"/>
  <c r="H853" i="3"/>
  <c r="L852" i="3"/>
  <c r="J852" i="3"/>
  <c r="H852" i="3"/>
  <c r="L851" i="3"/>
  <c r="J851" i="3"/>
  <c r="H851" i="3"/>
  <c r="L850" i="3"/>
  <c r="J850" i="3"/>
  <c r="H850" i="3"/>
  <c r="L849" i="3"/>
  <c r="J849" i="3"/>
  <c r="H849" i="3"/>
  <c r="L848" i="3"/>
  <c r="J848" i="3"/>
  <c r="H848" i="3"/>
  <c r="L847" i="3"/>
  <c r="J847" i="3"/>
  <c r="H847" i="3"/>
  <c r="L846" i="3"/>
  <c r="J846" i="3"/>
  <c r="H846" i="3"/>
  <c r="L845" i="3"/>
  <c r="J845" i="3"/>
  <c r="H845" i="3"/>
  <c r="L844" i="3"/>
  <c r="J844" i="3"/>
  <c r="H844" i="3"/>
  <c r="L843" i="3"/>
  <c r="J843" i="3"/>
  <c r="H843" i="3"/>
  <c r="L842" i="3"/>
  <c r="J842" i="3"/>
  <c r="H842" i="3"/>
  <c r="L841" i="3"/>
  <c r="J841" i="3"/>
  <c r="H841" i="3"/>
  <c r="L840" i="3"/>
  <c r="J840" i="3"/>
  <c r="H840" i="3"/>
  <c r="L839" i="3"/>
  <c r="J839" i="3"/>
  <c r="H839" i="3"/>
  <c r="L838" i="3"/>
  <c r="J838" i="3"/>
  <c r="H838" i="3"/>
  <c r="L837" i="3"/>
  <c r="J837" i="3"/>
  <c r="H837" i="3"/>
  <c r="L836" i="3"/>
  <c r="J836" i="3"/>
  <c r="H836" i="3"/>
  <c r="L835" i="3"/>
  <c r="J835" i="3"/>
  <c r="H835" i="3"/>
  <c r="L834" i="3"/>
  <c r="J834" i="3"/>
  <c r="H834" i="3"/>
  <c r="L833" i="3"/>
  <c r="J833" i="3"/>
  <c r="H833" i="3"/>
  <c r="L832" i="3"/>
  <c r="J832" i="3"/>
  <c r="H832" i="3"/>
  <c r="L831" i="3"/>
  <c r="J831" i="3"/>
  <c r="H831" i="3"/>
  <c r="L830" i="3"/>
  <c r="J830" i="3"/>
  <c r="H830" i="3"/>
  <c r="L829" i="3"/>
  <c r="J829" i="3"/>
  <c r="H829" i="3"/>
  <c r="L828" i="3"/>
  <c r="J828" i="3"/>
  <c r="H828" i="3"/>
  <c r="L827" i="3"/>
  <c r="J827" i="3"/>
  <c r="H827" i="3"/>
  <c r="L826" i="3"/>
  <c r="J826" i="3"/>
  <c r="H826" i="3"/>
  <c r="L825" i="3"/>
  <c r="J825" i="3"/>
  <c r="H825" i="3"/>
  <c r="L824" i="3"/>
  <c r="J824" i="3"/>
  <c r="H824" i="3"/>
  <c r="L823" i="3"/>
  <c r="J823" i="3"/>
  <c r="H823" i="3"/>
  <c r="L822" i="3"/>
  <c r="J822" i="3"/>
  <c r="H822" i="3"/>
  <c r="L821" i="3"/>
  <c r="J821" i="3"/>
  <c r="H821" i="3"/>
  <c r="L820" i="3"/>
  <c r="J820" i="3"/>
  <c r="H820" i="3"/>
  <c r="L819" i="3"/>
  <c r="J819" i="3"/>
  <c r="H819" i="3"/>
  <c r="L818" i="3"/>
  <c r="J818" i="3"/>
  <c r="H818" i="3"/>
  <c r="L817" i="3"/>
  <c r="J817" i="3"/>
  <c r="H817" i="3"/>
  <c r="L816" i="3"/>
  <c r="J816" i="3"/>
  <c r="H816" i="3"/>
  <c r="L815" i="3"/>
  <c r="J815" i="3"/>
  <c r="H815" i="3"/>
  <c r="L814" i="3"/>
  <c r="J814" i="3"/>
  <c r="H814" i="3"/>
  <c r="L813" i="3"/>
  <c r="J813" i="3"/>
  <c r="H813" i="3"/>
  <c r="L812" i="3"/>
  <c r="J812" i="3"/>
  <c r="H812" i="3"/>
  <c r="L811" i="3"/>
  <c r="J811" i="3"/>
  <c r="H811" i="3"/>
  <c r="L810" i="3"/>
  <c r="J810" i="3"/>
  <c r="H810" i="3"/>
  <c r="L809" i="3"/>
  <c r="J809" i="3"/>
  <c r="H809" i="3"/>
  <c r="L808" i="3"/>
  <c r="J808" i="3"/>
  <c r="H808" i="3"/>
  <c r="L807" i="3"/>
  <c r="J807" i="3"/>
  <c r="H807" i="3"/>
  <c r="L806" i="3"/>
  <c r="J806" i="3"/>
  <c r="H806" i="3"/>
  <c r="L805" i="3"/>
  <c r="J805" i="3"/>
  <c r="H805" i="3"/>
  <c r="L804" i="3"/>
  <c r="J804" i="3"/>
  <c r="H804" i="3"/>
  <c r="L803" i="3"/>
  <c r="J803" i="3"/>
  <c r="H803" i="3"/>
  <c r="L802" i="3"/>
  <c r="J802" i="3"/>
  <c r="H802" i="3"/>
  <c r="L801" i="3"/>
  <c r="J801" i="3"/>
  <c r="H801" i="3"/>
  <c r="L800" i="3"/>
  <c r="J800" i="3"/>
  <c r="H800" i="3"/>
  <c r="L799" i="3"/>
  <c r="J799" i="3"/>
  <c r="H799" i="3"/>
  <c r="L798" i="3"/>
  <c r="J798" i="3"/>
  <c r="H798" i="3"/>
  <c r="L797" i="3"/>
  <c r="J797" i="3"/>
  <c r="H797" i="3"/>
  <c r="L796" i="3"/>
  <c r="J796" i="3"/>
  <c r="H796" i="3"/>
  <c r="L795" i="3"/>
  <c r="J795" i="3"/>
  <c r="H795" i="3"/>
  <c r="L794" i="3"/>
  <c r="J794" i="3"/>
  <c r="H794" i="3"/>
  <c r="L793" i="3"/>
  <c r="J793" i="3"/>
  <c r="H793" i="3"/>
  <c r="L792" i="3"/>
  <c r="J792" i="3"/>
  <c r="H792" i="3"/>
  <c r="L791" i="3"/>
  <c r="J791" i="3"/>
  <c r="H791" i="3"/>
  <c r="L790" i="3"/>
  <c r="J790" i="3"/>
  <c r="H790" i="3"/>
  <c r="L789" i="3"/>
  <c r="J789" i="3"/>
  <c r="H789" i="3"/>
  <c r="L788" i="3"/>
  <c r="J788" i="3"/>
  <c r="H788" i="3"/>
  <c r="L787" i="3"/>
  <c r="J787" i="3"/>
  <c r="H787" i="3"/>
  <c r="L786" i="3"/>
  <c r="J786" i="3"/>
  <c r="H786" i="3"/>
  <c r="L785" i="3"/>
  <c r="J785" i="3"/>
  <c r="H785" i="3"/>
  <c r="L784" i="3"/>
  <c r="J784" i="3"/>
  <c r="H784" i="3"/>
  <c r="L783" i="3"/>
  <c r="J783" i="3"/>
  <c r="H783" i="3"/>
  <c r="L782" i="3"/>
  <c r="J782" i="3"/>
  <c r="H782" i="3"/>
  <c r="L781" i="3"/>
  <c r="J781" i="3"/>
  <c r="H781" i="3"/>
  <c r="L780" i="3"/>
  <c r="J780" i="3"/>
  <c r="H780" i="3"/>
  <c r="L779" i="3"/>
  <c r="J779" i="3"/>
  <c r="H779" i="3"/>
  <c r="L778" i="3"/>
  <c r="J778" i="3"/>
  <c r="H778" i="3"/>
  <c r="L777" i="3"/>
  <c r="J777" i="3"/>
  <c r="H777" i="3"/>
  <c r="L776" i="3"/>
  <c r="J776" i="3"/>
  <c r="H776" i="3"/>
  <c r="L775" i="3"/>
  <c r="J775" i="3"/>
  <c r="H775" i="3"/>
  <c r="L774" i="3"/>
  <c r="J774" i="3"/>
  <c r="H774" i="3"/>
  <c r="L773" i="3"/>
  <c r="J773" i="3"/>
  <c r="H773" i="3"/>
  <c r="L772" i="3"/>
  <c r="J772" i="3"/>
  <c r="H772" i="3"/>
  <c r="L771" i="3"/>
  <c r="J771" i="3"/>
  <c r="H771" i="3"/>
  <c r="L770" i="3"/>
  <c r="J770" i="3"/>
  <c r="H770" i="3"/>
  <c r="L769" i="3"/>
  <c r="J769" i="3"/>
  <c r="H769" i="3"/>
  <c r="L768" i="3"/>
  <c r="J768" i="3"/>
  <c r="H768" i="3"/>
  <c r="L767" i="3"/>
  <c r="J767" i="3"/>
  <c r="H767" i="3"/>
  <c r="L766" i="3"/>
  <c r="J766" i="3"/>
  <c r="H766" i="3"/>
  <c r="L765" i="3"/>
  <c r="J765" i="3"/>
  <c r="H765" i="3"/>
  <c r="L764" i="3"/>
  <c r="J764" i="3"/>
  <c r="H764" i="3"/>
  <c r="L763" i="3"/>
  <c r="J763" i="3"/>
  <c r="H763" i="3"/>
  <c r="L762" i="3"/>
  <c r="J762" i="3"/>
  <c r="H762" i="3"/>
  <c r="L761" i="3"/>
  <c r="J761" i="3"/>
  <c r="H761" i="3"/>
  <c r="L760" i="3"/>
  <c r="J760" i="3"/>
  <c r="H760" i="3"/>
  <c r="L759" i="3"/>
  <c r="J759" i="3"/>
  <c r="H759" i="3"/>
  <c r="L758" i="3"/>
  <c r="J758" i="3"/>
  <c r="H758" i="3"/>
  <c r="L757" i="3"/>
  <c r="J757" i="3"/>
  <c r="H757" i="3"/>
  <c r="L756" i="3"/>
  <c r="J756" i="3"/>
  <c r="H756" i="3"/>
  <c r="L755" i="3"/>
  <c r="J755" i="3"/>
  <c r="H755" i="3"/>
  <c r="L754" i="3"/>
  <c r="J754" i="3"/>
  <c r="H754" i="3"/>
  <c r="L753" i="3"/>
  <c r="J753" i="3"/>
  <c r="H753" i="3"/>
  <c r="L752" i="3"/>
  <c r="J752" i="3"/>
  <c r="H752" i="3"/>
  <c r="L751" i="3"/>
  <c r="J751" i="3"/>
  <c r="H751" i="3"/>
  <c r="L750" i="3"/>
  <c r="J750" i="3"/>
  <c r="H750" i="3"/>
  <c r="L749" i="3"/>
  <c r="J749" i="3"/>
  <c r="H749" i="3"/>
  <c r="L748" i="3"/>
  <c r="J748" i="3"/>
  <c r="H748" i="3"/>
  <c r="L747" i="3"/>
  <c r="J747" i="3"/>
  <c r="H747" i="3"/>
  <c r="L746" i="3"/>
  <c r="J746" i="3"/>
  <c r="H746" i="3"/>
  <c r="L745" i="3"/>
  <c r="J745" i="3"/>
  <c r="H745" i="3"/>
  <c r="L744" i="3"/>
  <c r="J744" i="3"/>
  <c r="H744" i="3"/>
  <c r="L743" i="3"/>
  <c r="J743" i="3"/>
  <c r="H743" i="3"/>
  <c r="L742" i="3"/>
  <c r="J742" i="3"/>
  <c r="H742" i="3"/>
  <c r="L741" i="3"/>
  <c r="J741" i="3"/>
  <c r="H741" i="3"/>
  <c r="L740" i="3"/>
  <c r="J740" i="3"/>
  <c r="H740" i="3"/>
  <c r="L739" i="3"/>
  <c r="J739" i="3"/>
  <c r="H739" i="3"/>
  <c r="L738" i="3"/>
  <c r="J738" i="3"/>
  <c r="H738" i="3"/>
  <c r="L737" i="3"/>
  <c r="J737" i="3"/>
  <c r="H737" i="3"/>
  <c r="L736" i="3"/>
  <c r="J736" i="3"/>
  <c r="H736" i="3"/>
  <c r="L735" i="3"/>
  <c r="J735" i="3"/>
  <c r="H735" i="3"/>
  <c r="L734" i="3"/>
  <c r="J734" i="3"/>
  <c r="H734" i="3"/>
  <c r="L733" i="3"/>
  <c r="J733" i="3"/>
  <c r="H733" i="3"/>
  <c r="L732" i="3"/>
  <c r="J732" i="3"/>
  <c r="H732" i="3"/>
  <c r="L731" i="3"/>
  <c r="J731" i="3"/>
  <c r="H731" i="3"/>
  <c r="L730" i="3"/>
  <c r="J730" i="3"/>
  <c r="H730" i="3"/>
  <c r="L729" i="3"/>
  <c r="J729" i="3"/>
  <c r="H729" i="3"/>
  <c r="L728" i="3"/>
  <c r="J728" i="3"/>
  <c r="H728" i="3"/>
  <c r="L727" i="3"/>
  <c r="J727" i="3"/>
  <c r="H727" i="3"/>
  <c r="L726" i="3"/>
  <c r="J726" i="3"/>
  <c r="H726" i="3"/>
  <c r="L725" i="3"/>
  <c r="J725" i="3"/>
  <c r="H725" i="3"/>
  <c r="L724" i="3"/>
  <c r="J724" i="3"/>
  <c r="H724" i="3"/>
  <c r="L723" i="3"/>
  <c r="J723" i="3"/>
  <c r="H723" i="3"/>
  <c r="L722" i="3"/>
  <c r="J722" i="3"/>
  <c r="H722" i="3"/>
  <c r="L721" i="3"/>
  <c r="J721" i="3"/>
  <c r="H721" i="3"/>
  <c r="L720" i="3"/>
  <c r="J720" i="3"/>
  <c r="H720" i="3"/>
  <c r="L719" i="3"/>
  <c r="J719" i="3"/>
  <c r="H719" i="3"/>
  <c r="L718" i="3"/>
  <c r="J718" i="3"/>
  <c r="H718" i="3"/>
  <c r="L717" i="3"/>
  <c r="J717" i="3"/>
  <c r="H717" i="3"/>
  <c r="L716" i="3"/>
  <c r="J716" i="3"/>
  <c r="H716" i="3"/>
  <c r="L715" i="3"/>
  <c r="J715" i="3"/>
  <c r="H715" i="3"/>
  <c r="L714" i="3"/>
  <c r="J714" i="3"/>
  <c r="H714" i="3"/>
  <c r="L713" i="3"/>
  <c r="J713" i="3"/>
  <c r="H713" i="3"/>
  <c r="L712" i="3"/>
  <c r="J712" i="3"/>
  <c r="H712" i="3"/>
  <c r="L711" i="3"/>
  <c r="J711" i="3"/>
  <c r="H711" i="3"/>
  <c r="L710" i="3"/>
  <c r="J710" i="3"/>
  <c r="H710" i="3"/>
  <c r="L709" i="3"/>
  <c r="J709" i="3"/>
  <c r="H709" i="3"/>
  <c r="L708" i="3"/>
  <c r="J708" i="3"/>
  <c r="H708" i="3"/>
  <c r="L707" i="3"/>
  <c r="J707" i="3"/>
  <c r="H707" i="3"/>
  <c r="L706" i="3"/>
  <c r="J706" i="3"/>
  <c r="H706" i="3"/>
  <c r="L705" i="3"/>
  <c r="J705" i="3"/>
  <c r="H705" i="3"/>
  <c r="L704" i="3"/>
  <c r="J704" i="3"/>
  <c r="H704" i="3"/>
  <c r="L703" i="3"/>
  <c r="J703" i="3"/>
  <c r="H703" i="3"/>
  <c r="L702" i="3"/>
  <c r="J702" i="3"/>
  <c r="H702" i="3"/>
  <c r="L701" i="3"/>
  <c r="J701" i="3"/>
  <c r="H701" i="3"/>
  <c r="L700" i="3"/>
  <c r="J700" i="3"/>
  <c r="H700" i="3"/>
  <c r="L699" i="3"/>
  <c r="J699" i="3"/>
  <c r="H699" i="3"/>
  <c r="L698" i="3"/>
  <c r="J698" i="3"/>
  <c r="H698" i="3"/>
  <c r="L697" i="3"/>
  <c r="J697" i="3"/>
  <c r="H697" i="3"/>
  <c r="L696" i="3"/>
  <c r="J696" i="3"/>
  <c r="H696" i="3"/>
  <c r="L695" i="3"/>
  <c r="J695" i="3"/>
  <c r="H695" i="3"/>
  <c r="L694" i="3"/>
  <c r="J694" i="3"/>
  <c r="H694" i="3"/>
  <c r="L693" i="3"/>
  <c r="J693" i="3"/>
  <c r="H693" i="3"/>
  <c r="L692" i="3"/>
  <c r="J692" i="3"/>
  <c r="H692" i="3"/>
  <c r="L691" i="3"/>
  <c r="J691" i="3"/>
  <c r="H691" i="3"/>
  <c r="L690" i="3"/>
  <c r="J690" i="3"/>
  <c r="H690" i="3"/>
  <c r="L689" i="3"/>
  <c r="J689" i="3"/>
  <c r="H689" i="3"/>
  <c r="L688" i="3"/>
  <c r="J688" i="3"/>
  <c r="H688" i="3"/>
  <c r="L687" i="3"/>
  <c r="J687" i="3"/>
  <c r="H687" i="3"/>
  <c r="L686" i="3"/>
  <c r="J686" i="3"/>
  <c r="H686" i="3"/>
  <c r="L685" i="3"/>
  <c r="J685" i="3"/>
  <c r="H685" i="3"/>
  <c r="L684" i="3"/>
  <c r="J684" i="3"/>
  <c r="H684" i="3"/>
  <c r="L683" i="3"/>
  <c r="J683" i="3"/>
  <c r="H683" i="3"/>
  <c r="L682" i="3"/>
  <c r="J682" i="3"/>
  <c r="H682" i="3"/>
  <c r="L681" i="3"/>
  <c r="J681" i="3"/>
  <c r="H681" i="3"/>
  <c r="L680" i="3"/>
  <c r="J680" i="3"/>
  <c r="H680" i="3"/>
  <c r="L679" i="3"/>
  <c r="J679" i="3"/>
  <c r="H679" i="3"/>
  <c r="L678" i="3"/>
  <c r="J678" i="3"/>
  <c r="H678" i="3"/>
  <c r="L677" i="3"/>
  <c r="J677" i="3"/>
  <c r="H677" i="3"/>
  <c r="L676" i="3"/>
  <c r="J676" i="3"/>
  <c r="H676" i="3"/>
  <c r="L675" i="3"/>
  <c r="J675" i="3"/>
  <c r="H675" i="3"/>
  <c r="L674" i="3"/>
  <c r="J674" i="3"/>
  <c r="H674" i="3"/>
  <c r="L673" i="3"/>
  <c r="J673" i="3"/>
  <c r="H673" i="3"/>
  <c r="L672" i="3"/>
  <c r="J672" i="3"/>
  <c r="H672" i="3"/>
  <c r="L671" i="3"/>
  <c r="J671" i="3"/>
  <c r="H671" i="3"/>
  <c r="L670" i="3"/>
  <c r="J670" i="3"/>
  <c r="H670" i="3"/>
  <c r="L669" i="3"/>
  <c r="J669" i="3"/>
  <c r="H669" i="3"/>
  <c r="L668" i="3"/>
  <c r="J668" i="3"/>
  <c r="H668" i="3"/>
  <c r="L667" i="3"/>
  <c r="J667" i="3"/>
  <c r="H667" i="3"/>
  <c r="L666" i="3"/>
  <c r="J666" i="3"/>
  <c r="H666" i="3"/>
  <c r="L665" i="3"/>
  <c r="J665" i="3"/>
  <c r="H665" i="3"/>
  <c r="L664" i="3"/>
  <c r="J664" i="3"/>
  <c r="H664" i="3"/>
  <c r="L663" i="3"/>
  <c r="J663" i="3"/>
  <c r="H663" i="3"/>
  <c r="L662" i="3"/>
  <c r="J662" i="3"/>
  <c r="H662" i="3"/>
  <c r="L661" i="3"/>
  <c r="J661" i="3"/>
  <c r="H661" i="3"/>
  <c r="L660" i="3"/>
  <c r="J660" i="3"/>
  <c r="H660" i="3"/>
  <c r="L659" i="3"/>
  <c r="J659" i="3"/>
  <c r="H659" i="3"/>
  <c r="L658" i="3"/>
  <c r="J658" i="3"/>
  <c r="H658" i="3"/>
  <c r="L657" i="3"/>
  <c r="J657" i="3"/>
  <c r="H657" i="3"/>
  <c r="L656" i="3"/>
  <c r="J656" i="3"/>
  <c r="H656" i="3"/>
  <c r="L655" i="3"/>
  <c r="J655" i="3"/>
  <c r="H655" i="3"/>
  <c r="L654" i="3"/>
  <c r="J654" i="3"/>
  <c r="H654" i="3"/>
  <c r="L653" i="3"/>
  <c r="J653" i="3"/>
  <c r="H653" i="3"/>
  <c r="L652" i="3"/>
  <c r="J652" i="3"/>
  <c r="H652" i="3"/>
  <c r="L651" i="3"/>
  <c r="J651" i="3"/>
  <c r="H651" i="3"/>
  <c r="L650" i="3"/>
  <c r="J650" i="3"/>
  <c r="H650" i="3"/>
  <c r="L649" i="3"/>
  <c r="J649" i="3"/>
  <c r="H649" i="3"/>
  <c r="L648" i="3"/>
  <c r="J648" i="3"/>
  <c r="H648" i="3"/>
  <c r="L647" i="3"/>
  <c r="J647" i="3"/>
  <c r="H647" i="3"/>
  <c r="L646" i="3"/>
  <c r="J646" i="3"/>
  <c r="H646" i="3"/>
  <c r="L645" i="3"/>
  <c r="J645" i="3"/>
  <c r="H645" i="3"/>
  <c r="L644" i="3"/>
  <c r="J644" i="3"/>
  <c r="H644" i="3"/>
  <c r="L643" i="3"/>
  <c r="J643" i="3"/>
  <c r="H643" i="3"/>
  <c r="L642" i="3"/>
  <c r="J642" i="3"/>
  <c r="H642" i="3"/>
  <c r="L641" i="3"/>
  <c r="J641" i="3"/>
  <c r="H641" i="3"/>
  <c r="L640" i="3"/>
  <c r="J640" i="3"/>
  <c r="H640" i="3"/>
  <c r="L639" i="3"/>
  <c r="J639" i="3"/>
  <c r="H639" i="3"/>
  <c r="L638" i="3"/>
  <c r="J638" i="3"/>
  <c r="H638" i="3"/>
  <c r="L637" i="3"/>
  <c r="J637" i="3"/>
  <c r="H637" i="3"/>
  <c r="L636" i="3"/>
  <c r="J636" i="3"/>
  <c r="H636" i="3"/>
  <c r="L635" i="3"/>
  <c r="J635" i="3"/>
  <c r="H635" i="3"/>
  <c r="L634" i="3"/>
  <c r="J634" i="3"/>
  <c r="H634" i="3"/>
  <c r="L633" i="3"/>
  <c r="J633" i="3"/>
  <c r="H633" i="3"/>
  <c r="L632" i="3"/>
  <c r="J632" i="3"/>
  <c r="H632" i="3"/>
  <c r="L631" i="3"/>
  <c r="J631" i="3"/>
  <c r="H631" i="3"/>
  <c r="L630" i="3"/>
  <c r="J630" i="3"/>
  <c r="H630" i="3"/>
  <c r="L629" i="3"/>
  <c r="J629" i="3"/>
  <c r="H629" i="3"/>
  <c r="L628" i="3"/>
  <c r="J628" i="3"/>
  <c r="H628" i="3"/>
  <c r="L627" i="3"/>
  <c r="J627" i="3"/>
  <c r="H627" i="3"/>
  <c r="L626" i="3"/>
  <c r="J626" i="3"/>
  <c r="H626" i="3"/>
  <c r="L625" i="3"/>
  <c r="J625" i="3"/>
  <c r="H625" i="3"/>
  <c r="L624" i="3"/>
  <c r="J624" i="3"/>
  <c r="H624" i="3"/>
  <c r="L623" i="3"/>
  <c r="J623" i="3"/>
  <c r="H623" i="3"/>
  <c r="L622" i="3"/>
  <c r="J622" i="3"/>
  <c r="H622" i="3"/>
  <c r="L621" i="3"/>
  <c r="J621" i="3"/>
  <c r="H621" i="3"/>
  <c r="L620" i="3"/>
  <c r="J620" i="3"/>
  <c r="H620" i="3"/>
  <c r="L619" i="3"/>
  <c r="J619" i="3"/>
  <c r="H619" i="3"/>
  <c r="L618" i="3"/>
  <c r="J618" i="3"/>
  <c r="H618" i="3"/>
  <c r="L617" i="3"/>
  <c r="J617" i="3"/>
  <c r="H617" i="3"/>
  <c r="L616" i="3"/>
  <c r="J616" i="3"/>
  <c r="H616" i="3"/>
  <c r="L615" i="3"/>
  <c r="J615" i="3"/>
  <c r="H615" i="3"/>
  <c r="L614" i="3"/>
  <c r="J614" i="3"/>
  <c r="H614" i="3"/>
  <c r="L613" i="3"/>
  <c r="J613" i="3"/>
  <c r="H613" i="3"/>
  <c r="L612" i="3"/>
  <c r="J612" i="3"/>
  <c r="H612" i="3"/>
  <c r="L611" i="3"/>
  <c r="J611" i="3"/>
  <c r="H611" i="3"/>
  <c r="L610" i="3"/>
  <c r="J610" i="3"/>
  <c r="H610" i="3"/>
  <c r="L609" i="3"/>
  <c r="J609" i="3"/>
  <c r="H609" i="3"/>
  <c r="L608" i="3"/>
  <c r="J608" i="3"/>
  <c r="H608" i="3"/>
  <c r="L607" i="3"/>
  <c r="J607" i="3"/>
  <c r="H607" i="3"/>
  <c r="L606" i="3"/>
  <c r="J606" i="3"/>
  <c r="H606" i="3"/>
  <c r="L605" i="3"/>
  <c r="J605" i="3"/>
  <c r="H605" i="3"/>
  <c r="L604" i="3"/>
  <c r="J604" i="3"/>
  <c r="H604" i="3"/>
  <c r="L603" i="3"/>
  <c r="J603" i="3"/>
  <c r="H603" i="3"/>
  <c r="L602" i="3"/>
  <c r="J602" i="3"/>
  <c r="H602" i="3"/>
  <c r="L601" i="3"/>
  <c r="J601" i="3"/>
  <c r="H601" i="3"/>
  <c r="L600" i="3"/>
  <c r="J600" i="3"/>
  <c r="H600" i="3"/>
  <c r="L599" i="3"/>
  <c r="J599" i="3"/>
  <c r="H599" i="3"/>
  <c r="L598" i="3"/>
  <c r="J598" i="3"/>
  <c r="H598" i="3"/>
  <c r="L597" i="3"/>
  <c r="J597" i="3"/>
  <c r="H597" i="3"/>
  <c r="L596" i="3"/>
  <c r="J596" i="3"/>
  <c r="H596" i="3"/>
  <c r="L595" i="3"/>
  <c r="J595" i="3"/>
  <c r="H595" i="3"/>
  <c r="L594" i="3"/>
  <c r="J594" i="3"/>
  <c r="H594" i="3"/>
  <c r="L593" i="3"/>
  <c r="J593" i="3"/>
  <c r="H593" i="3"/>
  <c r="L592" i="3"/>
  <c r="J592" i="3"/>
  <c r="H592" i="3"/>
  <c r="L591" i="3"/>
  <c r="J591" i="3"/>
  <c r="H591" i="3"/>
  <c r="L590" i="3"/>
  <c r="J590" i="3"/>
  <c r="H590" i="3"/>
  <c r="L589" i="3"/>
  <c r="J589" i="3"/>
  <c r="H589" i="3"/>
  <c r="L588" i="3"/>
  <c r="J588" i="3"/>
  <c r="H588" i="3"/>
  <c r="L587" i="3"/>
  <c r="J587" i="3"/>
  <c r="H587" i="3"/>
  <c r="L586" i="3"/>
  <c r="J586" i="3"/>
  <c r="H586" i="3"/>
  <c r="L585" i="3"/>
  <c r="J585" i="3"/>
  <c r="H585" i="3"/>
  <c r="L584" i="3"/>
  <c r="J584" i="3"/>
  <c r="H584" i="3"/>
  <c r="L583" i="3"/>
  <c r="J583" i="3"/>
  <c r="H583" i="3"/>
  <c r="L582" i="3"/>
  <c r="J582" i="3"/>
  <c r="H582" i="3"/>
  <c r="L581" i="3"/>
  <c r="J581" i="3"/>
  <c r="H581" i="3"/>
  <c r="L580" i="3"/>
  <c r="J580" i="3"/>
  <c r="H580" i="3"/>
  <c r="L579" i="3"/>
  <c r="J579" i="3"/>
  <c r="H579" i="3"/>
  <c r="L578" i="3"/>
  <c r="J578" i="3"/>
  <c r="H578" i="3"/>
  <c r="L577" i="3"/>
  <c r="J577" i="3"/>
  <c r="H577" i="3"/>
  <c r="L576" i="3"/>
  <c r="J576" i="3"/>
  <c r="H576" i="3"/>
  <c r="L575" i="3"/>
  <c r="J575" i="3"/>
  <c r="H575" i="3"/>
  <c r="L574" i="3"/>
  <c r="J574" i="3"/>
  <c r="H574" i="3"/>
  <c r="L573" i="3"/>
  <c r="J573" i="3"/>
  <c r="H573" i="3"/>
  <c r="L572" i="3"/>
  <c r="J572" i="3"/>
  <c r="H572" i="3"/>
  <c r="L571" i="3"/>
  <c r="J571" i="3"/>
  <c r="H571" i="3"/>
  <c r="L570" i="3"/>
  <c r="J570" i="3"/>
  <c r="H570" i="3"/>
  <c r="L569" i="3"/>
  <c r="J569" i="3"/>
  <c r="H569" i="3"/>
  <c r="L568" i="3"/>
  <c r="J568" i="3"/>
  <c r="H568" i="3"/>
  <c r="L567" i="3"/>
  <c r="J567" i="3"/>
  <c r="H567" i="3"/>
  <c r="L566" i="3"/>
  <c r="J566" i="3"/>
  <c r="H566" i="3"/>
  <c r="L565" i="3"/>
  <c r="J565" i="3"/>
  <c r="H565" i="3"/>
  <c r="L564" i="3"/>
  <c r="J564" i="3"/>
  <c r="H564" i="3"/>
  <c r="L563" i="3"/>
  <c r="J563" i="3"/>
  <c r="H563" i="3"/>
  <c r="L562" i="3"/>
  <c r="J562" i="3"/>
  <c r="H562" i="3"/>
  <c r="L561" i="3"/>
  <c r="J561" i="3"/>
  <c r="H561" i="3"/>
  <c r="L560" i="3"/>
  <c r="J560" i="3"/>
  <c r="H560" i="3"/>
  <c r="L559" i="3"/>
  <c r="J559" i="3"/>
  <c r="H559" i="3"/>
  <c r="L558" i="3"/>
  <c r="J558" i="3"/>
  <c r="H558" i="3"/>
  <c r="L557" i="3"/>
  <c r="J557" i="3"/>
  <c r="H557" i="3"/>
  <c r="L556" i="3"/>
  <c r="J556" i="3"/>
  <c r="H556" i="3"/>
  <c r="L555" i="3"/>
  <c r="J555" i="3"/>
  <c r="H555" i="3"/>
  <c r="L554" i="3"/>
  <c r="J554" i="3"/>
  <c r="H554" i="3"/>
  <c r="L553" i="3"/>
  <c r="J553" i="3"/>
  <c r="H553" i="3"/>
  <c r="L552" i="3"/>
  <c r="J552" i="3"/>
  <c r="H552" i="3"/>
  <c r="L551" i="3"/>
  <c r="J551" i="3"/>
  <c r="H551" i="3"/>
  <c r="L550" i="3"/>
  <c r="J550" i="3"/>
  <c r="H550" i="3"/>
  <c r="L549" i="3"/>
  <c r="J549" i="3"/>
  <c r="H549" i="3"/>
  <c r="L548" i="3"/>
  <c r="J548" i="3"/>
  <c r="H548" i="3"/>
  <c r="L547" i="3"/>
  <c r="J547" i="3"/>
  <c r="H547" i="3"/>
  <c r="L546" i="3"/>
  <c r="J546" i="3"/>
  <c r="H546" i="3"/>
  <c r="L545" i="3"/>
  <c r="J545" i="3"/>
  <c r="H545" i="3"/>
  <c r="L544" i="3"/>
  <c r="J544" i="3"/>
  <c r="H544" i="3"/>
  <c r="L543" i="3"/>
  <c r="J543" i="3"/>
  <c r="H543" i="3"/>
  <c r="L542" i="3"/>
  <c r="J542" i="3"/>
  <c r="H542" i="3"/>
  <c r="L541" i="3"/>
  <c r="J541" i="3"/>
  <c r="H541" i="3"/>
  <c r="L540" i="3"/>
  <c r="J540" i="3"/>
  <c r="H540" i="3"/>
  <c r="L539" i="3"/>
  <c r="J539" i="3"/>
  <c r="H539" i="3"/>
  <c r="L538" i="3"/>
  <c r="J538" i="3"/>
  <c r="H538" i="3"/>
  <c r="L537" i="3"/>
  <c r="J537" i="3"/>
  <c r="H537" i="3"/>
  <c r="L536" i="3"/>
  <c r="J536" i="3"/>
  <c r="H536" i="3"/>
  <c r="L535" i="3"/>
  <c r="J535" i="3"/>
  <c r="H535" i="3"/>
  <c r="L534" i="3"/>
  <c r="J534" i="3"/>
  <c r="H534" i="3"/>
  <c r="L533" i="3"/>
  <c r="J533" i="3"/>
  <c r="H533" i="3"/>
  <c r="L532" i="3"/>
  <c r="J532" i="3"/>
  <c r="H532" i="3"/>
  <c r="L531" i="3"/>
  <c r="J531" i="3"/>
  <c r="H531" i="3"/>
  <c r="L530" i="3"/>
  <c r="J530" i="3"/>
  <c r="H530" i="3"/>
  <c r="L529" i="3"/>
  <c r="J529" i="3"/>
  <c r="H529" i="3"/>
  <c r="L528" i="3"/>
  <c r="J528" i="3"/>
  <c r="H528" i="3"/>
  <c r="L527" i="3"/>
  <c r="J527" i="3"/>
  <c r="H527" i="3"/>
  <c r="L526" i="3"/>
  <c r="J526" i="3"/>
  <c r="H526" i="3"/>
  <c r="L525" i="3"/>
  <c r="J525" i="3"/>
  <c r="H525" i="3"/>
  <c r="L524" i="3"/>
  <c r="J524" i="3"/>
  <c r="H524" i="3"/>
  <c r="L523" i="3"/>
  <c r="J523" i="3"/>
  <c r="H523" i="3"/>
  <c r="L522" i="3"/>
  <c r="J522" i="3"/>
  <c r="H522" i="3"/>
  <c r="L521" i="3"/>
  <c r="J521" i="3"/>
  <c r="H521" i="3"/>
  <c r="L520" i="3"/>
  <c r="J520" i="3"/>
  <c r="H520" i="3"/>
  <c r="L519" i="3"/>
  <c r="J519" i="3"/>
  <c r="H519" i="3"/>
  <c r="L518" i="3"/>
  <c r="J518" i="3"/>
  <c r="H518" i="3"/>
  <c r="L517" i="3"/>
  <c r="J517" i="3"/>
  <c r="H517" i="3"/>
  <c r="L516" i="3"/>
  <c r="J516" i="3"/>
  <c r="H516" i="3"/>
  <c r="L515" i="3"/>
  <c r="J515" i="3"/>
  <c r="H515" i="3"/>
  <c r="L514" i="3"/>
  <c r="J514" i="3"/>
  <c r="H514" i="3"/>
  <c r="L513" i="3"/>
  <c r="J513" i="3"/>
  <c r="H513" i="3"/>
  <c r="L512" i="3"/>
  <c r="J512" i="3"/>
  <c r="H512" i="3"/>
  <c r="L511" i="3"/>
  <c r="J511" i="3"/>
  <c r="H511" i="3"/>
  <c r="L510" i="3"/>
  <c r="J510" i="3"/>
  <c r="H510" i="3"/>
  <c r="L509" i="3"/>
  <c r="J509" i="3"/>
  <c r="H509" i="3"/>
  <c r="L508" i="3"/>
  <c r="J508" i="3"/>
  <c r="H508" i="3"/>
  <c r="L507" i="3"/>
  <c r="J507" i="3"/>
  <c r="H507" i="3"/>
  <c r="L506" i="3"/>
  <c r="J506" i="3"/>
  <c r="H506" i="3"/>
  <c r="L505" i="3"/>
  <c r="J505" i="3"/>
  <c r="H505" i="3"/>
  <c r="L504" i="3"/>
  <c r="J504" i="3"/>
  <c r="H504" i="3"/>
  <c r="L503" i="3"/>
  <c r="J503" i="3"/>
  <c r="H503" i="3"/>
  <c r="L502" i="3"/>
  <c r="J502" i="3"/>
  <c r="H502" i="3"/>
  <c r="L501" i="3"/>
  <c r="J501" i="3"/>
  <c r="H501" i="3"/>
  <c r="L500" i="3"/>
  <c r="J500" i="3"/>
  <c r="H500" i="3"/>
  <c r="L499" i="3"/>
  <c r="J499" i="3"/>
  <c r="H499" i="3"/>
  <c r="L498" i="3"/>
  <c r="J498" i="3"/>
  <c r="H498" i="3"/>
  <c r="L497" i="3"/>
  <c r="J497" i="3"/>
  <c r="H497" i="3"/>
  <c r="L496" i="3"/>
  <c r="J496" i="3"/>
  <c r="H496" i="3"/>
  <c r="L495" i="3"/>
  <c r="J495" i="3"/>
  <c r="H495" i="3"/>
  <c r="L494" i="3"/>
  <c r="J494" i="3"/>
  <c r="H494" i="3"/>
  <c r="L493" i="3"/>
  <c r="J493" i="3"/>
  <c r="H493" i="3"/>
  <c r="L492" i="3"/>
  <c r="J492" i="3"/>
  <c r="H492" i="3"/>
  <c r="L491" i="3"/>
  <c r="J491" i="3"/>
  <c r="H491" i="3"/>
  <c r="L490" i="3"/>
  <c r="J490" i="3"/>
  <c r="H490" i="3"/>
  <c r="L489" i="3"/>
  <c r="J489" i="3"/>
  <c r="H489" i="3"/>
  <c r="L488" i="3"/>
  <c r="J488" i="3"/>
  <c r="H488" i="3"/>
  <c r="L487" i="3"/>
  <c r="J487" i="3"/>
  <c r="H487" i="3"/>
  <c r="L486" i="3"/>
  <c r="J486" i="3"/>
  <c r="H486" i="3"/>
  <c r="L485" i="3"/>
  <c r="J485" i="3"/>
  <c r="H485" i="3"/>
  <c r="L484" i="3"/>
  <c r="J484" i="3"/>
  <c r="H484" i="3"/>
  <c r="L483" i="3"/>
  <c r="J483" i="3"/>
  <c r="H483" i="3"/>
  <c r="L482" i="3"/>
  <c r="J482" i="3"/>
  <c r="H482" i="3"/>
  <c r="L481" i="3"/>
  <c r="J481" i="3"/>
  <c r="H481" i="3"/>
  <c r="L480" i="3"/>
  <c r="J480" i="3"/>
  <c r="H480" i="3"/>
  <c r="L479" i="3"/>
  <c r="J479" i="3"/>
  <c r="H479" i="3"/>
  <c r="L478" i="3"/>
  <c r="J478" i="3"/>
  <c r="H478" i="3"/>
  <c r="L477" i="3"/>
  <c r="J477" i="3"/>
  <c r="H477" i="3"/>
  <c r="L476" i="3"/>
  <c r="J476" i="3"/>
  <c r="H476" i="3"/>
  <c r="L475" i="3"/>
  <c r="J475" i="3"/>
  <c r="H475" i="3"/>
  <c r="L474" i="3"/>
  <c r="J474" i="3"/>
  <c r="H474" i="3"/>
  <c r="L473" i="3"/>
  <c r="J473" i="3"/>
  <c r="H473" i="3"/>
  <c r="L472" i="3"/>
  <c r="J472" i="3"/>
  <c r="H472" i="3"/>
  <c r="L471" i="3"/>
  <c r="J471" i="3"/>
  <c r="H471" i="3"/>
  <c r="L470" i="3"/>
  <c r="J470" i="3"/>
  <c r="H470" i="3"/>
  <c r="L469" i="3"/>
  <c r="J469" i="3"/>
  <c r="H469" i="3"/>
  <c r="L468" i="3"/>
  <c r="J468" i="3"/>
  <c r="H468" i="3"/>
  <c r="L467" i="3"/>
  <c r="J467" i="3"/>
  <c r="H467" i="3"/>
  <c r="L466" i="3"/>
  <c r="J466" i="3"/>
  <c r="H466" i="3"/>
  <c r="L465" i="3"/>
  <c r="J465" i="3"/>
  <c r="H465" i="3"/>
  <c r="L464" i="3"/>
  <c r="J464" i="3"/>
  <c r="H464" i="3"/>
  <c r="L463" i="3"/>
  <c r="J463" i="3"/>
  <c r="H463" i="3"/>
  <c r="L462" i="3"/>
  <c r="J462" i="3"/>
  <c r="H462" i="3"/>
  <c r="L461" i="3"/>
  <c r="J461" i="3"/>
  <c r="H461" i="3"/>
  <c r="L460" i="3"/>
  <c r="J460" i="3"/>
  <c r="H460" i="3"/>
  <c r="L459" i="3"/>
  <c r="J459" i="3"/>
  <c r="H459" i="3"/>
  <c r="L458" i="3"/>
  <c r="J458" i="3"/>
  <c r="H458" i="3"/>
  <c r="L457" i="3"/>
  <c r="J457" i="3"/>
  <c r="H457" i="3"/>
  <c r="L456" i="3"/>
  <c r="J456" i="3"/>
  <c r="H456" i="3"/>
  <c r="L455" i="3"/>
  <c r="J455" i="3"/>
  <c r="H455" i="3"/>
  <c r="L454" i="3"/>
  <c r="J454" i="3"/>
  <c r="H454" i="3"/>
  <c r="L453" i="3"/>
  <c r="J453" i="3"/>
  <c r="H453" i="3"/>
  <c r="L452" i="3"/>
  <c r="J452" i="3"/>
  <c r="H452" i="3"/>
  <c r="L451" i="3"/>
  <c r="J451" i="3"/>
  <c r="H451" i="3"/>
  <c r="L450" i="3"/>
  <c r="J450" i="3"/>
  <c r="H450" i="3"/>
  <c r="L449" i="3"/>
  <c r="J449" i="3"/>
  <c r="H449" i="3"/>
  <c r="L448" i="3"/>
  <c r="J448" i="3"/>
  <c r="H448" i="3"/>
  <c r="L447" i="3"/>
  <c r="J447" i="3"/>
  <c r="H447" i="3"/>
  <c r="L446" i="3"/>
  <c r="J446" i="3"/>
  <c r="H446" i="3"/>
  <c r="L445" i="3"/>
  <c r="J445" i="3"/>
  <c r="H445" i="3"/>
  <c r="L444" i="3"/>
  <c r="J444" i="3"/>
  <c r="H444" i="3"/>
  <c r="L443" i="3"/>
  <c r="J443" i="3"/>
  <c r="H443" i="3"/>
  <c r="L442" i="3"/>
  <c r="J442" i="3"/>
  <c r="H442" i="3"/>
  <c r="L441" i="3"/>
  <c r="J441" i="3"/>
  <c r="H441" i="3"/>
  <c r="L440" i="3"/>
  <c r="J440" i="3"/>
  <c r="H440" i="3"/>
  <c r="L439" i="3"/>
  <c r="J439" i="3"/>
  <c r="H439" i="3"/>
  <c r="L438" i="3"/>
  <c r="J438" i="3"/>
  <c r="H438" i="3"/>
  <c r="L437" i="3"/>
  <c r="J437" i="3"/>
  <c r="H437" i="3"/>
  <c r="L436" i="3"/>
  <c r="J436" i="3"/>
  <c r="H436" i="3"/>
  <c r="L435" i="3"/>
  <c r="J435" i="3"/>
  <c r="H435" i="3"/>
  <c r="L434" i="3"/>
  <c r="J434" i="3"/>
  <c r="H434" i="3"/>
  <c r="L433" i="3"/>
  <c r="J433" i="3"/>
  <c r="H433" i="3"/>
  <c r="L432" i="3"/>
  <c r="J432" i="3"/>
  <c r="H432" i="3"/>
  <c r="L431" i="3"/>
  <c r="J431" i="3"/>
  <c r="H431" i="3"/>
  <c r="L430" i="3"/>
  <c r="J430" i="3"/>
  <c r="H430" i="3"/>
  <c r="L429" i="3"/>
  <c r="J429" i="3"/>
  <c r="H429" i="3"/>
  <c r="L428" i="3"/>
  <c r="J428" i="3"/>
  <c r="H428" i="3"/>
  <c r="L427" i="3"/>
  <c r="J427" i="3"/>
  <c r="H427" i="3"/>
  <c r="L426" i="3"/>
  <c r="J426" i="3"/>
  <c r="H426" i="3"/>
  <c r="L425" i="3"/>
  <c r="J425" i="3"/>
  <c r="H425" i="3"/>
  <c r="L424" i="3"/>
  <c r="J424" i="3"/>
  <c r="H424" i="3"/>
  <c r="L423" i="3"/>
  <c r="J423" i="3"/>
  <c r="H423" i="3"/>
  <c r="L422" i="3"/>
  <c r="J422" i="3"/>
  <c r="H422" i="3"/>
  <c r="L421" i="3"/>
  <c r="J421" i="3"/>
  <c r="H421" i="3"/>
  <c r="L420" i="3"/>
  <c r="J420" i="3"/>
  <c r="H420" i="3"/>
  <c r="L419" i="3"/>
  <c r="J419" i="3"/>
  <c r="H419" i="3"/>
  <c r="L418" i="3"/>
  <c r="J418" i="3"/>
  <c r="H418" i="3"/>
  <c r="L417" i="3"/>
  <c r="J417" i="3"/>
  <c r="H417" i="3"/>
  <c r="L416" i="3"/>
  <c r="J416" i="3"/>
  <c r="H416" i="3"/>
  <c r="L415" i="3"/>
  <c r="J415" i="3"/>
  <c r="H415" i="3"/>
  <c r="L414" i="3"/>
  <c r="J414" i="3"/>
  <c r="H414" i="3"/>
  <c r="L413" i="3"/>
  <c r="J413" i="3"/>
  <c r="H413" i="3"/>
  <c r="L412" i="3"/>
  <c r="J412" i="3"/>
  <c r="H412" i="3"/>
  <c r="L411" i="3"/>
  <c r="J411" i="3"/>
  <c r="H411" i="3"/>
  <c r="L410" i="3"/>
  <c r="J410" i="3"/>
  <c r="H410" i="3"/>
  <c r="L409" i="3"/>
  <c r="J409" i="3"/>
  <c r="H409" i="3"/>
  <c r="L408" i="3"/>
  <c r="J408" i="3"/>
  <c r="H408" i="3"/>
  <c r="L407" i="3"/>
  <c r="J407" i="3"/>
  <c r="H407" i="3"/>
  <c r="L406" i="3"/>
  <c r="J406" i="3"/>
  <c r="H406" i="3"/>
  <c r="L405" i="3"/>
  <c r="J405" i="3"/>
  <c r="H405" i="3"/>
  <c r="L404" i="3"/>
  <c r="J404" i="3"/>
  <c r="H404" i="3"/>
  <c r="L403" i="3"/>
  <c r="J403" i="3"/>
  <c r="H403" i="3"/>
  <c r="L402" i="3"/>
  <c r="J402" i="3"/>
  <c r="H402" i="3"/>
  <c r="L401" i="3"/>
  <c r="J401" i="3"/>
  <c r="H401" i="3"/>
  <c r="L400" i="3"/>
  <c r="J400" i="3"/>
  <c r="H400" i="3"/>
  <c r="L399" i="3"/>
  <c r="J399" i="3"/>
  <c r="H399" i="3"/>
  <c r="L398" i="3"/>
  <c r="J398" i="3"/>
  <c r="H398" i="3"/>
  <c r="L397" i="3"/>
  <c r="J397" i="3"/>
  <c r="H397" i="3"/>
  <c r="L396" i="3"/>
  <c r="J396" i="3"/>
  <c r="H396" i="3"/>
  <c r="L395" i="3"/>
  <c r="J395" i="3"/>
  <c r="H395" i="3"/>
  <c r="L394" i="3"/>
  <c r="J394" i="3"/>
  <c r="H394" i="3"/>
  <c r="L393" i="3"/>
  <c r="J393" i="3"/>
  <c r="H393" i="3"/>
  <c r="L392" i="3"/>
  <c r="J392" i="3"/>
  <c r="H392" i="3"/>
  <c r="L391" i="3"/>
  <c r="J391" i="3"/>
  <c r="H391" i="3"/>
  <c r="L390" i="3"/>
  <c r="J390" i="3"/>
  <c r="H390" i="3"/>
  <c r="L389" i="3"/>
  <c r="J389" i="3"/>
  <c r="H389" i="3"/>
  <c r="L388" i="3"/>
  <c r="J388" i="3"/>
  <c r="H388" i="3"/>
  <c r="L387" i="3"/>
  <c r="J387" i="3"/>
  <c r="H387" i="3"/>
  <c r="L386" i="3"/>
  <c r="J386" i="3"/>
  <c r="H386" i="3"/>
  <c r="L385" i="3"/>
  <c r="J385" i="3"/>
  <c r="H385" i="3"/>
  <c r="L384" i="3"/>
  <c r="J384" i="3"/>
  <c r="H384" i="3"/>
  <c r="L383" i="3"/>
  <c r="J383" i="3"/>
  <c r="H383" i="3"/>
  <c r="L382" i="3"/>
  <c r="J382" i="3"/>
  <c r="H382" i="3"/>
  <c r="L381" i="3"/>
  <c r="J381" i="3"/>
  <c r="H381" i="3"/>
  <c r="L380" i="3"/>
  <c r="J380" i="3"/>
  <c r="H380" i="3"/>
  <c r="L379" i="3"/>
  <c r="J379" i="3"/>
  <c r="H379" i="3"/>
  <c r="L378" i="3"/>
  <c r="J378" i="3"/>
  <c r="H378" i="3"/>
  <c r="L377" i="3"/>
  <c r="J377" i="3"/>
  <c r="H377" i="3"/>
  <c r="L376" i="3"/>
  <c r="J376" i="3"/>
  <c r="H376" i="3"/>
  <c r="L375" i="3"/>
  <c r="J375" i="3"/>
  <c r="H375" i="3"/>
  <c r="L374" i="3"/>
  <c r="J374" i="3"/>
  <c r="H374" i="3"/>
  <c r="L373" i="3"/>
  <c r="J373" i="3"/>
  <c r="H373" i="3"/>
  <c r="L372" i="3"/>
  <c r="J372" i="3"/>
  <c r="H372" i="3"/>
  <c r="L371" i="3"/>
  <c r="J371" i="3"/>
  <c r="H371" i="3"/>
  <c r="L370" i="3"/>
  <c r="J370" i="3"/>
  <c r="H370" i="3"/>
  <c r="L369" i="3"/>
  <c r="J369" i="3"/>
  <c r="H369" i="3"/>
  <c r="L368" i="3"/>
  <c r="J368" i="3"/>
  <c r="H368" i="3"/>
  <c r="L367" i="3"/>
  <c r="J367" i="3"/>
  <c r="H367" i="3"/>
  <c r="L366" i="3"/>
  <c r="J366" i="3"/>
  <c r="H366" i="3"/>
  <c r="L365" i="3"/>
  <c r="J365" i="3"/>
  <c r="H365" i="3"/>
  <c r="L364" i="3"/>
  <c r="J364" i="3"/>
  <c r="H364" i="3"/>
  <c r="L363" i="3"/>
  <c r="J363" i="3"/>
  <c r="H363" i="3"/>
  <c r="L362" i="3"/>
  <c r="J362" i="3"/>
  <c r="H362" i="3"/>
  <c r="L361" i="3"/>
  <c r="J361" i="3"/>
  <c r="H361" i="3"/>
  <c r="L360" i="3"/>
  <c r="J360" i="3"/>
  <c r="H360" i="3"/>
  <c r="L359" i="3"/>
  <c r="J359" i="3"/>
  <c r="H359" i="3"/>
  <c r="L358" i="3"/>
  <c r="J358" i="3"/>
  <c r="H358" i="3"/>
  <c r="L357" i="3"/>
  <c r="J357" i="3"/>
  <c r="H357" i="3"/>
  <c r="L356" i="3"/>
  <c r="J356" i="3"/>
  <c r="H356" i="3"/>
  <c r="L355" i="3"/>
  <c r="J355" i="3"/>
  <c r="H355" i="3"/>
  <c r="L354" i="3"/>
  <c r="J354" i="3"/>
  <c r="H354" i="3"/>
  <c r="L353" i="3"/>
  <c r="J353" i="3"/>
  <c r="H353" i="3"/>
  <c r="L352" i="3"/>
  <c r="J352" i="3"/>
  <c r="H352" i="3"/>
  <c r="L351" i="3"/>
  <c r="J351" i="3"/>
  <c r="H351" i="3"/>
  <c r="L350" i="3"/>
  <c r="J350" i="3"/>
  <c r="H350" i="3"/>
  <c r="L349" i="3"/>
  <c r="J349" i="3"/>
  <c r="H349" i="3"/>
  <c r="L348" i="3"/>
  <c r="J348" i="3"/>
  <c r="H348" i="3"/>
  <c r="L347" i="3"/>
  <c r="J347" i="3"/>
  <c r="H347" i="3"/>
  <c r="L346" i="3"/>
  <c r="J346" i="3"/>
  <c r="H346" i="3"/>
  <c r="L345" i="3"/>
  <c r="J345" i="3"/>
  <c r="H345" i="3"/>
  <c r="L344" i="3"/>
  <c r="J344" i="3"/>
  <c r="H344" i="3"/>
  <c r="L343" i="3"/>
  <c r="J343" i="3"/>
  <c r="H343" i="3"/>
  <c r="L342" i="3"/>
  <c r="J342" i="3"/>
  <c r="H342" i="3"/>
  <c r="L341" i="3"/>
  <c r="J341" i="3"/>
  <c r="H341" i="3"/>
  <c r="L340" i="3"/>
  <c r="J340" i="3"/>
  <c r="H340" i="3"/>
  <c r="L339" i="3"/>
  <c r="J339" i="3"/>
  <c r="H339" i="3"/>
  <c r="L338" i="3"/>
  <c r="J338" i="3"/>
  <c r="H338" i="3"/>
  <c r="L337" i="3"/>
  <c r="J337" i="3"/>
  <c r="H337" i="3"/>
  <c r="L336" i="3"/>
  <c r="J336" i="3"/>
  <c r="H336" i="3"/>
  <c r="L335" i="3"/>
  <c r="J335" i="3"/>
  <c r="H335" i="3"/>
  <c r="L334" i="3"/>
  <c r="J334" i="3"/>
  <c r="H334" i="3"/>
  <c r="L333" i="3"/>
  <c r="J333" i="3"/>
  <c r="H333" i="3"/>
  <c r="L332" i="3"/>
  <c r="J332" i="3"/>
  <c r="H332" i="3"/>
  <c r="L331" i="3"/>
  <c r="J331" i="3"/>
  <c r="H331" i="3"/>
  <c r="L330" i="3"/>
  <c r="J330" i="3"/>
  <c r="H330" i="3"/>
  <c r="L329" i="3"/>
  <c r="J329" i="3"/>
  <c r="H329" i="3"/>
  <c r="L328" i="3"/>
  <c r="J328" i="3"/>
  <c r="H328" i="3"/>
  <c r="L327" i="3"/>
  <c r="J327" i="3"/>
  <c r="H327" i="3"/>
  <c r="L326" i="3"/>
  <c r="J326" i="3"/>
  <c r="H326" i="3"/>
  <c r="L325" i="3"/>
  <c r="J325" i="3"/>
  <c r="H325" i="3"/>
  <c r="L324" i="3"/>
  <c r="J324" i="3"/>
  <c r="H324" i="3"/>
  <c r="L323" i="3"/>
  <c r="J323" i="3"/>
  <c r="H323" i="3"/>
  <c r="L322" i="3"/>
  <c r="J322" i="3"/>
  <c r="H322" i="3"/>
  <c r="L321" i="3"/>
  <c r="J321" i="3"/>
  <c r="H321" i="3"/>
  <c r="L320" i="3"/>
  <c r="J320" i="3"/>
  <c r="H320" i="3"/>
  <c r="L319" i="3"/>
  <c r="J319" i="3"/>
  <c r="H319" i="3"/>
  <c r="L318" i="3"/>
  <c r="J318" i="3"/>
  <c r="H318" i="3"/>
  <c r="L317" i="3"/>
  <c r="J317" i="3"/>
  <c r="H317" i="3"/>
  <c r="L316" i="3"/>
  <c r="J316" i="3"/>
  <c r="H316" i="3"/>
  <c r="L315" i="3"/>
  <c r="J315" i="3"/>
  <c r="H315" i="3"/>
  <c r="L314" i="3"/>
  <c r="J314" i="3"/>
  <c r="H314" i="3"/>
  <c r="L313" i="3"/>
  <c r="J313" i="3"/>
  <c r="H313" i="3"/>
  <c r="L312" i="3"/>
  <c r="J312" i="3"/>
  <c r="H312" i="3"/>
  <c r="L311" i="3"/>
  <c r="J311" i="3"/>
  <c r="H311" i="3"/>
  <c r="L310" i="3"/>
  <c r="J310" i="3"/>
  <c r="H310" i="3"/>
  <c r="L309" i="3"/>
  <c r="J309" i="3"/>
  <c r="H309" i="3"/>
  <c r="L308" i="3"/>
  <c r="J308" i="3"/>
  <c r="H308" i="3"/>
  <c r="L307" i="3"/>
  <c r="J307" i="3"/>
  <c r="H307" i="3"/>
  <c r="L306" i="3"/>
  <c r="J306" i="3"/>
  <c r="H306" i="3"/>
  <c r="L305" i="3"/>
  <c r="J305" i="3"/>
  <c r="H305" i="3"/>
  <c r="L304" i="3"/>
  <c r="J304" i="3"/>
  <c r="H304" i="3"/>
  <c r="L303" i="3"/>
  <c r="J303" i="3"/>
  <c r="H303" i="3"/>
  <c r="L302" i="3"/>
  <c r="J302" i="3"/>
  <c r="H302" i="3"/>
  <c r="L301" i="3"/>
  <c r="J301" i="3"/>
  <c r="H301" i="3"/>
  <c r="L300" i="3"/>
  <c r="J300" i="3"/>
  <c r="H300" i="3"/>
  <c r="L299" i="3"/>
  <c r="J299" i="3"/>
  <c r="H299" i="3"/>
  <c r="L298" i="3"/>
  <c r="J298" i="3"/>
  <c r="H298" i="3"/>
  <c r="L297" i="3"/>
  <c r="J297" i="3"/>
  <c r="H297" i="3"/>
  <c r="L296" i="3"/>
  <c r="J296" i="3"/>
  <c r="H296" i="3"/>
  <c r="L295" i="3"/>
  <c r="J295" i="3"/>
  <c r="H295" i="3"/>
  <c r="L294" i="3"/>
  <c r="J294" i="3"/>
  <c r="H294" i="3"/>
  <c r="L293" i="3"/>
  <c r="J293" i="3"/>
  <c r="H293" i="3"/>
  <c r="L292" i="3"/>
  <c r="J292" i="3"/>
  <c r="H292" i="3"/>
  <c r="L291" i="3"/>
  <c r="J291" i="3"/>
  <c r="H291" i="3"/>
  <c r="L290" i="3"/>
  <c r="J290" i="3"/>
  <c r="H290" i="3"/>
  <c r="L289" i="3"/>
  <c r="J289" i="3"/>
  <c r="H289" i="3"/>
  <c r="L288" i="3"/>
  <c r="J288" i="3"/>
  <c r="H288" i="3"/>
  <c r="L287" i="3"/>
  <c r="J287" i="3"/>
  <c r="H287" i="3"/>
  <c r="L286" i="3"/>
  <c r="J286" i="3"/>
  <c r="H286" i="3"/>
  <c r="L285" i="3"/>
  <c r="J285" i="3"/>
  <c r="H285" i="3"/>
  <c r="L284" i="3"/>
  <c r="J284" i="3"/>
  <c r="H284" i="3"/>
  <c r="L283" i="3"/>
  <c r="J283" i="3"/>
  <c r="H283" i="3"/>
  <c r="L282" i="3"/>
  <c r="J282" i="3"/>
  <c r="H282" i="3"/>
  <c r="L281" i="3"/>
  <c r="J281" i="3"/>
  <c r="H281" i="3"/>
  <c r="L280" i="3"/>
  <c r="J280" i="3"/>
  <c r="H280" i="3"/>
  <c r="L279" i="3"/>
  <c r="J279" i="3"/>
  <c r="H279" i="3"/>
  <c r="L278" i="3"/>
  <c r="J278" i="3"/>
  <c r="H278" i="3"/>
  <c r="L277" i="3"/>
  <c r="J277" i="3"/>
  <c r="H277" i="3"/>
  <c r="L276" i="3"/>
  <c r="J276" i="3"/>
  <c r="H276" i="3"/>
  <c r="L275" i="3"/>
  <c r="J275" i="3"/>
  <c r="H275" i="3"/>
  <c r="L274" i="3"/>
  <c r="J274" i="3"/>
  <c r="H274" i="3"/>
  <c r="L273" i="3"/>
  <c r="J273" i="3"/>
  <c r="H273" i="3"/>
  <c r="L272" i="3"/>
  <c r="J272" i="3"/>
  <c r="H272" i="3"/>
  <c r="L271" i="3"/>
  <c r="J271" i="3"/>
  <c r="H271" i="3"/>
  <c r="L270" i="3"/>
  <c r="J270" i="3"/>
  <c r="H270" i="3"/>
  <c r="L269" i="3"/>
  <c r="J269" i="3"/>
  <c r="H269" i="3"/>
  <c r="L268" i="3"/>
  <c r="J268" i="3"/>
  <c r="H268" i="3"/>
  <c r="L267" i="3"/>
  <c r="J267" i="3"/>
  <c r="H267" i="3"/>
  <c r="L266" i="3"/>
  <c r="J266" i="3"/>
  <c r="H266" i="3"/>
  <c r="L265" i="3"/>
  <c r="J265" i="3"/>
  <c r="H265" i="3"/>
  <c r="L264" i="3"/>
  <c r="J264" i="3"/>
  <c r="H264" i="3"/>
  <c r="L263" i="3"/>
  <c r="J263" i="3"/>
  <c r="H263" i="3"/>
  <c r="L262" i="3"/>
  <c r="J262" i="3"/>
  <c r="H262" i="3"/>
  <c r="L261" i="3"/>
  <c r="J261" i="3"/>
  <c r="H261" i="3"/>
  <c r="L260" i="3"/>
  <c r="J260" i="3"/>
  <c r="H260" i="3"/>
  <c r="L259" i="3"/>
  <c r="J259" i="3"/>
  <c r="H259" i="3"/>
  <c r="L258" i="3"/>
  <c r="J258" i="3"/>
  <c r="H258" i="3"/>
  <c r="L257" i="3"/>
  <c r="J257" i="3"/>
  <c r="H257" i="3"/>
  <c r="L256" i="3"/>
  <c r="J256" i="3"/>
  <c r="H256" i="3"/>
  <c r="L255" i="3"/>
  <c r="J255" i="3"/>
  <c r="H255" i="3"/>
  <c r="L254" i="3"/>
  <c r="J254" i="3"/>
  <c r="H254" i="3"/>
  <c r="L253" i="3"/>
  <c r="J253" i="3"/>
  <c r="H253" i="3"/>
  <c r="L252" i="3"/>
  <c r="J252" i="3"/>
  <c r="H252" i="3"/>
  <c r="L251" i="3"/>
  <c r="J251" i="3"/>
  <c r="H251" i="3"/>
  <c r="L250" i="3"/>
  <c r="J250" i="3"/>
  <c r="H250" i="3"/>
  <c r="L249" i="3"/>
  <c r="J249" i="3"/>
  <c r="H249" i="3"/>
  <c r="L248" i="3"/>
  <c r="J248" i="3"/>
  <c r="H248" i="3"/>
  <c r="L247" i="3"/>
  <c r="J247" i="3"/>
  <c r="H247" i="3"/>
  <c r="L246" i="3"/>
  <c r="J246" i="3"/>
  <c r="H246" i="3"/>
  <c r="L245" i="3"/>
  <c r="J245" i="3"/>
  <c r="H245" i="3"/>
  <c r="L244" i="3"/>
  <c r="J244" i="3"/>
  <c r="H244" i="3"/>
  <c r="L243" i="3"/>
  <c r="J243" i="3"/>
  <c r="H243" i="3"/>
  <c r="L242" i="3"/>
  <c r="J242" i="3"/>
  <c r="H242" i="3"/>
  <c r="L241" i="3"/>
  <c r="J241" i="3"/>
  <c r="H241" i="3"/>
  <c r="L240" i="3"/>
  <c r="J240" i="3"/>
  <c r="H240" i="3"/>
  <c r="L239" i="3"/>
  <c r="J239" i="3"/>
  <c r="H239" i="3"/>
  <c r="L238" i="3"/>
  <c r="J238" i="3"/>
  <c r="H238" i="3"/>
  <c r="L237" i="3"/>
  <c r="J237" i="3"/>
  <c r="H237" i="3"/>
  <c r="L236" i="3"/>
  <c r="J236" i="3"/>
  <c r="H236" i="3"/>
  <c r="L235" i="3"/>
  <c r="J235" i="3"/>
  <c r="H235" i="3"/>
  <c r="L234" i="3"/>
  <c r="J234" i="3"/>
  <c r="H234" i="3"/>
  <c r="L233" i="3"/>
  <c r="J233" i="3"/>
  <c r="H233" i="3"/>
  <c r="L232" i="3"/>
  <c r="J232" i="3"/>
  <c r="H232" i="3"/>
  <c r="L231" i="3"/>
  <c r="J231" i="3"/>
  <c r="H231" i="3"/>
  <c r="L230" i="3"/>
  <c r="J230" i="3"/>
  <c r="H230" i="3"/>
  <c r="L229" i="3"/>
  <c r="J229" i="3"/>
  <c r="H229" i="3"/>
  <c r="L228" i="3"/>
  <c r="J228" i="3"/>
  <c r="H228" i="3"/>
  <c r="L227" i="3"/>
  <c r="J227" i="3"/>
  <c r="H227" i="3"/>
  <c r="L226" i="3"/>
  <c r="J226" i="3"/>
  <c r="H226" i="3"/>
  <c r="L225" i="3"/>
  <c r="J225" i="3"/>
  <c r="H225" i="3"/>
  <c r="L224" i="3"/>
  <c r="J224" i="3"/>
  <c r="H224" i="3"/>
  <c r="L223" i="3"/>
  <c r="J223" i="3"/>
  <c r="H223" i="3"/>
  <c r="L222" i="3"/>
  <c r="J222" i="3"/>
  <c r="H222" i="3"/>
  <c r="L221" i="3"/>
  <c r="J221" i="3"/>
  <c r="H221" i="3"/>
  <c r="L220" i="3"/>
  <c r="J220" i="3"/>
  <c r="H220" i="3"/>
  <c r="L219" i="3"/>
  <c r="J219" i="3"/>
  <c r="H219" i="3"/>
  <c r="L218" i="3"/>
  <c r="J218" i="3"/>
  <c r="H218" i="3"/>
  <c r="L217" i="3"/>
  <c r="J217" i="3"/>
  <c r="H217" i="3"/>
  <c r="L216" i="3"/>
  <c r="J216" i="3"/>
  <c r="H216" i="3"/>
  <c r="L215" i="3"/>
  <c r="J215" i="3"/>
  <c r="H215" i="3"/>
  <c r="L214" i="3"/>
  <c r="J214" i="3"/>
  <c r="H214" i="3"/>
  <c r="L213" i="3"/>
  <c r="J213" i="3"/>
  <c r="H213" i="3"/>
  <c r="L212" i="3"/>
  <c r="J212" i="3"/>
  <c r="H212" i="3"/>
  <c r="L211" i="3"/>
  <c r="J211" i="3"/>
  <c r="H211" i="3"/>
  <c r="L210" i="3"/>
  <c r="J210" i="3"/>
  <c r="H210" i="3"/>
  <c r="L209" i="3"/>
  <c r="J209" i="3"/>
  <c r="H209" i="3"/>
  <c r="L208" i="3"/>
  <c r="J208" i="3"/>
  <c r="H208" i="3"/>
  <c r="L207" i="3"/>
  <c r="J207" i="3"/>
  <c r="H207" i="3"/>
  <c r="L206" i="3"/>
  <c r="J206" i="3"/>
  <c r="H206" i="3"/>
  <c r="L205" i="3"/>
  <c r="J205" i="3"/>
  <c r="H205" i="3"/>
  <c r="L204" i="3"/>
  <c r="J204" i="3"/>
  <c r="H204" i="3"/>
  <c r="L203" i="3"/>
  <c r="J203" i="3"/>
  <c r="H203" i="3"/>
  <c r="L202" i="3"/>
  <c r="J202" i="3"/>
  <c r="H202" i="3"/>
  <c r="L201" i="3"/>
  <c r="J201" i="3"/>
  <c r="H201" i="3"/>
  <c r="L200" i="3"/>
  <c r="J200" i="3"/>
  <c r="H200" i="3"/>
  <c r="L199" i="3"/>
  <c r="J199" i="3"/>
  <c r="H199" i="3"/>
  <c r="L198" i="3"/>
  <c r="J198" i="3"/>
  <c r="H198" i="3"/>
  <c r="L197" i="3"/>
  <c r="J197" i="3"/>
  <c r="H197" i="3"/>
  <c r="L196" i="3"/>
  <c r="J196" i="3"/>
  <c r="H196" i="3"/>
  <c r="L195" i="3"/>
  <c r="J195" i="3"/>
  <c r="H195" i="3"/>
  <c r="L194" i="3"/>
  <c r="J194" i="3"/>
  <c r="H194" i="3"/>
  <c r="L193" i="3"/>
  <c r="J193" i="3"/>
  <c r="H193" i="3"/>
  <c r="L192" i="3"/>
  <c r="J192" i="3"/>
  <c r="H192" i="3"/>
  <c r="L191" i="3"/>
  <c r="J191" i="3"/>
  <c r="H191" i="3"/>
  <c r="L190" i="3"/>
  <c r="J190" i="3"/>
  <c r="H190" i="3"/>
  <c r="L189" i="3"/>
  <c r="J189" i="3"/>
  <c r="H189" i="3"/>
  <c r="L188" i="3"/>
  <c r="J188" i="3"/>
  <c r="H188" i="3"/>
  <c r="L187" i="3"/>
  <c r="J187" i="3"/>
  <c r="H187" i="3"/>
  <c r="L186" i="3"/>
  <c r="J186" i="3"/>
  <c r="H186" i="3"/>
  <c r="L185" i="3"/>
  <c r="J185" i="3"/>
  <c r="H185" i="3"/>
  <c r="L184" i="3"/>
  <c r="J184" i="3"/>
  <c r="H184" i="3"/>
  <c r="L183" i="3"/>
  <c r="J183" i="3"/>
  <c r="H183" i="3"/>
  <c r="L182" i="3"/>
  <c r="J182" i="3"/>
  <c r="H182" i="3"/>
  <c r="L181" i="3"/>
  <c r="J181" i="3"/>
  <c r="H181" i="3"/>
  <c r="L180" i="3"/>
  <c r="J180" i="3"/>
  <c r="H180" i="3"/>
  <c r="L179" i="3"/>
  <c r="J179" i="3"/>
  <c r="H179" i="3"/>
  <c r="L178" i="3"/>
  <c r="J178" i="3"/>
  <c r="H178" i="3"/>
  <c r="L177" i="3"/>
  <c r="J177" i="3"/>
  <c r="H177" i="3"/>
  <c r="L176" i="3"/>
  <c r="J176" i="3"/>
  <c r="H176" i="3"/>
  <c r="L175" i="3"/>
  <c r="J175" i="3"/>
  <c r="H175" i="3"/>
  <c r="L174" i="3"/>
  <c r="J174" i="3"/>
  <c r="H174" i="3"/>
  <c r="L173" i="3"/>
  <c r="J173" i="3"/>
  <c r="H173" i="3"/>
  <c r="L172" i="3"/>
  <c r="J172" i="3"/>
  <c r="H172" i="3"/>
  <c r="L171" i="3"/>
  <c r="J171" i="3"/>
  <c r="H171" i="3"/>
  <c r="L170" i="3"/>
  <c r="J170" i="3"/>
  <c r="H170" i="3"/>
  <c r="L169" i="3"/>
  <c r="J169" i="3"/>
  <c r="H169" i="3"/>
  <c r="L168" i="3"/>
  <c r="J168" i="3"/>
  <c r="H168" i="3"/>
  <c r="L167" i="3"/>
  <c r="J167" i="3"/>
  <c r="H167" i="3"/>
  <c r="L166" i="3"/>
  <c r="J166" i="3"/>
  <c r="H166" i="3"/>
  <c r="L165" i="3"/>
  <c r="J165" i="3"/>
  <c r="H165" i="3"/>
  <c r="L164" i="3"/>
  <c r="J164" i="3"/>
  <c r="H164" i="3"/>
  <c r="L163" i="3"/>
  <c r="J163" i="3"/>
  <c r="H163" i="3"/>
  <c r="L162" i="3"/>
  <c r="J162" i="3"/>
  <c r="H162" i="3"/>
  <c r="L161" i="3"/>
  <c r="J161" i="3"/>
  <c r="H161" i="3"/>
  <c r="L160" i="3"/>
  <c r="J160" i="3"/>
  <c r="H160" i="3"/>
  <c r="L159" i="3"/>
  <c r="J159" i="3"/>
  <c r="H159" i="3"/>
  <c r="L158" i="3"/>
  <c r="J158" i="3"/>
  <c r="H158" i="3"/>
  <c r="L157" i="3"/>
  <c r="J157" i="3"/>
  <c r="H157" i="3"/>
  <c r="L156" i="3"/>
  <c r="J156" i="3"/>
  <c r="H156" i="3"/>
  <c r="L155" i="3"/>
  <c r="J155" i="3"/>
  <c r="H155" i="3"/>
  <c r="L154" i="3"/>
  <c r="J154" i="3"/>
  <c r="H154" i="3"/>
  <c r="L153" i="3"/>
  <c r="J153" i="3"/>
  <c r="H153" i="3"/>
  <c r="L152" i="3"/>
  <c r="J152" i="3"/>
  <c r="H152" i="3"/>
  <c r="L151" i="3"/>
  <c r="J151" i="3"/>
  <c r="H151" i="3"/>
  <c r="L150" i="3"/>
  <c r="J150" i="3"/>
  <c r="H150" i="3"/>
  <c r="L149" i="3"/>
  <c r="J149" i="3"/>
  <c r="H149" i="3"/>
  <c r="L148" i="3"/>
  <c r="J148" i="3"/>
  <c r="H148" i="3"/>
  <c r="L147" i="3"/>
  <c r="J147" i="3"/>
  <c r="H147" i="3"/>
  <c r="L146" i="3"/>
  <c r="J146" i="3"/>
  <c r="H146" i="3"/>
  <c r="L145" i="3"/>
  <c r="J145" i="3"/>
  <c r="H145" i="3"/>
  <c r="L144" i="3"/>
  <c r="J144" i="3"/>
  <c r="H144" i="3"/>
  <c r="L143" i="3"/>
  <c r="J143" i="3"/>
  <c r="H143" i="3"/>
  <c r="L142" i="3"/>
  <c r="J142" i="3"/>
  <c r="H142" i="3"/>
  <c r="L141" i="3"/>
  <c r="J141" i="3"/>
  <c r="H141" i="3"/>
  <c r="L140" i="3"/>
  <c r="J140" i="3"/>
  <c r="H140" i="3"/>
  <c r="L139" i="3"/>
  <c r="J139" i="3"/>
  <c r="H139" i="3"/>
  <c r="L138" i="3"/>
  <c r="J138" i="3"/>
  <c r="H138" i="3"/>
  <c r="L137" i="3"/>
  <c r="J137" i="3"/>
  <c r="H137" i="3"/>
  <c r="L136" i="3"/>
  <c r="J136" i="3"/>
  <c r="H136" i="3"/>
  <c r="L135" i="3"/>
  <c r="J135" i="3"/>
  <c r="H135" i="3"/>
  <c r="L134" i="3"/>
  <c r="J134" i="3"/>
  <c r="H134" i="3"/>
  <c r="L133" i="3"/>
  <c r="J133" i="3"/>
  <c r="H133" i="3"/>
  <c r="L132" i="3"/>
  <c r="J132" i="3"/>
  <c r="H132" i="3"/>
  <c r="L131" i="3"/>
  <c r="J131" i="3"/>
  <c r="H131" i="3"/>
  <c r="L130" i="3"/>
  <c r="J130" i="3"/>
  <c r="H130" i="3"/>
  <c r="L129" i="3"/>
  <c r="J129" i="3"/>
  <c r="H129" i="3"/>
  <c r="L128" i="3"/>
  <c r="J128" i="3"/>
  <c r="H128" i="3"/>
  <c r="L127" i="3"/>
  <c r="J127" i="3"/>
  <c r="H127" i="3"/>
  <c r="L126" i="3"/>
  <c r="J126" i="3"/>
  <c r="H126" i="3"/>
  <c r="L125" i="3"/>
  <c r="J125" i="3"/>
  <c r="H125" i="3"/>
  <c r="L124" i="3"/>
  <c r="J124" i="3"/>
  <c r="H124" i="3"/>
  <c r="L123" i="3"/>
  <c r="J123" i="3"/>
  <c r="H123" i="3"/>
  <c r="L122" i="3"/>
  <c r="J122" i="3"/>
  <c r="H122" i="3"/>
  <c r="L121" i="3"/>
  <c r="J121" i="3"/>
  <c r="H121" i="3"/>
  <c r="L120" i="3"/>
  <c r="J120" i="3"/>
  <c r="H120" i="3"/>
  <c r="L119" i="3"/>
  <c r="J119" i="3"/>
  <c r="H119" i="3"/>
  <c r="L118" i="3"/>
  <c r="J118" i="3"/>
  <c r="H118" i="3"/>
  <c r="L117" i="3"/>
  <c r="J117" i="3"/>
  <c r="H117" i="3"/>
  <c r="L116" i="3"/>
  <c r="J116" i="3"/>
  <c r="H116" i="3"/>
  <c r="L115" i="3"/>
  <c r="J115" i="3"/>
  <c r="H115" i="3"/>
  <c r="L114" i="3"/>
  <c r="J114" i="3"/>
  <c r="H114" i="3"/>
  <c r="L113" i="3"/>
  <c r="J113" i="3"/>
  <c r="H113" i="3"/>
  <c r="L112" i="3"/>
  <c r="J112" i="3"/>
  <c r="H112" i="3"/>
  <c r="L111" i="3"/>
  <c r="J111" i="3"/>
  <c r="H111" i="3"/>
  <c r="L110" i="3"/>
  <c r="J110" i="3"/>
  <c r="H110" i="3"/>
  <c r="L109" i="3"/>
  <c r="J109" i="3"/>
  <c r="H109" i="3"/>
  <c r="L108" i="3"/>
  <c r="J108" i="3"/>
  <c r="H108" i="3"/>
  <c r="L107" i="3"/>
  <c r="J107" i="3"/>
  <c r="H107" i="3"/>
  <c r="L106" i="3"/>
  <c r="J106" i="3"/>
  <c r="H106" i="3"/>
  <c r="L105" i="3"/>
  <c r="J105" i="3"/>
  <c r="H105" i="3"/>
  <c r="L104" i="3"/>
  <c r="J104" i="3"/>
  <c r="H104" i="3"/>
  <c r="L103" i="3"/>
  <c r="J103" i="3"/>
  <c r="H103" i="3"/>
  <c r="L102" i="3"/>
  <c r="J102" i="3"/>
  <c r="H102" i="3"/>
  <c r="L101" i="3"/>
  <c r="J101" i="3"/>
  <c r="H101" i="3"/>
  <c r="L100" i="3"/>
  <c r="J100" i="3"/>
  <c r="H100" i="3"/>
  <c r="L99" i="3"/>
  <c r="J99" i="3"/>
  <c r="H99" i="3"/>
  <c r="L98" i="3"/>
  <c r="J98" i="3"/>
  <c r="H98" i="3"/>
  <c r="L97" i="3"/>
  <c r="J97" i="3"/>
  <c r="H97" i="3"/>
  <c r="L96" i="3"/>
  <c r="J96" i="3"/>
  <c r="H96" i="3"/>
  <c r="L95" i="3"/>
  <c r="J95" i="3"/>
  <c r="H95" i="3"/>
  <c r="L94" i="3"/>
  <c r="J94" i="3"/>
  <c r="H94" i="3"/>
  <c r="L93" i="3"/>
  <c r="J93" i="3"/>
  <c r="H93" i="3"/>
  <c r="L92" i="3"/>
  <c r="J92" i="3"/>
  <c r="H92" i="3"/>
  <c r="L91" i="3"/>
  <c r="J91" i="3"/>
  <c r="H91" i="3"/>
  <c r="L90" i="3"/>
  <c r="J90" i="3"/>
  <c r="H90" i="3"/>
  <c r="L89" i="3"/>
  <c r="J89" i="3"/>
  <c r="H89" i="3"/>
  <c r="L88" i="3"/>
  <c r="J88" i="3"/>
  <c r="H88" i="3"/>
  <c r="L87" i="3"/>
  <c r="J87" i="3"/>
  <c r="H87" i="3"/>
  <c r="L86" i="3"/>
  <c r="J86" i="3"/>
  <c r="H86" i="3"/>
  <c r="L85" i="3"/>
  <c r="J85" i="3"/>
  <c r="H85" i="3"/>
  <c r="L84" i="3"/>
  <c r="J84" i="3"/>
  <c r="H84" i="3"/>
  <c r="L83" i="3"/>
  <c r="J83" i="3"/>
  <c r="H83" i="3"/>
  <c r="L82" i="3"/>
  <c r="J82" i="3"/>
  <c r="H82" i="3"/>
  <c r="L81" i="3"/>
  <c r="J81" i="3"/>
  <c r="H81" i="3"/>
  <c r="L80" i="3"/>
  <c r="J80" i="3"/>
  <c r="H80" i="3"/>
  <c r="L79" i="3"/>
  <c r="J79" i="3"/>
  <c r="H79" i="3"/>
  <c r="L78" i="3"/>
  <c r="J78" i="3"/>
  <c r="H78" i="3"/>
  <c r="L77" i="3"/>
  <c r="J77" i="3"/>
  <c r="H77" i="3"/>
  <c r="L76" i="3"/>
  <c r="J76" i="3"/>
  <c r="H76" i="3"/>
  <c r="L75" i="3"/>
  <c r="J75" i="3"/>
  <c r="H75" i="3"/>
  <c r="L74" i="3"/>
  <c r="J74" i="3"/>
  <c r="H74" i="3"/>
  <c r="L73" i="3"/>
  <c r="J73" i="3"/>
  <c r="H73" i="3"/>
  <c r="L72" i="3"/>
  <c r="J72" i="3"/>
  <c r="H72" i="3"/>
  <c r="L71" i="3"/>
  <c r="J71" i="3"/>
  <c r="H71" i="3"/>
  <c r="L70" i="3"/>
  <c r="J70" i="3"/>
  <c r="H70" i="3"/>
  <c r="L69" i="3"/>
  <c r="J69" i="3"/>
  <c r="H69" i="3"/>
  <c r="L68" i="3"/>
  <c r="J68" i="3"/>
  <c r="H68" i="3"/>
  <c r="L67" i="3"/>
  <c r="J67" i="3"/>
  <c r="H67" i="3"/>
  <c r="L66" i="3"/>
  <c r="J66" i="3"/>
  <c r="H66" i="3"/>
  <c r="L65" i="3"/>
  <c r="J65" i="3"/>
  <c r="H65" i="3"/>
  <c r="L64" i="3"/>
  <c r="J64" i="3"/>
  <c r="H64" i="3"/>
  <c r="L63" i="3"/>
  <c r="J63" i="3"/>
  <c r="H63" i="3"/>
  <c r="L62" i="3"/>
  <c r="J62" i="3"/>
  <c r="H62" i="3"/>
  <c r="L61" i="3"/>
  <c r="J61" i="3"/>
  <c r="H61" i="3"/>
  <c r="L60" i="3"/>
  <c r="J60" i="3"/>
  <c r="H60" i="3"/>
  <c r="L59" i="3"/>
  <c r="J59" i="3"/>
  <c r="H59" i="3"/>
  <c r="L58" i="3"/>
  <c r="J58" i="3"/>
  <c r="H58" i="3"/>
  <c r="L57" i="3"/>
  <c r="J57" i="3"/>
  <c r="H57" i="3"/>
  <c r="L56" i="3"/>
  <c r="J56" i="3"/>
  <c r="H56" i="3"/>
  <c r="L55" i="3"/>
  <c r="J55" i="3"/>
  <c r="H55" i="3"/>
  <c r="L54" i="3"/>
  <c r="J54" i="3"/>
  <c r="H54" i="3"/>
  <c r="L53" i="3"/>
  <c r="J53" i="3"/>
  <c r="H53" i="3"/>
  <c r="L52" i="3"/>
  <c r="J52" i="3"/>
  <c r="H52" i="3"/>
  <c r="L51" i="3"/>
  <c r="J51" i="3"/>
  <c r="H51" i="3"/>
  <c r="L50" i="3"/>
  <c r="J50" i="3"/>
  <c r="H50" i="3"/>
  <c r="L49" i="3"/>
  <c r="J49" i="3"/>
  <c r="H49" i="3"/>
  <c r="L48" i="3"/>
  <c r="J48" i="3"/>
  <c r="H48" i="3"/>
  <c r="L47" i="3"/>
  <c r="J47" i="3"/>
  <c r="H47" i="3"/>
  <c r="L46" i="3"/>
  <c r="J46" i="3"/>
  <c r="H46" i="3"/>
  <c r="L45" i="3"/>
  <c r="J45" i="3"/>
  <c r="H45" i="3"/>
  <c r="L44" i="3"/>
  <c r="J44" i="3"/>
  <c r="H44" i="3"/>
  <c r="L43" i="3"/>
  <c r="J43" i="3"/>
  <c r="H43" i="3"/>
  <c r="L42" i="3"/>
  <c r="J42" i="3"/>
  <c r="H42" i="3"/>
  <c r="L41" i="3"/>
  <c r="J41" i="3"/>
  <c r="H41" i="3"/>
  <c r="L40" i="3"/>
  <c r="J40" i="3"/>
  <c r="H40" i="3"/>
  <c r="L39" i="3"/>
  <c r="J39" i="3"/>
  <c r="H39" i="3"/>
  <c r="L38" i="3"/>
  <c r="J38" i="3"/>
  <c r="H38" i="3"/>
  <c r="L37" i="3"/>
  <c r="J37" i="3"/>
  <c r="H37" i="3"/>
  <c r="L36" i="3"/>
  <c r="J36" i="3"/>
  <c r="H36" i="3"/>
  <c r="L35" i="3"/>
  <c r="J35" i="3"/>
  <c r="H35" i="3"/>
  <c r="L34" i="3"/>
  <c r="J34" i="3"/>
  <c r="H34" i="3"/>
  <c r="L33" i="3"/>
  <c r="J33" i="3"/>
  <c r="H33" i="3"/>
  <c r="L32" i="3"/>
  <c r="J32" i="3"/>
  <c r="H32" i="3"/>
  <c r="L31" i="3"/>
  <c r="J31" i="3"/>
  <c r="H31" i="3"/>
  <c r="L30" i="3"/>
  <c r="J30" i="3"/>
  <c r="H30" i="3"/>
  <c r="L29" i="3"/>
  <c r="J29" i="3"/>
  <c r="H29" i="3"/>
  <c r="L28" i="3"/>
  <c r="J28" i="3"/>
  <c r="H28" i="3"/>
  <c r="L27" i="3"/>
  <c r="J27" i="3"/>
  <c r="H27" i="3"/>
  <c r="L26" i="3"/>
  <c r="J26" i="3"/>
  <c r="H26" i="3"/>
  <c r="L25" i="3"/>
  <c r="J25" i="3"/>
  <c r="H25" i="3"/>
  <c r="L24" i="3"/>
  <c r="J24" i="3"/>
  <c r="H24" i="3"/>
  <c r="L23" i="3"/>
  <c r="J23" i="3"/>
  <c r="H23" i="3"/>
  <c r="L22" i="3"/>
  <c r="J22" i="3"/>
  <c r="H22" i="3"/>
  <c r="L21" i="3"/>
  <c r="J21" i="3"/>
  <c r="H21" i="3"/>
  <c r="L20" i="3"/>
  <c r="J20" i="3"/>
  <c r="H20" i="3"/>
  <c r="L19" i="3"/>
  <c r="J19" i="3"/>
  <c r="H19" i="3"/>
  <c r="L18" i="3"/>
  <c r="J18" i="3"/>
  <c r="H18" i="3"/>
  <c r="L17" i="3"/>
  <c r="J17" i="3"/>
  <c r="H17" i="3"/>
  <c r="L16" i="3"/>
  <c r="J16" i="3"/>
  <c r="H16" i="3"/>
  <c r="L15" i="3"/>
  <c r="J15" i="3"/>
  <c r="H15" i="3"/>
  <c r="L14" i="3"/>
  <c r="J14" i="3"/>
  <c r="H14" i="3"/>
  <c r="L13" i="3"/>
  <c r="J13" i="3"/>
  <c r="H13" i="3"/>
  <c r="L12" i="3"/>
  <c r="J12" i="3"/>
  <c r="H12" i="3"/>
  <c r="L11" i="3"/>
  <c r="J11" i="3"/>
  <c r="H11" i="3"/>
  <c r="L10" i="3"/>
  <c r="J10" i="3"/>
  <c r="H10" i="3"/>
  <c r="AM287" i="1" l="1"/>
  <c r="AM275" i="1"/>
  <c r="AM271" i="1"/>
  <c r="AM40" i="1"/>
  <c r="AM166" i="1"/>
  <c r="AM172" i="1"/>
  <c r="AM99" i="1"/>
  <c r="AM116" i="1"/>
  <c r="AM83" i="1"/>
  <c r="AM119" i="1"/>
  <c r="AM215" i="1"/>
  <c r="AM244" i="1"/>
  <c r="AM19" i="1"/>
  <c r="AM124" i="1"/>
  <c r="AM288" i="1"/>
  <c r="AM293" i="1"/>
  <c r="AM324" i="1"/>
  <c r="AM285" i="1"/>
  <c r="AM227" i="1"/>
  <c r="AM313" i="1"/>
  <c r="AM290" i="1"/>
  <c r="AM114" i="1"/>
  <c r="AM327" i="1"/>
  <c r="AM194" i="1"/>
  <c r="AM189" i="1"/>
  <c r="AM139" i="1"/>
  <c r="AM88" i="1"/>
  <c r="AM177" i="1"/>
  <c r="AM239" i="1"/>
  <c r="AM141" i="1"/>
  <c r="AM75" i="1"/>
  <c r="AM76" i="1"/>
  <c r="AM18" i="1"/>
  <c r="AM110" i="1"/>
  <c r="AM163" i="1"/>
  <c r="AM50" i="1"/>
  <c r="AM326" i="1"/>
  <c r="AM209" i="1"/>
  <c r="AM157" i="1"/>
  <c r="AM211" i="1"/>
  <c r="AM258" i="1"/>
  <c r="AM57" i="1"/>
  <c r="AM129" i="1"/>
  <c r="AM210" i="1"/>
  <c r="AM117" i="1"/>
  <c r="AM77" i="1"/>
  <c r="AM135" i="1"/>
  <c r="AM137" i="1"/>
  <c r="AM249" i="1"/>
  <c r="AM332" i="1"/>
  <c r="AM302" i="1"/>
  <c r="AM86" i="1"/>
  <c r="AM131" i="1"/>
  <c r="AM257" i="1"/>
  <c r="AM159" i="1"/>
  <c r="AM341" i="1"/>
  <c r="AM165" i="1"/>
  <c r="AM250" i="1"/>
  <c r="AM132" i="1"/>
  <c r="AM90" i="1"/>
  <c r="AM276" i="1"/>
  <c r="AM20" i="1"/>
  <c r="BI20" i="1" s="1"/>
  <c r="AM84" i="1"/>
  <c r="AM248" i="1"/>
  <c r="AM55" i="1"/>
  <c r="AM61" i="1"/>
  <c r="AM264" i="1"/>
  <c r="AM218" i="1"/>
  <c r="AM107" i="1"/>
  <c r="AM193" i="1"/>
  <c r="AM25" i="1"/>
  <c r="AM184" i="1"/>
  <c r="AM112" i="1"/>
  <c r="AM196" i="1"/>
  <c r="AM311" i="1"/>
  <c r="AM127" i="1"/>
  <c r="AM152" i="1"/>
  <c r="AM147" i="1"/>
  <c r="AM125" i="1"/>
  <c r="AM200" i="1"/>
  <c r="AM100" i="1"/>
  <c r="AM24" i="1"/>
  <c r="AM187" i="1"/>
  <c r="AM190" i="1"/>
  <c r="AM181" i="1"/>
  <c r="AM234" i="1"/>
  <c r="AM320" i="1"/>
  <c r="AM314" i="1"/>
  <c r="AM213" i="1"/>
  <c r="AM201" i="1"/>
  <c r="AM286" i="1"/>
  <c r="AM240" i="1"/>
  <c r="AM149" i="1"/>
  <c r="AM272" i="1"/>
  <c r="AM281" i="1"/>
  <c r="AM38" i="1"/>
  <c r="AM174" i="1"/>
  <c r="AM167" i="1"/>
  <c r="AM301" i="1"/>
  <c r="AM230" i="1"/>
  <c r="AM31" i="1"/>
  <c r="AM223" i="1"/>
  <c r="AM48" i="1"/>
  <c r="AM328" i="1"/>
  <c r="AM235" i="1"/>
  <c r="AM342" i="1"/>
  <c r="AM32" i="1"/>
  <c r="AM255" i="1"/>
  <c r="AM214" i="1"/>
  <c r="AM185" i="1"/>
  <c r="AM279" i="1"/>
  <c r="AM336" i="1"/>
  <c r="AM321" i="1"/>
  <c r="AM305" i="1"/>
  <c r="AM115" i="1"/>
  <c r="AM160" i="1"/>
  <c r="AM43" i="1"/>
  <c r="AM98" i="1"/>
  <c r="AM145" i="1"/>
  <c r="AM122" i="1"/>
  <c r="AM291" i="1"/>
  <c r="AM246" i="1"/>
  <c r="AM229" i="1"/>
  <c r="AM142" i="1"/>
  <c r="AM41" i="1"/>
  <c r="AM97" i="1"/>
  <c r="AM228" i="1"/>
  <c r="AM270" i="1"/>
  <c r="AM146" i="1"/>
  <c r="AM89" i="1"/>
  <c r="AM72" i="1"/>
  <c r="AM199" i="1"/>
  <c r="AM148" i="1"/>
  <c r="AM103" i="1"/>
  <c r="AM14" i="1"/>
  <c r="AM340" i="1"/>
  <c r="AM221" i="1"/>
  <c r="AM27" i="1"/>
  <c r="AM105" i="1"/>
  <c r="AM325" i="1"/>
  <c r="AM242" i="1"/>
  <c r="AM204" i="1"/>
  <c r="AM109" i="1"/>
  <c r="AM70" i="1"/>
  <c r="AM151" i="1"/>
  <c r="AM318" i="1"/>
  <c r="AM133" i="1"/>
  <c r="AM203" i="1"/>
  <c r="AM247" i="1"/>
  <c r="AM186" i="1"/>
  <c r="AM155" i="1"/>
  <c r="AM282" i="1"/>
  <c r="AM144" i="1"/>
  <c r="AM82" i="1"/>
  <c r="AM216" i="1"/>
  <c r="AM256" i="1"/>
  <c r="AM267" i="1"/>
  <c r="AM195" i="1"/>
  <c r="AM95" i="1"/>
  <c r="AM16" i="1"/>
  <c r="AM259" i="1"/>
  <c r="AM158" i="1"/>
  <c r="AM333" i="1"/>
  <c r="AM45" i="1"/>
  <c r="AM63" i="1"/>
  <c r="AM108" i="1"/>
  <c r="AM62" i="1"/>
  <c r="AM335" i="1"/>
  <c r="AM263" i="1"/>
  <c r="AM233" i="1"/>
  <c r="AM42" i="1"/>
  <c r="AM15" i="1"/>
  <c r="AM87" i="1"/>
  <c r="AM140" i="1"/>
  <c r="AM58" i="1"/>
  <c r="AM33" i="1"/>
  <c r="AM123" i="1"/>
  <c r="AM323" i="1"/>
  <c r="AM59" i="1"/>
  <c r="AM289" i="1"/>
  <c r="AM91" i="1"/>
  <c r="AM52" i="1"/>
  <c r="AM67" i="1"/>
  <c r="AM253" i="1"/>
  <c r="AM80" i="1"/>
  <c r="AM171" i="1"/>
  <c r="AM206" i="1"/>
  <c r="AM85" i="1"/>
  <c r="AM238" i="1"/>
  <c r="AM102" i="1"/>
  <c r="AM294" i="1"/>
  <c r="AM93" i="1"/>
  <c r="AM65" i="1"/>
  <c r="AM81" i="1"/>
  <c r="AM191" i="1"/>
  <c r="AM136" i="1"/>
  <c r="AM130" i="1"/>
  <c r="AM176" i="1"/>
  <c r="AM66" i="1"/>
  <c r="AM337" i="1"/>
  <c r="AM273" i="1"/>
  <c r="AM317" i="1"/>
  <c r="AM26" i="1"/>
  <c r="AM36" i="1"/>
  <c r="AM39" i="1"/>
  <c r="AM46" i="1"/>
  <c r="AM74" i="1"/>
  <c r="AM322" i="1"/>
  <c r="AM334" i="1"/>
  <c r="AM37" i="1"/>
  <c r="AM217" i="1"/>
  <c r="AM265" i="1"/>
  <c r="AM71" i="1"/>
  <c r="AM138" i="1"/>
  <c r="AM121" i="1"/>
  <c r="AM212" i="1"/>
  <c r="AM161" i="1"/>
  <c r="AM113" i="1"/>
  <c r="AM299" i="1"/>
  <c r="AM192" i="1"/>
  <c r="AM188" i="1"/>
  <c r="AM73" i="1"/>
  <c r="AM316" i="1"/>
  <c r="AM268" i="1"/>
  <c r="AM237" i="1"/>
  <c r="AM126" i="1"/>
  <c r="AM310" i="1"/>
  <c r="AM277" i="1"/>
  <c r="AM164" i="1"/>
  <c r="AM162" i="1"/>
  <c r="AM329" i="1"/>
  <c r="AM143" i="1"/>
  <c r="AM197" i="1"/>
  <c r="AM64" i="1"/>
  <c r="AM118" i="1"/>
  <c r="AM283" i="1"/>
  <c r="AM312" i="1"/>
  <c r="AM296" i="1"/>
  <c r="AM92" i="1"/>
  <c r="AM169" i="1"/>
  <c r="AM315" i="1"/>
  <c r="AM60" i="1"/>
  <c r="AM29" i="1"/>
  <c r="AM120" i="1"/>
  <c r="AM168" i="1"/>
  <c r="AM292" i="1"/>
  <c r="AM219" i="1"/>
  <c r="AM180" i="1"/>
  <c r="AM236" i="1"/>
  <c r="AM96" i="1"/>
  <c r="AM30" i="1"/>
  <c r="AM17" i="1"/>
  <c r="AM153" i="1"/>
  <c r="AM28" i="1"/>
  <c r="AM231" i="1"/>
  <c r="AM94" i="1"/>
  <c r="AM266" i="1"/>
  <c r="AM78" i="1"/>
  <c r="AM79" i="1"/>
  <c r="AM297" i="1"/>
  <c r="AM232" i="1"/>
  <c r="AM53" i="1"/>
  <c r="AM111" i="1"/>
  <c r="AM208" i="1"/>
  <c r="AM207" i="1"/>
  <c r="AM303" i="1"/>
  <c r="AM23" i="1"/>
  <c r="AM104" i="1"/>
  <c r="AM49" i="1"/>
  <c r="AM319" i="1"/>
  <c r="AM260" i="1"/>
  <c r="AM245" i="1"/>
  <c r="AM222" i="1"/>
  <c r="AM205" i="1"/>
  <c r="AM269" i="1"/>
  <c r="AM298" i="1"/>
  <c r="AM175" i="1"/>
  <c r="AM304" i="1"/>
  <c r="AM170" i="1"/>
  <c r="AM295" i="1"/>
  <c r="AM22" i="1"/>
  <c r="AM274" i="1"/>
  <c r="AM150" i="1"/>
  <c r="AM306" i="1"/>
  <c r="AM226" i="1"/>
  <c r="AM51" i="1"/>
  <c r="AM278" i="1"/>
  <c r="AM134" i="1"/>
  <c r="AM300" i="1"/>
  <c r="AM307" i="1"/>
  <c r="AM202" i="1"/>
  <c r="AM198" i="1"/>
  <c r="AM284" i="1"/>
  <c r="AM254" i="1"/>
  <c r="AG15" i="1"/>
  <c r="AC16" i="1"/>
  <c r="CA15" i="1"/>
  <c r="EJ16" i="1"/>
  <c r="EJ17" i="1" s="1"/>
  <c r="AM13" i="1"/>
  <c r="BI13" i="1" s="1"/>
  <c r="BO13" i="1" a="1"/>
  <c r="BO13" i="1" s="1"/>
  <c r="L14" i="7"/>
  <c r="L15" i="7" s="1"/>
  <c r="L16" i="7" s="1"/>
  <c r="AN207" i="1" l="1"/>
  <c r="AN94" i="1"/>
  <c r="BH94" i="1" s="1"/>
  <c r="BI94" i="1"/>
  <c r="AN169" i="1"/>
  <c r="BH169" i="1" s="1"/>
  <c r="BI169" i="1"/>
  <c r="AN268" i="1"/>
  <c r="BH268" i="1" s="1"/>
  <c r="BI268" i="1"/>
  <c r="AN322" i="1"/>
  <c r="BH322" i="1" s="1"/>
  <c r="BI322" i="1"/>
  <c r="AN93" i="1"/>
  <c r="BH93" i="1" s="1"/>
  <c r="BI93" i="1"/>
  <c r="AN33" i="1"/>
  <c r="BH33" i="1" s="1"/>
  <c r="BI33" i="1"/>
  <c r="AN16" i="1"/>
  <c r="BH16" i="1" s="1"/>
  <c r="BI16" i="1"/>
  <c r="AN70" i="1"/>
  <c r="BH70" i="1" s="1"/>
  <c r="BI70" i="1"/>
  <c r="AN270" i="1"/>
  <c r="BH270" i="1" s="1"/>
  <c r="BI270" i="1"/>
  <c r="AN336" i="1"/>
  <c r="BH336" i="1" s="1"/>
  <c r="BI336" i="1"/>
  <c r="AN38" i="1"/>
  <c r="BH38" i="1" s="1"/>
  <c r="BI38" i="1"/>
  <c r="AN200" i="1"/>
  <c r="BH200" i="1" s="1"/>
  <c r="BI200" i="1"/>
  <c r="AN248" i="1"/>
  <c r="BH248" i="1" s="1"/>
  <c r="BI248" i="1"/>
  <c r="AN137" i="1"/>
  <c r="BH137" i="1" s="1"/>
  <c r="BI137" i="1"/>
  <c r="AN76" i="1"/>
  <c r="BH76" i="1" s="1"/>
  <c r="BI76" i="1"/>
  <c r="AN293" i="1"/>
  <c r="BH293" i="1" s="1"/>
  <c r="BI293" i="1"/>
  <c r="AN51" i="1"/>
  <c r="BH51" i="1" s="1"/>
  <c r="BI51" i="1"/>
  <c r="AN319" i="1"/>
  <c r="BH319" i="1" s="1"/>
  <c r="BI319" i="1"/>
  <c r="AN226" i="1"/>
  <c r="BH226" i="1" s="1"/>
  <c r="BI226" i="1"/>
  <c r="AN49" i="1"/>
  <c r="BH49" i="1" s="1"/>
  <c r="BI49" i="1"/>
  <c r="AN306" i="1"/>
  <c r="BH306" i="1" s="1"/>
  <c r="BI306" i="1"/>
  <c r="AN104" i="1"/>
  <c r="BH104" i="1" s="1"/>
  <c r="BI104" i="1"/>
  <c r="AN150" i="1"/>
  <c r="BH150" i="1" s="1"/>
  <c r="BI150" i="1"/>
  <c r="AN23" i="1"/>
  <c r="BH23" i="1" s="1"/>
  <c r="BI23" i="1"/>
  <c r="AN274" i="1"/>
  <c r="BH274" i="1" s="1"/>
  <c r="BI274" i="1"/>
  <c r="AN303" i="1"/>
  <c r="BH303" i="1" s="1"/>
  <c r="BI303" i="1"/>
  <c r="AN22" i="1"/>
  <c r="BH22" i="1" s="1"/>
  <c r="BI22" i="1"/>
  <c r="AN236" i="1"/>
  <c r="BH236" i="1" s="1"/>
  <c r="BI236" i="1"/>
  <c r="AN295" i="1"/>
  <c r="BH295" i="1" s="1"/>
  <c r="BI295" i="1"/>
  <c r="AN208" i="1"/>
  <c r="BH208" i="1" s="1"/>
  <c r="BI208" i="1"/>
  <c r="AN170" i="1"/>
  <c r="BH170" i="1" s="1"/>
  <c r="BI170" i="1"/>
  <c r="AN111" i="1"/>
  <c r="BH111" i="1" s="1"/>
  <c r="BI111" i="1"/>
  <c r="AN254" i="1"/>
  <c r="BH254" i="1" s="1"/>
  <c r="BI254" i="1"/>
  <c r="AN198" i="1"/>
  <c r="BH198" i="1" s="1"/>
  <c r="BI198" i="1"/>
  <c r="AN298" i="1"/>
  <c r="BH298" i="1" s="1"/>
  <c r="BI298" i="1"/>
  <c r="AN297" i="1"/>
  <c r="BH297" i="1" s="1"/>
  <c r="BI297" i="1"/>
  <c r="AN202" i="1"/>
  <c r="BH202" i="1" s="1"/>
  <c r="BI202" i="1"/>
  <c r="AN269" i="1"/>
  <c r="BH269" i="1" s="1"/>
  <c r="BI269" i="1"/>
  <c r="AN79" i="1"/>
  <c r="BH79" i="1" s="1"/>
  <c r="BI79" i="1"/>
  <c r="AN307" i="1"/>
  <c r="BH307" i="1" s="1"/>
  <c r="BI307" i="1"/>
  <c r="AN205" i="1"/>
  <c r="BH205" i="1" s="1"/>
  <c r="BI205" i="1"/>
  <c r="AN78" i="1"/>
  <c r="BH78" i="1" s="1"/>
  <c r="BI78" i="1"/>
  <c r="AN134" i="1"/>
  <c r="BH134" i="1" s="1"/>
  <c r="BI134" i="1"/>
  <c r="AN245" i="1"/>
  <c r="BH245" i="1" s="1"/>
  <c r="BI245" i="1"/>
  <c r="AN278" i="1"/>
  <c r="BH278" i="1" s="1"/>
  <c r="BI278" i="1"/>
  <c r="AN260" i="1"/>
  <c r="BH260" i="1" s="1"/>
  <c r="BI260" i="1"/>
  <c r="AN231" i="1"/>
  <c r="BH231" i="1" s="1"/>
  <c r="BI231" i="1"/>
  <c r="AN92" i="1"/>
  <c r="BH92" i="1" s="1"/>
  <c r="BI92" i="1"/>
  <c r="AN316" i="1"/>
  <c r="BH316" i="1" s="1"/>
  <c r="BI316" i="1"/>
  <c r="AN74" i="1"/>
  <c r="BH74" i="1" s="1"/>
  <c r="BI74" i="1"/>
  <c r="AN294" i="1"/>
  <c r="BH294" i="1" s="1"/>
  <c r="BI294" i="1"/>
  <c r="AN58" i="1"/>
  <c r="BH58" i="1" s="1"/>
  <c r="BI58" i="1"/>
  <c r="AN95" i="1"/>
  <c r="BH95" i="1" s="1"/>
  <c r="BI95" i="1"/>
  <c r="AN109" i="1"/>
  <c r="BH109" i="1" s="1"/>
  <c r="BI109" i="1"/>
  <c r="AN228" i="1"/>
  <c r="BH228" i="1" s="1"/>
  <c r="BI228" i="1"/>
  <c r="AN279" i="1"/>
  <c r="BH279" i="1" s="1"/>
  <c r="BI279" i="1"/>
  <c r="AN281" i="1"/>
  <c r="BH281" i="1" s="1"/>
  <c r="BI281" i="1"/>
  <c r="AN125" i="1"/>
  <c r="BH125" i="1" s="1"/>
  <c r="BI125" i="1"/>
  <c r="AN84" i="1"/>
  <c r="BH84" i="1" s="1"/>
  <c r="BI84" i="1"/>
  <c r="AN135" i="1"/>
  <c r="BH135" i="1" s="1"/>
  <c r="BI135" i="1"/>
  <c r="AN75" i="1"/>
  <c r="BH75" i="1" s="1"/>
  <c r="BI75" i="1"/>
  <c r="AN288" i="1"/>
  <c r="BH288" i="1" s="1"/>
  <c r="BI288" i="1"/>
  <c r="AN28" i="1"/>
  <c r="BH28" i="1" s="1"/>
  <c r="BI28" i="1"/>
  <c r="AN296" i="1"/>
  <c r="BH296" i="1" s="1"/>
  <c r="BI296" i="1"/>
  <c r="AN73" i="1"/>
  <c r="BH73" i="1" s="1"/>
  <c r="BI73" i="1"/>
  <c r="AN46" i="1"/>
  <c r="BH46" i="1" s="1"/>
  <c r="BI46" i="1"/>
  <c r="AN102" i="1"/>
  <c r="BH102" i="1" s="1"/>
  <c r="BI102" i="1"/>
  <c r="AN140" i="1"/>
  <c r="BH140" i="1" s="1"/>
  <c r="BI140" i="1"/>
  <c r="AN195" i="1"/>
  <c r="BH195" i="1" s="1"/>
  <c r="BI195" i="1"/>
  <c r="AN204" i="1"/>
  <c r="BH204" i="1" s="1"/>
  <c r="BI204" i="1"/>
  <c r="AN97" i="1"/>
  <c r="BH97" i="1" s="1"/>
  <c r="BI97" i="1"/>
  <c r="AN185" i="1"/>
  <c r="BH185" i="1" s="1"/>
  <c r="BI185" i="1"/>
  <c r="AN272" i="1"/>
  <c r="BH272" i="1" s="1"/>
  <c r="BI272" i="1"/>
  <c r="AN147" i="1"/>
  <c r="BH147" i="1" s="1"/>
  <c r="BI147" i="1"/>
  <c r="AN77" i="1"/>
  <c r="BH77" i="1" s="1"/>
  <c r="BI77" i="1"/>
  <c r="AN141" i="1"/>
  <c r="BH141" i="1" s="1"/>
  <c r="BI141" i="1"/>
  <c r="AN124" i="1"/>
  <c r="BH124" i="1" s="1"/>
  <c r="BI124" i="1"/>
  <c r="AN153" i="1"/>
  <c r="BH153" i="1" s="1"/>
  <c r="BI153" i="1"/>
  <c r="AN312" i="1"/>
  <c r="BH312" i="1" s="1"/>
  <c r="BI312" i="1"/>
  <c r="AN188" i="1"/>
  <c r="BH188" i="1" s="1"/>
  <c r="BI188" i="1"/>
  <c r="AN39" i="1"/>
  <c r="BH39" i="1" s="1"/>
  <c r="BI39" i="1"/>
  <c r="AN238" i="1"/>
  <c r="BH238" i="1" s="1"/>
  <c r="BI238" i="1"/>
  <c r="AN87" i="1"/>
  <c r="BH87" i="1" s="1"/>
  <c r="BI87" i="1"/>
  <c r="AN267" i="1"/>
  <c r="BH267" i="1" s="1"/>
  <c r="BI267" i="1"/>
  <c r="AN242" i="1"/>
  <c r="BH242" i="1" s="1"/>
  <c r="BI242" i="1"/>
  <c r="AN41" i="1"/>
  <c r="BH41" i="1" s="1"/>
  <c r="BI41" i="1"/>
  <c r="AN214" i="1"/>
  <c r="BH214" i="1" s="1"/>
  <c r="BI214" i="1"/>
  <c r="AN149" i="1"/>
  <c r="BH149" i="1" s="1"/>
  <c r="BI149" i="1"/>
  <c r="AN152" i="1"/>
  <c r="BH152" i="1" s="1"/>
  <c r="BI152" i="1"/>
  <c r="AN276" i="1"/>
  <c r="BH276" i="1" s="1"/>
  <c r="BI276" i="1"/>
  <c r="AN117" i="1"/>
  <c r="BH117" i="1" s="1"/>
  <c r="BI117" i="1"/>
  <c r="AN239" i="1"/>
  <c r="BH239" i="1" s="1"/>
  <c r="BI239" i="1"/>
  <c r="AN19" i="1"/>
  <c r="BH19" i="1" s="1"/>
  <c r="BI19" i="1"/>
  <c r="AN17" i="1"/>
  <c r="BH17" i="1" s="1"/>
  <c r="BI17" i="1"/>
  <c r="AN283" i="1"/>
  <c r="BH283" i="1" s="1"/>
  <c r="BI283" i="1"/>
  <c r="AN192" i="1"/>
  <c r="BH192" i="1" s="1"/>
  <c r="BI192" i="1"/>
  <c r="AN36" i="1"/>
  <c r="BH36" i="1" s="1"/>
  <c r="BI36" i="1"/>
  <c r="AN85" i="1"/>
  <c r="BH85" i="1" s="1"/>
  <c r="BI85" i="1"/>
  <c r="AN15" i="1"/>
  <c r="BH15" i="1" s="1"/>
  <c r="BI15" i="1"/>
  <c r="AN256" i="1"/>
  <c r="BH256" i="1" s="1"/>
  <c r="BI256" i="1"/>
  <c r="AN325" i="1"/>
  <c r="BH325" i="1" s="1"/>
  <c r="BI325" i="1"/>
  <c r="AN142" i="1"/>
  <c r="BH142" i="1" s="1"/>
  <c r="BI142" i="1"/>
  <c r="AN255" i="1"/>
  <c r="BH255" i="1" s="1"/>
  <c r="BI255" i="1"/>
  <c r="AN240" i="1"/>
  <c r="BH240" i="1" s="1"/>
  <c r="BI240" i="1"/>
  <c r="AN127" i="1"/>
  <c r="BH127" i="1" s="1"/>
  <c r="BI127" i="1"/>
  <c r="AN90" i="1"/>
  <c r="BH90" i="1" s="1"/>
  <c r="BI90" i="1"/>
  <c r="AN210" i="1"/>
  <c r="BH210" i="1" s="1"/>
  <c r="BI210" i="1"/>
  <c r="AN177" i="1"/>
  <c r="BH177" i="1" s="1"/>
  <c r="BI177" i="1"/>
  <c r="AN244" i="1"/>
  <c r="BH244" i="1" s="1"/>
  <c r="BI244" i="1"/>
  <c r="AN30" i="1"/>
  <c r="BH30" i="1" s="1"/>
  <c r="BI30" i="1"/>
  <c r="AN118" i="1"/>
  <c r="BH118" i="1" s="1"/>
  <c r="BI118" i="1"/>
  <c r="AN299" i="1"/>
  <c r="BH299" i="1" s="1"/>
  <c r="BI299" i="1"/>
  <c r="AN26" i="1"/>
  <c r="BH26" i="1" s="1"/>
  <c r="BI26" i="1"/>
  <c r="AN206" i="1"/>
  <c r="BH206" i="1" s="1"/>
  <c r="BI206" i="1"/>
  <c r="AN42" i="1"/>
  <c r="BH42" i="1" s="1"/>
  <c r="BI42" i="1"/>
  <c r="AN216" i="1"/>
  <c r="BH216" i="1" s="1"/>
  <c r="BI216" i="1"/>
  <c r="AN105" i="1"/>
  <c r="AN229" i="1"/>
  <c r="BH229" i="1" s="1"/>
  <c r="BI229" i="1"/>
  <c r="AN32" i="1"/>
  <c r="BH32" i="1" s="1"/>
  <c r="BI32" i="1"/>
  <c r="AN286" i="1"/>
  <c r="BH286" i="1" s="1"/>
  <c r="BI286" i="1"/>
  <c r="AN311" i="1"/>
  <c r="BH311" i="1" s="1"/>
  <c r="BI311" i="1"/>
  <c r="AN132" i="1"/>
  <c r="BH132" i="1" s="1"/>
  <c r="BI132" i="1"/>
  <c r="AN129" i="1"/>
  <c r="BH129" i="1" s="1"/>
  <c r="BI129" i="1"/>
  <c r="AN88" i="1"/>
  <c r="BH88" i="1" s="1"/>
  <c r="BI88" i="1"/>
  <c r="AN215" i="1"/>
  <c r="BH215" i="1" s="1"/>
  <c r="BI215" i="1"/>
  <c r="AN96" i="1"/>
  <c r="BH96" i="1" s="1"/>
  <c r="BI96" i="1"/>
  <c r="AN64" i="1"/>
  <c r="BH64" i="1" s="1"/>
  <c r="BI64" i="1"/>
  <c r="AN113" i="1"/>
  <c r="BH113" i="1" s="1"/>
  <c r="BI113" i="1"/>
  <c r="AN317" i="1"/>
  <c r="BH317" i="1" s="1"/>
  <c r="BI317" i="1"/>
  <c r="AN171" i="1"/>
  <c r="BH171" i="1" s="1"/>
  <c r="BI171" i="1"/>
  <c r="AN233" i="1"/>
  <c r="BH233" i="1" s="1"/>
  <c r="BI233" i="1"/>
  <c r="AN82" i="1"/>
  <c r="BH82" i="1" s="1"/>
  <c r="BI82" i="1"/>
  <c r="AN27" i="1"/>
  <c r="BH27" i="1" s="1"/>
  <c r="BI27" i="1"/>
  <c r="AN246" i="1"/>
  <c r="BH246" i="1" s="1"/>
  <c r="BI246" i="1"/>
  <c r="AN342" i="1"/>
  <c r="BH342" i="1" s="1"/>
  <c r="BI342" i="1"/>
  <c r="AN201" i="1"/>
  <c r="BH201" i="1" s="1"/>
  <c r="BI201" i="1"/>
  <c r="AN196" i="1"/>
  <c r="BH196" i="1" s="1"/>
  <c r="BI196" i="1"/>
  <c r="AN250" i="1"/>
  <c r="BH250" i="1" s="1"/>
  <c r="BI250" i="1"/>
  <c r="AN57" i="1"/>
  <c r="BH57" i="1" s="1"/>
  <c r="BI57" i="1"/>
  <c r="AN139" i="1"/>
  <c r="BH139" i="1" s="1"/>
  <c r="BI139" i="1"/>
  <c r="AN119" i="1"/>
  <c r="BH119" i="1" s="1"/>
  <c r="BI119" i="1"/>
  <c r="AN197" i="1"/>
  <c r="AN161" i="1"/>
  <c r="BH161" i="1" s="1"/>
  <c r="BI161" i="1"/>
  <c r="AN273" i="1"/>
  <c r="BH273" i="1" s="1"/>
  <c r="BI273" i="1"/>
  <c r="AN80" i="1"/>
  <c r="BH80" i="1" s="1"/>
  <c r="BI80" i="1"/>
  <c r="AN263" i="1"/>
  <c r="BH263" i="1" s="1"/>
  <c r="BI263" i="1"/>
  <c r="AN144" i="1"/>
  <c r="BH144" i="1" s="1"/>
  <c r="BI144" i="1"/>
  <c r="AN221" i="1"/>
  <c r="BH221" i="1" s="1"/>
  <c r="BI221" i="1"/>
  <c r="AN291" i="1"/>
  <c r="BH291" i="1" s="1"/>
  <c r="BI291" i="1"/>
  <c r="AN235" i="1"/>
  <c r="BH235" i="1" s="1"/>
  <c r="BI235" i="1"/>
  <c r="AN213" i="1"/>
  <c r="BH213" i="1" s="1"/>
  <c r="BI213" i="1"/>
  <c r="AN112" i="1"/>
  <c r="BH112" i="1" s="1"/>
  <c r="BI112" i="1"/>
  <c r="AN165" i="1"/>
  <c r="BH165" i="1" s="1"/>
  <c r="BI165" i="1"/>
  <c r="AN258" i="1"/>
  <c r="BH258" i="1" s="1"/>
  <c r="BI258" i="1"/>
  <c r="AN189" i="1"/>
  <c r="BH189" i="1" s="1"/>
  <c r="BI189" i="1"/>
  <c r="AN83" i="1"/>
  <c r="BH83" i="1" s="1"/>
  <c r="BI83" i="1"/>
  <c r="AN180" i="1"/>
  <c r="BH180" i="1" s="1"/>
  <c r="BI180" i="1"/>
  <c r="AN143" i="1"/>
  <c r="BH143" i="1" s="1"/>
  <c r="BI143" i="1"/>
  <c r="AN212" i="1"/>
  <c r="BH212" i="1" s="1"/>
  <c r="BI212" i="1"/>
  <c r="AN337" i="1"/>
  <c r="BH337" i="1" s="1"/>
  <c r="BI337" i="1"/>
  <c r="AN253" i="1"/>
  <c r="BH253" i="1" s="1"/>
  <c r="BI253" i="1"/>
  <c r="AN335" i="1"/>
  <c r="BH335" i="1" s="1"/>
  <c r="BI335" i="1"/>
  <c r="AN282" i="1"/>
  <c r="BH282" i="1" s="1"/>
  <c r="BI282" i="1"/>
  <c r="AN340" i="1"/>
  <c r="BH340" i="1" s="1"/>
  <c r="BI340" i="1"/>
  <c r="AN122" i="1"/>
  <c r="BH122" i="1" s="1"/>
  <c r="BI122" i="1"/>
  <c r="AN328" i="1"/>
  <c r="BH328" i="1" s="1"/>
  <c r="BI328" i="1"/>
  <c r="AN314" i="1"/>
  <c r="BH314" i="1" s="1"/>
  <c r="BI314" i="1"/>
  <c r="AN184" i="1"/>
  <c r="BH184" i="1" s="1"/>
  <c r="BI184" i="1"/>
  <c r="AN341" i="1"/>
  <c r="BH341" i="1" s="1"/>
  <c r="BI341" i="1"/>
  <c r="AN211" i="1"/>
  <c r="BH211" i="1" s="1"/>
  <c r="BI211" i="1"/>
  <c r="AN194" i="1"/>
  <c r="BH194" i="1" s="1"/>
  <c r="BI194" i="1"/>
  <c r="AN116" i="1"/>
  <c r="BH116" i="1" s="1"/>
  <c r="BI116" i="1"/>
  <c r="AN219" i="1"/>
  <c r="BH219" i="1" s="1"/>
  <c r="BI219" i="1"/>
  <c r="AN329" i="1"/>
  <c r="BH329" i="1" s="1"/>
  <c r="BI329" i="1"/>
  <c r="AN121" i="1"/>
  <c r="BH121" i="1" s="1"/>
  <c r="BI121" i="1"/>
  <c r="AN66" i="1"/>
  <c r="BH66" i="1" s="1"/>
  <c r="BI66" i="1"/>
  <c r="AN67" i="1"/>
  <c r="BH67" i="1" s="1"/>
  <c r="BI67" i="1"/>
  <c r="AN62" i="1"/>
  <c r="BH62" i="1" s="1"/>
  <c r="BI62" i="1"/>
  <c r="AN155" i="1"/>
  <c r="BH155" i="1" s="1"/>
  <c r="BI155" i="1"/>
  <c r="AN14" i="1"/>
  <c r="BH14" i="1" s="1"/>
  <c r="BI14" i="1"/>
  <c r="AN145" i="1"/>
  <c r="BH145" i="1" s="1"/>
  <c r="BI145" i="1"/>
  <c r="AN48" i="1"/>
  <c r="BH48" i="1" s="1"/>
  <c r="BI48" i="1"/>
  <c r="AN320" i="1"/>
  <c r="BH320" i="1" s="1"/>
  <c r="BI320" i="1"/>
  <c r="AN25" i="1"/>
  <c r="BH25" i="1" s="1"/>
  <c r="BI25" i="1"/>
  <c r="AN159" i="1"/>
  <c r="BH159" i="1" s="1"/>
  <c r="BI159" i="1"/>
  <c r="AN157" i="1"/>
  <c r="BH157" i="1" s="1"/>
  <c r="BI157" i="1"/>
  <c r="AN327" i="1"/>
  <c r="BH327" i="1" s="1"/>
  <c r="BI327" i="1"/>
  <c r="AN99" i="1"/>
  <c r="BH99" i="1" s="1"/>
  <c r="BI99" i="1"/>
  <c r="AN292" i="1"/>
  <c r="BH292" i="1" s="1"/>
  <c r="BI292" i="1"/>
  <c r="AN162" i="1"/>
  <c r="BH162" i="1" s="1"/>
  <c r="BI162" i="1"/>
  <c r="AN138" i="1"/>
  <c r="BH138" i="1" s="1"/>
  <c r="BI138" i="1"/>
  <c r="AN176" i="1"/>
  <c r="BH176" i="1" s="1"/>
  <c r="BI176" i="1"/>
  <c r="AN52" i="1"/>
  <c r="BH52" i="1" s="1"/>
  <c r="BI52" i="1"/>
  <c r="AN108" i="1"/>
  <c r="BH108" i="1" s="1"/>
  <c r="BI108" i="1"/>
  <c r="AN186" i="1"/>
  <c r="BH186" i="1" s="1"/>
  <c r="BI186" i="1"/>
  <c r="AN103" i="1"/>
  <c r="BH103" i="1" s="1"/>
  <c r="BI103" i="1"/>
  <c r="AN98" i="1"/>
  <c r="BH98" i="1" s="1"/>
  <c r="BI98" i="1"/>
  <c r="AN223" i="1"/>
  <c r="BH223" i="1" s="1"/>
  <c r="BI223" i="1"/>
  <c r="AN234" i="1"/>
  <c r="BH234" i="1" s="1"/>
  <c r="BI234" i="1"/>
  <c r="AN193" i="1"/>
  <c r="BH193" i="1" s="1"/>
  <c r="BI193" i="1"/>
  <c r="AN257" i="1"/>
  <c r="BH257" i="1" s="1"/>
  <c r="BI257" i="1"/>
  <c r="AN209" i="1"/>
  <c r="BH209" i="1" s="1"/>
  <c r="BI209" i="1"/>
  <c r="AN114" i="1"/>
  <c r="BH114" i="1" s="1"/>
  <c r="BI114" i="1"/>
  <c r="AN172" i="1"/>
  <c r="BH172" i="1" s="1"/>
  <c r="BI172" i="1"/>
  <c r="AN304" i="1"/>
  <c r="BH304" i="1" s="1"/>
  <c r="BI304" i="1"/>
  <c r="AN53" i="1"/>
  <c r="BH53" i="1" s="1"/>
  <c r="BI53" i="1"/>
  <c r="AN284" i="1"/>
  <c r="BH284" i="1" s="1"/>
  <c r="BI284" i="1"/>
  <c r="AN175" i="1"/>
  <c r="BH175" i="1" s="1"/>
  <c r="BI175" i="1"/>
  <c r="AN232" i="1"/>
  <c r="BH232" i="1" s="1"/>
  <c r="BI232" i="1"/>
  <c r="AN168" i="1"/>
  <c r="BH168" i="1" s="1"/>
  <c r="BI168" i="1"/>
  <c r="AN164" i="1"/>
  <c r="BH164" i="1" s="1"/>
  <c r="BI164" i="1"/>
  <c r="AN71" i="1"/>
  <c r="BH71" i="1" s="1"/>
  <c r="BI71" i="1"/>
  <c r="AN130" i="1"/>
  <c r="BH130" i="1" s="1"/>
  <c r="BI130" i="1"/>
  <c r="AN91" i="1"/>
  <c r="BH91" i="1" s="1"/>
  <c r="BI91" i="1"/>
  <c r="AN63" i="1"/>
  <c r="BH63" i="1" s="1"/>
  <c r="BI63" i="1"/>
  <c r="AN247" i="1"/>
  <c r="BH247" i="1" s="1"/>
  <c r="BI247" i="1"/>
  <c r="AN148" i="1"/>
  <c r="BH148" i="1" s="1"/>
  <c r="BI148" i="1"/>
  <c r="AN43" i="1"/>
  <c r="BH43" i="1" s="1"/>
  <c r="BI43" i="1"/>
  <c r="AN31" i="1"/>
  <c r="BH31" i="1" s="1"/>
  <c r="BI31" i="1"/>
  <c r="AN181" i="1"/>
  <c r="BH181" i="1" s="1"/>
  <c r="BI181" i="1"/>
  <c r="AN107" i="1"/>
  <c r="BH107" i="1" s="1"/>
  <c r="BI107" i="1"/>
  <c r="AN131" i="1"/>
  <c r="BH131" i="1" s="1"/>
  <c r="BI131" i="1"/>
  <c r="AN326" i="1"/>
  <c r="BH326" i="1" s="1"/>
  <c r="BI326" i="1"/>
  <c r="AN290" i="1"/>
  <c r="BH290" i="1" s="1"/>
  <c r="BI290" i="1"/>
  <c r="AN166" i="1"/>
  <c r="BH166" i="1" s="1"/>
  <c r="BI166" i="1"/>
  <c r="AN120" i="1"/>
  <c r="BH120" i="1" s="1"/>
  <c r="BI120" i="1"/>
  <c r="AN277" i="1"/>
  <c r="BH277" i="1" s="1"/>
  <c r="BI277" i="1"/>
  <c r="AN265" i="1"/>
  <c r="BH265" i="1" s="1"/>
  <c r="BI265" i="1"/>
  <c r="AN136" i="1"/>
  <c r="BH136" i="1" s="1"/>
  <c r="BI136" i="1"/>
  <c r="AN289" i="1"/>
  <c r="BH289" i="1" s="1"/>
  <c r="BI289" i="1"/>
  <c r="AN45" i="1"/>
  <c r="BH45" i="1" s="1"/>
  <c r="BI45" i="1"/>
  <c r="AN203" i="1"/>
  <c r="AN199" i="1"/>
  <c r="BH199" i="1" s="1"/>
  <c r="BI199" i="1"/>
  <c r="AN160" i="1"/>
  <c r="BH160" i="1" s="1"/>
  <c r="BI160" i="1"/>
  <c r="AN230" i="1"/>
  <c r="BH230" i="1" s="1"/>
  <c r="BI230" i="1"/>
  <c r="AN190" i="1"/>
  <c r="BH190" i="1" s="1"/>
  <c r="BI190" i="1"/>
  <c r="AN218" i="1"/>
  <c r="BH218" i="1" s="1"/>
  <c r="BI218" i="1"/>
  <c r="AN86" i="1"/>
  <c r="BH86" i="1" s="1"/>
  <c r="BI86" i="1"/>
  <c r="AN50" i="1"/>
  <c r="BH50" i="1" s="1"/>
  <c r="BI50" i="1"/>
  <c r="AN313" i="1"/>
  <c r="BH313" i="1" s="1"/>
  <c r="BI313" i="1"/>
  <c r="AN40" i="1"/>
  <c r="BH40" i="1" s="1"/>
  <c r="BI40" i="1"/>
  <c r="AN29" i="1"/>
  <c r="BH29" i="1" s="1"/>
  <c r="BI29" i="1"/>
  <c r="AN310" i="1"/>
  <c r="BH310" i="1" s="1"/>
  <c r="BI310" i="1"/>
  <c r="AN217" i="1"/>
  <c r="BH217" i="1" s="1"/>
  <c r="BI217" i="1"/>
  <c r="AN191" i="1"/>
  <c r="BH191" i="1" s="1"/>
  <c r="BI191" i="1"/>
  <c r="AN59" i="1"/>
  <c r="BH59" i="1" s="1"/>
  <c r="BI59" i="1"/>
  <c r="AN333" i="1"/>
  <c r="BH333" i="1" s="1"/>
  <c r="BI333" i="1"/>
  <c r="AN133" i="1"/>
  <c r="BH133" i="1" s="1"/>
  <c r="BI133" i="1"/>
  <c r="AN72" i="1"/>
  <c r="BH72" i="1" s="1"/>
  <c r="BI72" i="1"/>
  <c r="AN115" i="1"/>
  <c r="BH115" i="1" s="1"/>
  <c r="BI115" i="1"/>
  <c r="AN301" i="1"/>
  <c r="BH301" i="1" s="1"/>
  <c r="BI301" i="1"/>
  <c r="AN187" i="1"/>
  <c r="BH187" i="1" s="1"/>
  <c r="BI187" i="1"/>
  <c r="AN264" i="1"/>
  <c r="BH264" i="1" s="1"/>
  <c r="BI264" i="1"/>
  <c r="AN302" i="1"/>
  <c r="BH302" i="1" s="1"/>
  <c r="BI302" i="1"/>
  <c r="AN163" i="1"/>
  <c r="BH163" i="1" s="1"/>
  <c r="BI163" i="1"/>
  <c r="AN227" i="1"/>
  <c r="BH227" i="1" s="1"/>
  <c r="BI227" i="1"/>
  <c r="AN271" i="1"/>
  <c r="BH271" i="1" s="1"/>
  <c r="BI271" i="1"/>
  <c r="AN60" i="1"/>
  <c r="BH60" i="1" s="1"/>
  <c r="BI60" i="1"/>
  <c r="AN126" i="1"/>
  <c r="BH126" i="1" s="1"/>
  <c r="BI126" i="1"/>
  <c r="AN37" i="1"/>
  <c r="BH37" i="1" s="1"/>
  <c r="BI37" i="1"/>
  <c r="AN81" i="1"/>
  <c r="BH81" i="1" s="1"/>
  <c r="BI81" i="1"/>
  <c r="AN323" i="1"/>
  <c r="BH323" i="1" s="1"/>
  <c r="BI323" i="1"/>
  <c r="AN158" i="1"/>
  <c r="BH158" i="1" s="1"/>
  <c r="BI158" i="1"/>
  <c r="AN318" i="1"/>
  <c r="BH318" i="1" s="1"/>
  <c r="BI318" i="1"/>
  <c r="AN89" i="1"/>
  <c r="BH89" i="1" s="1"/>
  <c r="BI89" i="1"/>
  <c r="AN305" i="1"/>
  <c r="BH305" i="1" s="1"/>
  <c r="BI305" i="1"/>
  <c r="AN167" i="1"/>
  <c r="BH167" i="1" s="1"/>
  <c r="BI167" i="1"/>
  <c r="AN24" i="1"/>
  <c r="BH24" i="1" s="1"/>
  <c r="BI24" i="1"/>
  <c r="AN61" i="1"/>
  <c r="BH61" i="1" s="1"/>
  <c r="BI61" i="1"/>
  <c r="AN332" i="1"/>
  <c r="BH332" i="1" s="1"/>
  <c r="BI332" i="1"/>
  <c r="AN110" i="1"/>
  <c r="BH110" i="1" s="1"/>
  <c r="BI110" i="1"/>
  <c r="AN285" i="1"/>
  <c r="BH285" i="1" s="1"/>
  <c r="BI285" i="1"/>
  <c r="AN275" i="1"/>
  <c r="BH275" i="1" s="1"/>
  <c r="BI275" i="1"/>
  <c r="AN300" i="1"/>
  <c r="BH300" i="1" s="1"/>
  <c r="BI300" i="1"/>
  <c r="AN222" i="1"/>
  <c r="BH222" i="1" s="1"/>
  <c r="BI222" i="1"/>
  <c r="AN266" i="1"/>
  <c r="BH266" i="1" s="1"/>
  <c r="BI266" i="1"/>
  <c r="AN315" i="1"/>
  <c r="BH315" i="1" s="1"/>
  <c r="BI315" i="1"/>
  <c r="AN237" i="1"/>
  <c r="BH237" i="1" s="1"/>
  <c r="BI237" i="1"/>
  <c r="AN334" i="1"/>
  <c r="BH334" i="1" s="1"/>
  <c r="BI334" i="1"/>
  <c r="AN65" i="1"/>
  <c r="BH65" i="1" s="1"/>
  <c r="BI65" i="1"/>
  <c r="AN123" i="1"/>
  <c r="BH123" i="1" s="1"/>
  <c r="BI123" i="1"/>
  <c r="AN259" i="1"/>
  <c r="BH259" i="1" s="1"/>
  <c r="BI259" i="1"/>
  <c r="AN151" i="1"/>
  <c r="BH151" i="1" s="1"/>
  <c r="BI151" i="1"/>
  <c r="AN146" i="1"/>
  <c r="BH146" i="1" s="1"/>
  <c r="BI146" i="1"/>
  <c r="AN321" i="1"/>
  <c r="BH321" i="1" s="1"/>
  <c r="BI321" i="1"/>
  <c r="AN174" i="1"/>
  <c r="BH174" i="1" s="1"/>
  <c r="BI174" i="1"/>
  <c r="AN100" i="1"/>
  <c r="BH100" i="1" s="1"/>
  <c r="BI100" i="1"/>
  <c r="AN55" i="1"/>
  <c r="BH55" i="1" s="1"/>
  <c r="BI55" i="1"/>
  <c r="AN249" i="1"/>
  <c r="BH249" i="1" s="1"/>
  <c r="BI249" i="1"/>
  <c r="AN18" i="1"/>
  <c r="BH18" i="1" s="1"/>
  <c r="BI18" i="1"/>
  <c r="AN324" i="1"/>
  <c r="BH324" i="1" s="1"/>
  <c r="BI324" i="1"/>
  <c r="AN287" i="1"/>
  <c r="BH287" i="1" s="1"/>
  <c r="BI287" i="1"/>
  <c r="AY282" i="1"/>
  <c r="BD121" i="1"/>
  <c r="AY121" i="1"/>
  <c r="BD155" i="1"/>
  <c r="DL155" i="1" s="1"/>
  <c r="BD134" i="1"/>
  <c r="DL134" i="1" s="1"/>
  <c r="AY134" i="1"/>
  <c r="BD245" i="1"/>
  <c r="DK245" i="1" s="1"/>
  <c r="AY245" i="1"/>
  <c r="BD94" i="1"/>
  <c r="AY94" i="1"/>
  <c r="BD169" i="1"/>
  <c r="DG169" i="1" s="1"/>
  <c r="AY169" i="1"/>
  <c r="BD268" i="1"/>
  <c r="AY268" i="1"/>
  <c r="BD322" i="1"/>
  <c r="DK322" i="1" s="1"/>
  <c r="AY322" i="1"/>
  <c r="BD93" i="1"/>
  <c r="AY93" i="1"/>
  <c r="BD33" i="1"/>
  <c r="DL33" i="1" s="1"/>
  <c r="AY33" i="1"/>
  <c r="BD16" i="1"/>
  <c r="DL16" i="1" s="1"/>
  <c r="AY16" i="1"/>
  <c r="BD270" i="1"/>
  <c r="AY270" i="1"/>
  <c r="BD336" i="1"/>
  <c r="DG336" i="1" s="1"/>
  <c r="AY336" i="1"/>
  <c r="BD38" i="1"/>
  <c r="AY38" i="1"/>
  <c r="BD200" i="1"/>
  <c r="DL200" i="1" s="1"/>
  <c r="AY200" i="1"/>
  <c r="BD248" i="1"/>
  <c r="AY248" i="1"/>
  <c r="BD137" i="1"/>
  <c r="DG137" i="1" s="1"/>
  <c r="AY137" i="1"/>
  <c r="BD76" i="1"/>
  <c r="DL76" i="1" s="1"/>
  <c r="AY76" i="1"/>
  <c r="BD278" i="1"/>
  <c r="AY278" i="1"/>
  <c r="BD260" i="1"/>
  <c r="DK260" i="1" s="1"/>
  <c r="AY260" i="1"/>
  <c r="BD316" i="1"/>
  <c r="AY316" i="1"/>
  <c r="BD74" i="1"/>
  <c r="DL74" i="1" s="1"/>
  <c r="AY74" i="1"/>
  <c r="BD294" i="1"/>
  <c r="DL294" i="1" s="1"/>
  <c r="AY294" i="1"/>
  <c r="BD58" i="1"/>
  <c r="DK58" i="1" s="1"/>
  <c r="AY58" i="1"/>
  <c r="BD95" i="1"/>
  <c r="AY95" i="1"/>
  <c r="BD109" i="1"/>
  <c r="DL109" i="1" s="1"/>
  <c r="AY109" i="1"/>
  <c r="BD281" i="1"/>
  <c r="AY281" i="1"/>
  <c r="BD125" i="1"/>
  <c r="DK125" i="1" s="1"/>
  <c r="AY125" i="1"/>
  <c r="BD84" i="1"/>
  <c r="DL84" i="1" s="1"/>
  <c r="AY84" i="1"/>
  <c r="BD135" i="1"/>
  <c r="DK135" i="1" s="1"/>
  <c r="AY135" i="1"/>
  <c r="BD75" i="1"/>
  <c r="AY75" i="1"/>
  <c r="BD288" i="1"/>
  <c r="DK288" i="1" s="1"/>
  <c r="AY288" i="1"/>
  <c r="BD140" i="1"/>
  <c r="AY140" i="1"/>
  <c r="BD97" i="1"/>
  <c r="DL97" i="1" s="1"/>
  <c r="AY97" i="1"/>
  <c r="BD272" i="1"/>
  <c r="DL272" i="1" s="1"/>
  <c r="AY272" i="1"/>
  <c r="BD147" i="1"/>
  <c r="DL147" i="1" s="1"/>
  <c r="AY147" i="1"/>
  <c r="BD77" i="1"/>
  <c r="DL77" i="1" s="1"/>
  <c r="AY77" i="1"/>
  <c r="BD141" i="1"/>
  <c r="AY141" i="1"/>
  <c r="BD124" i="1"/>
  <c r="DL124" i="1" s="1"/>
  <c r="AY124" i="1"/>
  <c r="BD49" i="1"/>
  <c r="AY49" i="1"/>
  <c r="BD39" i="1"/>
  <c r="DL39" i="1" s="1"/>
  <c r="AY39" i="1"/>
  <c r="BD267" i="1"/>
  <c r="AY267" i="1"/>
  <c r="BD117" i="1"/>
  <c r="AY117" i="1"/>
  <c r="BD19" i="1"/>
  <c r="DL19" i="1" s="1"/>
  <c r="AY19" i="1"/>
  <c r="BD229" i="1"/>
  <c r="DK229" i="1" s="1"/>
  <c r="AY229" i="1"/>
  <c r="BD32" i="1"/>
  <c r="AY32" i="1"/>
  <c r="BD286" i="1"/>
  <c r="AY286" i="1"/>
  <c r="BD311" i="1"/>
  <c r="BD132" i="1"/>
  <c r="AY132" i="1"/>
  <c r="BD129" i="1"/>
  <c r="DK129" i="1" s="1"/>
  <c r="AY129" i="1"/>
  <c r="BD88" i="1"/>
  <c r="DL88" i="1" s="1"/>
  <c r="AY88" i="1"/>
  <c r="AY215" i="1"/>
  <c r="BD319" i="1"/>
  <c r="DL319" i="1" s="1"/>
  <c r="AY319" i="1"/>
  <c r="BD46" i="1"/>
  <c r="AY46" i="1"/>
  <c r="BD153" i="1"/>
  <c r="AY153" i="1"/>
  <c r="BD238" i="1"/>
  <c r="AY238" i="1"/>
  <c r="BD87" i="1"/>
  <c r="AY87" i="1"/>
  <c r="BD242" i="1"/>
  <c r="DL242" i="1" s="1"/>
  <c r="AY242" i="1"/>
  <c r="BD41" i="1"/>
  <c r="AY41" i="1"/>
  <c r="AY214" i="1"/>
  <c r="BD152" i="1"/>
  <c r="AY152" i="1"/>
  <c r="BD276" i="1"/>
  <c r="AY276" i="1"/>
  <c r="BD239" i="1"/>
  <c r="DG239" i="1" s="1"/>
  <c r="AY239" i="1"/>
  <c r="BD306" i="1"/>
  <c r="AY306" i="1"/>
  <c r="BD104" i="1"/>
  <c r="AY104" i="1"/>
  <c r="BD17" i="1"/>
  <c r="AY17" i="1"/>
  <c r="BD283" i="1"/>
  <c r="AY283" i="1"/>
  <c r="BD36" i="1"/>
  <c r="DL36" i="1" s="1"/>
  <c r="AY36" i="1"/>
  <c r="BD85" i="1"/>
  <c r="AY85" i="1"/>
  <c r="BD15" i="1"/>
  <c r="DL15" i="1" s="1"/>
  <c r="AY15" i="1"/>
  <c r="BD256" i="1"/>
  <c r="DK256" i="1" s="1"/>
  <c r="AY256" i="1"/>
  <c r="BD325" i="1"/>
  <c r="AY325" i="1"/>
  <c r="BD142" i="1"/>
  <c r="AY142" i="1"/>
  <c r="BD255" i="1"/>
  <c r="AY255" i="1"/>
  <c r="BD127" i="1"/>
  <c r="AY127" i="1"/>
  <c r="BD90" i="1"/>
  <c r="DL90" i="1" s="1"/>
  <c r="AY90" i="1"/>
  <c r="BD210" i="1"/>
  <c r="DL210" i="1" s="1"/>
  <c r="AY210" i="1"/>
  <c r="BD177" i="1"/>
  <c r="DK177" i="1" s="1"/>
  <c r="AY177" i="1"/>
  <c r="BD244" i="1"/>
  <c r="DK244" i="1" s="1"/>
  <c r="AY244" i="1"/>
  <c r="AY150" i="1"/>
  <c r="BD30" i="1"/>
  <c r="DL30" i="1" s="1"/>
  <c r="AY30" i="1"/>
  <c r="AY118" i="1"/>
  <c r="BD26" i="1"/>
  <c r="DK26" i="1" s="1"/>
  <c r="AY26" i="1"/>
  <c r="BD206" i="1"/>
  <c r="DP206" i="1" s="1"/>
  <c r="AY206" i="1"/>
  <c r="BD42" i="1"/>
  <c r="DG42" i="1" s="1"/>
  <c r="AY42" i="1"/>
  <c r="BD216" i="1"/>
  <c r="DL216" i="1" s="1"/>
  <c r="AY216" i="1"/>
  <c r="BD274" i="1"/>
  <c r="AY274" i="1"/>
  <c r="BD303" i="1"/>
  <c r="DK303" i="1" s="1"/>
  <c r="AY303" i="1"/>
  <c r="BD96" i="1"/>
  <c r="AY96" i="1"/>
  <c r="BD64" i="1"/>
  <c r="AY64" i="1"/>
  <c r="BD113" i="1"/>
  <c r="DK113" i="1" s="1"/>
  <c r="AY113" i="1"/>
  <c r="BD317" i="1"/>
  <c r="AY317" i="1"/>
  <c r="BD171" i="1"/>
  <c r="DK171" i="1" s="1"/>
  <c r="AY171" i="1"/>
  <c r="BD233" i="1"/>
  <c r="DL233" i="1" s="1"/>
  <c r="AY233" i="1"/>
  <c r="BD82" i="1"/>
  <c r="AY82" i="1"/>
  <c r="BD27" i="1"/>
  <c r="DK27" i="1" s="1"/>
  <c r="AY27" i="1"/>
  <c r="BD246" i="1"/>
  <c r="AY246" i="1"/>
  <c r="BD342" i="1"/>
  <c r="AY342" i="1"/>
  <c r="BD201" i="1"/>
  <c r="DL201" i="1" s="1"/>
  <c r="AY201" i="1"/>
  <c r="BD196" i="1"/>
  <c r="AY196" i="1"/>
  <c r="BD250" i="1"/>
  <c r="DL250" i="1" s="1"/>
  <c r="AY250" i="1"/>
  <c r="BD57" i="1"/>
  <c r="DL57" i="1" s="1"/>
  <c r="AY57" i="1"/>
  <c r="BD139" i="1"/>
  <c r="AY139" i="1"/>
  <c r="BD119" i="1"/>
  <c r="DK119" i="1" s="1"/>
  <c r="AY119" i="1"/>
  <c r="BD161" i="1"/>
  <c r="AY161" i="1"/>
  <c r="BD263" i="1"/>
  <c r="DK263" i="1" s="1"/>
  <c r="AY263" i="1"/>
  <c r="BD144" i="1"/>
  <c r="DG144" i="1" s="1"/>
  <c r="AY144" i="1"/>
  <c r="BD221" i="1"/>
  <c r="DL221" i="1" s="1"/>
  <c r="AY221" i="1"/>
  <c r="BD291" i="1"/>
  <c r="DL291" i="1" s="1"/>
  <c r="AY291" i="1"/>
  <c r="AY235" i="1"/>
  <c r="BD213" i="1"/>
  <c r="AY213" i="1"/>
  <c r="BD112" i="1"/>
  <c r="BD258" i="1"/>
  <c r="DK258" i="1" s="1"/>
  <c r="AY258" i="1"/>
  <c r="BD189" i="1"/>
  <c r="DG189" i="1" s="1"/>
  <c r="AY189" i="1"/>
  <c r="BD83" i="1"/>
  <c r="DK83" i="1" s="1"/>
  <c r="AY83" i="1"/>
  <c r="BD314" i="1"/>
  <c r="DK314" i="1" s="1"/>
  <c r="AY314" i="1"/>
  <c r="AY184" i="1"/>
  <c r="BD211" i="1"/>
  <c r="DG211" i="1" s="1"/>
  <c r="AY211" i="1"/>
  <c r="BD194" i="1"/>
  <c r="DK194" i="1" s="1"/>
  <c r="AY194" i="1"/>
  <c r="BD116" i="1"/>
  <c r="DK116" i="1" s="1"/>
  <c r="AY116" i="1"/>
  <c r="BD226" i="1"/>
  <c r="AY226" i="1"/>
  <c r="BD208" i="1"/>
  <c r="DG208" i="1" s="1"/>
  <c r="AY208" i="1"/>
  <c r="AY66" i="1"/>
  <c r="BD14" i="1"/>
  <c r="AY14" i="1"/>
  <c r="BD145" i="1"/>
  <c r="AY145" i="1"/>
  <c r="BD320" i="1"/>
  <c r="DK320" i="1" s="1"/>
  <c r="AY320" i="1"/>
  <c r="BD157" i="1"/>
  <c r="DL157" i="1" s="1"/>
  <c r="AY157" i="1"/>
  <c r="BD327" i="1"/>
  <c r="AY327" i="1"/>
  <c r="BD99" i="1"/>
  <c r="AY99" i="1"/>
  <c r="BD195" i="1"/>
  <c r="DL195" i="1" s="1"/>
  <c r="AY195" i="1"/>
  <c r="BD102" i="1"/>
  <c r="DK102" i="1" s="1"/>
  <c r="AY102" i="1"/>
  <c r="BD335" i="1"/>
  <c r="DL335" i="1" s="1"/>
  <c r="AY335" i="1"/>
  <c r="BD236" i="1"/>
  <c r="DK236" i="1" s="1"/>
  <c r="AY236" i="1"/>
  <c r="BD230" i="1"/>
  <c r="DL230" i="1" s="1"/>
  <c r="AY230" i="1"/>
  <c r="AY50" i="1"/>
  <c r="BD202" i="1"/>
  <c r="AY202" i="1"/>
  <c r="BD269" i="1"/>
  <c r="AY269" i="1"/>
  <c r="BD79" i="1"/>
  <c r="DL79" i="1" s="1"/>
  <c r="AY79" i="1"/>
  <c r="BD29" i="1"/>
  <c r="AY29" i="1"/>
  <c r="BD310" i="1"/>
  <c r="DK310" i="1" s="1"/>
  <c r="AY310" i="1"/>
  <c r="BD217" i="1"/>
  <c r="AY217" i="1"/>
  <c r="BD191" i="1"/>
  <c r="DK191" i="1" s="1"/>
  <c r="AY191" i="1"/>
  <c r="AY333" i="1"/>
  <c r="BD72" i="1"/>
  <c r="AY72" i="1"/>
  <c r="BD115" i="1"/>
  <c r="AY115" i="1"/>
  <c r="BD301" i="1"/>
  <c r="DK301" i="1" s="1"/>
  <c r="AY301" i="1"/>
  <c r="BD187" i="1"/>
  <c r="AY187" i="1"/>
  <c r="BD264" i="1"/>
  <c r="DL264" i="1" s="1"/>
  <c r="AY264" i="1"/>
  <c r="BD163" i="1"/>
  <c r="AY163" i="1"/>
  <c r="BD271" i="1"/>
  <c r="DL271" i="1" s="1"/>
  <c r="AY271" i="1"/>
  <c r="BD51" i="1"/>
  <c r="DL51" i="1" s="1"/>
  <c r="AY51" i="1"/>
  <c r="BD73" i="1"/>
  <c r="DK73" i="1" s="1"/>
  <c r="AY73" i="1"/>
  <c r="BD22" i="1"/>
  <c r="AY22" i="1"/>
  <c r="BD295" i="1"/>
  <c r="DG295" i="1" s="1"/>
  <c r="AY295" i="1"/>
  <c r="BD212" i="1"/>
  <c r="AY212" i="1"/>
  <c r="BD340" i="1"/>
  <c r="DG340" i="1" s="1"/>
  <c r="AY340" i="1"/>
  <c r="BD170" i="1"/>
  <c r="AY170" i="1"/>
  <c r="BD219" i="1"/>
  <c r="DL219" i="1" s="1"/>
  <c r="AY219" i="1"/>
  <c r="BD62" i="1"/>
  <c r="DG62" i="1" s="1"/>
  <c r="AY62" i="1"/>
  <c r="BD254" i="1"/>
  <c r="DG254" i="1" s="1"/>
  <c r="AY254" i="1"/>
  <c r="BD138" i="1"/>
  <c r="DL138" i="1" s="1"/>
  <c r="AY138" i="1"/>
  <c r="BD186" i="1"/>
  <c r="AY186" i="1"/>
  <c r="BD103" i="1"/>
  <c r="AY103" i="1"/>
  <c r="BD193" i="1"/>
  <c r="DK193" i="1" s="1"/>
  <c r="AY193" i="1"/>
  <c r="BD209" i="1"/>
  <c r="DL209" i="1" s="1"/>
  <c r="AY209" i="1"/>
  <c r="BD172" i="1"/>
  <c r="DL172" i="1" s="1"/>
  <c r="AY172" i="1"/>
  <c r="BD284" i="1"/>
  <c r="DL284" i="1" s="1"/>
  <c r="AY284" i="1"/>
  <c r="BD168" i="1"/>
  <c r="DL168" i="1" s="1"/>
  <c r="AY168" i="1"/>
  <c r="BD71" i="1"/>
  <c r="DG71" i="1" s="1"/>
  <c r="AY71" i="1"/>
  <c r="BD247" i="1"/>
  <c r="DL247" i="1" s="1"/>
  <c r="BD43" i="1"/>
  <c r="DL43" i="1" s="1"/>
  <c r="AY43" i="1"/>
  <c r="BD181" i="1"/>
  <c r="DL181" i="1" s="1"/>
  <c r="AY181" i="1"/>
  <c r="BD326" i="1"/>
  <c r="DL326" i="1" s="1"/>
  <c r="AY326" i="1"/>
  <c r="BD298" i="1"/>
  <c r="AY298" i="1"/>
  <c r="BD120" i="1"/>
  <c r="AY120" i="1"/>
  <c r="BD136" i="1"/>
  <c r="DK136" i="1" s="1"/>
  <c r="AY136" i="1"/>
  <c r="BD199" i="1"/>
  <c r="DL199" i="1" s="1"/>
  <c r="AY199" i="1"/>
  <c r="BD190" i="1"/>
  <c r="AY190" i="1"/>
  <c r="BD86" i="1"/>
  <c r="DK86" i="1" s="1"/>
  <c r="BD40" i="1"/>
  <c r="AY40" i="1"/>
  <c r="BD205" i="1"/>
  <c r="AY205" i="1"/>
  <c r="BD78" i="1"/>
  <c r="AY78" i="1"/>
  <c r="BD60" i="1"/>
  <c r="AY60" i="1"/>
  <c r="BD126" i="1"/>
  <c r="DL126" i="1" s="1"/>
  <c r="AY126" i="1"/>
  <c r="BD37" i="1"/>
  <c r="DL37" i="1" s="1"/>
  <c r="AY37" i="1"/>
  <c r="BD81" i="1"/>
  <c r="DL81" i="1" s="1"/>
  <c r="AY81" i="1"/>
  <c r="BD323" i="1"/>
  <c r="BD158" i="1"/>
  <c r="DL158" i="1" s="1"/>
  <c r="AY158" i="1"/>
  <c r="BD318" i="1"/>
  <c r="BD89" i="1"/>
  <c r="AY89" i="1"/>
  <c r="BD305" i="1"/>
  <c r="AY305" i="1"/>
  <c r="BD167" i="1"/>
  <c r="DG167" i="1" s="1"/>
  <c r="AY167" i="1"/>
  <c r="BD24" i="1"/>
  <c r="DK24" i="1" s="1"/>
  <c r="AY24" i="1"/>
  <c r="BD61" i="1"/>
  <c r="DL61" i="1" s="1"/>
  <c r="AY61" i="1"/>
  <c r="BD332" i="1"/>
  <c r="DG332" i="1" s="1"/>
  <c r="BD110" i="1"/>
  <c r="DK110" i="1" s="1"/>
  <c r="BD285" i="1"/>
  <c r="DL285" i="1" s="1"/>
  <c r="BD275" i="1"/>
  <c r="AY275" i="1"/>
  <c r="BD28" i="1"/>
  <c r="DK28" i="1" s="1"/>
  <c r="AY28" i="1"/>
  <c r="BD204" i="1"/>
  <c r="DL204" i="1" s="1"/>
  <c r="AY204" i="1"/>
  <c r="BD143" i="1"/>
  <c r="AY143" i="1"/>
  <c r="BD122" i="1"/>
  <c r="DL122" i="1" s="1"/>
  <c r="AY122" i="1"/>
  <c r="BD304" i="1"/>
  <c r="DL304" i="1" s="1"/>
  <c r="AY304" i="1"/>
  <c r="BD176" i="1"/>
  <c r="DG176" i="1" s="1"/>
  <c r="AY176" i="1"/>
  <c r="BD98" i="1"/>
  <c r="AY98" i="1"/>
  <c r="BD234" i="1"/>
  <c r="DK234" i="1" s="1"/>
  <c r="AY234" i="1"/>
  <c r="BD114" i="1"/>
  <c r="DL114" i="1" s="1"/>
  <c r="AY114" i="1"/>
  <c r="AY175" i="1"/>
  <c r="BD164" i="1"/>
  <c r="AY164" i="1"/>
  <c r="BD130" i="1"/>
  <c r="DK130" i="1" s="1"/>
  <c r="AY130" i="1"/>
  <c r="BD63" i="1"/>
  <c r="DK63" i="1" s="1"/>
  <c r="AY63" i="1"/>
  <c r="BD31" i="1"/>
  <c r="DL31" i="1" s="1"/>
  <c r="AY31" i="1"/>
  <c r="BD107" i="1"/>
  <c r="AY107" i="1"/>
  <c r="BD290" i="1"/>
  <c r="DL290" i="1" s="1"/>
  <c r="AY290" i="1"/>
  <c r="BD198" i="1"/>
  <c r="DK198" i="1" s="1"/>
  <c r="AY198" i="1"/>
  <c r="BD297" i="1"/>
  <c r="AY297" i="1"/>
  <c r="BD277" i="1"/>
  <c r="DK277" i="1" s="1"/>
  <c r="AY277" i="1"/>
  <c r="BD265" i="1"/>
  <c r="DL265" i="1" s="1"/>
  <c r="AY265" i="1"/>
  <c r="BD45" i="1"/>
  <c r="DL45" i="1" s="1"/>
  <c r="AY45" i="1"/>
  <c r="BD160" i="1"/>
  <c r="DL160" i="1" s="1"/>
  <c r="AY160" i="1"/>
  <c r="BD218" i="1"/>
  <c r="AY218" i="1"/>
  <c r="BD313" i="1"/>
  <c r="DK313" i="1" s="1"/>
  <c r="AY313" i="1"/>
  <c r="BD300" i="1"/>
  <c r="AY300" i="1"/>
  <c r="BD222" i="1"/>
  <c r="AY222" i="1"/>
  <c r="BD266" i="1"/>
  <c r="DL266" i="1" s="1"/>
  <c r="AY266" i="1"/>
  <c r="BD315" i="1"/>
  <c r="DL315" i="1" s="1"/>
  <c r="AY315" i="1"/>
  <c r="AY237" i="1"/>
  <c r="BD334" i="1"/>
  <c r="DK334" i="1" s="1"/>
  <c r="AY334" i="1"/>
  <c r="BD65" i="1"/>
  <c r="DL65" i="1" s="1"/>
  <c r="BD123" i="1"/>
  <c r="AY123" i="1"/>
  <c r="BD259" i="1"/>
  <c r="DK259" i="1" s="1"/>
  <c r="AY259" i="1"/>
  <c r="BD151" i="1"/>
  <c r="AY151" i="1"/>
  <c r="BD146" i="1"/>
  <c r="DL146" i="1" s="1"/>
  <c r="AY146" i="1"/>
  <c r="BD321" i="1"/>
  <c r="DK321" i="1" s="1"/>
  <c r="AY321" i="1"/>
  <c r="AY174" i="1"/>
  <c r="BD100" i="1"/>
  <c r="DL100" i="1" s="1"/>
  <c r="AY100" i="1"/>
  <c r="BD55" i="1"/>
  <c r="BD249" i="1"/>
  <c r="DK249" i="1" s="1"/>
  <c r="AY249" i="1"/>
  <c r="BD18" i="1"/>
  <c r="AY18" i="1"/>
  <c r="BD324" i="1"/>
  <c r="DL324" i="1" s="1"/>
  <c r="AY324" i="1"/>
  <c r="BD287" i="1"/>
  <c r="DL287" i="1" s="1"/>
  <c r="AY287" i="1"/>
  <c r="DL94" i="1"/>
  <c r="DK94" i="1"/>
  <c r="DG94" i="1"/>
  <c r="DL169" i="1"/>
  <c r="DK169" i="1"/>
  <c r="DG268" i="1"/>
  <c r="DL268" i="1"/>
  <c r="DK268" i="1"/>
  <c r="DL93" i="1"/>
  <c r="DK93" i="1"/>
  <c r="DG93" i="1"/>
  <c r="DG33" i="1"/>
  <c r="DG16" i="1"/>
  <c r="DK270" i="1"/>
  <c r="DG270" i="1"/>
  <c r="DL270" i="1"/>
  <c r="DL336" i="1"/>
  <c r="DL38" i="1"/>
  <c r="DK38" i="1"/>
  <c r="DG38" i="1"/>
  <c r="DK200" i="1"/>
  <c r="DG200" i="1"/>
  <c r="DG248" i="1"/>
  <c r="DL248" i="1"/>
  <c r="DK248" i="1"/>
  <c r="DK137" i="1"/>
  <c r="DL256" i="1"/>
  <c r="DG256" i="1"/>
  <c r="DG198" i="1"/>
  <c r="DL198" i="1"/>
  <c r="DG245" i="1"/>
  <c r="DL260" i="1"/>
  <c r="DG260" i="1"/>
  <c r="DL316" i="1"/>
  <c r="DK316" i="1"/>
  <c r="DG316" i="1"/>
  <c r="DL58" i="1"/>
  <c r="DG58" i="1"/>
  <c r="DL95" i="1"/>
  <c r="DK95" i="1"/>
  <c r="DG95" i="1"/>
  <c r="DK109" i="1"/>
  <c r="DG109" i="1"/>
  <c r="DL281" i="1"/>
  <c r="DK281" i="1"/>
  <c r="DG281" i="1"/>
  <c r="DL125" i="1"/>
  <c r="DG84" i="1"/>
  <c r="DL135" i="1"/>
  <c r="DG135" i="1"/>
  <c r="DL75" i="1"/>
  <c r="DK75" i="1"/>
  <c r="DG75" i="1"/>
  <c r="DL288" i="1"/>
  <c r="DG288" i="1"/>
  <c r="DL283" i="1"/>
  <c r="DK283" i="1"/>
  <c r="DG283" i="1"/>
  <c r="DL278" i="1"/>
  <c r="DK278" i="1"/>
  <c r="DG278" i="1"/>
  <c r="DK319" i="1"/>
  <c r="DL28" i="1"/>
  <c r="DL46" i="1"/>
  <c r="DK46" i="1"/>
  <c r="DG46" i="1"/>
  <c r="DL140" i="1"/>
  <c r="DK140" i="1"/>
  <c r="DG140" i="1"/>
  <c r="DG195" i="1"/>
  <c r="DK195" i="1"/>
  <c r="DK204" i="1"/>
  <c r="DK97" i="1"/>
  <c r="DK272" i="1"/>
  <c r="DG272" i="1"/>
  <c r="DG77" i="1"/>
  <c r="DL141" i="1"/>
  <c r="DK141" i="1"/>
  <c r="DG141" i="1"/>
  <c r="DK124" i="1"/>
  <c r="DL226" i="1"/>
  <c r="DK226" i="1"/>
  <c r="DG226" i="1"/>
  <c r="DL49" i="1"/>
  <c r="DK49" i="1"/>
  <c r="DG49" i="1"/>
  <c r="DL153" i="1"/>
  <c r="DK153" i="1"/>
  <c r="DG153" i="1"/>
  <c r="DK39" i="1"/>
  <c r="DG39" i="1"/>
  <c r="DL238" i="1"/>
  <c r="DK238" i="1"/>
  <c r="DG238" i="1"/>
  <c r="DL87" i="1"/>
  <c r="DK87" i="1"/>
  <c r="DG87" i="1"/>
  <c r="DG267" i="1"/>
  <c r="DL267" i="1"/>
  <c r="DK267" i="1"/>
  <c r="DG41" i="1"/>
  <c r="DL41" i="1"/>
  <c r="DK41" i="1"/>
  <c r="DG152" i="1"/>
  <c r="DL152" i="1"/>
  <c r="DK152" i="1"/>
  <c r="DL276" i="1"/>
  <c r="DK276" i="1"/>
  <c r="DG276" i="1"/>
  <c r="DG117" i="1"/>
  <c r="DL117" i="1"/>
  <c r="DK117" i="1"/>
  <c r="DK239" i="1"/>
  <c r="DK19" i="1"/>
  <c r="DK15" i="1"/>
  <c r="DG15" i="1"/>
  <c r="DG90" i="1"/>
  <c r="DG210" i="1"/>
  <c r="DL177" i="1"/>
  <c r="DG177" i="1"/>
  <c r="DG244" i="1"/>
  <c r="DL244" i="1"/>
  <c r="DL255" i="1"/>
  <c r="DK255" i="1"/>
  <c r="DG255" i="1"/>
  <c r="DL26" i="1"/>
  <c r="DK206" i="1"/>
  <c r="DG206" i="1"/>
  <c r="DL42" i="1"/>
  <c r="DK42" i="1"/>
  <c r="DK216" i="1"/>
  <c r="DL229" i="1"/>
  <c r="DG229" i="1"/>
  <c r="DG32" i="1"/>
  <c r="DL32" i="1"/>
  <c r="DK32" i="1"/>
  <c r="DG286" i="1"/>
  <c r="DL286" i="1"/>
  <c r="DK286" i="1"/>
  <c r="DG311" i="1"/>
  <c r="DL311" i="1"/>
  <c r="DK311" i="1"/>
  <c r="DL132" i="1"/>
  <c r="DK132" i="1"/>
  <c r="DG132" i="1"/>
  <c r="DL129" i="1"/>
  <c r="DG85" i="1"/>
  <c r="DL85" i="1"/>
  <c r="DK85" i="1"/>
  <c r="DL127" i="1"/>
  <c r="DK127" i="1"/>
  <c r="DG127" i="1"/>
  <c r="DK30" i="1"/>
  <c r="DL274" i="1"/>
  <c r="DK274" i="1"/>
  <c r="DG274" i="1"/>
  <c r="DL303" i="1"/>
  <c r="DL96" i="1"/>
  <c r="DK96" i="1"/>
  <c r="DG96" i="1"/>
  <c r="DG64" i="1"/>
  <c r="DL64" i="1"/>
  <c r="DK64" i="1"/>
  <c r="DL113" i="1"/>
  <c r="DG317" i="1"/>
  <c r="DK317" i="1"/>
  <c r="DL317" i="1"/>
  <c r="DG233" i="1"/>
  <c r="DG82" i="1"/>
  <c r="DL82" i="1"/>
  <c r="DK82" i="1"/>
  <c r="DL27" i="1"/>
  <c r="DG27" i="1"/>
  <c r="DK246" i="1"/>
  <c r="DG246" i="1"/>
  <c r="DL246" i="1"/>
  <c r="DG342" i="1"/>
  <c r="DK342" i="1"/>
  <c r="DL342" i="1"/>
  <c r="DG201" i="1"/>
  <c r="DK201" i="1"/>
  <c r="DG196" i="1"/>
  <c r="DL196" i="1"/>
  <c r="DK196" i="1"/>
  <c r="DG57" i="1"/>
  <c r="DK57" i="1"/>
  <c r="DL139" i="1"/>
  <c r="DK139" i="1"/>
  <c r="DG139" i="1"/>
  <c r="DL119" i="1"/>
  <c r="DL161" i="1"/>
  <c r="DK161" i="1"/>
  <c r="DG161" i="1"/>
  <c r="DL263" i="1"/>
  <c r="DG263" i="1"/>
  <c r="DL144" i="1"/>
  <c r="DK144" i="1"/>
  <c r="DG221" i="1"/>
  <c r="DL213" i="1"/>
  <c r="DK213" i="1"/>
  <c r="DG213" i="1"/>
  <c r="DK112" i="1"/>
  <c r="DG112" i="1"/>
  <c r="DL112" i="1"/>
  <c r="DL258" i="1"/>
  <c r="DG258" i="1"/>
  <c r="DL189" i="1"/>
  <c r="DG314" i="1"/>
  <c r="DL314" i="1"/>
  <c r="DG194" i="1"/>
  <c r="DL194" i="1"/>
  <c r="DG116" i="1"/>
  <c r="DL116" i="1"/>
  <c r="DL306" i="1"/>
  <c r="DK306" i="1"/>
  <c r="DG306" i="1"/>
  <c r="DL22" i="1"/>
  <c r="DK22" i="1"/>
  <c r="DG22" i="1"/>
  <c r="DL143" i="1"/>
  <c r="DK143" i="1"/>
  <c r="DG143" i="1"/>
  <c r="DL340" i="1"/>
  <c r="DG170" i="1"/>
  <c r="DL170" i="1"/>
  <c r="DK170" i="1"/>
  <c r="DL121" i="1"/>
  <c r="DK121" i="1"/>
  <c r="DG121" i="1"/>
  <c r="DG14" i="1"/>
  <c r="DK14" i="1"/>
  <c r="DL14" i="1"/>
  <c r="DG145" i="1"/>
  <c r="DL145" i="1"/>
  <c r="DK145" i="1"/>
  <c r="DG320" i="1"/>
  <c r="DL327" i="1"/>
  <c r="DK327" i="1"/>
  <c r="DG327" i="1"/>
  <c r="DL99" i="1"/>
  <c r="DK99" i="1"/>
  <c r="DG99" i="1"/>
  <c r="DL104" i="1"/>
  <c r="DK104" i="1"/>
  <c r="DG104" i="1"/>
  <c r="DL236" i="1"/>
  <c r="DL186" i="1"/>
  <c r="DK186" i="1"/>
  <c r="DG186" i="1"/>
  <c r="DL103" i="1"/>
  <c r="DK103" i="1"/>
  <c r="DG103" i="1"/>
  <c r="DL98" i="1"/>
  <c r="DK98" i="1"/>
  <c r="DG98" i="1"/>
  <c r="DL234" i="1"/>
  <c r="DL193" i="1"/>
  <c r="DG193" i="1"/>
  <c r="DK209" i="1"/>
  <c r="DK172" i="1"/>
  <c r="DL17" i="1"/>
  <c r="DK17" i="1"/>
  <c r="DG17" i="1"/>
  <c r="DL208" i="1"/>
  <c r="DK208" i="1"/>
  <c r="DL212" i="1"/>
  <c r="DK212" i="1"/>
  <c r="DG212" i="1"/>
  <c r="DK335" i="1"/>
  <c r="DG122" i="1"/>
  <c r="DK284" i="1"/>
  <c r="DG284" i="1"/>
  <c r="DL164" i="1"/>
  <c r="DK164" i="1"/>
  <c r="DG164" i="1"/>
  <c r="DK71" i="1"/>
  <c r="DL71" i="1"/>
  <c r="DL130" i="1"/>
  <c r="DL107" i="1"/>
  <c r="DK107" i="1"/>
  <c r="DG107" i="1"/>
  <c r="DG326" i="1"/>
  <c r="DK326" i="1"/>
  <c r="DK290" i="1"/>
  <c r="DL297" i="1"/>
  <c r="DK297" i="1"/>
  <c r="DG297" i="1"/>
  <c r="DK218" i="1"/>
  <c r="DG218" i="1"/>
  <c r="DL218" i="1"/>
  <c r="DL40" i="1"/>
  <c r="DK40" i="1"/>
  <c r="DG40" i="1"/>
  <c r="DL325" i="1"/>
  <c r="DK325" i="1"/>
  <c r="DG325" i="1"/>
  <c r="DG120" i="1"/>
  <c r="DL120" i="1"/>
  <c r="DK120" i="1"/>
  <c r="DG45" i="1"/>
  <c r="DG190" i="1"/>
  <c r="DL190" i="1"/>
  <c r="DK190" i="1"/>
  <c r="DL202" i="1"/>
  <c r="DK202" i="1"/>
  <c r="DG202" i="1"/>
  <c r="DL269" i="1"/>
  <c r="DK269" i="1"/>
  <c r="DG269" i="1"/>
  <c r="DG79" i="1"/>
  <c r="DK79" i="1"/>
  <c r="DG29" i="1"/>
  <c r="DL29" i="1"/>
  <c r="DK29" i="1"/>
  <c r="DL310" i="1"/>
  <c r="DG310" i="1"/>
  <c r="DG217" i="1"/>
  <c r="DL217" i="1"/>
  <c r="DK217" i="1"/>
  <c r="DL191" i="1"/>
  <c r="DL72" i="1"/>
  <c r="DK72" i="1"/>
  <c r="DG72" i="1"/>
  <c r="DL115" i="1"/>
  <c r="DK115" i="1"/>
  <c r="DG115" i="1"/>
  <c r="DL187" i="1"/>
  <c r="DK187" i="1"/>
  <c r="DG187" i="1"/>
  <c r="DL163" i="1"/>
  <c r="DK163" i="1"/>
  <c r="DG163" i="1"/>
  <c r="DG142" i="1"/>
  <c r="DL142" i="1"/>
  <c r="DK142" i="1"/>
  <c r="DL277" i="1"/>
  <c r="DG277" i="1"/>
  <c r="DL86" i="1"/>
  <c r="DL205" i="1"/>
  <c r="DK205" i="1"/>
  <c r="DG205" i="1"/>
  <c r="DL78" i="1"/>
  <c r="DK78" i="1"/>
  <c r="DG78" i="1"/>
  <c r="DK60" i="1"/>
  <c r="DG60" i="1"/>
  <c r="DL60" i="1"/>
  <c r="DK126" i="1"/>
  <c r="DG126" i="1"/>
  <c r="DK37" i="1"/>
  <c r="DG37" i="1"/>
  <c r="DK323" i="1"/>
  <c r="DG323" i="1"/>
  <c r="DL323" i="1"/>
  <c r="DL318" i="1"/>
  <c r="DK318" i="1"/>
  <c r="DG318" i="1"/>
  <c r="DL89" i="1"/>
  <c r="DK89" i="1"/>
  <c r="DG89" i="1"/>
  <c r="DL305" i="1"/>
  <c r="DK305" i="1"/>
  <c r="DG305" i="1"/>
  <c r="DL167" i="1"/>
  <c r="DL24" i="1"/>
  <c r="DL332" i="1"/>
  <c r="DK332" i="1"/>
  <c r="DG110" i="1"/>
  <c r="DL275" i="1"/>
  <c r="DK275" i="1"/>
  <c r="DG275" i="1"/>
  <c r="DL298" i="1"/>
  <c r="DK298" i="1"/>
  <c r="DG298" i="1"/>
  <c r="DL313" i="1"/>
  <c r="DG313" i="1"/>
  <c r="DL300" i="1"/>
  <c r="DK300" i="1"/>
  <c r="DG300" i="1"/>
  <c r="DL222" i="1"/>
  <c r="DK222" i="1"/>
  <c r="DG222" i="1"/>
  <c r="DK266" i="1"/>
  <c r="DL334" i="1"/>
  <c r="DG334" i="1"/>
  <c r="DG123" i="1"/>
  <c r="DL123" i="1"/>
  <c r="DK123" i="1"/>
  <c r="DL259" i="1"/>
  <c r="DG259" i="1"/>
  <c r="DK151" i="1"/>
  <c r="DG151" i="1"/>
  <c r="DL151" i="1"/>
  <c r="DK146" i="1"/>
  <c r="DL321" i="1"/>
  <c r="DL55" i="1"/>
  <c r="DK55" i="1"/>
  <c r="DG55" i="1"/>
  <c r="DL249" i="1"/>
  <c r="DG249" i="1"/>
  <c r="DG18" i="1"/>
  <c r="DK18" i="1"/>
  <c r="DL18" i="1"/>
  <c r="DG324" i="1"/>
  <c r="DK324" i="1"/>
  <c r="DK287" i="1"/>
  <c r="AN20" i="1"/>
  <c r="AP231" i="1"/>
  <c r="BG231" i="1" s="1"/>
  <c r="AO231" i="1"/>
  <c r="BF231" i="1" s="1"/>
  <c r="AR231" i="1"/>
  <c r="AR316" i="1"/>
  <c r="AO316" i="1"/>
  <c r="BF316" i="1" s="1"/>
  <c r="AP316" i="1"/>
  <c r="BG316" i="1" s="1"/>
  <c r="AR74" i="1"/>
  <c r="AP74" i="1"/>
  <c r="BG74" i="1" s="1"/>
  <c r="AO74" i="1"/>
  <c r="BF74" i="1" s="1"/>
  <c r="AR294" i="1"/>
  <c r="AO294" i="1"/>
  <c r="BF294" i="1" s="1"/>
  <c r="AP294" i="1"/>
  <c r="BG294" i="1" s="1"/>
  <c r="AR58" i="1"/>
  <c r="AP58" i="1"/>
  <c r="BG58" i="1" s="1"/>
  <c r="AO58" i="1"/>
  <c r="BF58" i="1" s="1"/>
  <c r="AR95" i="1"/>
  <c r="AO95" i="1"/>
  <c r="BF95" i="1" s="1"/>
  <c r="AP95" i="1"/>
  <c r="BG95" i="1" s="1"/>
  <c r="AO109" i="1"/>
  <c r="BF109" i="1" s="1"/>
  <c r="AR109" i="1"/>
  <c r="AP109" i="1"/>
  <c r="BG109" i="1" s="1"/>
  <c r="AP228" i="1"/>
  <c r="BG228" i="1" s="1"/>
  <c r="AR228" i="1"/>
  <c r="AO228" i="1"/>
  <c r="BF228" i="1" s="1"/>
  <c r="AO279" i="1"/>
  <c r="BF279" i="1" s="1"/>
  <c r="AO281" i="1"/>
  <c r="BF281" i="1" s="1"/>
  <c r="AR281" i="1"/>
  <c r="AP281" i="1"/>
  <c r="BG281" i="1" s="1"/>
  <c r="AO125" i="1"/>
  <c r="BF125" i="1" s="1"/>
  <c r="AR125" i="1"/>
  <c r="AP125" i="1"/>
  <c r="BG125" i="1" s="1"/>
  <c r="AP84" i="1"/>
  <c r="BG84" i="1" s="1"/>
  <c r="AO84" i="1"/>
  <c r="BF84" i="1" s="1"/>
  <c r="AR84" i="1"/>
  <c r="AO135" i="1"/>
  <c r="BF135" i="1" s="1"/>
  <c r="AP135" i="1"/>
  <c r="BG135" i="1" s="1"/>
  <c r="AR135" i="1"/>
  <c r="AO75" i="1"/>
  <c r="BF75" i="1" s="1"/>
  <c r="AR75" i="1"/>
  <c r="AP75" i="1"/>
  <c r="BG75" i="1" s="1"/>
  <c r="AR288" i="1"/>
  <c r="AO288" i="1"/>
  <c r="BF288" i="1" s="1"/>
  <c r="AP288" i="1"/>
  <c r="BG288" i="1" s="1"/>
  <c r="AP284" i="1"/>
  <c r="BG284" i="1" s="1"/>
  <c r="AO284" i="1"/>
  <c r="BF284" i="1" s="1"/>
  <c r="AR284" i="1"/>
  <c r="AR297" i="1"/>
  <c r="AP297" i="1"/>
  <c r="BG297" i="1" s="1"/>
  <c r="AO297" i="1"/>
  <c r="BF297" i="1" s="1"/>
  <c r="AP222" i="1"/>
  <c r="BG222" i="1" s="1"/>
  <c r="AO222" i="1"/>
  <c r="BF222" i="1" s="1"/>
  <c r="AR222" i="1"/>
  <c r="AR278" i="1"/>
  <c r="AP278" i="1"/>
  <c r="BG278" i="1" s="1"/>
  <c r="AO278" i="1"/>
  <c r="BF278" i="1" s="1"/>
  <c r="AO260" i="1"/>
  <c r="BF260" i="1" s="1"/>
  <c r="AP260" i="1"/>
  <c r="BG260" i="1" s="1"/>
  <c r="AR260" i="1"/>
  <c r="AR51" i="1"/>
  <c r="AP51" i="1"/>
  <c r="BG51" i="1" s="1"/>
  <c r="AO51" i="1"/>
  <c r="BF51" i="1" s="1"/>
  <c r="AP319" i="1"/>
  <c r="BG319" i="1" s="1"/>
  <c r="AO319" i="1"/>
  <c r="BF319" i="1" s="1"/>
  <c r="AR319" i="1"/>
  <c r="AO28" i="1"/>
  <c r="BF28" i="1" s="1"/>
  <c r="AP28" i="1"/>
  <c r="BG28" i="1" s="1"/>
  <c r="AR28" i="1"/>
  <c r="AO296" i="1"/>
  <c r="BF296" i="1" s="1"/>
  <c r="AP73" i="1"/>
  <c r="BG73" i="1" s="1"/>
  <c r="AO73" i="1"/>
  <c r="BF73" i="1" s="1"/>
  <c r="AR73" i="1"/>
  <c r="AO46" i="1"/>
  <c r="BF46" i="1" s="1"/>
  <c r="AP46" i="1"/>
  <c r="BG46" i="1" s="1"/>
  <c r="AR46" i="1"/>
  <c r="AO102" i="1"/>
  <c r="BF102" i="1" s="1"/>
  <c r="AR102" i="1"/>
  <c r="AP102" i="1"/>
  <c r="BG102" i="1" s="1"/>
  <c r="AP140" i="1"/>
  <c r="BG140" i="1" s="1"/>
  <c r="AO140" i="1"/>
  <c r="BF140" i="1" s="1"/>
  <c r="AR140" i="1"/>
  <c r="AO195" i="1"/>
  <c r="BF195" i="1" s="1"/>
  <c r="AP195" i="1"/>
  <c r="BG195" i="1" s="1"/>
  <c r="AR195" i="1"/>
  <c r="AR204" i="1"/>
  <c r="AO204" i="1"/>
  <c r="BF204" i="1" s="1"/>
  <c r="AP204" i="1"/>
  <c r="BG204" i="1" s="1"/>
  <c r="AR97" i="1"/>
  <c r="AP97" i="1"/>
  <c r="BG97" i="1" s="1"/>
  <c r="AO97" i="1"/>
  <c r="BF97" i="1" s="1"/>
  <c r="AP272" i="1"/>
  <c r="BG272" i="1" s="1"/>
  <c r="AO272" i="1"/>
  <c r="BF272" i="1" s="1"/>
  <c r="AR272" i="1"/>
  <c r="AR147" i="1"/>
  <c r="AP147" i="1"/>
  <c r="BG147" i="1" s="1"/>
  <c r="AO147" i="1"/>
  <c r="BF147" i="1" s="1"/>
  <c r="AP77" i="1"/>
  <c r="BG77" i="1" s="1"/>
  <c r="AR77" i="1"/>
  <c r="AO77" i="1"/>
  <c r="BF77" i="1" s="1"/>
  <c r="AP141" i="1"/>
  <c r="BG141" i="1" s="1"/>
  <c r="AR141" i="1"/>
  <c r="AO141" i="1"/>
  <c r="BF141" i="1" s="1"/>
  <c r="AP124" i="1"/>
  <c r="BG124" i="1" s="1"/>
  <c r="AO124" i="1"/>
  <c r="BF124" i="1" s="1"/>
  <c r="AR124" i="1"/>
  <c r="AP170" i="1"/>
  <c r="BG170" i="1" s="1"/>
  <c r="AR170" i="1"/>
  <c r="AO170" i="1"/>
  <c r="BF170" i="1" s="1"/>
  <c r="AP153" i="1"/>
  <c r="BG153" i="1" s="1"/>
  <c r="AR153" i="1"/>
  <c r="AO153" i="1"/>
  <c r="BF153" i="1" s="1"/>
  <c r="AP312" i="1"/>
  <c r="BG312" i="1" s="1"/>
  <c r="AO312" i="1"/>
  <c r="BF312" i="1" s="1"/>
  <c r="AR312" i="1"/>
  <c r="AO39" i="1"/>
  <c r="BF39" i="1" s="1"/>
  <c r="AP39" i="1"/>
  <c r="BG39" i="1" s="1"/>
  <c r="AR39" i="1"/>
  <c r="AR238" i="1"/>
  <c r="AO238" i="1"/>
  <c r="BF238" i="1" s="1"/>
  <c r="AP238" i="1"/>
  <c r="BG238" i="1" s="1"/>
  <c r="AP87" i="1"/>
  <c r="BG87" i="1" s="1"/>
  <c r="AR87" i="1"/>
  <c r="AO87" i="1"/>
  <c r="BF87" i="1" s="1"/>
  <c r="AR267" i="1"/>
  <c r="AP267" i="1"/>
  <c r="BG267" i="1" s="1"/>
  <c r="AO267" i="1"/>
  <c r="BF267" i="1" s="1"/>
  <c r="AR242" i="1"/>
  <c r="AO242" i="1"/>
  <c r="BF242" i="1" s="1"/>
  <c r="AP242" i="1"/>
  <c r="BG242" i="1" s="1"/>
  <c r="AR41" i="1"/>
  <c r="AO41" i="1"/>
  <c r="BF41" i="1" s="1"/>
  <c r="AP41" i="1"/>
  <c r="BG41" i="1" s="1"/>
  <c r="AP214" i="1"/>
  <c r="BG214" i="1" s="1"/>
  <c r="AR214" i="1"/>
  <c r="AO214" i="1"/>
  <c r="BF214" i="1" s="1"/>
  <c r="AR152" i="1"/>
  <c r="AP152" i="1"/>
  <c r="BG152" i="1" s="1"/>
  <c r="AO152" i="1"/>
  <c r="BF152" i="1" s="1"/>
  <c r="AP276" i="1"/>
  <c r="BG276" i="1" s="1"/>
  <c r="AR276" i="1"/>
  <c r="AO276" i="1"/>
  <c r="BF276" i="1" s="1"/>
  <c r="AR117" i="1"/>
  <c r="AP117" i="1"/>
  <c r="BG117" i="1" s="1"/>
  <c r="AO117" i="1"/>
  <c r="BF117" i="1" s="1"/>
  <c r="AP239" i="1"/>
  <c r="BG239" i="1" s="1"/>
  <c r="AR239" i="1"/>
  <c r="AO239" i="1"/>
  <c r="BF239" i="1" s="1"/>
  <c r="AO19" i="1"/>
  <c r="BF19" i="1" s="1"/>
  <c r="AP19" i="1"/>
  <c r="BG19" i="1" s="1"/>
  <c r="AR19" i="1"/>
  <c r="AO17" i="1"/>
  <c r="BF17" i="1" s="1"/>
  <c r="AR17" i="1"/>
  <c r="AP17" i="1"/>
  <c r="BG17" i="1" s="1"/>
  <c r="AO283" i="1"/>
  <c r="BF283" i="1" s="1"/>
  <c r="AR283" i="1"/>
  <c r="AP283" i="1"/>
  <c r="BG283" i="1" s="1"/>
  <c r="AP36" i="1"/>
  <c r="BG36" i="1" s="1"/>
  <c r="AR36" i="1"/>
  <c r="AO36" i="1"/>
  <c r="BF36" i="1" s="1"/>
  <c r="AR85" i="1"/>
  <c r="AO85" i="1"/>
  <c r="BF85" i="1" s="1"/>
  <c r="AP85" i="1"/>
  <c r="BG85" i="1" s="1"/>
  <c r="AO15" i="1"/>
  <c r="BF15" i="1" s="1"/>
  <c r="AR15" i="1"/>
  <c r="AP15" i="1"/>
  <c r="BG15" i="1" s="1"/>
  <c r="AO256" i="1"/>
  <c r="BF256" i="1" s="1"/>
  <c r="AP256" i="1"/>
  <c r="BG256" i="1" s="1"/>
  <c r="AR256" i="1"/>
  <c r="AO325" i="1"/>
  <c r="BF325" i="1" s="1"/>
  <c r="AR325" i="1"/>
  <c r="AP325" i="1"/>
  <c r="BG325" i="1" s="1"/>
  <c r="AR142" i="1"/>
  <c r="AP142" i="1"/>
  <c r="BG142" i="1" s="1"/>
  <c r="AO142" i="1"/>
  <c r="BF142" i="1" s="1"/>
  <c r="AP255" i="1"/>
  <c r="BG255" i="1" s="1"/>
  <c r="AO255" i="1"/>
  <c r="BF255" i="1" s="1"/>
  <c r="AR255" i="1"/>
  <c r="AP127" i="1"/>
  <c r="BG127" i="1" s="1"/>
  <c r="AR127" i="1"/>
  <c r="AO127" i="1"/>
  <c r="BF127" i="1" s="1"/>
  <c r="AO90" i="1"/>
  <c r="BF90" i="1" s="1"/>
  <c r="AR90" i="1"/>
  <c r="AP90" i="1"/>
  <c r="BG90" i="1" s="1"/>
  <c r="AO210" i="1"/>
  <c r="BF210" i="1" s="1"/>
  <c r="AP210" i="1"/>
  <c r="BG210" i="1" s="1"/>
  <c r="AR210" i="1"/>
  <c r="AO177" i="1"/>
  <c r="BF177" i="1" s="1"/>
  <c r="AP177" i="1"/>
  <c r="BG177" i="1" s="1"/>
  <c r="AR177" i="1"/>
  <c r="AP244" i="1"/>
  <c r="BG244" i="1" s="1"/>
  <c r="AO244" i="1"/>
  <c r="BF244" i="1" s="1"/>
  <c r="AR244" i="1"/>
  <c r="AP269" i="1"/>
  <c r="BG269" i="1" s="1"/>
  <c r="AR269" i="1"/>
  <c r="AO269" i="1"/>
  <c r="BF269" i="1" s="1"/>
  <c r="AP78" i="1"/>
  <c r="BG78" i="1" s="1"/>
  <c r="AR78" i="1"/>
  <c r="AO78" i="1"/>
  <c r="BF78" i="1" s="1"/>
  <c r="AR266" i="1"/>
  <c r="AP266" i="1"/>
  <c r="BG266" i="1" s="1"/>
  <c r="AO266" i="1"/>
  <c r="BF266" i="1" s="1"/>
  <c r="AO226" i="1"/>
  <c r="BF226" i="1" s="1"/>
  <c r="AP226" i="1"/>
  <c r="BG226" i="1" s="1"/>
  <c r="AR226" i="1"/>
  <c r="AP306" i="1"/>
  <c r="BG306" i="1" s="1"/>
  <c r="AO306" i="1"/>
  <c r="BF306" i="1" s="1"/>
  <c r="AR306" i="1"/>
  <c r="AO30" i="1"/>
  <c r="BF30" i="1" s="1"/>
  <c r="AP30" i="1"/>
  <c r="BG30" i="1" s="1"/>
  <c r="AR30" i="1"/>
  <c r="AP118" i="1"/>
  <c r="BG118" i="1" s="1"/>
  <c r="AR118" i="1"/>
  <c r="AO118" i="1"/>
  <c r="BF118" i="1" s="1"/>
  <c r="AO26" i="1"/>
  <c r="BF26" i="1" s="1"/>
  <c r="AP26" i="1"/>
  <c r="BG26" i="1" s="1"/>
  <c r="AR26" i="1"/>
  <c r="AR206" i="1"/>
  <c r="AP206" i="1"/>
  <c r="BG206" i="1" s="1"/>
  <c r="AO206" i="1"/>
  <c r="BF206" i="1" s="1"/>
  <c r="AO42" i="1"/>
  <c r="BF42" i="1" s="1"/>
  <c r="AR42" i="1"/>
  <c r="AP42" i="1"/>
  <c r="BG42" i="1" s="1"/>
  <c r="AP216" i="1"/>
  <c r="BG216" i="1" s="1"/>
  <c r="AR216" i="1"/>
  <c r="AO216" i="1"/>
  <c r="BF216" i="1" s="1"/>
  <c r="AO105" i="1"/>
  <c r="BF105" i="1" s="1"/>
  <c r="AR105" i="1"/>
  <c r="AP105" i="1"/>
  <c r="BG105" i="1" s="1"/>
  <c r="AR229" i="1"/>
  <c r="AP229" i="1"/>
  <c r="BG229" i="1" s="1"/>
  <c r="AO229" i="1"/>
  <c r="BF229" i="1" s="1"/>
  <c r="AO32" i="1"/>
  <c r="BF32" i="1" s="1"/>
  <c r="AR32" i="1"/>
  <c r="AP32" i="1"/>
  <c r="BG32" i="1" s="1"/>
  <c r="AR286" i="1"/>
  <c r="AP286" i="1"/>
  <c r="BG286" i="1" s="1"/>
  <c r="AO286" i="1"/>
  <c r="BF286" i="1" s="1"/>
  <c r="AP311" i="1"/>
  <c r="BG311" i="1" s="1"/>
  <c r="AR311" i="1"/>
  <c r="AO311" i="1"/>
  <c r="BF311" i="1" s="1"/>
  <c r="AP132" i="1"/>
  <c r="BG132" i="1" s="1"/>
  <c r="AR132" i="1"/>
  <c r="AO132" i="1"/>
  <c r="BF132" i="1" s="1"/>
  <c r="AO129" i="1"/>
  <c r="BF129" i="1" s="1"/>
  <c r="AR129" i="1"/>
  <c r="AP129" i="1"/>
  <c r="BG129" i="1" s="1"/>
  <c r="AR88" i="1"/>
  <c r="AP88" i="1"/>
  <c r="BG88" i="1" s="1"/>
  <c r="AO88" i="1"/>
  <c r="BF88" i="1" s="1"/>
  <c r="AP215" i="1"/>
  <c r="BG215" i="1" s="1"/>
  <c r="AR215" i="1"/>
  <c r="AO215" i="1"/>
  <c r="BF215" i="1" s="1"/>
  <c r="AP96" i="1"/>
  <c r="BG96" i="1" s="1"/>
  <c r="AR96" i="1"/>
  <c r="AO96" i="1"/>
  <c r="BF96" i="1" s="1"/>
  <c r="AP64" i="1"/>
  <c r="BG64" i="1" s="1"/>
  <c r="AO64" i="1"/>
  <c r="BF64" i="1" s="1"/>
  <c r="AR64" i="1"/>
  <c r="AO113" i="1"/>
  <c r="BF113" i="1" s="1"/>
  <c r="AP113" i="1"/>
  <c r="BG113" i="1" s="1"/>
  <c r="AR113" i="1"/>
  <c r="AR317" i="1"/>
  <c r="AO317" i="1"/>
  <c r="BF317" i="1" s="1"/>
  <c r="AP317" i="1"/>
  <c r="BG317" i="1" s="1"/>
  <c r="AP171" i="1"/>
  <c r="BG171" i="1" s="1"/>
  <c r="AR171" i="1"/>
  <c r="AO171" i="1"/>
  <c r="BF171" i="1" s="1"/>
  <c r="AR233" i="1"/>
  <c r="AP233" i="1"/>
  <c r="BG233" i="1" s="1"/>
  <c r="AO233" i="1"/>
  <c r="BF233" i="1" s="1"/>
  <c r="AO82" i="1"/>
  <c r="BF82" i="1" s="1"/>
  <c r="AP82" i="1"/>
  <c r="BG82" i="1" s="1"/>
  <c r="AR82" i="1"/>
  <c r="AP27" i="1"/>
  <c r="BG27" i="1" s="1"/>
  <c r="AR27" i="1"/>
  <c r="AO27" i="1"/>
  <c r="BF27" i="1" s="1"/>
  <c r="AP246" i="1"/>
  <c r="BG246" i="1" s="1"/>
  <c r="AO246" i="1"/>
  <c r="BF246" i="1" s="1"/>
  <c r="AR246" i="1"/>
  <c r="AO342" i="1"/>
  <c r="BF342" i="1" s="1"/>
  <c r="AP342" i="1"/>
  <c r="BG342" i="1" s="1"/>
  <c r="AR342" i="1"/>
  <c r="AR201" i="1"/>
  <c r="AO201" i="1"/>
  <c r="BF201" i="1" s="1"/>
  <c r="AP201" i="1"/>
  <c r="BG201" i="1" s="1"/>
  <c r="AR196" i="1"/>
  <c r="AP196" i="1"/>
  <c r="BG196" i="1" s="1"/>
  <c r="AO196" i="1"/>
  <c r="BF196" i="1" s="1"/>
  <c r="AR250" i="1"/>
  <c r="AO250" i="1"/>
  <c r="BF250" i="1" s="1"/>
  <c r="AP250" i="1"/>
  <c r="BG250" i="1" s="1"/>
  <c r="AP57" i="1"/>
  <c r="BG57" i="1" s="1"/>
  <c r="AO57" i="1"/>
  <c r="BF57" i="1" s="1"/>
  <c r="AR57" i="1"/>
  <c r="AO139" i="1"/>
  <c r="BF139" i="1" s="1"/>
  <c r="AP139" i="1"/>
  <c r="BG139" i="1" s="1"/>
  <c r="AR139" i="1"/>
  <c r="AP119" i="1"/>
  <c r="BG119" i="1" s="1"/>
  <c r="AR119" i="1"/>
  <c r="AO119" i="1"/>
  <c r="BF119" i="1" s="1"/>
  <c r="AP175" i="1"/>
  <c r="BG175" i="1" s="1"/>
  <c r="AO175" i="1"/>
  <c r="BF175" i="1" s="1"/>
  <c r="AR175" i="1"/>
  <c r="AP202" i="1"/>
  <c r="BG202" i="1" s="1"/>
  <c r="AO202" i="1"/>
  <c r="BF202" i="1" s="1"/>
  <c r="AR202" i="1"/>
  <c r="AP205" i="1"/>
  <c r="BG205" i="1" s="1"/>
  <c r="AO205" i="1"/>
  <c r="BF205" i="1" s="1"/>
  <c r="AR205" i="1"/>
  <c r="AO245" i="1"/>
  <c r="BF245" i="1" s="1"/>
  <c r="AP245" i="1"/>
  <c r="BG245" i="1" s="1"/>
  <c r="AR245" i="1"/>
  <c r="AP236" i="1"/>
  <c r="BG236" i="1" s="1"/>
  <c r="AO236" i="1"/>
  <c r="BF236" i="1" s="1"/>
  <c r="AR236" i="1"/>
  <c r="AP197" i="1"/>
  <c r="BG197" i="1" s="1"/>
  <c r="AR197" i="1"/>
  <c r="AO197" i="1"/>
  <c r="BF197" i="1" s="1"/>
  <c r="AR161" i="1"/>
  <c r="AP161" i="1"/>
  <c r="BG161" i="1" s="1"/>
  <c r="AO161" i="1"/>
  <c r="BF161" i="1" s="1"/>
  <c r="AR273" i="1"/>
  <c r="AO273" i="1"/>
  <c r="BF273" i="1" s="1"/>
  <c r="AP273" i="1"/>
  <c r="BG273" i="1" s="1"/>
  <c r="AP263" i="1"/>
  <c r="BG263" i="1" s="1"/>
  <c r="AR263" i="1"/>
  <c r="AO263" i="1"/>
  <c r="BF263" i="1" s="1"/>
  <c r="AP144" i="1"/>
  <c r="BG144" i="1" s="1"/>
  <c r="AR144" i="1"/>
  <c r="AO144" i="1"/>
  <c r="BF144" i="1" s="1"/>
  <c r="AO221" i="1"/>
  <c r="BF221" i="1" s="1"/>
  <c r="AP221" i="1"/>
  <c r="BG221" i="1" s="1"/>
  <c r="AR221" i="1"/>
  <c r="AP291" i="1"/>
  <c r="BG291" i="1" s="1"/>
  <c r="AO291" i="1"/>
  <c r="BF291" i="1" s="1"/>
  <c r="AR291" i="1"/>
  <c r="AO235" i="1"/>
  <c r="BF235" i="1" s="1"/>
  <c r="AR235" i="1"/>
  <c r="AP235" i="1"/>
  <c r="BG235" i="1" s="1"/>
  <c r="AO213" i="1"/>
  <c r="BF213" i="1" s="1"/>
  <c r="AR213" i="1"/>
  <c r="AP213" i="1"/>
  <c r="BG213" i="1" s="1"/>
  <c r="AP112" i="1"/>
  <c r="BG112" i="1" s="1"/>
  <c r="AR112" i="1"/>
  <c r="AO112" i="1"/>
  <c r="BF112" i="1" s="1"/>
  <c r="AR165" i="1"/>
  <c r="AO258" i="1"/>
  <c r="BF258" i="1" s="1"/>
  <c r="AR258" i="1"/>
  <c r="AP258" i="1"/>
  <c r="BG258" i="1" s="1"/>
  <c r="AO189" i="1"/>
  <c r="BF189" i="1" s="1"/>
  <c r="AR189" i="1"/>
  <c r="AP189" i="1"/>
  <c r="BG189" i="1" s="1"/>
  <c r="AO83" i="1"/>
  <c r="BF83" i="1" s="1"/>
  <c r="AR83" i="1"/>
  <c r="AP83" i="1"/>
  <c r="BG83" i="1" s="1"/>
  <c r="AP53" i="1"/>
  <c r="BG53" i="1" s="1"/>
  <c r="AR53" i="1"/>
  <c r="AO53" i="1"/>
  <c r="BF53" i="1" s="1"/>
  <c r="AR298" i="1"/>
  <c r="AP298" i="1"/>
  <c r="BG298" i="1" s="1"/>
  <c r="AO298" i="1"/>
  <c r="BF298" i="1" s="1"/>
  <c r="AP79" i="1"/>
  <c r="BG79" i="1" s="1"/>
  <c r="AO79" i="1"/>
  <c r="BF79" i="1" s="1"/>
  <c r="AR79" i="1"/>
  <c r="AP300" i="1"/>
  <c r="BG300" i="1" s="1"/>
  <c r="AO300" i="1"/>
  <c r="BF300" i="1" s="1"/>
  <c r="AR300" i="1"/>
  <c r="AP134" i="1"/>
  <c r="BG134" i="1" s="1"/>
  <c r="AR134" i="1"/>
  <c r="AO134" i="1"/>
  <c r="BF134" i="1" s="1"/>
  <c r="AO49" i="1"/>
  <c r="BF49" i="1" s="1"/>
  <c r="AR49" i="1"/>
  <c r="AP49" i="1"/>
  <c r="BG49" i="1" s="1"/>
  <c r="AP104" i="1"/>
  <c r="BG104" i="1" s="1"/>
  <c r="AR104" i="1"/>
  <c r="AO104" i="1"/>
  <c r="BF104" i="1" s="1"/>
  <c r="AP150" i="1"/>
  <c r="BG150" i="1" s="1"/>
  <c r="AO150" i="1"/>
  <c r="BF150" i="1" s="1"/>
  <c r="AR150" i="1"/>
  <c r="AR274" i="1"/>
  <c r="AP274" i="1"/>
  <c r="BG274" i="1" s="1"/>
  <c r="AO274" i="1"/>
  <c r="BF274" i="1" s="1"/>
  <c r="AP303" i="1"/>
  <c r="BG303" i="1" s="1"/>
  <c r="AR303" i="1"/>
  <c r="AO303" i="1"/>
  <c r="BF303" i="1" s="1"/>
  <c r="AO22" i="1"/>
  <c r="BF22" i="1" s="1"/>
  <c r="AP22" i="1"/>
  <c r="BG22" i="1" s="1"/>
  <c r="AR22" i="1"/>
  <c r="AP207" i="1"/>
  <c r="BG207" i="1" s="1"/>
  <c r="AR207" i="1"/>
  <c r="AO207" i="1"/>
  <c r="BF207" i="1" s="1"/>
  <c r="AO295" i="1"/>
  <c r="BF295" i="1" s="1"/>
  <c r="AR295" i="1"/>
  <c r="AP295" i="1"/>
  <c r="BG295" i="1" s="1"/>
  <c r="AR208" i="1"/>
  <c r="AO208" i="1"/>
  <c r="BF208" i="1" s="1"/>
  <c r="AP208" i="1"/>
  <c r="BG208" i="1" s="1"/>
  <c r="AP180" i="1"/>
  <c r="BG180" i="1" s="1"/>
  <c r="AO180" i="1"/>
  <c r="BF180" i="1" s="1"/>
  <c r="AR180" i="1"/>
  <c r="AR143" i="1"/>
  <c r="AO143" i="1"/>
  <c r="BF143" i="1" s="1"/>
  <c r="AP143" i="1"/>
  <c r="BG143" i="1" s="1"/>
  <c r="AP212" i="1"/>
  <c r="BG212" i="1" s="1"/>
  <c r="AR212" i="1"/>
  <c r="AO212" i="1"/>
  <c r="BF212" i="1" s="1"/>
  <c r="AO337" i="1"/>
  <c r="BF337" i="1" s="1"/>
  <c r="AR337" i="1"/>
  <c r="AP337" i="1"/>
  <c r="BG337" i="1" s="1"/>
  <c r="AP335" i="1"/>
  <c r="BG335" i="1" s="1"/>
  <c r="AO335" i="1"/>
  <c r="BF335" i="1" s="1"/>
  <c r="AR335" i="1"/>
  <c r="AO282" i="1"/>
  <c r="BF282" i="1" s="1"/>
  <c r="AP282" i="1"/>
  <c r="BG282" i="1" s="1"/>
  <c r="AR282" i="1"/>
  <c r="AR340" i="1"/>
  <c r="AP340" i="1"/>
  <c r="BG340" i="1" s="1"/>
  <c r="AO340" i="1"/>
  <c r="BF340" i="1" s="1"/>
  <c r="AP122" i="1"/>
  <c r="BG122" i="1" s="1"/>
  <c r="AR122" i="1"/>
  <c r="AO122" i="1"/>
  <c r="BF122" i="1" s="1"/>
  <c r="AR328" i="1"/>
  <c r="BA328" i="1" s="1"/>
  <c r="BA7" i="1" s="1"/>
  <c r="AP328" i="1"/>
  <c r="AO328" i="1"/>
  <c r="AR314" i="1"/>
  <c r="AP314" i="1"/>
  <c r="BG314" i="1" s="1"/>
  <c r="AO314" i="1"/>
  <c r="BF314" i="1" s="1"/>
  <c r="AP184" i="1"/>
  <c r="BG184" i="1" s="1"/>
  <c r="AR184" i="1"/>
  <c r="AO184" i="1"/>
  <c r="BF184" i="1" s="1"/>
  <c r="AP211" i="1"/>
  <c r="BG211" i="1" s="1"/>
  <c r="AR211" i="1"/>
  <c r="AO211" i="1"/>
  <c r="BF211" i="1" s="1"/>
  <c r="AR194" i="1"/>
  <c r="AO194" i="1"/>
  <c r="BF194" i="1" s="1"/>
  <c r="AP194" i="1"/>
  <c r="BG194" i="1" s="1"/>
  <c r="AP116" i="1"/>
  <c r="BG116" i="1" s="1"/>
  <c r="AO116" i="1"/>
  <c r="BF116" i="1" s="1"/>
  <c r="AR116" i="1"/>
  <c r="AR219" i="1"/>
  <c r="AO219" i="1"/>
  <c r="BF219" i="1" s="1"/>
  <c r="AP219" i="1"/>
  <c r="BG219" i="1" s="1"/>
  <c r="AO329" i="1"/>
  <c r="BF329" i="1" s="1"/>
  <c r="AP329" i="1"/>
  <c r="BG329" i="1" s="1"/>
  <c r="AR329" i="1"/>
  <c r="AO121" i="1"/>
  <c r="BF121" i="1" s="1"/>
  <c r="AP121" i="1"/>
  <c r="BG121" i="1" s="1"/>
  <c r="AR121" i="1"/>
  <c r="AR66" i="1"/>
  <c r="AP66" i="1"/>
  <c r="BG66" i="1" s="1"/>
  <c r="AO66" i="1"/>
  <c r="BF66" i="1" s="1"/>
  <c r="AR62" i="1"/>
  <c r="AO62" i="1"/>
  <c r="BF62" i="1" s="1"/>
  <c r="AP62" i="1"/>
  <c r="BG62" i="1" s="1"/>
  <c r="AR155" i="1"/>
  <c r="AO155" i="1"/>
  <c r="BF155" i="1" s="1"/>
  <c r="AP155" i="1"/>
  <c r="BG155" i="1" s="1"/>
  <c r="AO14" i="1"/>
  <c r="BF14" i="1" s="1"/>
  <c r="AR14" i="1"/>
  <c r="AP14" i="1"/>
  <c r="BG14" i="1" s="1"/>
  <c r="AP145" i="1"/>
  <c r="BG145" i="1" s="1"/>
  <c r="AR145" i="1"/>
  <c r="AO145" i="1"/>
  <c r="BF145" i="1" s="1"/>
  <c r="AP48" i="1"/>
  <c r="BG48" i="1" s="1"/>
  <c r="AR48" i="1"/>
  <c r="AO48" i="1"/>
  <c r="BF48" i="1" s="1"/>
  <c r="AO320" i="1"/>
  <c r="BF320" i="1" s="1"/>
  <c r="AP320" i="1"/>
  <c r="BG320" i="1" s="1"/>
  <c r="AR320" i="1"/>
  <c r="AR25" i="1"/>
  <c r="AP25" i="1"/>
  <c r="BG25" i="1" s="1"/>
  <c r="AO25" i="1"/>
  <c r="BF25" i="1" s="1"/>
  <c r="AR157" i="1"/>
  <c r="AO157" i="1"/>
  <c r="BF157" i="1" s="1"/>
  <c r="AP157" i="1"/>
  <c r="BG157" i="1" s="1"/>
  <c r="AO327" i="1"/>
  <c r="BF327" i="1" s="1"/>
  <c r="AP327" i="1"/>
  <c r="BG327" i="1" s="1"/>
  <c r="AR327" i="1"/>
  <c r="AP99" i="1"/>
  <c r="BG99" i="1" s="1"/>
  <c r="AO99" i="1"/>
  <c r="BF99" i="1" s="1"/>
  <c r="AR99" i="1"/>
  <c r="AO292" i="1"/>
  <c r="BF292" i="1" s="1"/>
  <c r="AP292" i="1"/>
  <c r="BG292" i="1" s="1"/>
  <c r="AR292" i="1"/>
  <c r="AR162" i="1"/>
  <c r="AO162" i="1"/>
  <c r="BF162" i="1" s="1"/>
  <c r="AP162" i="1"/>
  <c r="BG162" i="1" s="1"/>
  <c r="AP138" i="1"/>
  <c r="BG138" i="1" s="1"/>
  <c r="AO138" i="1"/>
  <c r="BF138" i="1" s="1"/>
  <c r="AR138" i="1"/>
  <c r="AR176" i="1"/>
  <c r="AO176" i="1"/>
  <c r="BF176" i="1" s="1"/>
  <c r="AP176" i="1"/>
  <c r="BG176" i="1" s="1"/>
  <c r="AR108" i="1"/>
  <c r="AO108" i="1"/>
  <c r="BF108" i="1" s="1"/>
  <c r="AP108" i="1"/>
  <c r="BG108" i="1" s="1"/>
  <c r="AO186" i="1"/>
  <c r="BF186" i="1" s="1"/>
  <c r="AR186" i="1"/>
  <c r="AP186" i="1"/>
  <c r="BG186" i="1" s="1"/>
  <c r="AP103" i="1"/>
  <c r="BG103" i="1" s="1"/>
  <c r="AR103" i="1"/>
  <c r="AO103" i="1"/>
  <c r="BF103" i="1" s="1"/>
  <c r="AR98" i="1"/>
  <c r="AP98" i="1"/>
  <c r="BG98" i="1" s="1"/>
  <c r="AO98" i="1"/>
  <c r="BF98" i="1" s="1"/>
  <c r="AR223" i="1"/>
  <c r="AO223" i="1"/>
  <c r="BF223" i="1" s="1"/>
  <c r="AP223" i="1"/>
  <c r="BG223" i="1" s="1"/>
  <c r="AO234" i="1"/>
  <c r="BF234" i="1" s="1"/>
  <c r="AP234" i="1"/>
  <c r="BG234" i="1" s="1"/>
  <c r="AR234" i="1"/>
  <c r="AR193" i="1"/>
  <c r="AO193" i="1"/>
  <c r="BF193" i="1" s="1"/>
  <c r="AP193" i="1"/>
  <c r="BG193" i="1" s="1"/>
  <c r="AO209" i="1"/>
  <c r="BF209" i="1" s="1"/>
  <c r="AR209" i="1"/>
  <c r="AP209" i="1"/>
  <c r="BG209" i="1" s="1"/>
  <c r="AO114" i="1"/>
  <c r="BF114" i="1" s="1"/>
  <c r="AR114" i="1"/>
  <c r="AP114" i="1"/>
  <c r="BG114" i="1" s="1"/>
  <c r="AR172" i="1"/>
  <c r="AP172" i="1"/>
  <c r="BG172" i="1" s="1"/>
  <c r="AO172" i="1"/>
  <c r="BF172" i="1" s="1"/>
  <c r="AR168" i="1"/>
  <c r="AP168" i="1"/>
  <c r="BG168" i="1" s="1"/>
  <c r="AO168" i="1"/>
  <c r="BF168" i="1" s="1"/>
  <c r="AP164" i="1"/>
  <c r="BG164" i="1" s="1"/>
  <c r="AO164" i="1"/>
  <c r="BF164" i="1" s="1"/>
  <c r="AR164" i="1"/>
  <c r="AP71" i="1"/>
  <c r="BG71" i="1" s="1"/>
  <c r="AR71" i="1"/>
  <c r="AO71" i="1"/>
  <c r="BF71" i="1" s="1"/>
  <c r="AR130" i="1"/>
  <c r="AO130" i="1"/>
  <c r="BF130" i="1" s="1"/>
  <c r="AP130" i="1"/>
  <c r="BG130" i="1" s="1"/>
  <c r="AR91" i="1"/>
  <c r="AP91" i="1"/>
  <c r="BG91" i="1" s="1"/>
  <c r="AO91" i="1"/>
  <c r="BF91" i="1" s="1"/>
  <c r="AR63" i="1"/>
  <c r="AP63" i="1"/>
  <c r="BG63" i="1" s="1"/>
  <c r="AO63" i="1"/>
  <c r="BF63" i="1" s="1"/>
  <c r="AO247" i="1"/>
  <c r="BF247" i="1" s="1"/>
  <c r="AR247" i="1"/>
  <c r="AP247" i="1"/>
  <c r="BG247" i="1" s="1"/>
  <c r="AR43" i="1"/>
  <c r="AO43" i="1"/>
  <c r="BF43" i="1" s="1"/>
  <c r="AP43" i="1"/>
  <c r="BG43" i="1" s="1"/>
  <c r="AP31" i="1"/>
  <c r="BG31" i="1" s="1"/>
  <c r="AR31" i="1"/>
  <c r="AO31" i="1"/>
  <c r="BF31" i="1" s="1"/>
  <c r="AP181" i="1"/>
  <c r="BG181" i="1" s="1"/>
  <c r="AO181" i="1"/>
  <c r="BF181" i="1" s="1"/>
  <c r="AR181" i="1"/>
  <c r="AR107" i="1"/>
  <c r="AP107" i="1"/>
  <c r="BG107" i="1" s="1"/>
  <c r="AO107" i="1"/>
  <c r="BF107" i="1" s="1"/>
  <c r="AP131" i="1"/>
  <c r="BG131" i="1" s="1"/>
  <c r="AR131" i="1"/>
  <c r="AO131" i="1"/>
  <c r="BF131" i="1" s="1"/>
  <c r="AO326" i="1"/>
  <c r="BF326" i="1" s="1"/>
  <c r="AP326" i="1"/>
  <c r="BG326" i="1" s="1"/>
  <c r="AR326" i="1"/>
  <c r="AR290" i="1"/>
  <c r="AO290" i="1"/>
  <c r="BF290" i="1" s="1"/>
  <c r="AP290" i="1"/>
  <c r="BG290" i="1" s="1"/>
  <c r="AP304" i="1"/>
  <c r="BG304" i="1" s="1"/>
  <c r="AR304" i="1"/>
  <c r="AO304" i="1"/>
  <c r="BF304" i="1" s="1"/>
  <c r="AR120" i="1"/>
  <c r="AP120" i="1"/>
  <c r="BG120" i="1" s="1"/>
  <c r="AO120" i="1"/>
  <c r="BF120" i="1" s="1"/>
  <c r="AP277" i="1"/>
  <c r="BG277" i="1" s="1"/>
  <c r="AR277" i="1"/>
  <c r="AO277" i="1"/>
  <c r="BF277" i="1" s="1"/>
  <c r="AP265" i="1"/>
  <c r="BG265" i="1" s="1"/>
  <c r="AR265" i="1"/>
  <c r="AO265" i="1"/>
  <c r="BF265" i="1" s="1"/>
  <c r="AP136" i="1"/>
  <c r="BG136" i="1" s="1"/>
  <c r="AR136" i="1"/>
  <c r="AO136" i="1"/>
  <c r="BF136" i="1" s="1"/>
  <c r="AR289" i="1"/>
  <c r="AO289" i="1"/>
  <c r="BF289" i="1" s="1"/>
  <c r="AP289" i="1"/>
  <c r="BG289" i="1" s="1"/>
  <c r="AP45" i="1"/>
  <c r="BG45" i="1" s="1"/>
  <c r="AO45" i="1"/>
  <c r="BF45" i="1" s="1"/>
  <c r="AR45" i="1"/>
  <c r="AP203" i="1"/>
  <c r="BG203" i="1" s="1"/>
  <c r="AR203" i="1"/>
  <c r="AO203" i="1"/>
  <c r="BF203" i="1" s="1"/>
  <c r="AP199" i="1"/>
  <c r="BG199" i="1" s="1"/>
  <c r="AR199" i="1"/>
  <c r="AO199" i="1"/>
  <c r="BF199" i="1" s="1"/>
  <c r="AP160" i="1"/>
  <c r="BG160" i="1" s="1"/>
  <c r="AO160" i="1"/>
  <c r="BF160" i="1" s="1"/>
  <c r="AR160" i="1"/>
  <c r="AO230" i="1"/>
  <c r="BF230" i="1" s="1"/>
  <c r="AR230" i="1"/>
  <c r="AP230" i="1"/>
  <c r="BG230" i="1" s="1"/>
  <c r="AO190" i="1"/>
  <c r="BF190" i="1" s="1"/>
  <c r="AP190" i="1"/>
  <c r="BG190" i="1" s="1"/>
  <c r="AR190" i="1"/>
  <c r="AP218" i="1"/>
  <c r="BG218" i="1" s="1"/>
  <c r="AO218" i="1"/>
  <c r="BF218" i="1" s="1"/>
  <c r="AR218" i="1"/>
  <c r="AO86" i="1"/>
  <c r="BF86" i="1" s="1"/>
  <c r="AR86" i="1"/>
  <c r="AP86" i="1"/>
  <c r="BG86" i="1" s="1"/>
  <c r="AO50" i="1"/>
  <c r="BF50" i="1" s="1"/>
  <c r="AP50" i="1"/>
  <c r="BG50" i="1" s="1"/>
  <c r="AR50" i="1"/>
  <c r="AP313" i="1"/>
  <c r="BG313" i="1" s="1"/>
  <c r="AR313" i="1"/>
  <c r="AO313" i="1"/>
  <c r="BF313" i="1" s="1"/>
  <c r="AP40" i="1"/>
  <c r="BG40" i="1" s="1"/>
  <c r="AR40" i="1"/>
  <c r="AO40" i="1"/>
  <c r="BF40" i="1" s="1"/>
  <c r="AO29" i="1"/>
  <c r="BF29" i="1" s="1"/>
  <c r="AR29" i="1"/>
  <c r="AP29" i="1"/>
  <c r="BG29" i="1" s="1"/>
  <c r="AO310" i="1"/>
  <c r="BF310" i="1" s="1"/>
  <c r="AR310" i="1"/>
  <c r="AP310" i="1"/>
  <c r="BG310" i="1" s="1"/>
  <c r="AP217" i="1"/>
  <c r="BG217" i="1" s="1"/>
  <c r="AR217" i="1"/>
  <c r="AO217" i="1"/>
  <c r="BF217" i="1" s="1"/>
  <c r="AP191" i="1"/>
  <c r="BG191" i="1" s="1"/>
  <c r="AO191" i="1"/>
  <c r="BF191" i="1" s="1"/>
  <c r="AR191" i="1"/>
  <c r="AR59" i="1"/>
  <c r="AP59" i="1"/>
  <c r="BG59" i="1" s="1"/>
  <c r="AO59" i="1"/>
  <c r="BF59" i="1" s="1"/>
  <c r="AO333" i="1"/>
  <c r="BF333" i="1" s="1"/>
  <c r="AR333" i="1"/>
  <c r="AP333" i="1"/>
  <c r="BG333" i="1" s="1"/>
  <c r="AO133" i="1"/>
  <c r="BF133" i="1" s="1"/>
  <c r="AP133" i="1"/>
  <c r="BG133" i="1" s="1"/>
  <c r="AR133" i="1"/>
  <c r="AP72" i="1"/>
  <c r="BG72" i="1" s="1"/>
  <c r="AR72" i="1"/>
  <c r="AO72" i="1"/>
  <c r="BF72" i="1" s="1"/>
  <c r="AP115" i="1"/>
  <c r="BG115" i="1" s="1"/>
  <c r="AR115" i="1"/>
  <c r="AO115" i="1"/>
  <c r="BF115" i="1" s="1"/>
  <c r="AP301" i="1"/>
  <c r="BG301" i="1" s="1"/>
  <c r="AR301" i="1"/>
  <c r="AO301" i="1"/>
  <c r="BF301" i="1" s="1"/>
  <c r="AR187" i="1"/>
  <c r="AO187" i="1"/>
  <c r="BF187" i="1" s="1"/>
  <c r="AP187" i="1"/>
  <c r="BG187" i="1" s="1"/>
  <c r="AO264" i="1"/>
  <c r="BF264" i="1" s="1"/>
  <c r="AP264" i="1"/>
  <c r="BG264" i="1" s="1"/>
  <c r="AR264" i="1"/>
  <c r="AP302" i="1"/>
  <c r="BG302" i="1" s="1"/>
  <c r="AR302" i="1"/>
  <c r="AO302" i="1"/>
  <c r="BF302" i="1" s="1"/>
  <c r="AP163" i="1"/>
  <c r="BG163" i="1" s="1"/>
  <c r="AO163" i="1"/>
  <c r="BF163" i="1" s="1"/>
  <c r="AR163" i="1"/>
  <c r="AP227" i="1"/>
  <c r="BG227" i="1" s="1"/>
  <c r="AR227" i="1"/>
  <c r="AO227" i="1"/>
  <c r="BF227" i="1" s="1"/>
  <c r="AO271" i="1"/>
  <c r="BF271" i="1" s="1"/>
  <c r="AR271" i="1"/>
  <c r="AP271" i="1"/>
  <c r="BG271" i="1" s="1"/>
  <c r="AR60" i="1"/>
  <c r="AP60" i="1"/>
  <c r="BG60" i="1" s="1"/>
  <c r="AO60" i="1"/>
  <c r="BF60" i="1" s="1"/>
  <c r="AR126" i="1"/>
  <c r="AO126" i="1"/>
  <c r="BF126" i="1" s="1"/>
  <c r="AP126" i="1"/>
  <c r="BG126" i="1" s="1"/>
  <c r="AP37" i="1"/>
  <c r="BG37" i="1" s="1"/>
  <c r="AR37" i="1"/>
  <c r="AO37" i="1"/>
  <c r="BF37" i="1" s="1"/>
  <c r="AR81" i="1"/>
  <c r="AP81" i="1"/>
  <c r="BG81" i="1" s="1"/>
  <c r="AO81" i="1"/>
  <c r="BF81" i="1" s="1"/>
  <c r="AO323" i="1"/>
  <c r="BF323" i="1" s="1"/>
  <c r="AR323" i="1"/>
  <c r="AP323" i="1"/>
  <c r="BG323" i="1" s="1"/>
  <c r="AP158" i="1"/>
  <c r="BG158" i="1" s="1"/>
  <c r="AO158" i="1"/>
  <c r="BF158" i="1" s="1"/>
  <c r="AR158" i="1"/>
  <c r="AP318" i="1"/>
  <c r="BG318" i="1" s="1"/>
  <c r="AR318" i="1"/>
  <c r="AO318" i="1"/>
  <c r="BF318" i="1" s="1"/>
  <c r="AO89" i="1"/>
  <c r="BF89" i="1" s="1"/>
  <c r="AR89" i="1"/>
  <c r="AP89" i="1"/>
  <c r="BG89" i="1" s="1"/>
  <c r="AR305" i="1"/>
  <c r="AP305" i="1"/>
  <c r="BG305" i="1" s="1"/>
  <c r="AO305" i="1"/>
  <c r="BF305" i="1" s="1"/>
  <c r="AP167" i="1"/>
  <c r="BG167" i="1" s="1"/>
  <c r="AO167" i="1"/>
  <c r="BF167" i="1" s="1"/>
  <c r="AR167" i="1"/>
  <c r="AR24" i="1"/>
  <c r="AO24" i="1"/>
  <c r="BF24" i="1" s="1"/>
  <c r="AP24" i="1"/>
  <c r="BG24" i="1" s="1"/>
  <c r="AP61" i="1"/>
  <c r="BG61" i="1" s="1"/>
  <c r="AR61" i="1"/>
  <c r="AO61" i="1"/>
  <c r="BF61" i="1" s="1"/>
  <c r="AR332" i="1"/>
  <c r="AO332" i="1"/>
  <c r="BF332" i="1" s="1"/>
  <c r="AP332" i="1"/>
  <c r="BG332" i="1" s="1"/>
  <c r="AR110" i="1"/>
  <c r="AO110" i="1"/>
  <c r="BF110" i="1" s="1"/>
  <c r="AP110" i="1"/>
  <c r="BG110" i="1" s="1"/>
  <c r="AP285" i="1"/>
  <c r="BG285" i="1" s="1"/>
  <c r="AO285" i="1"/>
  <c r="BF285" i="1" s="1"/>
  <c r="AR285" i="1"/>
  <c r="AR275" i="1"/>
  <c r="AP275" i="1"/>
  <c r="BG275" i="1" s="1"/>
  <c r="AO275" i="1"/>
  <c r="BF275" i="1" s="1"/>
  <c r="AO315" i="1"/>
  <c r="BF315" i="1" s="1"/>
  <c r="AR315" i="1"/>
  <c r="AP315" i="1"/>
  <c r="BG315" i="1" s="1"/>
  <c r="AP237" i="1"/>
  <c r="BG237" i="1" s="1"/>
  <c r="AR237" i="1"/>
  <c r="AO237" i="1"/>
  <c r="BF237" i="1" s="1"/>
  <c r="AR334" i="1"/>
  <c r="AO334" i="1"/>
  <c r="BF334" i="1" s="1"/>
  <c r="AP334" i="1"/>
  <c r="BG334" i="1" s="1"/>
  <c r="AO65" i="1"/>
  <c r="BF65" i="1" s="1"/>
  <c r="AR65" i="1"/>
  <c r="AP65" i="1"/>
  <c r="BG65" i="1" s="1"/>
  <c r="AR123" i="1"/>
  <c r="AO123" i="1"/>
  <c r="BF123" i="1" s="1"/>
  <c r="AP123" i="1"/>
  <c r="BG123" i="1" s="1"/>
  <c r="AO259" i="1"/>
  <c r="BF259" i="1" s="1"/>
  <c r="AP259" i="1"/>
  <c r="BG259" i="1" s="1"/>
  <c r="AR259" i="1"/>
  <c r="AP151" i="1"/>
  <c r="BG151" i="1" s="1"/>
  <c r="AR151" i="1"/>
  <c r="AO151" i="1"/>
  <c r="BF151" i="1" s="1"/>
  <c r="AO146" i="1"/>
  <c r="BF146" i="1" s="1"/>
  <c r="AR146" i="1"/>
  <c r="AP146" i="1"/>
  <c r="BG146" i="1" s="1"/>
  <c r="AP321" i="1"/>
  <c r="BG321" i="1" s="1"/>
  <c r="AO321" i="1"/>
  <c r="BF321" i="1" s="1"/>
  <c r="AR321" i="1"/>
  <c r="AO174" i="1"/>
  <c r="BF174" i="1" s="1"/>
  <c r="AR174" i="1"/>
  <c r="AP174" i="1"/>
  <c r="BG174" i="1" s="1"/>
  <c r="AP100" i="1"/>
  <c r="BG100" i="1" s="1"/>
  <c r="AO100" i="1"/>
  <c r="BF100" i="1" s="1"/>
  <c r="AR100" i="1"/>
  <c r="AP55" i="1"/>
  <c r="BG55" i="1" s="1"/>
  <c r="AR55" i="1"/>
  <c r="AO55" i="1"/>
  <c r="BF55" i="1" s="1"/>
  <c r="AP249" i="1"/>
  <c r="BG249" i="1" s="1"/>
  <c r="AO249" i="1"/>
  <c r="BF249" i="1" s="1"/>
  <c r="AR249" i="1"/>
  <c r="AO18" i="1"/>
  <c r="BF18" i="1" s="1"/>
  <c r="AR18" i="1"/>
  <c r="AP18" i="1"/>
  <c r="BG18" i="1" s="1"/>
  <c r="AO324" i="1"/>
  <c r="BF324" i="1" s="1"/>
  <c r="AR324" i="1"/>
  <c r="AP324" i="1"/>
  <c r="BG324" i="1" s="1"/>
  <c r="AP287" i="1"/>
  <c r="BG287" i="1" s="1"/>
  <c r="AO287" i="1"/>
  <c r="BF287" i="1" s="1"/>
  <c r="AR287" i="1"/>
  <c r="AP254" i="1"/>
  <c r="BG254" i="1" s="1"/>
  <c r="AO254" i="1"/>
  <c r="BF254" i="1" s="1"/>
  <c r="AR254" i="1"/>
  <c r="AP198" i="1"/>
  <c r="BG198" i="1" s="1"/>
  <c r="AO198" i="1"/>
  <c r="BF198" i="1" s="1"/>
  <c r="AR198" i="1"/>
  <c r="AO94" i="1"/>
  <c r="BF94" i="1" s="1"/>
  <c r="AR94" i="1"/>
  <c r="AP94" i="1"/>
  <c r="BG94" i="1" s="1"/>
  <c r="AP169" i="1"/>
  <c r="BG169" i="1" s="1"/>
  <c r="AR169" i="1"/>
  <c r="AO169" i="1"/>
  <c r="BF169" i="1" s="1"/>
  <c r="AO268" i="1"/>
  <c r="BF268" i="1" s="1"/>
  <c r="AP268" i="1"/>
  <c r="BG268" i="1" s="1"/>
  <c r="AR268" i="1"/>
  <c r="AP322" i="1"/>
  <c r="BG322" i="1" s="1"/>
  <c r="AR322" i="1"/>
  <c r="AO322" i="1"/>
  <c r="BF322" i="1" s="1"/>
  <c r="AP93" i="1"/>
  <c r="BG93" i="1" s="1"/>
  <c r="AR93" i="1"/>
  <c r="AO93" i="1"/>
  <c r="BF93" i="1" s="1"/>
  <c r="AR33" i="1"/>
  <c r="AO33" i="1"/>
  <c r="BF33" i="1" s="1"/>
  <c r="AP33" i="1"/>
  <c r="BG33" i="1" s="1"/>
  <c r="AP16" i="1"/>
  <c r="BG16" i="1" s="1"/>
  <c r="AO16" i="1"/>
  <c r="BF16" i="1" s="1"/>
  <c r="AR16" i="1"/>
  <c r="AO270" i="1"/>
  <c r="BF270" i="1" s="1"/>
  <c r="AR270" i="1"/>
  <c r="AP270" i="1"/>
  <c r="BG270" i="1" s="1"/>
  <c r="AR336" i="1"/>
  <c r="AP336" i="1"/>
  <c r="BG336" i="1" s="1"/>
  <c r="AO336" i="1"/>
  <c r="BF336" i="1" s="1"/>
  <c r="AP38" i="1"/>
  <c r="BG38" i="1" s="1"/>
  <c r="AO38" i="1"/>
  <c r="BF38" i="1" s="1"/>
  <c r="AR38" i="1"/>
  <c r="AO200" i="1"/>
  <c r="BF200" i="1" s="1"/>
  <c r="AR200" i="1"/>
  <c r="AP200" i="1"/>
  <c r="BG200" i="1" s="1"/>
  <c r="AO248" i="1"/>
  <c r="BF248" i="1" s="1"/>
  <c r="AR248" i="1"/>
  <c r="AP248" i="1"/>
  <c r="BG248" i="1" s="1"/>
  <c r="AP137" i="1"/>
  <c r="BG137" i="1" s="1"/>
  <c r="AR137" i="1"/>
  <c r="AO137" i="1"/>
  <c r="BF137" i="1" s="1"/>
  <c r="AP76" i="1"/>
  <c r="BG76" i="1" s="1"/>
  <c r="AR76" i="1"/>
  <c r="AO76" i="1"/>
  <c r="BF76" i="1" s="1"/>
  <c r="AP293" i="1"/>
  <c r="BG293" i="1" s="1"/>
  <c r="AR293" i="1"/>
  <c r="AC17" i="1"/>
  <c r="AG16" i="1"/>
  <c r="CA16" i="1"/>
  <c r="AT32" i="1"/>
  <c r="AT26" i="1"/>
  <c r="AT314" i="1"/>
  <c r="AT16" i="1"/>
  <c r="AT27" i="1"/>
  <c r="AT235" i="1"/>
  <c r="AT208" i="1"/>
  <c r="AT110" i="1"/>
  <c r="AT134" i="1"/>
  <c r="AT329" i="1"/>
  <c r="AT161" i="1"/>
  <c r="AT200" i="1"/>
  <c r="AT196" i="1"/>
  <c r="ER239" i="1"/>
  <c r="AT117" i="1"/>
  <c r="AT218" i="1"/>
  <c r="AT269" i="1"/>
  <c r="AT84" i="1"/>
  <c r="AT124" i="1"/>
  <c r="AT118" i="1"/>
  <c r="AT186" i="1"/>
  <c r="ER198" i="1"/>
  <c r="AT180" i="1"/>
  <c r="AT300" i="1"/>
  <c r="AT167" i="1"/>
  <c r="AT109" i="1"/>
  <c r="AT114" i="1"/>
  <c r="ER145" i="1"/>
  <c r="AT316" i="1"/>
  <c r="AT24" i="1"/>
  <c r="AT86" i="1"/>
  <c r="AT116" i="1"/>
  <c r="AT153" i="1"/>
  <c r="ER141" i="1"/>
  <c r="AT88" i="1"/>
  <c r="AT152" i="1"/>
  <c r="AT107" i="1"/>
  <c r="AT108" i="1"/>
  <c r="AT306" i="1"/>
  <c r="AT320" i="1"/>
  <c r="ER315" i="1"/>
  <c r="AT39" i="1"/>
  <c r="AT79" i="1"/>
  <c r="AT102" i="1"/>
  <c r="AT82" i="1"/>
  <c r="AT184" i="1"/>
  <c r="AT122" i="1"/>
  <c r="AT36" i="1"/>
  <c r="AT100" i="1"/>
  <c r="AT291" i="1"/>
  <c r="AT247" i="1"/>
  <c r="AT245" i="1"/>
  <c r="AT278" i="1"/>
  <c r="AT71" i="1"/>
  <c r="AT65" i="1"/>
  <c r="AT142" i="1"/>
  <c r="AT127" i="1"/>
  <c r="AT57" i="1"/>
  <c r="AT272" i="1"/>
  <c r="AT227" i="1"/>
  <c r="AT28" i="1"/>
  <c r="AT64" i="1"/>
  <c r="AT104" i="1"/>
  <c r="AT22" i="1"/>
  <c r="AT25" i="1"/>
  <c r="AT263" i="1"/>
  <c r="AT37" i="1"/>
  <c r="AT228" i="1"/>
  <c r="AT206" i="1"/>
  <c r="AT162" i="1"/>
  <c r="AT254" i="1"/>
  <c r="AT268" i="1"/>
  <c r="AT168" i="1"/>
  <c r="AT17" i="1"/>
  <c r="AT129" i="1"/>
  <c r="ER51" i="1"/>
  <c r="ER93" i="1"/>
  <c r="AT73" i="1"/>
  <c r="ER90" i="1"/>
  <c r="AT234" i="1"/>
  <c r="AT223" i="1"/>
  <c r="AT248" i="1"/>
  <c r="AT229" i="1"/>
  <c r="AT317" i="1"/>
  <c r="ER76" i="1"/>
  <c r="AT120" i="1"/>
  <c r="AT103" i="1"/>
  <c r="AT14" i="1"/>
  <c r="AT62" i="1"/>
  <c r="AT74" i="1"/>
  <c r="AT190" i="1"/>
  <c r="ER222" i="1"/>
  <c r="AT138" i="1"/>
  <c r="AT136" i="1"/>
  <c r="AT87" i="1"/>
  <c r="AT95" i="1"/>
  <c r="AT325" i="1"/>
  <c r="AT83" i="1"/>
  <c r="AT177" i="1"/>
  <c r="AT144" i="1"/>
  <c r="ER199" i="1"/>
  <c r="AT210" i="1"/>
  <c r="AT63" i="1"/>
  <c r="ER274" i="1"/>
  <c r="AT75" i="1"/>
  <c r="AT113" i="1"/>
  <c r="ER216" i="1"/>
  <c r="AT301" i="1"/>
  <c r="AT147" i="1"/>
  <c r="AT155" i="1"/>
  <c r="AT139" i="1"/>
  <c r="AT313" i="1"/>
  <c r="AT121" i="1"/>
  <c r="AT333" i="1"/>
  <c r="AT45" i="1"/>
  <c r="AT81" i="1"/>
  <c r="AT171" i="1"/>
  <c r="AT334" i="1"/>
  <c r="AT238" i="1"/>
  <c r="ER281" i="1"/>
  <c r="ER31" i="1"/>
  <c r="AT131" i="1"/>
  <c r="AT170" i="1"/>
  <c r="AT318" i="1"/>
  <c r="AT299" i="1"/>
  <c r="AT246" i="1"/>
  <c r="AT322" i="1"/>
  <c r="AT49" i="1"/>
  <c r="AT255" i="1"/>
  <c r="AT85" i="1"/>
  <c r="AT321" i="1"/>
  <c r="AT294" i="1"/>
  <c r="AT275" i="1"/>
  <c r="AT292" i="1"/>
  <c r="ER137" i="1"/>
  <c r="AT140" i="1"/>
  <c r="AT99" i="1"/>
  <c r="AT163" i="1"/>
  <c r="ER286" i="1"/>
  <c r="ER193" i="1"/>
  <c r="AT33" i="1"/>
  <c r="AT15" i="1"/>
  <c r="AT29" i="1"/>
  <c r="ER288" i="1"/>
  <c r="AT266" i="1"/>
  <c r="AT285" i="1"/>
  <c r="AT96" i="1"/>
  <c r="AT340" i="1"/>
  <c r="AT174" i="1"/>
  <c r="AT295" i="1"/>
  <c r="ER282" i="1"/>
  <c r="AT264" i="1"/>
  <c r="AT342" i="1"/>
  <c r="ER204" i="1"/>
  <c r="AT297" i="1"/>
  <c r="AT236" i="1"/>
  <c r="AT91" i="1"/>
  <c r="AT212" i="1"/>
  <c r="AT181" i="1"/>
  <c r="AT256" i="1"/>
  <c r="AT273" i="1"/>
  <c r="AT304" i="1"/>
  <c r="AT164" i="1"/>
  <c r="ER135" i="1"/>
  <c r="AT289" i="1"/>
  <c r="AT250" i="1"/>
  <c r="AT259" i="1"/>
  <c r="AT187" i="1"/>
  <c r="ER53" i="1"/>
  <c r="AT213" i="1"/>
  <c r="AT132" i="1"/>
  <c r="AT226" i="1"/>
  <c r="AT244" i="1"/>
  <c r="AT191" i="1"/>
  <c r="AT219" i="1"/>
  <c r="AT271" i="1"/>
  <c r="AT202" i="1"/>
  <c r="AT195" i="1"/>
  <c r="AT201" i="1"/>
  <c r="AT41" i="1"/>
  <c r="AT143" i="1"/>
  <c r="AT215" i="1"/>
  <c r="AT189" i="1"/>
  <c r="AT270" i="1"/>
  <c r="AT19" i="1"/>
  <c r="EJ18" i="1"/>
  <c r="EJ19" i="1" s="1"/>
  <c r="AN13" i="1"/>
  <c r="L17" i="7"/>
  <c r="EM13" i="1"/>
  <c r="DG136" i="1" l="1"/>
  <c r="DL136" i="1"/>
  <c r="DG24" i="1"/>
  <c r="DK88" i="1"/>
  <c r="DK90" i="1"/>
  <c r="BD162" i="1"/>
  <c r="DK45" i="1"/>
  <c r="DG291" i="1"/>
  <c r="DG65" i="1"/>
  <c r="DK291" i="1"/>
  <c r="DG250" i="1"/>
  <c r="DK65" i="1"/>
  <c r="DG36" i="1"/>
  <c r="DK211" i="1"/>
  <c r="DK250" i="1"/>
  <c r="DK36" i="1"/>
  <c r="DN36" i="1" s="1"/>
  <c r="DL211" i="1"/>
  <c r="AY328" i="1"/>
  <c r="DL171" i="1"/>
  <c r="DG171" i="1"/>
  <c r="BD223" i="1"/>
  <c r="AT111" i="1"/>
  <c r="ER188" i="1"/>
  <c r="AO293" i="1"/>
  <c r="BF293" i="1" s="1"/>
  <c r="AP23" i="1"/>
  <c r="BG23" i="1" s="1"/>
  <c r="AP296" i="1"/>
  <c r="BG296" i="1" s="1"/>
  <c r="AR279" i="1"/>
  <c r="DG199" i="1"/>
  <c r="DG290" i="1"/>
  <c r="DG236" i="1"/>
  <c r="DL320" i="1"/>
  <c r="DK340" i="1"/>
  <c r="DN340" i="1" s="1"/>
  <c r="DG88" i="1"/>
  <c r="DG134" i="1"/>
  <c r="DK84" i="1"/>
  <c r="DL137" i="1"/>
  <c r="DK16" i="1"/>
  <c r="DN16" i="1" s="1"/>
  <c r="AY67" i="1"/>
  <c r="AY110" i="1"/>
  <c r="AY159" i="1"/>
  <c r="BD150" i="1"/>
  <c r="BD108" i="1"/>
  <c r="AR23" i="1"/>
  <c r="AR296" i="1"/>
  <c r="AP279" i="1"/>
  <c r="BG279" i="1" s="1"/>
  <c r="DG285" i="1"/>
  <c r="DG147" i="1"/>
  <c r="DK134" i="1"/>
  <c r="DN134" i="1" s="1"/>
  <c r="BD67" i="1"/>
  <c r="BD159" i="1"/>
  <c r="AY296" i="1"/>
  <c r="BD149" i="1"/>
  <c r="AT148" i="1"/>
  <c r="AR148" i="1"/>
  <c r="AO23" i="1"/>
  <c r="BF23" i="1" s="1"/>
  <c r="AP232" i="1"/>
  <c r="BG232" i="1" s="1"/>
  <c r="DK285" i="1"/>
  <c r="DG129" i="1"/>
  <c r="DK147" i="1"/>
  <c r="DG125" i="1"/>
  <c r="DK33" i="1"/>
  <c r="BD175" i="1"/>
  <c r="BD329" i="1"/>
  <c r="AY25" i="1"/>
  <c r="BD296" i="1"/>
  <c r="AY185" i="1"/>
  <c r="AT253" i="1"/>
  <c r="AT185" i="1"/>
  <c r="AO148" i="1"/>
  <c r="BF148" i="1" s="1"/>
  <c r="AP257" i="1"/>
  <c r="BG257" i="1" s="1"/>
  <c r="AR159" i="1"/>
  <c r="AO341" i="1"/>
  <c r="BF341" i="1" s="1"/>
  <c r="AO232" i="1"/>
  <c r="BF232" i="1" s="1"/>
  <c r="DG102" i="1"/>
  <c r="BD25" i="1"/>
  <c r="DL25" i="1" s="1"/>
  <c r="BD185" i="1"/>
  <c r="AO111" i="1"/>
  <c r="BF111" i="1" s="1"/>
  <c r="AP148" i="1"/>
  <c r="BG148" i="1" s="1"/>
  <c r="AR257" i="1"/>
  <c r="AP159" i="1"/>
  <c r="BG159" i="1" s="1"/>
  <c r="AR341" i="1"/>
  <c r="AR232" i="1"/>
  <c r="AR240" i="1"/>
  <c r="AR149" i="1"/>
  <c r="AO307" i="1"/>
  <c r="BF307" i="1" s="1"/>
  <c r="DK230" i="1"/>
  <c r="DL110" i="1"/>
  <c r="DL102" i="1"/>
  <c r="DG294" i="1"/>
  <c r="AY279" i="1"/>
  <c r="AY92" i="1"/>
  <c r="AY111" i="1"/>
  <c r="AT159" i="1"/>
  <c r="AT240" i="1"/>
  <c r="AO257" i="1"/>
  <c r="BF257" i="1" s="1"/>
  <c r="AO159" i="1"/>
  <c r="BF159" i="1" s="1"/>
  <c r="AR80" i="1"/>
  <c r="AO240" i="1"/>
  <c r="BF240" i="1" s="1"/>
  <c r="AO149" i="1"/>
  <c r="BF149" i="1" s="1"/>
  <c r="AR307" i="1"/>
  <c r="DG304" i="1"/>
  <c r="DK294" i="1"/>
  <c r="AY257" i="1"/>
  <c r="AY253" i="1"/>
  <c r="AY80" i="1"/>
  <c r="AY188" i="1"/>
  <c r="BD279" i="1"/>
  <c r="BD92" i="1"/>
  <c r="BD111" i="1"/>
  <c r="ER257" i="1"/>
  <c r="AT341" i="1"/>
  <c r="AT80" i="1"/>
  <c r="AT149" i="1"/>
  <c r="AT232" i="1"/>
  <c r="AP70" i="1"/>
  <c r="BG70" i="1" s="1"/>
  <c r="AP111" i="1"/>
  <c r="BG111" i="1" s="1"/>
  <c r="AO80" i="1"/>
  <c r="BF80" i="1" s="1"/>
  <c r="AP240" i="1"/>
  <c r="BG240" i="1" s="1"/>
  <c r="AP149" i="1"/>
  <c r="BG149" i="1" s="1"/>
  <c r="AP307" i="1"/>
  <c r="BG307" i="1" s="1"/>
  <c r="DG271" i="1"/>
  <c r="DK304" i="1"/>
  <c r="BD257" i="1"/>
  <c r="BD253" i="1"/>
  <c r="BD289" i="1"/>
  <c r="BD91" i="1"/>
  <c r="AY52" i="1"/>
  <c r="BD48" i="1"/>
  <c r="AY165" i="1"/>
  <c r="BD80" i="1"/>
  <c r="BD188" i="1"/>
  <c r="AY228" i="1"/>
  <c r="AY231" i="1"/>
  <c r="AR70" i="1"/>
  <c r="AP80" i="1"/>
  <c r="BG80" i="1" s="1"/>
  <c r="AR299" i="1"/>
  <c r="AO185" i="1"/>
  <c r="BF185" i="1" s="1"/>
  <c r="AR92" i="1"/>
  <c r="DK271" i="1"/>
  <c r="DG219" i="1"/>
  <c r="DG74" i="1"/>
  <c r="DL322" i="1"/>
  <c r="DN322" i="1" s="1"/>
  <c r="BD52" i="1"/>
  <c r="BD165" i="1"/>
  <c r="DG165" i="1" s="1"/>
  <c r="AY273" i="1"/>
  <c r="AY299" i="1"/>
  <c r="BD228" i="1"/>
  <c r="BD231" i="1"/>
  <c r="BD337" i="1"/>
  <c r="AT67" i="1"/>
  <c r="AO70" i="1"/>
  <c r="BF70" i="1" s="1"/>
  <c r="AP299" i="1"/>
  <c r="BG299" i="1" s="1"/>
  <c r="AR185" i="1"/>
  <c r="AP92" i="1"/>
  <c r="BG92" i="1" s="1"/>
  <c r="DG158" i="1"/>
  <c r="DK43" i="1"/>
  <c r="DK219" i="1"/>
  <c r="DN219" i="1" s="1"/>
  <c r="DL206" i="1"/>
  <c r="DK74" i="1"/>
  <c r="DG322" i="1"/>
  <c r="AY112" i="1"/>
  <c r="BD273" i="1"/>
  <c r="BD299" i="1"/>
  <c r="BD180" i="1"/>
  <c r="AO299" i="1"/>
  <c r="BF299" i="1" s="1"/>
  <c r="AP185" i="1"/>
  <c r="BG185" i="1" s="1"/>
  <c r="AO92" i="1"/>
  <c r="BF92" i="1" s="1"/>
  <c r="DK158" i="1"/>
  <c r="DN158" i="1" s="1"/>
  <c r="DG114" i="1"/>
  <c r="DG155" i="1"/>
  <c r="AY148" i="1"/>
  <c r="AY341" i="1"/>
  <c r="AR111" i="1"/>
  <c r="ER296" i="1"/>
  <c r="AT279" i="1"/>
  <c r="AO166" i="1"/>
  <c r="BF166" i="1" s="1"/>
  <c r="DG61" i="1"/>
  <c r="DK114" i="1"/>
  <c r="DK157" i="1"/>
  <c r="DN157" i="1" s="1"/>
  <c r="DK155" i="1"/>
  <c r="DG97" i="1"/>
  <c r="BD148" i="1"/>
  <c r="BD341" i="1"/>
  <c r="BD118" i="1"/>
  <c r="AR166" i="1"/>
  <c r="AR52" i="1"/>
  <c r="AO67" i="1"/>
  <c r="BF67" i="1" s="1"/>
  <c r="AR253" i="1"/>
  <c r="DG76" i="1"/>
  <c r="AY232" i="1"/>
  <c r="AY240" i="1"/>
  <c r="AY192" i="1"/>
  <c r="AY312" i="1"/>
  <c r="AP341" i="1"/>
  <c r="BG341" i="1" s="1"/>
  <c r="AT307" i="1"/>
  <c r="AT166" i="1"/>
  <c r="AP166" i="1"/>
  <c r="BG166" i="1" s="1"/>
  <c r="AP52" i="1"/>
  <c r="BG52" i="1" s="1"/>
  <c r="AR67" i="1"/>
  <c r="AP253" i="1"/>
  <c r="BG253" i="1" s="1"/>
  <c r="AO192" i="1"/>
  <c r="BF192" i="1" s="1"/>
  <c r="AO188" i="1"/>
  <c r="BF188" i="1" s="1"/>
  <c r="DK264" i="1"/>
  <c r="DG247" i="1"/>
  <c r="DL62" i="1"/>
  <c r="DG83" i="1"/>
  <c r="DG51" i="1"/>
  <c r="DK76" i="1"/>
  <c r="DN76" i="1" s="1"/>
  <c r="BD232" i="1"/>
  <c r="BD66" i="1"/>
  <c r="BD184" i="1"/>
  <c r="BD240" i="1"/>
  <c r="BD192" i="1"/>
  <c r="BD214" i="1"/>
  <c r="DK214" i="1" s="1"/>
  <c r="BD312" i="1"/>
  <c r="AY293" i="1"/>
  <c r="AY70" i="1"/>
  <c r="AT52" i="1"/>
  <c r="AT92" i="1"/>
  <c r="AO52" i="1"/>
  <c r="BF52" i="1" s="1"/>
  <c r="AP67" i="1"/>
  <c r="BG67" i="1" s="1"/>
  <c r="AO253" i="1"/>
  <c r="BF253" i="1" s="1"/>
  <c r="AO165" i="1"/>
  <c r="BF165" i="1" s="1"/>
  <c r="AR192" i="1"/>
  <c r="AR188" i="1"/>
  <c r="DG264" i="1"/>
  <c r="DK247" i="1"/>
  <c r="DN247" i="1" s="1"/>
  <c r="DL83" i="1"/>
  <c r="AY307" i="1"/>
  <c r="AY166" i="1"/>
  <c r="AY23" i="1"/>
  <c r="BD293" i="1"/>
  <c r="DG293" i="1" s="1"/>
  <c r="BD70" i="1"/>
  <c r="DG70" i="1" s="1"/>
  <c r="AP165" i="1"/>
  <c r="BG165" i="1" s="1"/>
  <c r="AP192" i="1"/>
  <c r="BG192" i="1" s="1"/>
  <c r="AP188" i="1"/>
  <c r="BG188" i="1" s="1"/>
  <c r="BD307" i="1"/>
  <c r="BD166" i="1"/>
  <c r="BD23" i="1"/>
  <c r="DG113" i="1"/>
  <c r="DG204" i="1"/>
  <c r="DK122" i="1"/>
  <c r="DG26" i="1"/>
  <c r="DL239" i="1"/>
  <c r="AY311" i="1"/>
  <c r="DG31" i="1"/>
  <c r="DK80" i="1"/>
  <c r="DK210" i="1"/>
  <c r="DN210" i="1" s="1"/>
  <c r="DL301" i="1"/>
  <c r="DK31" i="1"/>
  <c r="AY53" i="1"/>
  <c r="DG168" i="1"/>
  <c r="DG234" i="1"/>
  <c r="DK168" i="1"/>
  <c r="DG52" i="1"/>
  <c r="DK295" i="1"/>
  <c r="DK189" i="1"/>
  <c r="DN189" i="1" s="1"/>
  <c r="AY329" i="1"/>
  <c r="AY131" i="1"/>
  <c r="BD333" i="1"/>
  <c r="BD50" i="1"/>
  <c r="BD235" i="1"/>
  <c r="DG321" i="1"/>
  <c r="DK61" i="1"/>
  <c r="DN61" i="1" s="1"/>
  <c r="DK199" i="1"/>
  <c r="DG130" i="1"/>
  <c r="DK77" i="1"/>
  <c r="DN77" i="1" s="1"/>
  <c r="DG28" i="1"/>
  <c r="DL295" i="1"/>
  <c r="BD174" i="1"/>
  <c r="BD237" i="1"/>
  <c r="BD131" i="1"/>
  <c r="BD53" i="1"/>
  <c r="BD328" i="1"/>
  <c r="BD215" i="1"/>
  <c r="BD282" i="1"/>
  <c r="DG43" i="1"/>
  <c r="DG157" i="1"/>
  <c r="AY337" i="1"/>
  <c r="AY197" i="1"/>
  <c r="BH197" i="1"/>
  <c r="DG146" i="1"/>
  <c r="DG172" i="1"/>
  <c r="DG19" i="1"/>
  <c r="DG319" i="1"/>
  <c r="AY162" i="1"/>
  <c r="AY289" i="1"/>
  <c r="AY180" i="1"/>
  <c r="AY105" i="1"/>
  <c r="BH105" i="1"/>
  <c r="DK167" i="1"/>
  <c r="DG30" i="1"/>
  <c r="DK336" i="1"/>
  <c r="DN336" i="1" s="1"/>
  <c r="AY247" i="1"/>
  <c r="AY48" i="1"/>
  <c r="AY149" i="1"/>
  <c r="AY108" i="1"/>
  <c r="DG160" i="1"/>
  <c r="DG230" i="1"/>
  <c r="DG81" i="1"/>
  <c r="DK160" i="1"/>
  <c r="DG335" i="1"/>
  <c r="DK176" i="1"/>
  <c r="DN176" i="1" s="1"/>
  <c r="DK51" i="1"/>
  <c r="DN51" i="1" s="1"/>
  <c r="AY285" i="1"/>
  <c r="AY318" i="1"/>
  <c r="AY91" i="1"/>
  <c r="AY223" i="1"/>
  <c r="AY227" i="1"/>
  <c r="AY133" i="1"/>
  <c r="AY292" i="1"/>
  <c r="DG315" i="1"/>
  <c r="DK81" i="1"/>
  <c r="DN81" i="1" s="1"/>
  <c r="DL176" i="1"/>
  <c r="DK25" i="1"/>
  <c r="DN25" i="1" s="1"/>
  <c r="BD227" i="1"/>
  <c r="BD133" i="1"/>
  <c r="BD292" i="1"/>
  <c r="DK315" i="1"/>
  <c r="DN315" i="1" s="1"/>
  <c r="DG209" i="1"/>
  <c r="DK254" i="1"/>
  <c r="DK62" i="1"/>
  <c r="DG216" i="1"/>
  <c r="DG124" i="1"/>
  <c r="DL245" i="1"/>
  <c r="DN245" i="1" s="1"/>
  <c r="AY155" i="1"/>
  <c r="AY13" i="1"/>
  <c r="BH13" i="1"/>
  <c r="AP20" i="1"/>
  <c r="BH20" i="1"/>
  <c r="DG100" i="1"/>
  <c r="DL63" i="1"/>
  <c r="DN63" i="1" s="1"/>
  <c r="DG138" i="1"/>
  <c r="DL254" i="1"/>
  <c r="DG287" i="1"/>
  <c r="DK100" i="1"/>
  <c r="DN100" i="1" s="1"/>
  <c r="DG266" i="1"/>
  <c r="DG301" i="1"/>
  <c r="DG181" i="1"/>
  <c r="DG63" i="1"/>
  <c r="DK138" i="1"/>
  <c r="DN138" i="1" s="1"/>
  <c r="DK221" i="1"/>
  <c r="DN221" i="1" s="1"/>
  <c r="DK233" i="1"/>
  <c r="DN233" i="1" s="1"/>
  <c r="DG242" i="1"/>
  <c r="AY55" i="1"/>
  <c r="AY65" i="1"/>
  <c r="AY332" i="1"/>
  <c r="AY323" i="1"/>
  <c r="AY302" i="1"/>
  <c r="AY59" i="1"/>
  <c r="DG86" i="1"/>
  <c r="DG191" i="1"/>
  <c r="DK181" i="1"/>
  <c r="DN181" i="1" s="1"/>
  <c r="DG232" i="1"/>
  <c r="DG119" i="1"/>
  <c r="DG303" i="1"/>
  <c r="DK242" i="1"/>
  <c r="DN242" i="1" s="1"/>
  <c r="DG73" i="1"/>
  <c r="DG265" i="1"/>
  <c r="BD302" i="1"/>
  <c r="BD59" i="1"/>
  <c r="DL73" i="1"/>
  <c r="DN73" i="1" s="1"/>
  <c r="AY86" i="1"/>
  <c r="AY203" i="1"/>
  <c r="BH203" i="1"/>
  <c r="AY207" i="1"/>
  <c r="BH207" i="1"/>
  <c r="DK265" i="1"/>
  <c r="DN265" i="1" s="1"/>
  <c r="DL67" i="1"/>
  <c r="DP328" i="1"/>
  <c r="AY20" i="1"/>
  <c r="DN116" i="1"/>
  <c r="DN267" i="1"/>
  <c r="DN74" i="1"/>
  <c r="DN287" i="1"/>
  <c r="DN123" i="1"/>
  <c r="DN266" i="1"/>
  <c r="DN89" i="1"/>
  <c r="DN269" i="1"/>
  <c r="DN212" i="1"/>
  <c r="DN22" i="1"/>
  <c r="DN291" i="1"/>
  <c r="DN196" i="1"/>
  <c r="DN41" i="1"/>
  <c r="DN39" i="1"/>
  <c r="DN102" i="1"/>
  <c r="DN125" i="1"/>
  <c r="DN256" i="1"/>
  <c r="DN249" i="1"/>
  <c r="DN313" i="1"/>
  <c r="DN167" i="1"/>
  <c r="DN142" i="1"/>
  <c r="DN29" i="1"/>
  <c r="DN218" i="1"/>
  <c r="DN71" i="1"/>
  <c r="DN300" i="1"/>
  <c r="DN326" i="1"/>
  <c r="DN43" i="1"/>
  <c r="DN17" i="1"/>
  <c r="DN144" i="1"/>
  <c r="DN85" i="1"/>
  <c r="DN94" i="1"/>
  <c r="DN222" i="1"/>
  <c r="DN318" i="1"/>
  <c r="DN126" i="1"/>
  <c r="DN163" i="1"/>
  <c r="DN217" i="1"/>
  <c r="DN202" i="1"/>
  <c r="DN31" i="1"/>
  <c r="DN208" i="1"/>
  <c r="DN170" i="1"/>
  <c r="DN306" i="1"/>
  <c r="DN201" i="1"/>
  <c r="DN132" i="1"/>
  <c r="DN90" i="1"/>
  <c r="DN46" i="1"/>
  <c r="DN281" i="1"/>
  <c r="DN65" i="1"/>
  <c r="DN199" i="1"/>
  <c r="DN290" i="1"/>
  <c r="DN186" i="1"/>
  <c r="DN327" i="1"/>
  <c r="DN314" i="1"/>
  <c r="DN127" i="1"/>
  <c r="DN255" i="1"/>
  <c r="DN97" i="1"/>
  <c r="DN288" i="1"/>
  <c r="DN260" i="1"/>
  <c r="DN93" i="1"/>
  <c r="DN18" i="1"/>
  <c r="DN122" i="1"/>
  <c r="DN172" i="1"/>
  <c r="DN14" i="1"/>
  <c r="DN263" i="1"/>
  <c r="DN317" i="1"/>
  <c r="DN15" i="1"/>
  <c r="DN153" i="1"/>
  <c r="DN195" i="1"/>
  <c r="DN137" i="1"/>
  <c r="DN268" i="1"/>
  <c r="DN285" i="1"/>
  <c r="DN205" i="1"/>
  <c r="DN160" i="1"/>
  <c r="DN164" i="1"/>
  <c r="DN211" i="1"/>
  <c r="DN83" i="1"/>
  <c r="DN32" i="1"/>
  <c r="DN26" i="1"/>
  <c r="DN147" i="1"/>
  <c r="DN136" i="1"/>
  <c r="DN316" i="1"/>
  <c r="DN248" i="1"/>
  <c r="DN177" i="1"/>
  <c r="DN169" i="1"/>
  <c r="DN259" i="1"/>
  <c r="DN120" i="1"/>
  <c r="DN297" i="1"/>
  <c r="DN168" i="1"/>
  <c r="DN98" i="1"/>
  <c r="DN104" i="1"/>
  <c r="DN62" i="1"/>
  <c r="DN250" i="1"/>
  <c r="DN64" i="1"/>
  <c r="DN30" i="1"/>
  <c r="DN239" i="1"/>
  <c r="DN272" i="1"/>
  <c r="DN226" i="1"/>
  <c r="DN319" i="1"/>
  <c r="DN95" i="1"/>
  <c r="DN200" i="1"/>
  <c r="DN87" i="1"/>
  <c r="DN238" i="1"/>
  <c r="DN140" i="1"/>
  <c r="DN96" i="1"/>
  <c r="DN216" i="1"/>
  <c r="DN124" i="1"/>
  <c r="DN58" i="1"/>
  <c r="DN38" i="1"/>
  <c r="DN60" i="1"/>
  <c r="DN236" i="1"/>
  <c r="DN135" i="1"/>
  <c r="DN271" i="1"/>
  <c r="DN107" i="1"/>
  <c r="DN335" i="1"/>
  <c r="DN143" i="1"/>
  <c r="DN27" i="1"/>
  <c r="DN84" i="1"/>
  <c r="DN324" i="1"/>
  <c r="DN298" i="1"/>
  <c r="DN115" i="1"/>
  <c r="DN325" i="1"/>
  <c r="DN161" i="1"/>
  <c r="DN321" i="1"/>
  <c r="DN72" i="1"/>
  <c r="DN40" i="1"/>
  <c r="DN130" i="1"/>
  <c r="DN193" i="1"/>
  <c r="DN145" i="1"/>
  <c r="DN119" i="1"/>
  <c r="DN303" i="1"/>
  <c r="DN311" i="1"/>
  <c r="DN42" i="1"/>
  <c r="DN276" i="1"/>
  <c r="DN141" i="1"/>
  <c r="DN278" i="1"/>
  <c r="DN294" i="1"/>
  <c r="DN334" i="1"/>
  <c r="DN24" i="1"/>
  <c r="DN277" i="1"/>
  <c r="DN310" i="1"/>
  <c r="DN284" i="1"/>
  <c r="DN342" i="1"/>
  <c r="DN171" i="1"/>
  <c r="DN152" i="1"/>
  <c r="DN204" i="1"/>
  <c r="DN75" i="1"/>
  <c r="DN146" i="1"/>
  <c r="DN275" i="1"/>
  <c r="DN78" i="1"/>
  <c r="DN264" i="1"/>
  <c r="DN190" i="1"/>
  <c r="DN234" i="1"/>
  <c r="DN121" i="1"/>
  <c r="DN194" i="1"/>
  <c r="DN112" i="1"/>
  <c r="DN139" i="1"/>
  <c r="DN274" i="1"/>
  <c r="DN286" i="1"/>
  <c r="DN206" i="1"/>
  <c r="DN270" i="1"/>
  <c r="DN323" i="1"/>
  <c r="DN213" i="1"/>
  <c r="DN57" i="1"/>
  <c r="DN246" i="1"/>
  <c r="DN244" i="1"/>
  <c r="DN55" i="1"/>
  <c r="DN151" i="1"/>
  <c r="DN230" i="1"/>
  <c r="DN187" i="1"/>
  <c r="DN79" i="1"/>
  <c r="DN45" i="1"/>
  <c r="DN304" i="1"/>
  <c r="DN155" i="1"/>
  <c r="DN113" i="1"/>
  <c r="DN88" i="1"/>
  <c r="DN19" i="1"/>
  <c r="DN49" i="1"/>
  <c r="DN28" i="1"/>
  <c r="DN109" i="1"/>
  <c r="DN198" i="1"/>
  <c r="DN305" i="1"/>
  <c r="DN114" i="1"/>
  <c r="AR13" i="1"/>
  <c r="BD13" i="1"/>
  <c r="DN110" i="1"/>
  <c r="DN37" i="1"/>
  <c r="DN209" i="1"/>
  <c r="DN320" i="1"/>
  <c r="DN82" i="1"/>
  <c r="DN229" i="1"/>
  <c r="DN301" i="1"/>
  <c r="DN332" i="1"/>
  <c r="DN86" i="1"/>
  <c r="DN191" i="1"/>
  <c r="DN103" i="1"/>
  <c r="DN99" i="1"/>
  <c r="DN258" i="1"/>
  <c r="DN129" i="1"/>
  <c r="DN117" i="1"/>
  <c r="DN283" i="1"/>
  <c r="DN33" i="1"/>
  <c r="BD20" i="1"/>
  <c r="AT72" i="1"/>
  <c r="AT150" i="1"/>
  <c r="AT151" i="1"/>
  <c r="AT165" i="1"/>
  <c r="AT176" i="1"/>
  <c r="AT38" i="1"/>
  <c r="AT50" i="1"/>
  <c r="AT77" i="1"/>
  <c r="AT146" i="1"/>
  <c r="AT265" i="1"/>
  <c r="AT66" i="1"/>
  <c r="AT175" i="1"/>
  <c r="AT311" i="1"/>
  <c r="AT30" i="1"/>
  <c r="AT337" i="1"/>
  <c r="AT287" i="1"/>
  <c r="AT126" i="1"/>
  <c r="AT78" i="1"/>
  <c r="AT323" i="1"/>
  <c r="AT89" i="1"/>
  <c r="AT221" i="1"/>
  <c r="AT242" i="1"/>
  <c r="AT169" i="1"/>
  <c r="AT237" i="1"/>
  <c r="AT130" i="1"/>
  <c r="AT298" i="1"/>
  <c r="AT276" i="1"/>
  <c r="AT324" i="1"/>
  <c r="AT305" i="1"/>
  <c r="AT115" i="1"/>
  <c r="AT230" i="1"/>
  <c r="AT335" i="1"/>
  <c r="AT327" i="1"/>
  <c r="AT192" i="1"/>
  <c r="AT18" i="1"/>
  <c r="AT172" i="1"/>
  <c r="AT48" i="1"/>
  <c r="AT94" i="1"/>
  <c r="AT217" i="1"/>
  <c r="AT97" i="1"/>
  <c r="AT46" i="1"/>
  <c r="AT284" i="1"/>
  <c r="AT125" i="1"/>
  <c r="AT231" i="1"/>
  <c r="AT332" i="1"/>
  <c r="AT290" i="1"/>
  <c r="AT194" i="1"/>
  <c r="AT233" i="1"/>
  <c r="AR20" i="1"/>
  <c r="AO20" i="1"/>
  <c r="BF20" i="1" s="1"/>
  <c r="AT293" i="1"/>
  <c r="AT336" i="1"/>
  <c r="AT55" i="1"/>
  <c r="AT61" i="1"/>
  <c r="AT133" i="1"/>
  <c r="AT310" i="1"/>
  <c r="AT43" i="1"/>
  <c r="AT209" i="1"/>
  <c r="AT98" i="1"/>
  <c r="AT157" i="1"/>
  <c r="AT211" i="1"/>
  <c r="AT112" i="1"/>
  <c r="AT119" i="1"/>
  <c r="AT42" i="1"/>
  <c r="AT23" i="1"/>
  <c r="AT267" i="1"/>
  <c r="AT312" i="1"/>
  <c r="AT260" i="1"/>
  <c r="AT60" i="1"/>
  <c r="AT326" i="1"/>
  <c r="AT158" i="1"/>
  <c r="AT277" i="1"/>
  <c r="AT123" i="1"/>
  <c r="AT59" i="1"/>
  <c r="AT40" i="1"/>
  <c r="AT70" i="1"/>
  <c r="AT302" i="1"/>
  <c r="AT160" i="1"/>
  <c r="AG17" i="1"/>
  <c r="AC18" i="1"/>
  <c r="AO13" i="1"/>
  <c r="BF13" i="1" s="1"/>
  <c r="AP13" i="1"/>
  <c r="BG13" i="1" s="1"/>
  <c r="ER258" i="1"/>
  <c r="ER58" i="1"/>
  <c r="ER143" i="1"/>
  <c r="ER271" i="1"/>
  <c r="ER298" i="1"/>
  <c r="ER304" i="1"/>
  <c r="ER174" i="1"/>
  <c r="ER292" i="1"/>
  <c r="ER322" i="1"/>
  <c r="ER81" i="1"/>
  <c r="ER290" i="1"/>
  <c r="ER325" i="1"/>
  <c r="ER62" i="1"/>
  <c r="ER60" i="1"/>
  <c r="ER133" i="1"/>
  <c r="AT145" i="1"/>
  <c r="DX145" i="1"/>
  <c r="ER105" i="1"/>
  <c r="AT222" i="1"/>
  <c r="DX222" i="1"/>
  <c r="ER30" i="1"/>
  <c r="ER55" i="1"/>
  <c r="AT90" i="1"/>
  <c r="DX90" i="1"/>
  <c r="ER129" i="1"/>
  <c r="ER332" i="1"/>
  <c r="ER18" i="1"/>
  <c r="ER341" i="1"/>
  <c r="ER42" i="1"/>
  <c r="ER46" i="1"/>
  <c r="ER36" i="1"/>
  <c r="ER39" i="1"/>
  <c r="ER152" i="1"/>
  <c r="ER116" i="1"/>
  <c r="ER84" i="1"/>
  <c r="ER117" i="1"/>
  <c r="ER161" i="1"/>
  <c r="AT188" i="1"/>
  <c r="DX188" i="1"/>
  <c r="ER232" i="1"/>
  <c r="ER233" i="1"/>
  <c r="ER340" i="1"/>
  <c r="AT286" i="1"/>
  <c r="DX286" i="1"/>
  <c r="ER45" i="1"/>
  <c r="ER160" i="1"/>
  <c r="ER72" i="1"/>
  <c r="ER210" i="1"/>
  <c r="AT135" i="1"/>
  <c r="DX135" i="1"/>
  <c r="AT281" i="1"/>
  <c r="DX281" i="1"/>
  <c r="AT315" i="1"/>
  <c r="DX315" i="1"/>
  <c r="ER249" i="1"/>
  <c r="ER219" i="1"/>
  <c r="ER275" i="1"/>
  <c r="ER336" i="1"/>
  <c r="AT53" i="1"/>
  <c r="DX53" i="1"/>
  <c r="ER273" i="1"/>
  <c r="ER176" i="1"/>
  <c r="ER342" i="1"/>
  <c r="ER96" i="1"/>
  <c r="ER15" i="1"/>
  <c r="ER337" i="1"/>
  <c r="ER294" i="1"/>
  <c r="ER299" i="1"/>
  <c r="ER333" i="1"/>
  <c r="ER77" i="1"/>
  <c r="ER75" i="1"/>
  <c r="ER48" i="1"/>
  <c r="ER14" i="1"/>
  <c r="ER43" i="1"/>
  <c r="ER73" i="1"/>
  <c r="ER17" i="1"/>
  <c r="ER228" i="1"/>
  <c r="ER111" i="1"/>
  <c r="ER227" i="1"/>
  <c r="ER50" i="1"/>
  <c r="ER278" i="1"/>
  <c r="ER122" i="1"/>
  <c r="ER88" i="1"/>
  <c r="ER80" i="1"/>
  <c r="ER114" i="1"/>
  <c r="ER217" i="1"/>
  <c r="ER269" i="1"/>
  <c r="ER165" i="1"/>
  <c r="ER126" i="1"/>
  <c r="ER240" i="1"/>
  <c r="ER16" i="1"/>
  <c r="ER303" i="1"/>
  <c r="ER41" i="1"/>
  <c r="ER289" i="1"/>
  <c r="ER52" i="1"/>
  <c r="ER29" i="1"/>
  <c r="ER246" i="1"/>
  <c r="ER270" i="1"/>
  <c r="ER267" i="1"/>
  <c r="AT257" i="1"/>
  <c r="DX257" i="1"/>
  <c r="ER205" i="1"/>
  <c r="ER201" i="1"/>
  <c r="ER33" i="1"/>
  <c r="ER221" i="1"/>
  <c r="ER168" i="1"/>
  <c r="ER37" i="1"/>
  <c r="ER260" i="1"/>
  <c r="ER142" i="1"/>
  <c r="ER245" i="1"/>
  <c r="ER207" i="1"/>
  <c r="ER86" i="1"/>
  <c r="ER194" i="1"/>
  <c r="ER328" i="1"/>
  <c r="ER335" i="1"/>
  <c r="ER312" i="1"/>
  <c r="ER59" i="1"/>
  <c r="ER110" i="1"/>
  <c r="ER302" i="1"/>
  <c r="ER319" i="1"/>
  <c r="ER187" i="1"/>
  <c r="ER264" i="1"/>
  <c r="ER321" i="1"/>
  <c r="AT199" i="1"/>
  <c r="DX199" i="1"/>
  <c r="ER95" i="1"/>
  <c r="ER67" i="1"/>
  <c r="ER317" i="1"/>
  <c r="ER22" i="1"/>
  <c r="AT193" i="1"/>
  <c r="DX193" i="1"/>
  <c r="AT141" i="1"/>
  <c r="DX141" i="1"/>
  <c r="ER66" i="1"/>
  <c r="ER121" i="1"/>
  <c r="ER215" i="1"/>
  <c r="ER244" i="1"/>
  <c r="ER265" i="1"/>
  <c r="ER242" i="1"/>
  <c r="ER99" i="1"/>
  <c r="ER170" i="1"/>
  <c r="ER238" i="1"/>
  <c r="ER313" i="1"/>
  <c r="AT216" i="1"/>
  <c r="DX216" i="1"/>
  <c r="ER144" i="1"/>
  <c r="ER87" i="1"/>
  <c r="ER253" i="1"/>
  <c r="ER103" i="1"/>
  <c r="ER229" i="1"/>
  <c r="AT93" i="1"/>
  <c r="DX93" i="1"/>
  <c r="ER268" i="1"/>
  <c r="ER263" i="1"/>
  <c r="ER148" i="1"/>
  <c r="ER237" i="1"/>
  <c r="ER166" i="1"/>
  <c r="ER247" i="1"/>
  <c r="ER184" i="1"/>
  <c r="ER320" i="1"/>
  <c r="ER24" i="1"/>
  <c r="ER109" i="1"/>
  <c r="ER230" i="1"/>
  <c r="ER323" i="1"/>
  <c r="ER92" i="1"/>
  <c r="ER208" i="1"/>
  <c r="ER284" i="1"/>
  <c r="ER283" i="1"/>
  <c r="ER189" i="1"/>
  <c r="ER256" i="1"/>
  <c r="ER318" i="1"/>
  <c r="ER195" i="1"/>
  <c r="ER259" i="1"/>
  <c r="ER285" i="1"/>
  <c r="ER85" i="1"/>
  <c r="AT282" i="1"/>
  <c r="DX282" i="1"/>
  <c r="AT274" i="1"/>
  <c r="DX274" i="1"/>
  <c r="ER203" i="1"/>
  <c r="ER226" i="1"/>
  <c r="ER310" i="1"/>
  <c r="ER266" i="1"/>
  <c r="ER140" i="1"/>
  <c r="ER255" i="1"/>
  <c r="ER159" i="1"/>
  <c r="ER139" i="1"/>
  <c r="ER177" i="1"/>
  <c r="ER136" i="1"/>
  <c r="ER190" i="1"/>
  <c r="ER115" i="1"/>
  <c r="ER248" i="1"/>
  <c r="ER70" i="1"/>
  <c r="ER112" i="1"/>
  <c r="ER20" i="1"/>
  <c r="ER104" i="1"/>
  <c r="ER272" i="1"/>
  <c r="ER130" i="1"/>
  <c r="ER291" i="1"/>
  <c r="ER151" i="1"/>
  <c r="ER287" i="1"/>
  <c r="ER209" i="1"/>
  <c r="ER316" i="1"/>
  <c r="ER167" i="1"/>
  <c r="ER186" i="1"/>
  <c r="ER326" i="1"/>
  <c r="AT239" i="1"/>
  <c r="DX239" i="1"/>
  <c r="ER327" i="1"/>
  <c r="ER172" i="1"/>
  <c r="ER40" i="1"/>
  <c r="ER214" i="1"/>
  <c r="ER19" i="1"/>
  <c r="ER191" i="1"/>
  <c r="ER236" i="1"/>
  <c r="ER163" i="1"/>
  <c r="ER301" i="1"/>
  <c r="ER202" i="1"/>
  <c r="ER231" i="1"/>
  <c r="AT296" i="1"/>
  <c r="DX296" i="1"/>
  <c r="ER297" i="1"/>
  <c r="ER334" i="1"/>
  <c r="AT205" i="1"/>
  <c r="AT258" i="1"/>
  <c r="AT249" i="1"/>
  <c r="AT214" i="1"/>
  <c r="AT303" i="1"/>
  <c r="AT283" i="1"/>
  <c r="AT319" i="1"/>
  <c r="AT58" i="1"/>
  <c r="ER64" i="1"/>
  <c r="ER146" i="1"/>
  <c r="ER306" i="1"/>
  <c r="ER305" i="1"/>
  <c r="ER197" i="1"/>
  <c r="ER149" i="1"/>
  <c r="ER196" i="1"/>
  <c r="ER329" i="1"/>
  <c r="ER235" i="1"/>
  <c r="ER314" i="1"/>
  <c r="ER192" i="1"/>
  <c r="ER83" i="1"/>
  <c r="ER38" i="1"/>
  <c r="ER223" i="1"/>
  <c r="ER61" i="1"/>
  <c r="ER94" i="1"/>
  <c r="ER65" i="1"/>
  <c r="ER82" i="1"/>
  <c r="ER185" i="1"/>
  <c r="ER300" i="1"/>
  <c r="ER279" i="1"/>
  <c r="ER211" i="1"/>
  <c r="ER254" i="1"/>
  <c r="ER125" i="1"/>
  <c r="ER157" i="1"/>
  <c r="ER132" i="1"/>
  <c r="ER250" i="1"/>
  <c r="ER164" i="1"/>
  <c r="ER212" i="1"/>
  <c r="ER311" i="1"/>
  <c r="ER295" i="1"/>
  <c r="ER293" i="1"/>
  <c r="AT137" i="1"/>
  <c r="DX137" i="1"/>
  <c r="ER49" i="1"/>
  <c r="ER78" i="1"/>
  <c r="ER97" i="1"/>
  <c r="ER155" i="1"/>
  <c r="ER113" i="1"/>
  <c r="ER63" i="1"/>
  <c r="ER307" i="1"/>
  <c r="ER89" i="1"/>
  <c r="ER74" i="1"/>
  <c r="ER234" i="1"/>
  <c r="AT51" i="1"/>
  <c r="DX51" i="1"/>
  <c r="ER162" i="1"/>
  <c r="ER25" i="1"/>
  <c r="ER119" i="1"/>
  <c r="ER57" i="1"/>
  <c r="ER98" i="1"/>
  <c r="ER100" i="1"/>
  <c r="ER102" i="1"/>
  <c r="ER108" i="1"/>
  <c r="ER153" i="1"/>
  <c r="ER324" i="1"/>
  <c r="ER180" i="1"/>
  <c r="ER118" i="1"/>
  <c r="ER150" i="1"/>
  <c r="ER200" i="1"/>
  <c r="ER134" i="1"/>
  <c r="ER27" i="1"/>
  <c r="ER26" i="1"/>
  <c r="ER181" i="1"/>
  <c r="ER131" i="1"/>
  <c r="ER169" i="1"/>
  <c r="AT31" i="1"/>
  <c r="DX31" i="1"/>
  <c r="CX31" i="1" s="1"/>
  <c r="CZ31" i="1" s="1"/>
  <c r="AT198" i="1"/>
  <c r="DX198" i="1"/>
  <c r="ER276" i="1"/>
  <c r="ER171" i="1"/>
  <c r="ER120" i="1"/>
  <c r="AT204" i="1"/>
  <c r="DX204" i="1"/>
  <c r="ER213" i="1"/>
  <c r="ER91" i="1"/>
  <c r="AT288" i="1"/>
  <c r="DX288" i="1"/>
  <c r="ER147" i="1"/>
  <c r="ER23" i="1"/>
  <c r="ER138" i="1"/>
  <c r="AT76" i="1"/>
  <c r="DX76" i="1"/>
  <c r="ER123" i="1"/>
  <c r="ER206" i="1"/>
  <c r="ER28" i="1"/>
  <c r="ER127" i="1"/>
  <c r="ER71" i="1"/>
  <c r="ER158" i="1"/>
  <c r="ER79" i="1"/>
  <c r="ER107" i="1"/>
  <c r="ER124" i="1"/>
  <c r="ER218" i="1"/>
  <c r="ER175" i="1"/>
  <c r="ER277" i="1"/>
  <c r="ER32" i="1"/>
  <c r="EJ20" i="1"/>
  <c r="EJ22" i="1" s="1"/>
  <c r="ER13" i="1"/>
  <c r="L18" i="7"/>
  <c r="DN254" i="1" l="1"/>
  <c r="DG162" i="1"/>
  <c r="DL162" i="1"/>
  <c r="DK162" i="1"/>
  <c r="DN162" i="1" s="1"/>
  <c r="DG223" i="1"/>
  <c r="DL223" i="1"/>
  <c r="DK223" i="1"/>
  <c r="DN223" i="1" s="1"/>
  <c r="DG192" i="1"/>
  <c r="DL192" i="1"/>
  <c r="DK192" i="1"/>
  <c r="DG25" i="1"/>
  <c r="DL240" i="1"/>
  <c r="DG240" i="1"/>
  <c r="DK240" i="1"/>
  <c r="DN240" i="1" s="1"/>
  <c r="DL180" i="1"/>
  <c r="DK180" i="1"/>
  <c r="DN180" i="1" s="1"/>
  <c r="DG180" i="1"/>
  <c r="DG231" i="1"/>
  <c r="DL231" i="1"/>
  <c r="DK231" i="1"/>
  <c r="DN231" i="1" s="1"/>
  <c r="DK149" i="1"/>
  <c r="DG149" i="1"/>
  <c r="DL149" i="1"/>
  <c r="DL184" i="1"/>
  <c r="DK184" i="1"/>
  <c r="DG184" i="1"/>
  <c r="DL299" i="1"/>
  <c r="DK299" i="1"/>
  <c r="DG299" i="1"/>
  <c r="DL228" i="1"/>
  <c r="DK228" i="1"/>
  <c r="DN228" i="1" s="1"/>
  <c r="DG228" i="1"/>
  <c r="DG188" i="1"/>
  <c r="DL188" i="1"/>
  <c r="DN295" i="1"/>
  <c r="DK188" i="1"/>
  <c r="DG66" i="1"/>
  <c r="DK66" i="1"/>
  <c r="DL66" i="1"/>
  <c r="DK273" i="1"/>
  <c r="DG273" i="1"/>
  <c r="DL273" i="1"/>
  <c r="DL80" i="1"/>
  <c r="DN80" i="1" s="1"/>
  <c r="DG80" i="1"/>
  <c r="DL159" i="1"/>
  <c r="DK159" i="1"/>
  <c r="DG159" i="1"/>
  <c r="DK232" i="1"/>
  <c r="DN232" i="1" s="1"/>
  <c r="DL232" i="1"/>
  <c r="DG296" i="1"/>
  <c r="DL296" i="1"/>
  <c r="DK296" i="1"/>
  <c r="DN296" i="1" s="1"/>
  <c r="DK67" i="1"/>
  <c r="DG67" i="1"/>
  <c r="DL165" i="1"/>
  <c r="DK165" i="1"/>
  <c r="DG48" i="1"/>
  <c r="DL48" i="1"/>
  <c r="DK48" i="1"/>
  <c r="DL337" i="1"/>
  <c r="DK337" i="1"/>
  <c r="DN337" i="1" s="1"/>
  <c r="DG337" i="1"/>
  <c r="DK23" i="1"/>
  <c r="DN23" i="1" s="1"/>
  <c r="DG23" i="1"/>
  <c r="DL23" i="1"/>
  <c r="DK52" i="1"/>
  <c r="DN52" i="1" s="1"/>
  <c r="DL52" i="1"/>
  <c r="DL329" i="1"/>
  <c r="DK329" i="1"/>
  <c r="DG329" i="1"/>
  <c r="DK166" i="1"/>
  <c r="DN166" i="1" s="1"/>
  <c r="DG166" i="1"/>
  <c r="DL166" i="1"/>
  <c r="DL91" i="1"/>
  <c r="DG91" i="1"/>
  <c r="DK91" i="1"/>
  <c r="DG175" i="1"/>
  <c r="DL175" i="1"/>
  <c r="DK175" i="1"/>
  <c r="DN175" i="1" s="1"/>
  <c r="DL307" i="1"/>
  <c r="DK307" i="1"/>
  <c r="DG307" i="1"/>
  <c r="DG289" i="1"/>
  <c r="DL289" i="1"/>
  <c r="DK289" i="1"/>
  <c r="DL111" i="1"/>
  <c r="DK111" i="1"/>
  <c r="DG111" i="1"/>
  <c r="DK253" i="1"/>
  <c r="DN253" i="1" s="1"/>
  <c r="DL253" i="1"/>
  <c r="DG253" i="1"/>
  <c r="DL92" i="1"/>
  <c r="DK92" i="1"/>
  <c r="DN92" i="1" s="1"/>
  <c r="DG92" i="1"/>
  <c r="DK185" i="1"/>
  <c r="DN185" i="1" s="1"/>
  <c r="DG185" i="1"/>
  <c r="DL185" i="1"/>
  <c r="DL257" i="1"/>
  <c r="DK257" i="1"/>
  <c r="DG257" i="1"/>
  <c r="DK279" i="1"/>
  <c r="DL279" i="1"/>
  <c r="DG279" i="1"/>
  <c r="DL108" i="1"/>
  <c r="DK108" i="1"/>
  <c r="DN108" i="1" s="1"/>
  <c r="DG108" i="1"/>
  <c r="DL70" i="1"/>
  <c r="DK70" i="1"/>
  <c r="DK150" i="1"/>
  <c r="DN150" i="1" s="1"/>
  <c r="DL150" i="1"/>
  <c r="DG150" i="1"/>
  <c r="DL293" i="1"/>
  <c r="DK293" i="1"/>
  <c r="DL118" i="1"/>
  <c r="DK118" i="1"/>
  <c r="DG118" i="1"/>
  <c r="DN67" i="1"/>
  <c r="DL312" i="1"/>
  <c r="DK312" i="1"/>
  <c r="DG312" i="1"/>
  <c r="DL341" i="1"/>
  <c r="DK341" i="1"/>
  <c r="DG341" i="1"/>
  <c r="DG214" i="1"/>
  <c r="DL214" i="1"/>
  <c r="DN214" i="1" s="1"/>
  <c r="DG148" i="1"/>
  <c r="DL148" i="1"/>
  <c r="DK148" i="1"/>
  <c r="DK235" i="1"/>
  <c r="DL235" i="1"/>
  <c r="DG235" i="1"/>
  <c r="DL50" i="1"/>
  <c r="DK50" i="1"/>
  <c r="DG50" i="1"/>
  <c r="DK333" i="1"/>
  <c r="DN333" i="1" s="1"/>
  <c r="DG333" i="1"/>
  <c r="DL333" i="1"/>
  <c r="DL282" i="1"/>
  <c r="DK282" i="1"/>
  <c r="DG282" i="1"/>
  <c r="DL215" i="1"/>
  <c r="DK215" i="1"/>
  <c r="DG215" i="1"/>
  <c r="DG328" i="1"/>
  <c r="DK328" i="1"/>
  <c r="DG292" i="1"/>
  <c r="DK292" i="1"/>
  <c r="DL292" i="1"/>
  <c r="DL53" i="1"/>
  <c r="DK53" i="1"/>
  <c r="DG53" i="1"/>
  <c r="DL133" i="1"/>
  <c r="DK133" i="1"/>
  <c r="DG133" i="1"/>
  <c r="DL131" i="1"/>
  <c r="DK131" i="1"/>
  <c r="DG131" i="1"/>
  <c r="DL227" i="1"/>
  <c r="DK227" i="1"/>
  <c r="DG227" i="1"/>
  <c r="DL237" i="1"/>
  <c r="DK237" i="1"/>
  <c r="DG237" i="1"/>
  <c r="DK174" i="1"/>
  <c r="DG174" i="1"/>
  <c r="DL174" i="1"/>
  <c r="DL59" i="1"/>
  <c r="DK59" i="1"/>
  <c r="DG59" i="1"/>
  <c r="DL302" i="1"/>
  <c r="DK302" i="1"/>
  <c r="DG302" i="1"/>
  <c r="AY7" i="1"/>
  <c r="DL13" i="1"/>
  <c r="DK13" i="1"/>
  <c r="DG13" i="1"/>
  <c r="DP20" i="1"/>
  <c r="BD105" i="1"/>
  <c r="BI105" i="1" s="1"/>
  <c r="AT20" i="1"/>
  <c r="AG18" i="1"/>
  <c r="CA18" i="1"/>
  <c r="AC19" i="1"/>
  <c r="DX28" i="1"/>
  <c r="CX28" i="1" s="1"/>
  <c r="CZ28" i="1" s="1"/>
  <c r="DX289" i="1"/>
  <c r="DX218" i="1"/>
  <c r="DX121" i="1"/>
  <c r="DX228" i="1"/>
  <c r="DX117" i="1"/>
  <c r="CX117" i="1" s="1"/>
  <c r="DX191" i="1"/>
  <c r="DY191" i="1" s="1"/>
  <c r="BP191" i="1" s="1" a="1"/>
  <c r="BP191" i="1" s="1"/>
  <c r="DX203" i="1"/>
  <c r="DY203" i="1" s="1"/>
  <c r="BP203" i="1" s="1" a="1"/>
  <c r="BP203" i="1" s="1"/>
  <c r="DX259" i="1"/>
  <c r="DX265" i="1"/>
  <c r="DY265" i="1" s="1"/>
  <c r="BP265" i="1" s="1" a="1"/>
  <c r="BP265" i="1" s="1"/>
  <c r="DX67" i="1"/>
  <c r="CX67" i="1" s="1"/>
  <c r="DX80" i="1"/>
  <c r="CX80" i="1" s="1"/>
  <c r="DX301" i="1"/>
  <c r="DX46" i="1"/>
  <c r="DX304" i="1"/>
  <c r="DY304" i="1" s="1"/>
  <c r="BP304" i="1" s="1" a="1"/>
  <c r="BP304" i="1" s="1"/>
  <c r="DX254" i="1"/>
  <c r="DY254" i="1" s="1"/>
  <c r="BP254" i="1" s="1" a="1"/>
  <c r="BP254" i="1" s="1"/>
  <c r="DX192" i="1"/>
  <c r="DY192" i="1" s="1"/>
  <c r="BP192" i="1" s="1" a="1"/>
  <c r="BP192" i="1" s="1"/>
  <c r="DX109" i="1"/>
  <c r="DX269" i="1"/>
  <c r="DY269" i="1" s="1"/>
  <c r="BP269" i="1" s="1" a="1"/>
  <c r="BP269" i="1" s="1"/>
  <c r="DX79" i="1"/>
  <c r="CX79" i="1" s="1"/>
  <c r="DX276" i="1"/>
  <c r="CX276" i="1" s="1"/>
  <c r="DX279" i="1"/>
  <c r="DY279" i="1" s="1"/>
  <c r="BP279" i="1" s="1" a="1"/>
  <c r="BP279" i="1" s="1"/>
  <c r="DX235" i="1"/>
  <c r="CX235" i="1" s="1"/>
  <c r="DX316" i="1"/>
  <c r="CX316" i="1" s="1"/>
  <c r="DX291" i="1"/>
  <c r="DX20" i="1"/>
  <c r="CX20" i="1" s="1"/>
  <c r="CZ20" i="1" s="1"/>
  <c r="DX115" i="1"/>
  <c r="CX115" i="1" s="1"/>
  <c r="DX139" i="1"/>
  <c r="DY139" i="1" s="1"/>
  <c r="BP139" i="1" s="1" a="1"/>
  <c r="BP139" i="1" s="1"/>
  <c r="DX195" i="1"/>
  <c r="DX283" i="1"/>
  <c r="DX267" i="1"/>
  <c r="DY267" i="1" s="1"/>
  <c r="BP267" i="1" s="1" a="1"/>
  <c r="BP267" i="1" s="1"/>
  <c r="DX52" i="1"/>
  <c r="DY52" i="1" s="1"/>
  <c r="BP52" i="1" s="1" a="1"/>
  <c r="BP52" i="1" s="1"/>
  <c r="DX208" i="1"/>
  <c r="DY208" i="1" s="1"/>
  <c r="BP208" i="1" s="1" a="1"/>
  <c r="BP208" i="1" s="1"/>
  <c r="DX134" i="1"/>
  <c r="CX134" i="1" s="1"/>
  <c r="DX180" i="1"/>
  <c r="DY180" i="1" s="1"/>
  <c r="BP180" i="1" s="1" a="1"/>
  <c r="BP180" i="1" s="1"/>
  <c r="DX78" i="1"/>
  <c r="DY78" i="1" s="1"/>
  <c r="BP78" i="1" s="1" a="1"/>
  <c r="BP78" i="1" s="1"/>
  <c r="DX149" i="1"/>
  <c r="CX149" i="1" s="1"/>
  <c r="DX146" i="1"/>
  <c r="DY146" i="1" s="1"/>
  <c r="BP146" i="1" s="1" a="1"/>
  <c r="BP146" i="1" s="1"/>
  <c r="DX167" i="1"/>
  <c r="DY167" i="1" s="1"/>
  <c r="BP167" i="1" s="1" a="1"/>
  <c r="BP167" i="1" s="1"/>
  <c r="DX104" i="1"/>
  <c r="DY104" i="1" s="1"/>
  <c r="BP104" i="1" s="1" a="1"/>
  <c r="BP104" i="1" s="1"/>
  <c r="DX110" i="1"/>
  <c r="DX205" i="1"/>
  <c r="CX205" i="1" s="1"/>
  <c r="DX303" i="1"/>
  <c r="DY303" i="1" s="1"/>
  <c r="BP303" i="1" s="1" a="1"/>
  <c r="BP303" i="1" s="1"/>
  <c r="DX233" i="1"/>
  <c r="CX233" i="1" s="1"/>
  <c r="DX116" i="1"/>
  <c r="DX157" i="1"/>
  <c r="CX157" i="1" s="1"/>
  <c r="DX258" i="1"/>
  <c r="CX258" i="1" s="1"/>
  <c r="DX118" i="1"/>
  <c r="CX118" i="1" s="1"/>
  <c r="DX306" i="1"/>
  <c r="DY306" i="1" s="1"/>
  <c r="BP306" i="1" s="1" a="1"/>
  <c r="BP306" i="1" s="1"/>
  <c r="DX132" i="1"/>
  <c r="CX132" i="1" s="1"/>
  <c r="DX277" i="1"/>
  <c r="CX277" i="1" s="1"/>
  <c r="DX100" i="1"/>
  <c r="DY100" i="1" s="1"/>
  <c r="BP100" i="1" s="1" a="1"/>
  <c r="BP100" i="1" s="1"/>
  <c r="DX74" i="1"/>
  <c r="CX74" i="1" s="1"/>
  <c r="DX49" i="1"/>
  <c r="DY49" i="1" s="1"/>
  <c r="BP49" i="1" s="1" a="1"/>
  <c r="BP49" i="1" s="1"/>
  <c r="DX237" i="1"/>
  <c r="DY237" i="1" s="1"/>
  <c r="BP237" i="1" s="1" a="1"/>
  <c r="BP237" i="1" s="1"/>
  <c r="DX59" i="1"/>
  <c r="CX59" i="1" s="1"/>
  <c r="DX221" i="1"/>
  <c r="CX221" i="1" s="1"/>
  <c r="DX229" i="1"/>
  <c r="DY229" i="1" s="1"/>
  <c r="BP229" i="1" s="1" a="1"/>
  <c r="BP229" i="1" s="1"/>
  <c r="DX164" i="1"/>
  <c r="CX164" i="1" s="1"/>
  <c r="DX125" i="1"/>
  <c r="CX125" i="1" s="1"/>
  <c r="DX300" i="1"/>
  <c r="DX329" i="1"/>
  <c r="DX159" i="1"/>
  <c r="CX159" i="1" s="1"/>
  <c r="DX310" i="1"/>
  <c r="CX310" i="1" s="1"/>
  <c r="DX284" i="1"/>
  <c r="CX284" i="1" s="1"/>
  <c r="DX215" i="1"/>
  <c r="DY215" i="1" s="1"/>
  <c r="BP215" i="1" s="1" a="1"/>
  <c r="BP215" i="1" s="1"/>
  <c r="DX22" i="1"/>
  <c r="CX22" i="1" s="1"/>
  <c r="CZ22" i="1" s="1"/>
  <c r="DX260" i="1"/>
  <c r="DY260" i="1" s="1"/>
  <c r="BP260" i="1" s="1" a="1"/>
  <c r="BP260" i="1" s="1"/>
  <c r="DX33" i="1"/>
  <c r="CX33" i="1" s="1"/>
  <c r="CZ33" i="1" s="1"/>
  <c r="DX240" i="1"/>
  <c r="DY240" i="1" s="1"/>
  <c r="BP240" i="1" s="1" a="1"/>
  <c r="BP240" i="1" s="1"/>
  <c r="DX217" i="1"/>
  <c r="DY217" i="1" s="1"/>
  <c r="BP217" i="1" s="1" a="1"/>
  <c r="BP217" i="1" s="1"/>
  <c r="DX111" i="1"/>
  <c r="DY111" i="1" s="1"/>
  <c r="DX77" i="1"/>
  <c r="DX42" i="1"/>
  <c r="DY42" i="1" s="1"/>
  <c r="BP42" i="1" s="1" a="1"/>
  <c r="BP42" i="1" s="1"/>
  <c r="DX298" i="1"/>
  <c r="DY298" i="1" s="1"/>
  <c r="BP298" i="1" s="1" a="1"/>
  <c r="BP298" i="1" s="1"/>
  <c r="DX23" i="1"/>
  <c r="CX23" i="1" s="1"/>
  <c r="CZ23" i="1" s="1"/>
  <c r="DX150" i="1"/>
  <c r="DX153" i="1"/>
  <c r="DY153" i="1" s="1"/>
  <c r="BP153" i="1" s="1" a="1"/>
  <c r="BP153" i="1" s="1"/>
  <c r="DX307" i="1"/>
  <c r="CX307" i="1" s="1"/>
  <c r="DX94" i="1"/>
  <c r="DX83" i="1"/>
  <c r="DY83" i="1" s="1"/>
  <c r="BP83" i="1" s="1" a="1"/>
  <c r="BP83" i="1" s="1"/>
  <c r="DX305" i="1"/>
  <c r="DY305" i="1" s="1"/>
  <c r="BP305" i="1" s="1" a="1"/>
  <c r="BP305" i="1" s="1"/>
  <c r="DX40" i="1"/>
  <c r="DY40" i="1" s="1"/>
  <c r="BP40" i="1" s="1" a="1"/>
  <c r="BP40" i="1" s="1"/>
  <c r="DX112" i="1"/>
  <c r="CX112" i="1" s="1"/>
  <c r="DX318" i="1"/>
  <c r="DY318" i="1" s="1"/>
  <c r="DX148" i="1"/>
  <c r="DY148" i="1" s="1"/>
  <c r="BP148" i="1" s="1" a="1"/>
  <c r="BP148" i="1" s="1"/>
  <c r="DX99" i="1"/>
  <c r="DY99" i="1" s="1"/>
  <c r="BP99" i="1" s="1" a="1"/>
  <c r="BP99" i="1" s="1"/>
  <c r="DX201" i="1"/>
  <c r="CX201" i="1" s="1"/>
  <c r="DX270" i="1"/>
  <c r="DX43" i="1"/>
  <c r="DY43" i="1" s="1"/>
  <c r="DX176" i="1"/>
  <c r="CX176" i="1" s="1"/>
  <c r="DX325" i="1"/>
  <c r="CX325" i="1" s="1"/>
  <c r="DX271" i="1"/>
  <c r="DX97" i="1"/>
  <c r="CX97" i="1" s="1"/>
  <c r="DX250" i="1"/>
  <c r="CX250" i="1" s="1"/>
  <c r="DX207" i="1"/>
  <c r="DY207" i="1" s="1"/>
  <c r="BP207" i="1" s="1" a="1"/>
  <c r="BP207" i="1" s="1"/>
  <c r="DX219" i="1"/>
  <c r="DY219" i="1" s="1"/>
  <c r="BP219" i="1" s="1" a="1"/>
  <c r="BP219" i="1" s="1"/>
  <c r="DX124" i="1"/>
  <c r="CX124" i="1" s="1"/>
  <c r="DX147" i="1"/>
  <c r="DY147" i="1" s="1"/>
  <c r="BP147" i="1" s="1" a="1"/>
  <c r="BP147" i="1" s="1"/>
  <c r="DX256" i="1"/>
  <c r="DY256" i="1" s="1"/>
  <c r="BP256" i="1" s="1" a="1"/>
  <c r="BP256" i="1" s="1"/>
  <c r="DX247" i="1"/>
  <c r="DY247" i="1" s="1"/>
  <c r="DX253" i="1"/>
  <c r="CX253" i="1" s="1"/>
  <c r="DX264" i="1"/>
  <c r="CX264" i="1" s="1"/>
  <c r="DX333" i="1"/>
  <c r="CX333" i="1" s="1"/>
  <c r="DX273" i="1"/>
  <c r="CX273" i="1" s="1"/>
  <c r="DX72" i="1"/>
  <c r="DY72" i="1" s="1"/>
  <c r="BP72" i="1" s="1" a="1"/>
  <c r="BP72" i="1" s="1"/>
  <c r="DX174" i="1"/>
  <c r="DY174" i="1" s="1"/>
  <c r="BP174" i="1" s="1" a="1"/>
  <c r="BP174" i="1" s="1"/>
  <c r="DX143" i="1"/>
  <c r="CX143" i="1" s="1"/>
  <c r="DX127" i="1"/>
  <c r="DX91" i="1"/>
  <c r="DY91" i="1" s="1"/>
  <c r="BP91" i="1" s="1" a="1"/>
  <c r="BP91" i="1" s="1"/>
  <c r="DX102" i="1"/>
  <c r="DY102" i="1" s="1"/>
  <c r="BP102" i="1" s="1" a="1"/>
  <c r="BP102" i="1" s="1"/>
  <c r="DX119" i="1"/>
  <c r="DY119" i="1" s="1"/>
  <c r="BP119" i="1" s="1" a="1"/>
  <c r="BP119" i="1" s="1"/>
  <c r="DX82" i="1"/>
  <c r="CX82" i="1" s="1"/>
  <c r="DX223" i="1"/>
  <c r="CX223" i="1" s="1"/>
  <c r="DX327" i="1"/>
  <c r="CX327" i="1" s="1"/>
  <c r="DX151" i="1"/>
  <c r="CX151" i="1" s="1"/>
  <c r="DX92" i="1"/>
  <c r="DY92" i="1" s="1"/>
  <c r="BP92" i="1" s="1" a="1"/>
  <c r="BP92" i="1" s="1"/>
  <c r="DX87" i="1"/>
  <c r="DY87" i="1" s="1"/>
  <c r="BP87" i="1" s="1" a="1"/>
  <c r="BP87" i="1" s="1"/>
  <c r="DX66" i="1"/>
  <c r="CX66" i="1" s="1"/>
  <c r="DX187" i="1"/>
  <c r="DY187" i="1" s="1"/>
  <c r="BP187" i="1" s="1" a="1"/>
  <c r="BP187" i="1" s="1"/>
  <c r="DX142" i="1"/>
  <c r="CX142" i="1" s="1"/>
  <c r="DX336" i="1"/>
  <c r="CX336" i="1" s="1"/>
  <c r="DX60" i="1"/>
  <c r="CX60" i="1" s="1"/>
  <c r="DX19" i="1"/>
  <c r="CX19" i="1" s="1"/>
  <c r="CZ19" i="1" s="1"/>
  <c r="DX197" i="1"/>
  <c r="DY197" i="1" s="1"/>
  <c r="BP197" i="1" s="1" a="1"/>
  <c r="BP197" i="1" s="1"/>
  <c r="DX88" i="1"/>
  <c r="DY88" i="1" s="1"/>
  <c r="BP88" i="1" s="1" a="1"/>
  <c r="BP88" i="1" s="1"/>
  <c r="DX73" i="1"/>
  <c r="CX73" i="1" s="1"/>
  <c r="DX342" i="1"/>
  <c r="DY342" i="1" s="1"/>
  <c r="BP342" i="1" s="1" a="1"/>
  <c r="BP342" i="1" s="1"/>
  <c r="DX232" i="1"/>
  <c r="CX232" i="1" s="1"/>
  <c r="DX122" i="1"/>
  <c r="CX122" i="1" s="1"/>
  <c r="DX210" i="1"/>
  <c r="DY210" i="1" s="1"/>
  <c r="BP210" i="1" s="1" a="1"/>
  <c r="BP210" i="1" s="1"/>
  <c r="DX37" i="1"/>
  <c r="CX37" i="1" s="1"/>
  <c r="CZ37" i="1" s="1"/>
  <c r="DX32" i="1"/>
  <c r="CX32" i="1" s="1"/>
  <c r="CZ32" i="1" s="1"/>
  <c r="DX27" i="1"/>
  <c r="CX27" i="1" s="1"/>
  <c r="CZ27" i="1" s="1"/>
  <c r="DX29" i="1"/>
  <c r="CX29" i="1" s="1"/>
  <c r="CZ29" i="1" s="1"/>
  <c r="DX36" i="1"/>
  <c r="CX36" i="1" s="1"/>
  <c r="CZ36" i="1" s="1"/>
  <c r="DX18" i="1"/>
  <c r="CX18" i="1" s="1"/>
  <c r="CZ18" i="1" s="1"/>
  <c r="DX30" i="1"/>
  <c r="CX30" i="1" s="1"/>
  <c r="CZ30" i="1" s="1"/>
  <c r="EJ23" i="1"/>
  <c r="EJ24" i="1" s="1"/>
  <c r="DX158" i="1"/>
  <c r="DX206" i="1"/>
  <c r="DX169" i="1"/>
  <c r="DX295" i="1"/>
  <c r="CX192" i="1"/>
  <c r="DX231" i="1"/>
  <c r="DX71" i="1"/>
  <c r="DX123" i="1"/>
  <c r="DX108" i="1"/>
  <c r="DX57" i="1"/>
  <c r="DX234" i="1"/>
  <c r="DX63" i="1"/>
  <c r="DX185" i="1"/>
  <c r="DX172" i="1"/>
  <c r="DX186" i="1"/>
  <c r="DX287" i="1"/>
  <c r="DX272" i="1"/>
  <c r="DX70" i="1"/>
  <c r="DX136" i="1"/>
  <c r="DX255" i="1"/>
  <c r="DX285" i="1"/>
  <c r="DX313" i="1"/>
  <c r="DX126" i="1"/>
  <c r="DX114" i="1"/>
  <c r="DX278" i="1"/>
  <c r="DX15" i="1"/>
  <c r="CX15" i="1" s="1"/>
  <c r="CZ15" i="1" s="1"/>
  <c r="DX341" i="1"/>
  <c r="DX55" i="1"/>
  <c r="DX133" i="1"/>
  <c r="DX290" i="1"/>
  <c r="DY288" i="1"/>
  <c r="BP288" i="1" s="1" a="1"/>
  <c r="BP288" i="1" s="1"/>
  <c r="CX288" i="1"/>
  <c r="DX211" i="1"/>
  <c r="DX314" i="1"/>
  <c r="DX202" i="1"/>
  <c r="DX177" i="1"/>
  <c r="DX140" i="1"/>
  <c r="DX166" i="1"/>
  <c r="DX268" i="1"/>
  <c r="DX238" i="1"/>
  <c r="DX328" i="1"/>
  <c r="AT328" i="1"/>
  <c r="DX245" i="1"/>
  <c r="DX168" i="1"/>
  <c r="DX165" i="1"/>
  <c r="DX50" i="1"/>
  <c r="DX96" i="1"/>
  <c r="CX53" i="1"/>
  <c r="DY53" i="1"/>
  <c r="BP53" i="1" s="1" a="1"/>
  <c r="BP53" i="1" s="1"/>
  <c r="DX249" i="1"/>
  <c r="DX160" i="1"/>
  <c r="DY259" i="1"/>
  <c r="BP259" i="1" s="1" a="1"/>
  <c r="BP259" i="1" s="1"/>
  <c r="CX259" i="1"/>
  <c r="CX110" i="1"/>
  <c r="DY110" i="1"/>
  <c r="BP110" i="1" s="1" a="1"/>
  <c r="BP110" i="1" s="1"/>
  <c r="CX303" i="1"/>
  <c r="DY80" i="1"/>
  <c r="BP80" i="1" s="1" a="1"/>
  <c r="BP80" i="1" s="1"/>
  <c r="DY134" i="1"/>
  <c r="BP134" i="1" s="1" a="1"/>
  <c r="BP134" i="1" s="1"/>
  <c r="CX76" i="1"/>
  <c r="DY76" i="1"/>
  <c r="BP76" i="1" s="1" a="1"/>
  <c r="BP76" i="1" s="1"/>
  <c r="DX171" i="1"/>
  <c r="DY257" i="1"/>
  <c r="BP257" i="1" s="1" a="1"/>
  <c r="BP257" i="1" s="1"/>
  <c r="CX257" i="1"/>
  <c r="CX315" i="1"/>
  <c r="DY315" i="1"/>
  <c r="BP315" i="1" s="1" a="1"/>
  <c r="BP315" i="1" s="1"/>
  <c r="DX84" i="1"/>
  <c r="CX78" i="1"/>
  <c r="CX127" i="1"/>
  <c r="DY127" i="1"/>
  <c r="BP127" i="1" s="1" a="1"/>
  <c r="BP127" i="1" s="1"/>
  <c r="CX91" i="1"/>
  <c r="DX107" i="1"/>
  <c r="DX131" i="1"/>
  <c r="DX311" i="1"/>
  <c r="DX334" i="1"/>
  <c r="DX248" i="1"/>
  <c r="DX189" i="1"/>
  <c r="DX24" i="1"/>
  <c r="CX24" i="1" s="1"/>
  <c r="CZ24" i="1" s="1"/>
  <c r="DX17" i="1"/>
  <c r="CX17" i="1" s="1"/>
  <c r="CZ17" i="1" s="1"/>
  <c r="DX48" i="1"/>
  <c r="DX299" i="1"/>
  <c r="DX81" i="1"/>
  <c r="DX138" i="1"/>
  <c r="DX181" i="1"/>
  <c r="DX324" i="1"/>
  <c r="DX113" i="1"/>
  <c r="DX38" i="1"/>
  <c r="CX38" i="1" s="1"/>
  <c r="CZ38" i="1" s="1"/>
  <c r="CX301" i="1"/>
  <c r="DY301" i="1"/>
  <c r="DX266" i="1"/>
  <c r="CX274" i="1"/>
  <c r="DY274" i="1"/>
  <c r="BP274" i="1" s="1" a="1"/>
  <c r="BP274" i="1" s="1"/>
  <c r="CX93" i="1"/>
  <c r="DY93" i="1"/>
  <c r="BP93" i="1" s="1" a="1"/>
  <c r="BP93" i="1" s="1"/>
  <c r="CX141" i="1"/>
  <c r="DY141" i="1"/>
  <c r="BP141" i="1" s="1" a="1"/>
  <c r="BP141" i="1" s="1"/>
  <c r="DX95" i="1"/>
  <c r="DX194" i="1"/>
  <c r="CX269" i="1"/>
  <c r="DX227" i="1"/>
  <c r="CX281" i="1"/>
  <c r="DY281" i="1"/>
  <c r="BP281" i="1" s="1" a="1"/>
  <c r="BP281" i="1" s="1"/>
  <c r="DX45" i="1"/>
  <c r="CX46" i="1"/>
  <c r="DY46" i="1"/>
  <c r="BP46" i="1" s="1" a="1"/>
  <c r="BP46" i="1" s="1"/>
  <c r="DX58" i="1"/>
  <c r="DY74" i="1"/>
  <c r="BP74" i="1" s="1" a="1"/>
  <c r="BP74" i="1" s="1"/>
  <c r="CX197" i="1"/>
  <c r="DX64" i="1"/>
  <c r="DY221" i="1"/>
  <c r="BP221" i="1" s="1" a="1"/>
  <c r="BP221" i="1" s="1"/>
  <c r="CX137" i="1"/>
  <c r="DY137" i="1"/>
  <c r="BP137" i="1" s="1" a="1"/>
  <c r="BP137" i="1" s="1"/>
  <c r="CX239" i="1"/>
  <c r="DY239" i="1"/>
  <c r="BP239" i="1" s="1" a="1"/>
  <c r="BP239" i="1" s="1"/>
  <c r="DY291" i="1"/>
  <c r="CX291" i="1"/>
  <c r="DY115" i="1"/>
  <c r="BP115" i="1" s="1" a="1"/>
  <c r="BP115" i="1" s="1"/>
  <c r="CX139" i="1"/>
  <c r="CX282" i="1"/>
  <c r="DY282" i="1"/>
  <c r="BP282" i="1" s="1" a="1"/>
  <c r="BP282" i="1" s="1"/>
  <c r="CX195" i="1"/>
  <c r="DY195" i="1"/>
  <c r="BP195" i="1" s="1" a="1"/>
  <c r="BP195" i="1" s="1"/>
  <c r="CX283" i="1"/>
  <c r="DY283" i="1"/>
  <c r="BP283" i="1" s="1" a="1"/>
  <c r="BP283" i="1" s="1"/>
  <c r="CX193" i="1"/>
  <c r="DY193" i="1"/>
  <c r="BP193" i="1" s="1" a="1"/>
  <c r="BP193" i="1" s="1"/>
  <c r="CX52" i="1"/>
  <c r="DX16" i="1"/>
  <c r="CX16" i="1" s="1"/>
  <c r="CZ16" i="1" s="1"/>
  <c r="CX135" i="1"/>
  <c r="DY135" i="1"/>
  <c r="BP135" i="1" s="1" a="1"/>
  <c r="BP135" i="1" s="1"/>
  <c r="CX188" i="1"/>
  <c r="DY188" i="1"/>
  <c r="BP188" i="1" s="1" a="1"/>
  <c r="BP188" i="1" s="1"/>
  <c r="CX116" i="1"/>
  <c r="DY116" i="1"/>
  <c r="BP116" i="1" s="1" a="1"/>
  <c r="BP116" i="1" s="1"/>
  <c r="CX222" i="1"/>
  <c r="DY222" i="1"/>
  <c r="BP222" i="1" s="1" a="1"/>
  <c r="BP222" i="1" s="1"/>
  <c r="DX322" i="1"/>
  <c r="DX213" i="1"/>
  <c r="DX200" i="1"/>
  <c r="DX25" i="1"/>
  <c r="CX25" i="1" s="1"/>
  <c r="CZ25" i="1" s="1"/>
  <c r="DX212" i="1"/>
  <c r="DY157" i="1"/>
  <c r="BP157" i="1" s="1" a="1"/>
  <c r="BP157" i="1" s="1"/>
  <c r="DX65" i="1"/>
  <c r="DX297" i="1"/>
  <c r="DX163" i="1"/>
  <c r="DX323" i="1"/>
  <c r="DX320" i="1"/>
  <c r="DX144" i="1"/>
  <c r="DX170" i="1"/>
  <c r="DX244" i="1"/>
  <c r="DX319" i="1"/>
  <c r="DX86" i="1"/>
  <c r="DX75" i="1"/>
  <c r="DX294" i="1"/>
  <c r="DX275" i="1"/>
  <c r="DX332" i="1"/>
  <c r="DX98" i="1"/>
  <c r="DY164" i="1"/>
  <c r="BP164" i="1" s="1" a="1"/>
  <c r="BP164" i="1" s="1"/>
  <c r="CX300" i="1"/>
  <c r="DY300" i="1"/>
  <c r="BP300" i="1" s="1" a="1"/>
  <c r="BP300" i="1" s="1"/>
  <c r="DY329" i="1"/>
  <c r="BP329" i="1" s="1" a="1"/>
  <c r="BP329" i="1" s="1"/>
  <c r="CX329" i="1"/>
  <c r="CX296" i="1"/>
  <c r="DY296" i="1"/>
  <c r="BP296" i="1" s="1" a="1"/>
  <c r="BP296" i="1" s="1"/>
  <c r="CX215" i="1"/>
  <c r="CX199" i="1"/>
  <c r="DY199" i="1"/>
  <c r="BP199" i="1" s="1" a="1"/>
  <c r="BP199" i="1" s="1"/>
  <c r="CX260" i="1"/>
  <c r="DY33" i="1"/>
  <c r="BP33" i="1" s="1" a="1"/>
  <c r="BP33" i="1" s="1"/>
  <c r="CX289" i="1"/>
  <c r="DY289" i="1"/>
  <c r="BP289" i="1" s="1" a="1"/>
  <c r="BP289" i="1" s="1"/>
  <c r="DY122" i="1"/>
  <c r="BP122" i="1" s="1" a="1"/>
  <c r="BP122" i="1" s="1"/>
  <c r="CX77" i="1"/>
  <c r="DY77" i="1"/>
  <c r="BP77" i="1" s="1" a="1"/>
  <c r="BP77" i="1" s="1"/>
  <c r="CX286" i="1"/>
  <c r="DY286" i="1"/>
  <c r="BP286" i="1" s="1" a="1"/>
  <c r="BP286" i="1" s="1"/>
  <c r="DY198" i="1"/>
  <c r="BP198" i="1" s="1" a="1"/>
  <c r="BP198" i="1" s="1"/>
  <c r="CX198" i="1"/>
  <c r="DX175" i="1"/>
  <c r="DX162" i="1"/>
  <c r="DX89" i="1"/>
  <c r="DX155" i="1"/>
  <c r="DX214" i="1"/>
  <c r="DX85" i="1"/>
  <c r="DX230" i="1"/>
  <c r="DX312" i="1"/>
  <c r="DX62" i="1"/>
  <c r="CX204" i="1"/>
  <c r="DY204" i="1"/>
  <c r="BP204" i="1" s="1" a="1"/>
  <c r="BP204" i="1" s="1"/>
  <c r="DY94" i="1"/>
  <c r="BP94" i="1" s="1" a="1"/>
  <c r="BP94" i="1" s="1"/>
  <c r="CX94" i="1"/>
  <c r="CX40" i="1"/>
  <c r="CX318" i="1"/>
  <c r="CX216" i="1"/>
  <c r="DY216" i="1"/>
  <c r="BP216" i="1" s="1" a="1"/>
  <c r="BP216" i="1" s="1"/>
  <c r="CX270" i="1"/>
  <c r="DY270" i="1"/>
  <c r="BP270" i="1" s="1" a="1"/>
  <c r="BP270" i="1" s="1"/>
  <c r="CX271" i="1"/>
  <c r="DY271" i="1"/>
  <c r="BP271" i="1" s="1" a="1"/>
  <c r="BP271" i="1" s="1"/>
  <c r="AT197" i="1"/>
  <c r="DX26" i="1"/>
  <c r="CX26" i="1" s="1"/>
  <c r="CZ26" i="1" s="1"/>
  <c r="DX293" i="1"/>
  <c r="DX236" i="1"/>
  <c r="DX326" i="1"/>
  <c r="DX209" i="1"/>
  <c r="DX130" i="1"/>
  <c r="DX190" i="1"/>
  <c r="DX184" i="1"/>
  <c r="DX103" i="1"/>
  <c r="DX335" i="1"/>
  <c r="DX337" i="1"/>
  <c r="DX340" i="1"/>
  <c r="DX161" i="1"/>
  <c r="DX152" i="1"/>
  <c r="DX129" i="1"/>
  <c r="DX105" i="1"/>
  <c r="DX292" i="1"/>
  <c r="AT105" i="1"/>
  <c r="DY28" i="1"/>
  <c r="BP28" i="1" s="1" a="1"/>
  <c r="BP28" i="1" s="1"/>
  <c r="DY150" i="1"/>
  <c r="BP150" i="1" s="1" a="1"/>
  <c r="BP150" i="1" s="1"/>
  <c r="CX150" i="1"/>
  <c r="CX218" i="1"/>
  <c r="DY218" i="1"/>
  <c r="CX51" i="1"/>
  <c r="DY51" i="1"/>
  <c r="BP51" i="1" s="1" a="1"/>
  <c r="BP51" i="1" s="1"/>
  <c r="DY97" i="1"/>
  <c r="BP97" i="1" s="1" a="1"/>
  <c r="BP97" i="1" s="1"/>
  <c r="DX263" i="1"/>
  <c r="CX121" i="1"/>
  <c r="DY121" i="1"/>
  <c r="BP121" i="1" s="1" a="1"/>
  <c r="BP121" i="1" s="1"/>
  <c r="DX246" i="1"/>
  <c r="CX228" i="1"/>
  <c r="DY228" i="1"/>
  <c r="BP228" i="1" s="1" a="1"/>
  <c r="BP228" i="1" s="1"/>
  <c r="DY117" i="1"/>
  <c r="BP117" i="1" s="1" a="1"/>
  <c r="BP117" i="1" s="1"/>
  <c r="DY90" i="1"/>
  <c r="BP90" i="1" s="1" a="1"/>
  <c r="BP90" i="1" s="1"/>
  <c r="CX90" i="1"/>
  <c r="CX145" i="1"/>
  <c r="DY145" i="1"/>
  <c r="BP145" i="1" s="1" a="1"/>
  <c r="BP145" i="1" s="1"/>
  <c r="AT207" i="1"/>
  <c r="DY31" i="1"/>
  <c r="BP31" i="1" s="1" a="1"/>
  <c r="BP31" i="1" s="1"/>
  <c r="DY118" i="1"/>
  <c r="BP118" i="1" s="1" a="1"/>
  <c r="BP118" i="1" s="1"/>
  <c r="DX120" i="1"/>
  <c r="CX254" i="1"/>
  <c r="DX61" i="1"/>
  <c r="DX196" i="1"/>
  <c r="DX226" i="1"/>
  <c r="CX109" i="1"/>
  <c r="DY109" i="1"/>
  <c r="DX242" i="1"/>
  <c r="DX317" i="1"/>
  <c r="DX321" i="1"/>
  <c r="DX302" i="1"/>
  <c r="DX41" i="1"/>
  <c r="DX14" i="1"/>
  <c r="CX14" i="1" s="1"/>
  <c r="CZ14" i="1" s="1"/>
  <c r="DX39" i="1"/>
  <c r="AT203" i="1"/>
  <c r="ED16" i="1"/>
  <c r="ED14" i="1"/>
  <c r="ED15" i="1"/>
  <c r="DX13" i="1"/>
  <c r="AT13" i="1"/>
  <c r="ED13" i="1"/>
  <c r="L19" i="7"/>
  <c r="DN48" i="1" l="1"/>
  <c r="DN192" i="1"/>
  <c r="DN165" i="1"/>
  <c r="DN273" i="1"/>
  <c r="CX265" i="1"/>
  <c r="DN66" i="1"/>
  <c r="DN188" i="1"/>
  <c r="DY149" i="1"/>
  <c r="BP149" i="1" s="1" a="1"/>
  <c r="BP149" i="1" s="1"/>
  <c r="DN279" i="1"/>
  <c r="DN289" i="1"/>
  <c r="DN329" i="1"/>
  <c r="DN149" i="1"/>
  <c r="DN292" i="1"/>
  <c r="DN118" i="1"/>
  <c r="DN257" i="1"/>
  <c r="DN293" i="1"/>
  <c r="DN307" i="1"/>
  <c r="DN148" i="1"/>
  <c r="DN159" i="1"/>
  <c r="DN70" i="1"/>
  <c r="DN91" i="1"/>
  <c r="DN299" i="1"/>
  <c r="DN341" i="1"/>
  <c r="DN184" i="1"/>
  <c r="DN59" i="1"/>
  <c r="DN312" i="1"/>
  <c r="DN111" i="1"/>
  <c r="DN50" i="1"/>
  <c r="DY142" i="1"/>
  <c r="BP142" i="1" s="1" a="1"/>
  <c r="BP142" i="1" s="1"/>
  <c r="BQ142" i="1" s="1"/>
  <c r="DY132" i="1"/>
  <c r="BP132" i="1" s="1" a="1"/>
  <c r="BP132" i="1" s="1"/>
  <c r="DN235" i="1"/>
  <c r="DN53" i="1"/>
  <c r="DN227" i="1"/>
  <c r="DN302" i="1"/>
  <c r="DN282" i="1"/>
  <c r="DN133" i="1"/>
  <c r="CX305" i="1"/>
  <c r="CX298" i="1"/>
  <c r="CZ298" i="1" s="1"/>
  <c r="DN174" i="1"/>
  <c r="DN237" i="1"/>
  <c r="DN215" i="1"/>
  <c r="DN131" i="1"/>
  <c r="CX279" i="1"/>
  <c r="DN13" i="1"/>
  <c r="CX207" i="1"/>
  <c r="EG207" i="1" s="1"/>
  <c r="DY112" i="1"/>
  <c r="BP112" i="1" s="1" a="1"/>
  <c r="BP112" i="1" s="1"/>
  <c r="BR112" i="1" s="1"/>
  <c r="DY277" i="1"/>
  <c r="BP277" i="1" s="1" a="1"/>
  <c r="BP277" i="1" s="1"/>
  <c r="BD197" i="1"/>
  <c r="DP105" i="1"/>
  <c r="DK105" i="1"/>
  <c r="DG105" i="1"/>
  <c r="DY250" i="1"/>
  <c r="BP250" i="1" s="1" a="1"/>
  <c r="BP250" i="1" s="1"/>
  <c r="BQ250" i="1" s="1"/>
  <c r="DY125" i="1"/>
  <c r="BP125" i="1" s="1" a="1"/>
  <c r="BP125" i="1" s="1"/>
  <c r="EE125" i="1" s="1"/>
  <c r="DY235" i="1"/>
  <c r="BP235" i="1" s="1" a="1"/>
  <c r="BP235" i="1" s="1"/>
  <c r="BR235" i="1" s="1"/>
  <c r="CX191" i="1"/>
  <c r="CZ191" i="1" s="1"/>
  <c r="CX148" i="1"/>
  <c r="CX49" i="1"/>
  <c r="EQ49" i="1" s="1"/>
  <c r="CX240" i="1"/>
  <c r="CZ240" i="1" s="1"/>
  <c r="DY20" i="1"/>
  <c r="BP20" i="1" s="1" a="1"/>
  <c r="BP20" i="1" s="1"/>
  <c r="EE20" i="1" s="1"/>
  <c r="CX83" i="1"/>
  <c r="CZ83" i="1" s="1"/>
  <c r="CX100" i="1"/>
  <c r="CX217" i="1"/>
  <c r="EN217" i="1" s="1"/>
  <c r="BP43" i="1" a="1"/>
  <c r="BP43" i="1" s="1"/>
  <c r="EE43" i="1" s="1"/>
  <c r="EE218" i="1"/>
  <c r="BP218" i="1" a="1"/>
  <c r="BP218" i="1" s="1"/>
  <c r="DY60" i="1"/>
  <c r="BP60" i="1" s="1" a="1"/>
  <c r="BP60" i="1" s="1"/>
  <c r="BQ60" i="1" s="1"/>
  <c r="BP111" i="1" a="1"/>
  <c r="BP111" i="1" s="1"/>
  <c r="EE111" i="1" s="1"/>
  <c r="DY67" i="1"/>
  <c r="BP67" i="1" s="1" a="1"/>
  <c r="BP67" i="1" s="1"/>
  <c r="BR67" i="1" s="1"/>
  <c r="BP109" i="1" a="1"/>
  <c r="BP109" i="1" s="1"/>
  <c r="EE109" i="1" s="1"/>
  <c r="CX219" i="1"/>
  <c r="EQ219" i="1" s="1"/>
  <c r="EE247" i="1"/>
  <c r="BP247" i="1" a="1"/>
  <c r="BP247" i="1" s="1"/>
  <c r="BQ247" i="1" s="1"/>
  <c r="BP318" i="1" a="1"/>
  <c r="BP318" i="1" s="1"/>
  <c r="EE318" i="1" s="1"/>
  <c r="BP291" i="1" a="1"/>
  <c r="BP291" i="1" s="1"/>
  <c r="BQ291" i="1" s="1"/>
  <c r="BP301" i="1" a="1"/>
  <c r="BP301" i="1" s="1"/>
  <c r="EE301" i="1" s="1"/>
  <c r="DY223" i="1"/>
  <c r="BP223" i="1" s="1" a="1"/>
  <c r="BP223" i="1" s="1"/>
  <c r="BR223" i="1" s="1"/>
  <c r="DY22" i="1"/>
  <c r="BP22" i="1" s="1" a="1"/>
  <c r="BP22" i="1" s="1"/>
  <c r="BR22" i="1" s="1"/>
  <c r="CX180" i="1"/>
  <c r="CZ180" i="1" s="1"/>
  <c r="DY325" i="1"/>
  <c r="BP325" i="1" s="1" a="1"/>
  <c r="BP325" i="1" s="1"/>
  <c r="BQ325" i="1" s="1"/>
  <c r="CX210" i="1"/>
  <c r="EN210" i="1" s="1"/>
  <c r="CX88" i="1"/>
  <c r="CZ88" i="1" s="1"/>
  <c r="CX306" i="1"/>
  <c r="CZ306" i="1" s="1"/>
  <c r="DY284" i="1"/>
  <c r="CX237" i="1"/>
  <c r="DY276" i="1"/>
  <c r="DY82" i="1"/>
  <c r="BP82" i="1" s="1" a="1"/>
  <c r="BP82" i="1" s="1"/>
  <c r="BR82" i="1" s="1"/>
  <c r="CX208" i="1"/>
  <c r="EG208" i="1" s="1"/>
  <c r="DY232" i="1"/>
  <c r="CX43" i="1"/>
  <c r="AC20" i="1"/>
  <c r="AG19" i="1"/>
  <c r="DY307" i="1"/>
  <c r="DY66" i="1"/>
  <c r="CX99" i="1"/>
  <c r="EN99" i="1" s="1"/>
  <c r="CX167" i="1"/>
  <c r="EG167" i="1" s="1"/>
  <c r="DY310" i="1"/>
  <c r="DY73" i="1"/>
  <c r="BP73" i="1" s="1" a="1"/>
  <c r="BP73" i="1" s="1"/>
  <c r="BR73" i="1" s="1"/>
  <c r="CX119" i="1"/>
  <c r="EG119" i="1" s="1"/>
  <c r="CX42" i="1"/>
  <c r="EQ42" i="1" s="1"/>
  <c r="DY23" i="1"/>
  <c r="DY18" i="1"/>
  <c r="DY201" i="1"/>
  <c r="DY336" i="1"/>
  <c r="CX147" i="1"/>
  <c r="CZ147" i="1" s="1"/>
  <c r="CX304" i="1"/>
  <c r="DY273" i="1"/>
  <c r="DY59" i="1"/>
  <c r="DY316" i="1"/>
  <c r="CX187" i="1"/>
  <c r="CX229" i="1"/>
  <c r="EG229" i="1" s="1"/>
  <c r="CX92" i="1"/>
  <c r="EG92" i="1" s="1"/>
  <c r="CX111" i="1"/>
  <c r="EG111" i="1" s="1"/>
  <c r="CX102" i="1"/>
  <c r="EG102" i="1" s="1"/>
  <c r="CX203" i="1"/>
  <c r="EG203" i="1" s="1"/>
  <c r="CX104" i="1"/>
  <c r="CZ104" i="1" s="1"/>
  <c r="DY151" i="1"/>
  <c r="BP151" i="1" s="1" a="1"/>
  <c r="BP151" i="1" s="1"/>
  <c r="CX72" i="1"/>
  <c r="EG72" i="1" s="1"/>
  <c r="DY258" i="1"/>
  <c r="CX267" i="1"/>
  <c r="CZ267" i="1" s="1"/>
  <c r="DY333" i="1"/>
  <c r="DY159" i="1"/>
  <c r="DY327" i="1"/>
  <c r="BP327" i="1" s="1" a="1"/>
  <c r="BP327" i="1" s="1"/>
  <c r="DY233" i="1"/>
  <c r="BP233" i="1" s="1" a="1"/>
  <c r="BP233" i="1" s="1"/>
  <c r="BQ233" i="1" s="1"/>
  <c r="DY79" i="1"/>
  <c r="CX342" i="1"/>
  <c r="CX87" i="1"/>
  <c r="CZ87" i="1" s="1"/>
  <c r="DY205" i="1"/>
  <c r="CX146" i="1"/>
  <c r="CZ146" i="1" s="1"/>
  <c r="CX256" i="1"/>
  <c r="CZ256" i="1" s="1"/>
  <c r="CX153" i="1"/>
  <c r="BR304" i="1"/>
  <c r="BQ304" i="1"/>
  <c r="BR229" i="1"/>
  <c r="BQ229" i="1"/>
  <c r="BR240" i="1"/>
  <c r="BQ240" i="1"/>
  <c r="BR146" i="1"/>
  <c r="BQ146" i="1"/>
  <c r="BR164" i="1"/>
  <c r="BQ164" i="1"/>
  <c r="BR118" i="1"/>
  <c r="BQ118" i="1"/>
  <c r="BR121" i="1"/>
  <c r="BQ121" i="1"/>
  <c r="BR99" i="1"/>
  <c r="BQ99" i="1"/>
  <c r="BR198" i="1"/>
  <c r="BQ198" i="1"/>
  <c r="BR31" i="1"/>
  <c r="BQ31" i="1"/>
  <c r="BR28" i="1"/>
  <c r="BQ28" i="1"/>
  <c r="BR94" i="1"/>
  <c r="BQ94" i="1"/>
  <c r="BR298" i="1"/>
  <c r="BQ298" i="1"/>
  <c r="BR239" i="1"/>
  <c r="BQ239" i="1"/>
  <c r="DY124" i="1"/>
  <c r="BR254" i="1"/>
  <c r="BQ254" i="1"/>
  <c r="BR289" i="1"/>
  <c r="BQ289" i="1"/>
  <c r="BR296" i="1"/>
  <c r="BQ296" i="1"/>
  <c r="BR110" i="1"/>
  <c r="BQ110" i="1"/>
  <c r="BR342" i="1"/>
  <c r="BQ342" i="1"/>
  <c r="BR119" i="1"/>
  <c r="BQ119" i="1"/>
  <c r="BR52" i="1"/>
  <c r="BQ52" i="1"/>
  <c r="BR257" i="1"/>
  <c r="BQ257" i="1"/>
  <c r="BR216" i="1"/>
  <c r="BQ216" i="1"/>
  <c r="BR42" i="1"/>
  <c r="BQ42" i="1"/>
  <c r="BR222" i="1"/>
  <c r="BQ222" i="1"/>
  <c r="BR283" i="1"/>
  <c r="BQ283" i="1"/>
  <c r="BR46" i="1"/>
  <c r="BQ46" i="1"/>
  <c r="BR149" i="1"/>
  <c r="BQ149" i="1"/>
  <c r="DY264" i="1"/>
  <c r="BP264" i="1" s="1" a="1"/>
  <c r="BP264" i="1" s="1"/>
  <c r="BR74" i="1"/>
  <c r="BQ74" i="1"/>
  <c r="BR145" i="1"/>
  <c r="BQ145" i="1"/>
  <c r="BR204" i="1"/>
  <c r="BQ204" i="1"/>
  <c r="BR33" i="1"/>
  <c r="BQ33" i="1"/>
  <c r="BR237" i="1"/>
  <c r="BQ237" i="1"/>
  <c r="BR102" i="1"/>
  <c r="BQ102" i="1"/>
  <c r="BR153" i="1"/>
  <c r="BQ153" i="1"/>
  <c r="BR40" i="1"/>
  <c r="BQ40" i="1"/>
  <c r="BR270" i="1"/>
  <c r="BQ270" i="1"/>
  <c r="BR208" i="1"/>
  <c r="BQ208" i="1"/>
  <c r="BR306" i="1"/>
  <c r="BQ306" i="1"/>
  <c r="BR286" i="1"/>
  <c r="BQ286" i="1"/>
  <c r="BR329" i="1"/>
  <c r="BQ329" i="1"/>
  <c r="BR116" i="1"/>
  <c r="BQ116" i="1"/>
  <c r="BR195" i="1"/>
  <c r="BQ195" i="1"/>
  <c r="BR279" i="1"/>
  <c r="BQ279" i="1"/>
  <c r="BR315" i="1"/>
  <c r="BQ315" i="1"/>
  <c r="BR199" i="1"/>
  <c r="BQ199" i="1"/>
  <c r="BR148" i="1"/>
  <c r="BQ148" i="1"/>
  <c r="BR260" i="1"/>
  <c r="BQ260" i="1"/>
  <c r="BR90" i="1"/>
  <c r="BQ90" i="1"/>
  <c r="BR271" i="1"/>
  <c r="BQ271" i="1"/>
  <c r="BR318" i="1"/>
  <c r="BQ318" i="1"/>
  <c r="BR300" i="1"/>
  <c r="BQ300" i="1"/>
  <c r="BR281" i="1"/>
  <c r="BQ281" i="1"/>
  <c r="BR265" i="1"/>
  <c r="BQ265" i="1"/>
  <c r="BR197" i="1"/>
  <c r="CR197" i="1" s="1"/>
  <c r="DU197" i="1" s="1"/>
  <c r="BQ197" i="1"/>
  <c r="BR76" i="1"/>
  <c r="BQ76" i="1"/>
  <c r="BR53" i="1"/>
  <c r="BQ53" i="1"/>
  <c r="BR174" i="1"/>
  <c r="BQ174" i="1"/>
  <c r="BR210" i="1"/>
  <c r="BQ210" i="1"/>
  <c r="BR188" i="1"/>
  <c r="BQ188" i="1"/>
  <c r="BR137" i="1"/>
  <c r="BQ137" i="1"/>
  <c r="BR117" i="1"/>
  <c r="BQ117" i="1"/>
  <c r="BR132" i="1"/>
  <c r="BQ132" i="1"/>
  <c r="BR282" i="1"/>
  <c r="BQ282" i="1"/>
  <c r="BR97" i="1"/>
  <c r="BQ97" i="1"/>
  <c r="BR77" i="1"/>
  <c r="BQ77" i="1"/>
  <c r="BR135" i="1"/>
  <c r="BQ135" i="1"/>
  <c r="BR139" i="1"/>
  <c r="BQ139" i="1"/>
  <c r="BR91" i="1"/>
  <c r="BQ91" i="1"/>
  <c r="BR134" i="1"/>
  <c r="BQ134" i="1"/>
  <c r="BR259" i="1"/>
  <c r="BQ259" i="1"/>
  <c r="BR203" i="1"/>
  <c r="CR203" i="1" s="1"/>
  <c r="DU203" i="1" s="1"/>
  <c r="BQ203" i="1"/>
  <c r="BR288" i="1"/>
  <c r="BQ288" i="1"/>
  <c r="BR187" i="1"/>
  <c r="BQ187" i="1"/>
  <c r="BR219" i="1"/>
  <c r="BQ219" i="1"/>
  <c r="BR228" i="1"/>
  <c r="BQ228" i="1"/>
  <c r="BR51" i="1"/>
  <c r="BQ51" i="1"/>
  <c r="BR115" i="1"/>
  <c r="BQ115" i="1"/>
  <c r="BR127" i="1"/>
  <c r="BQ127" i="1"/>
  <c r="BR142" i="1"/>
  <c r="BR147" i="1"/>
  <c r="BQ147" i="1"/>
  <c r="BR217" i="1"/>
  <c r="BQ217" i="1"/>
  <c r="BR167" i="1"/>
  <c r="BQ167" i="1"/>
  <c r="BR215" i="1"/>
  <c r="BQ215" i="1"/>
  <c r="BR305" i="1"/>
  <c r="BQ305" i="1"/>
  <c r="BR100" i="1"/>
  <c r="BQ100" i="1"/>
  <c r="BR141" i="1"/>
  <c r="BQ141" i="1"/>
  <c r="BR80" i="1"/>
  <c r="BQ80" i="1"/>
  <c r="BR104" i="1"/>
  <c r="BQ104" i="1"/>
  <c r="BR87" i="1"/>
  <c r="BQ87" i="1"/>
  <c r="BR49" i="1"/>
  <c r="BQ49" i="1"/>
  <c r="BR218" i="1"/>
  <c r="BQ218" i="1"/>
  <c r="BR122" i="1"/>
  <c r="BQ122" i="1"/>
  <c r="BR157" i="1"/>
  <c r="BQ157" i="1"/>
  <c r="BR92" i="1"/>
  <c r="BQ92" i="1"/>
  <c r="BR247" i="1"/>
  <c r="BR267" i="1"/>
  <c r="BQ267" i="1"/>
  <c r="BR88" i="1"/>
  <c r="BQ88" i="1"/>
  <c r="BR277" i="1"/>
  <c r="BQ277" i="1"/>
  <c r="BR93" i="1"/>
  <c r="BQ93" i="1"/>
  <c r="BR78" i="1"/>
  <c r="BQ78" i="1"/>
  <c r="BR72" i="1"/>
  <c r="BQ72" i="1"/>
  <c r="BR256" i="1"/>
  <c r="BQ256" i="1"/>
  <c r="BR83" i="1"/>
  <c r="BQ83" i="1"/>
  <c r="BR193" i="1"/>
  <c r="BQ193" i="1"/>
  <c r="BR180" i="1"/>
  <c r="BQ180" i="1"/>
  <c r="BR303" i="1"/>
  <c r="BQ303" i="1"/>
  <c r="BR191" i="1"/>
  <c r="BQ191" i="1"/>
  <c r="BR192" i="1"/>
  <c r="BQ192" i="1"/>
  <c r="BR269" i="1"/>
  <c r="BQ269" i="1"/>
  <c r="BR207" i="1"/>
  <c r="CR207" i="1" s="1"/>
  <c r="DU207" i="1" s="1"/>
  <c r="BQ207" i="1"/>
  <c r="BR150" i="1"/>
  <c r="BQ150" i="1"/>
  <c r="BR221" i="1"/>
  <c r="BQ221" i="1"/>
  <c r="BR274" i="1"/>
  <c r="BQ274" i="1"/>
  <c r="DY37" i="1"/>
  <c r="DY253" i="1"/>
  <c r="DY36" i="1"/>
  <c r="BP36" i="1" s="1" a="1"/>
  <c r="BP36" i="1" s="1"/>
  <c r="EE36" i="1" s="1"/>
  <c r="DY29" i="1"/>
  <c r="DY30" i="1"/>
  <c r="CX247" i="1"/>
  <c r="EN247" i="1" s="1"/>
  <c r="DY27" i="1"/>
  <c r="BP27" i="1" s="1" a="1"/>
  <c r="BP27" i="1" s="1"/>
  <c r="EE27" i="1" s="1"/>
  <c r="DY143" i="1"/>
  <c r="BP143" i="1" s="1" a="1"/>
  <c r="BP143" i="1" s="1"/>
  <c r="EE143" i="1" s="1"/>
  <c r="DY19" i="1"/>
  <c r="DY32" i="1"/>
  <c r="BP32" i="1" s="1" a="1"/>
  <c r="BP32" i="1" s="1"/>
  <c r="EE32" i="1" s="1"/>
  <c r="DY176" i="1"/>
  <c r="BP176" i="1" s="1" a="1"/>
  <c r="BP176" i="1" s="1"/>
  <c r="CX174" i="1"/>
  <c r="CZ174" i="1" s="1"/>
  <c r="DY328" i="1"/>
  <c r="BP328" i="1" s="1" a="1"/>
  <c r="BP328" i="1" s="1"/>
  <c r="CX328" i="1"/>
  <c r="CZ90" i="1"/>
  <c r="EN90" i="1"/>
  <c r="EG90" i="1"/>
  <c r="EQ90" i="1"/>
  <c r="EE99" i="1"/>
  <c r="CZ204" i="1"/>
  <c r="EN204" i="1"/>
  <c r="EG204" i="1"/>
  <c r="EQ204" i="1"/>
  <c r="CX302" i="1"/>
  <c r="DY302" i="1"/>
  <c r="BP302" i="1" s="1" a="1"/>
  <c r="BP302" i="1" s="1"/>
  <c r="CZ118" i="1"/>
  <c r="EN118" i="1"/>
  <c r="EQ118" i="1"/>
  <c r="EG118" i="1"/>
  <c r="EE150" i="1"/>
  <c r="CX130" i="1"/>
  <c r="DY130" i="1"/>
  <c r="BP130" i="1" s="1" a="1"/>
  <c r="BP130" i="1" s="1"/>
  <c r="CZ40" i="1"/>
  <c r="EN40" i="1"/>
  <c r="EG40" i="1"/>
  <c r="EQ40" i="1"/>
  <c r="CX62" i="1"/>
  <c r="DY62" i="1"/>
  <c r="EE42" i="1"/>
  <c r="CZ122" i="1"/>
  <c r="EQ122" i="1"/>
  <c r="EN122" i="1"/>
  <c r="EG122" i="1"/>
  <c r="CZ164" i="1"/>
  <c r="EQ164" i="1"/>
  <c r="EG164" i="1"/>
  <c r="EN164" i="1"/>
  <c r="CX163" i="1"/>
  <c r="DY163" i="1"/>
  <c r="BP163" i="1" s="1" a="1"/>
  <c r="BP163" i="1" s="1"/>
  <c r="CZ116" i="1"/>
  <c r="EG116" i="1"/>
  <c r="EN116" i="1"/>
  <c r="EQ116" i="1"/>
  <c r="CZ193" i="1"/>
  <c r="EN193" i="1"/>
  <c r="EG193" i="1"/>
  <c r="EQ193" i="1"/>
  <c r="CZ73" i="1"/>
  <c r="EQ73" i="1"/>
  <c r="EG73" i="1"/>
  <c r="EN73" i="1"/>
  <c r="CZ197" i="1"/>
  <c r="EN197" i="1"/>
  <c r="EQ197" i="1"/>
  <c r="EG197" i="1"/>
  <c r="CZ141" i="1"/>
  <c r="EQ141" i="1"/>
  <c r="EG141" i="1"/>
  <c r="EN141" i="1"/>
  <c r="CX324" i="1"/>
  <c r="DY324" i="1"/>
  <c r="BP324" i="1" s="1" a="1"/>
  <c r="BP324" i="1" s="1"/>
  <c r="CZ327" i="1"/>
  <c r="EN327" i="1"/>
  <c r="EQ327" i="1"/>
  <c r="EG327" i="1"/>
  <c r="EE180" i="1"/>
  <c r="EE315" i="1"/>
  <c r="CZ80" i="1"/>
  <c r="EN80" i="1"/>
  <c r="EG80" i="1"/>
  <c r="EQ80" i="1"/>
  <c r="EE265" i="1"/>
  <c r="EE191" i="1"/>
  <c r="CX96" i="1"/>
  <c r="DY96" i="1"/>
  <c r="BP96" i="1" s="1" a="1"/>
  <c r="BP96" i="1" s="1"/>
  <c r="EE174" i="1"/>
  <c r="CZ253" i="1"/>
  <c r="EN253" i="1"/>
  <c r="EQ253" i="1"/>
  <c r="EG253" i="1"/>
  <c r="CX114" i="1"/>
  <c r="DY114" i="1"/>
  <c r="BP114" i="1" s="1" a="1"/>
  <c r="BP114" i="1" s="1"/>
  <c r="CX123" i="1"/>
  <c r="DY123" i="1"/>
  <c r="CX294" i="1"/>
  <c r="DY294" i="1"/>
  <c r="BP294" i="1" s="1" a="1"/>
  <c r="BP294" i="1" s="1"/>
  <c r="EE219" i="1"/>
  <c r="CZ150" i="1"/>
  <c r="EN150" i="1"/>
  <c r="EQ150" i="1"/>
  <c r="EG150" i="1"/>
  <c r="EE40" i="1"/>
  <c r="CZ260" i="1"/>
  <c r="EN260" i="1"/>
  <c r="EG260" i="1"/>
  <c r="EQ260" i="1"/>
  <c r="CX321" i="1"/>
  <c r="DY321" i="1"/>
  <c r="BP321" i="1" s="1" a="1"/>
  <c r="BP321" i="1" s="1"/>
  <c r="CX209" i="1"/>
  <c r="DY209" i="1"/>
  <c r="BP209" i="1" s="1" a="1"/>
  <c r="BP209" i="1" s="1"/>
  <c r="CZ176" i="1"/>
  <c r="EQ176" i="1"/>
  <c r="EN176" i="1"/>
  <c r="EG176" i="1"/>
  <c r="EE305" i="1"/>
  <c r="CX312" i="1"/>
  <c r="DY312" i="1"/>
  <c r="BP312" i="1" s="1" a="1"/>
  <c r="BP312" i="1" s="1"/>
  <c r="EE217" i="1"/>
  <c r="EE199" i="1"/>
  <c r="CZ159" i="1"/>
  <c r="EN159" i="1"/>
  <c r="EQ159" i="1"/>
  <c r="EG159" i="1"/>
  <c r="CX98" i="1"/>
  <c r="DY98" i="1"/>
  <c r="BP98" i="1" s="1" a="1"/>
  <c r="BP98" i="1" s="1"/>
  <c r="DY297" i="1"/>
  <c r="BP297" i="1" s="1" a="1"/>
  <c r="BP297" i="1" s="1"/>
  <c r="CX297" i="1"/>
  <c r="EE188" i="1"/>
  <c r="EE115" i="1"/>
  <c r="CZ235" i="1"/>
  <c r="EN235" i="1"/>
  <c r="EG235" i="1"/>
  <c r="EQ235" i="1"/>
  <c r="CZ49" i="1"/>
  <c r="EN49" i="1"/>
  <c r="EG49" i="1"/>
  <c r="CX181" i="1"/>
  <c r="DY181" i="1"/>
  <c r="BP181" i="1" s="1" a="1"/>
  <c r="BP181" i="1" s="1"/>
  <c r="CZ223" i="1"/>
  <c r="EN223" i="1"/>
  <c r="EG223" i="1"/>
  <c r="EQ223" i="1"/>
  <c r="CZ66" i="1"/>
  <c r="EG66" i="1"/>
  <c r="EQ66" i="1"/>
  <c r="EN66" i="1"/>
  <c r="CX171" i="1"/>
  <c r="DY171" i="1"/>
  <c r="BP171" i="1" s="1" a="1"/>
  <c r="BP171" i="1" s="1"/>
  <c r="CZ303" i="1"/>
  <c r="EN303" i="1"/>
  <c r="EG303" i="1"/>
  <c r="EQ303" i="1"/>
  <c r="DY50" i="1"/>
  <c r="BP50" i="1" s="1" a="1"/>
  <c r="BP50" i="1" s="1"/>
  <c r="CX50" i="1"/>
  <c r="CZ132" i="1"/>
  <c r="EN132" i="1"/>
  <c r="EQ132" i="1"/>
  <c r="EG132" i="1"/>
  <c r="EE72" i="1"/>
  <c r="CX126" i="1"/>
  <c r="DY126" i="1"/>
  <c r="BP126" i="1" s="1" a="1"/>
  <c r="BP126" i="1" s="1"/>
  <c r="CX71" i="1"/>
  <c r="DY71" i="1"/>
  <c r="BP71" i="1" s="1" a="1"/>
  <c r="BP71" i="1" s="1"/>
  <c r="EE195" i="1"/>
  <c r="EE118" i="1"/>
  <c r="DY184" i="1"/>
  <c r="BP184" i="1" s="1" a="1"/>
  <c r="BP184" i="1" s="1"/>
  <c r="CX184" i="1"/>
  <c r="CX41" i="1"/>
  <c r="DY41" i="1"/>
  <c r="CX317" i="1"/>
  <c r="DY317" i="1"/>
  <c r="EE228" i="1"/>
  <c r="EE28" i="1"/>
  <c r="CX326" i="1"/>
  <c r="DY326" i="1"/>
  <c r="BP326" i="1" s="1" a="1"/>
  <c r="BP326" i="1" s="1"/>
  <c r="CX230" i="1"/>
  <c r="DY230" i="1"/>
  <c r="BP230" i="1" s="1" a="1"/>
  <c r="BP230" i="1" s="1"/>
  <c r="CZ199" i="1"/>
  <c r="EN199" i="1"/>
  <c r="EQ199" i="1"/>
  <c r="EG199" i="1"/>
  <c r="CX65" i="1"/>
  <c r="DY65" i="1"/>
  <c r="EE229" i="1"/>
  <c r="CZ115" i="1"/>
  <c r="EN115" i="1"/>
  <c r="EG115" i="1"/>
  <c r="EQ115" i="1"/>
  <c r="EE279" i="1"/>
  <c r="EE88" i="1"/>
  <c r="EE46" i="1"/>
  <c r="EE93" i="1"/>
  <c r="DY138" i="1"/>
  <c r="BP138" i="1" s="1" a="1"/>
  <c r="BP138" i="1" s="1"/>
  <c r="CX138" i="1"/>
  <c r="EE223" i="1"/>
  <c r="CZ315" i="1"/>
  <c r="EN315" i="1"/>
  <c r="EQ315" i="1"/>
  <c r="EG315" i="1"/>
  <c r="EE76" i="1"/>
  <c r="CZ265" i="1"/>
  <c r="EG265" i="1"/>
  <c r="EN265" i="1"/>
  <c r="EQ265" i="1"/>
  <c r="EE146" i="1"/>
  <c r="CX165" i="1"/>
  <c r="DY165" i="1"/>
  <c r="BP165" i="1" s="1" a="1"/>
  <c r="BP165" i="1" s="1"/>
  <c r="CZ288" i="1"/>
  <c r="EN288" i="1"/>
  <c r="EG288" i="1"/>
  <c r="EQ288" i="1"/>
  <c r="CX313" i="1"/>
  <c r="DY313" i="1"/>
  <c r="BP313" i="1" s="1" a="1"/>
  <c r="BP313" i="1" s="1"/>
  <c r="CX231" i="1"/>
  <c r="DY231" i="1"/>
  <c r="BP231" i="1" s="1" a="1"/>
  <c r="BP231" i="1" s="1"/>
  <c r="CX129" i="1"/>
  <c r="DY129" i="1"/>
  <c r="BP129" i="1" s="1" a="1"/>
  <c r="BP129" i="1" s="1"/>
  <c r="DY25" i="1"/>
  <c r="BP25" i="1" s="1" a="1"/>
  <c r="BP25" i="1" s="1"/>
  <c r="EN219" i="1"/>
  <c r="EG219" i="1"/>
  <c r="EE31" i="1"/>
  <c r="EE250" i="1"/>
  <c r="EE216" i="1"/>
  <c r="CX242" i="1"/>
  <c r="DY242" i="1"/>
  <c r="BP242" i="1" s="1" a="1"/>
  <c r="BP242" i="1" s="1"/>
  <c r="EG31" i="1"/>
  <c r="EQ31" i="1"/>
  <c r="EN31" i="1"/>
  <c r="EN228" i="1"/>
  <c r="CZ228" i="1"/>
  <c r="EQ228" i="1"/>
  <c r="EG228" i="1"/>
  <c r="EN28" i="1"/>
  <c r="EG28" i="1"/>
  <c r="EQ28" i="1"/>
  <c r="DY236" i="1"/>
  <c r="BP236" i="1" s="1" a="1"/>
  <c r="BP236" i="1" s="1"/>
  <c r="CX236" i="1"/>
  <c r="CZ305" i="1"/>
  <c r="EG305" i="1"/>
  <c r="EQ305" i="1"/>
  <c r="EN305" i="1"/>
  <c r="CX85" i="1"/>
  <c r="DY85" i="1"/>
  <c r="BP85" i="1" s="1" a="1"/>
  <c r="BP85" i="1" s="1"/>
  <c r="EE286" i="1"/>
  <c r="EE22" i="1"/>
  <c r="EE296" i="1"/>
  <c r="CZ188" i="1"/>
  <c r="EN188" i="1"/>
  <c r="EQ188" i="1"/>
  <c r="EG188" i="1"/>
  <c r="EG88" i="1"/>
  <c r="EN88" i="1"/>
  <c r="EQ88" i="1"/>
  <c r="EE49" i="1"/>
  <c r="CZ46" i="1"/>
  <c r="EN46" i="1"/>
  <c r="EG46" i="1"/>
  <c r="EQ46" i="1"/>
  <c r="CZ93" i="1"/>
  <c r="EQ93" i="1"/>
  <c r="EN93" i="1"/>
  <c r="EG93" i="1"/>
  <c r="CX81" i="1"/>
  <c r="DY81" i="1"/>
  <c r="CZ124" i="1"/>
  <c r="EQ124" i="1"/>
  <c r="EG124" i="1"/>
  <c r="EN124" i="1"/>
  <c r="EE87" i="1"/>
  <c r="EE303" i="1"/>
  <c r="CX168" i="1"/>
  <c r="DY168" i="1"/>
  <c r="BP168" i="1" s="1" a="1"/>
  <c r="BP168" i="1" s="1"/>
  <c r="CX285" i="1"/>
  <c r="DY285" i="1"/>
  <c r="BP285" i="1" s="1" a="1"/>
  <c r="BP285" i="1" s="1"/>
  <c r="CZ192" i="1"/>
  <c r="EN192" i="1"/>
  <c r="EQ192" i="1"/>
  <c r="EG192" i="1"/>
  <c r="CZ94" i="1"/>
  <c r="EG94" i="1"/>
  <c r="EN94" i="1"/>
  <c r="EQ94" i="1"/>
  <c r="CZ257" i="1"/>
  <c r="EN257" i="1"/>
  <c r="EG257" i="1"/>
  <c r="EQ257" i="1"/>
  <c r="CX196" i="1"/>
  <c r="DY196" i="1"/>
  <c r="BP196" i="1" s="1" a="1"/>
  <c r="BP196" i="1" s="1"/>
  <c r="CX152" i="1"/>
  <c r="DY152" i="1"/>
  <c r="BP152" i="1" s="1" a="1"/>
  <c r="BP152" i="1" s="1"/>
  <c r="CX246" i="1"/>
  <c r="DY246" i="1"/>
  <c r="BP246" i="1" s="1" a="1"/>
  <c r="BP246" i="1" s="1"/>
  <c r="CZ250" i="1"/>
  <c r="EN250" i="1"/>
  <c r="EQ250" i="1"/>
  <c r="EG250" i="1"/>
  <c r="CX293" i="1"/>
  <c r="DY293" i="1"/>
  <c r="BP293" i="1" s="1" a="1"/>
  <c r="BP293" i="1" s="1"/>
  <c r="EQ216" i="1"/>
  <c r="EG216" i="1"/>
  <c r="EN216" i="1"/>
  <c r="CZ216" i="1"/>
  <c r="EE83" i="1"/>
  <c r="CX214" i="1"/>
  <c r="DY214" i="1"/>
  <c r="BP214" i="1" s="1" a="1"/>
  <c r="BP214" i="1" s="1"/>
  <c r="CZ286" i="1"/>
  <c r="EN286" i="1"/>
  <c r="EQ286" i="1"/>
  <c r="EG286" i="1"/>
  <c r="CZ296" i="1"/>
  <c r="EN296" i="1"/>
  <c r="EG296" i="1"/>
  <c r="EQ296" i="1"/>
  <c r="CZ258" i="1"/>
  <c r="EN258" i="1"/>
  <c r="EQ258" i="1"/>
  <c r="EG258" i="1"/>
  <c r="EE157" i="1"/>
  <c r="EE135" i="1"/>
  <c r="CZ279" i="1"/>
  <c r="EN279" i="1"/>
  <c r="EG279" i="1"/>
  <c r="EQ279" i="1"/>
  <c r="EE74" i="1"/>
  <c r="CX45" i="1"/>
  <c r="DY45" i="1"/>
  <c r="BP45" i="1" s="1" a="1"/>
  <c r="BP45" i="1" s="1"/>
  <c r="EE274" i="1"/>
  <c r="CX299" i="1"/>
  <c r="DY299" i="1"/>
  <c r="BP299" i="1" s="1" a="1"/>
  <c r="BP299" i="1" s="1"/>
  <c r="EE119" i="1"/>
  <c r="CZ336" i="1"/>
  <c r="EN336" i="1"/>
  <c r="EG336" i="1"/>
  <c r="EQ336" i="1"/>
  <c r="CZ76" i="1"/>
  <c r="EN76" i="1"/>
  <c r="EG76" i="1"/>
  <c r="EQ76" i="1"/>
  <c r="CZ259" i="1"/>
  <c r="EQ259" i="1"/>
  <c r="EG259" i="1"/>
  <c r="EN259" i="1"/>
  <c r="EG146" i="1"/>
  <c r="CX245" i="1"/>
  <c r="DY245" i="1"/>
  <c r="BP245" i="1" s="1" a="1"/>
  <c r="BP245" i="1" s="1"/>
  <c r="EE288" i="1"/>
  <c r="EE256" i="1"/>
  <c r="CX255" i="1"/>
  <c r="DY255" i="1"/>
  <c r="BP255" i="1" s="1" a="1"/>
  <c r="BP255" i="1" s="1"/>
  <c r="EE192" i="1"/>
  <c r="EE270" i="1"/>
  <c r="DY14" i="1"/>
  <c r="BP14" i="1" s="1" a="1"/>
  <c r="BP14" i="1" s="1"/>
  <c r="EE145" i="1"/>
  <c r="CZ43" i="1"/>
  <c r="EN43" i="1"/>
  <c r="EG43" i="1"/>
  <c r="EQ43" i="1"/>
  <c r="CX155" i="1"/>
  <c r="DY155" i="1"/>
  <c r="BP155" i="1" s="1" a="1"/>
  <c r="BP155" i="1" s="1"/>
  <c r="EE210" i="1"/>
  <c r="EN22" i="1"/>
  <c r="EG22" i="1"/>
  <c r="EQ22" i="1"/>
  <c r="CZ329" i="1"/>
  <c r="EN329" i="1"/>
  <c r="EG329" i="1"/>
  <c r="EQ329" i="1"/>
  <c r="CX332" i="1"/>
  <c r="DY332" i="1"/>
  <c r="BP332" i="1" s="1" a="1"/>
  <c r="BP332" i="1" s="1"/>
  <c r="CZ157" i="1"/>
  <c r="EQ157" i="1"/>
  <c r="EN157" i="1"/>
  <c r="EG157" i="1"/>
  <c r="EE283" i="1"/>
  <c r="EN20" i="1"/>
  <c r="EQ20" i="1"/>
  <c r="EG20" i="1"/>
  <c r="EE221" i="1"/>
  <c r="EE281" i="1"/>
  <c r="CX48" i="1"/>
  <c r="DY48" i="1"/>
  <c r="BP48" i="1" s="1" a="1"/>
  <c r="BP48" i="1" s="1"/>
  <c r="CZ119" i="1"/>
  <c r="EN119" i="1"/>
  <c r="EE134" i="1"/>
  <c r="EE259" i="1"/>
  <c r="CX136" i="1"/>
  <c r="DY136" i="1"/>
  <c r="BP136" i="1" s="1" a="1"/>
  <c r="BP136" i="1" s="1"/>
  <c r="CZ145" i="1"/>
  <c r="EN145" i="1"/>
  <c r="EG145" i="1"/>
  <c r="EQ145" i="1"/>
  <c r="CX292" i="1"/>
  <c r="DY292" i="1"/>
  <c r="BP292" i="1" s="1" a="1"/>
  <c r="BP292" i="1" s="1"/>
  <c r="DY26" i="1"/>
  <c r="BP26" i="1" s="1" a="1"/>
  <c r="BP26" i="1" s="1"/>
  <c r="CZ109" i="1"/>
  <c r="EN109" i="1"/>
  <c r="EG109" i="1"/>
  <c r="EQ109" i="1"/>
  <c r="EE97" i="1"/>
  <c r="CX105" i="1"/>
  <c r="DY105" i="1"/>
  <c r="BP105" i="1" s="1" a="1"/>
  <c r="BP105" i="1" s="1"/>
  <c r="EE148" i="1"/>
  <c r="CX89" i="1"/>
  <c r="DY89" i="1"/>
  <c r="BP89" i="1" s="1" a="1"/>
  <c r="BP89" i="1" s="1"/>
  <c r="CZ210" i="1"/>
  <c r="EG210" i="1"/>
  <c r="EQ210" i="1"/>
  <c r="EE240" i="1"/>
  <c r="CX275" i="1"/>
  <c r="DY275" i="1"/>
  <c r="BP275" i="1" s="1" a="1"/>
  <c r="BP275" i="1" s="1"/>
  <c r="DY212" i="1"/>
  <c r="BP212" i="1" s="1" a="1"/>
  <c r="BP212" i="1" s="1"/>
  <c r="CX212" i="1"/>
  <c r="CZ135" i="1"/>
  <c r="EN135" i="1"/>
  <c r="EQ135" i="1"/>
  <c r="EG135" i="1"/>
  <c r="CZ283" i="1"/>
  <c r="EN283" i="1"/>
  <c r="EG283" i="1"/>
  <c r="EQ283" i="1"/>
  <c r="CZ291" i="1"/>
  <c r="EN291" i="1"/>
  <c r="EG291" i="1"/>
  <c r="EQ291" i="1"/>
  <c r="EE137" i="1"/>
  <c r="CZ221" i="1"/>
  <c r="EN221" i="1"/>
  <c r="EQ221" i="1"/>
  <c r="EG221" i="1"/>
  <c r="CZ74" i="1"/>
  <c r="EN74" i="1"/>
  <c r="EG74" i="1"/>
  <c r="EQ74" i="1"/>
  <c r="CZ274" i="1"/>
  <c r="EN274" i="1"/>
  <c r="EQ274" i="1"/>
  <c r="EG274" i="1"/>
  <c r="DY17" i="1"/>
  <c r="EE92" i="1"/>
  <c r="CZ134" i="1"/>
  <c r="EN134" i="1"/>
  <c r="EG134" i="1"/>
  <c r="EQ134" i="1"/>
  <c r="EN29" i="1"/>
  <c r="EG29" i="1"/>
  <c r="EQ29" i="1"/>
  <c r="EE149" i="1"/>
  <c r="EE147" i="1"/>
  <c r="CZ273" i="1"/>
  <c r="EN273" i="1"/>
  <c r="EQ273" i="1"/>
  <c r="EG273" i="1"/>
  <c r="EG256" i="1"/>
  <c r="EQ256" i="1"/>
  <c r="CX70" i="1"/>
  <c r="DY70" i="1"/>
  <c r="BP70" i="1" s="1" a="1"/>
  <c r="BP70" i="1" s="1"/>
  <c r="CX295" i="1"/>
  <c r="DY295" i="1"/>
  <c r="BP295" i="1" s="1" a="1"/>
  <c r="BP295" i="1" s="1"/>
  <c r="CZ149" i="1"/>
  <c r="EN149" i="1"/>
  <c r="EG149" i="1"/>
  <c r="EQ149" i="1"/>
  <c r="DY238" i="1"/>
  <c r="BP238" i="1" s="1" a="1"/>
  <c r="BP238" i="1" s="1"/>
  <c r="CX238" i="1"/>
  <c r="CZ333" i="1"/>
  <c r="EN333" i="1"/>
  <c r="EQ333" i="1"/>
  <c r="EG333" i="1"/>
  <c r="DY272" i="1"/>
  <c r="BP272" i="1" s="1" a="1"/>
  <c r="BP272" i="1" s="1"/>
  <c r="CX272" i="1"/>
  <c r="DY169" i="1"/>
  <c r="BP169" i="1" s="1" a="1"/>
  <c r="BP169" i="1" s="1"/>
  <c r="CX169" i="1"/>
  <c r="EE100" i="1"/>
  <c r="EN23" i="1"/>
  <c r="EG23" i="1"/>
  <c r="EQ23" i="1"/>
  <c r="CZ270" i="1"/>
  <c r="EG270" i="1"/>
  <c r="EN270" i="1"/>
  <c r="EQ270" i="1"/>
  <c r="EE94" i="1"/>
  <c r="CX175" i="1"/>
  <c r="DY175" i="1"/>
  <c r="EE77" i="1"/>
  <c r="EE289" i="1"/>
  <c r="CZ215" i="1"/>
  <c r="EN215" i="1"/>
  <c r="EQ215" i="1"/>
  <c r="EG215" i="1"/>
  <c r="EE300" i="1"/>
  <c r="CX75" i="1"/>
  <c r="DY75" i="1"/>
  <c r="BP75" i="1" s="1" a="1"/>
  <c r="BP75" i="1" s="1"/>
  <c r="CX200" i="1"/>
  <c r="DY200" i="1"/>
  <c r="BP200" i="1" s="1" a="1"/>
  <c r="BP200" i="1" s="1"/>
  <c r="CZ52" i="1"/>
  <c r="EN52" i="1"/>
  <c r="EG52" i="1"/>
  <c r="EQ52" i="1"/>
  <c r="CX227" i="1"/>
  <c r="DY227" i="1"/>
  <c r="BP227" i="1" s="1" a="1"/>
  <c r="BP227" i="1" s="1"/>
  <c r="CX189" i="1"/>
  <c r="DY189" i="1"/>
  <c r="BP189" i="1" s="1" a="1"/>
  <c r="BP189" i="1" s="1"/>
  <c r="EE91" i="1"/>
  <c r="CZ60" i="1"/>
  <c r="EN60" i="1"/>
  <c r="EQ60" i="1"/>
  <c r="EG60" i="1"/>
  <c r="EE257" i="1"/>
  <c r="CZ151" i="1"/>
  <c r="EN151" i="1"/>
  <c r="EG151" i="1"/>
  <c r="EQ151" i="1"/>
  <c r="DY268" i="1"/>
  <c r="BP268" i="1" s="1" a="1"/>
  <c r="BP268" i="1" s="1"/>
  <c r="CX268" i="1"/>
  <c r="CZ79" i="1"/>
  <c r="EG79" i="1"/>
  <c r="EN79" i="1"/>
  <c r="EQ79" i="1"/>
  <c r="CX287" i="1"/>
  <c r="DY287" i="1"/>
  <c r="BP287" i="1" s="1" a="1"/>
  <c r="BP287" i="1" s="1"/>
  <c r="CX206" i="1"/>
  <c r="DY206" i="1"/>
  <c r="BP206" i="1" s="1" a="1"/>
  <c r="BP206" i="1" s="1"/>
  <c r="CZ148" i="1"/>
  <c r="EQ148" i="1"/>
  <c r="EG148" i="1"/>
  <c r="EN148" i="1"/>
  <c r="CZ137" i="1"/>
  <c r="EN137" i="1"/>
  <c r="EQ137" i="1"/>
  <c r="EG137" i="1"/>
  <c r="CX86" i="1"/>
  <c r="DY86" i="1"/>
  <c r="BP86" i="1" s="1" a="1"/>
  <c r="BP86" i="1" s="1"/>
  <c r="CZ195" i="1"/>
  <c r="EN195" i="1"/>
  <c r="EG195" i="1"/>
  <c r="EQ195" i="1"/>
  <c r="CZ59" i="1"/>
  <c r="EN59" i="1"/>
  <c r="EG59" i="1"/>
  <c r="EQ59" i="1"/>
  <c r="CZ100" i="1"/>
  <c r="EN100" i="1"/>
  <c r="EQ100" i="1"/>
  <c r="EG100" i="1"/>
  <c r="CX248" i="1"/>
  <c r="DY248" i="1"/>
  <c r="CZ91" i="1"/>
  <c r="EN91" i="1"/>
  <c r="EG91" i="1"/>
  <c r="EQ91" i="1"/>
  <c r="EE142" i="1"/>
  <c r="CZ205" i="1"/>
  <c r="EQ205" i="1"/>
  <c r="EG205" i="1"/>
  <c r="EN205" i="1"/>
  <c r="EE104" i="1"/>
  <c r="CX166" i="1"/>
  <c r="DY166" i="1"/>
  <c r="BP166" i="1" s="1" a="1"/>
  <c r="BP166" i="1" s="1"/>
  <c r="EN27" i="1"/>
  <c r="EG27" i="1"/>
  <c r="EQ27" i="1"/>
  <c r="CX186" i="1"/>
  <c r="DY186" i="1"/>
  <c r="BP186" i="1" s="1" a="1"/>
  <c r="BP186" i="1" s="1"/>
  <c r="CX158" i="1"/>
  <c r="DY158" i="1"/>
  <c r="BP158" i="1" s="1" a="1"/>
  <c r="BP158" i="1" s="1"/>
  <c r="DY16" i="1"/>
  <c r="BP16" i="1" s="1" a="1"/>
  <c r="BP16" i="1" s="1"/>
  <c r="EE121" i="1"/>
  <c r="CZ198" i="1"/>
  <c r="EN198" i="1"/>
  <c r="EG198" i="1"/>
  <c r="EQ198" i="1"/>
  <c r="EE271" i="1"/>
  <c r="CZ201" i="1"/>
  <c r="EN201" i="1"/>
  <c r="EG201" i="1"/>
  <c r="EQ201" i="1"/>
  <c r="CZ318" i="1"/>
  <c r="EN318" i="1"/>
  <c r="EQ318" i="1"/>
  <c r="EG318" i="1"/>
  <c r="CZ77" i="1"/>
  <c r="EQ77" i="1"/>
  <c r="EG77" i="1"/>
  <c r="EN77" i="1"/>
  <c r="CZ300" i="1"/>
  <c r="EN300" i="1"/>
  <c r="EQ300" i="1"/>
  <c r="EG300" i="1"/>
  <c r="CX319" i="1"/>
  <c r="DY319" i="1"/>
  <c r="BP319" i="1" s="1" a="1"/>
  <c r="BP319" i="1" s="1"/>
  <c r="CX322" i="1"/>
  <c r="DY322" i="1"/>
  <c r="EE52" i="1"/>
  <c r="CZ232" i="1"/>
  <c r="EN232" i="1"/>
  <c r="EG232" i="1"/>
  <c r="EQ232" i="1"/>
  <c r="EE277" i="1"/>
  <c r="EE269" i="1"/>
  <c r="EN19" i="1"/>
  <c r="EG19" i="1"/>
  <c r="EQ19" i="1"/>
  <c r="CX334" i="1"/>
  <c r="DY334" i="1"/>
  <c r="EE127" i="1"/>
  <c r="EN36" i="1"/>
  <c r="EG36" i="1"/>
  <c r="EQ36" i="1"/>
  <c r="EE110" i="1"/>
  <c r="EN32" i="1"/>
  <c r="EG32" i="1"/>
  <c r="EQ32" i="1"/>
  <c r="CX140" i="1"/>
  <c r="DY140" i="1"/>
  <c r="BP140" i="1" s="1" a="1"/>
  <c r="BP140" i="1" s="1"/>
  <c r="CX290" i="1"/>
  <c r="DY290" i="1"/>
  <c r="BP290" i="1" s="1" a="1"/>
  <c r="BP290" i="1" s="1"/>
  <c r="DY172" i="1"/>
  <c r="BP172" i="1" s="1" a="1"/>
  <c r="BP172" i="1" s="1"/>
  <c r="CX172" i="1"/>
  <c r="EE215" i="1"/>
  <c r="DY24" i="1"/>
  <c r="CX213" i="1"/>
  <c r="DY213" i="1"/>
  <c r="BP213" i="1" s="1" a="1"/>
  <c r="BP213" i="1" s="1"/>
  <c r="CZ121" i="1"/>
  <c r="EN121" i="1"/>
  <c r="EG121" i="1"/>
  <c r="EQ121" i="1"/>
  <c r="CZ117" i="1"/>
  <c r="EN117" i="1"/>
  <c r="EG117" i="1"/>
  <c r="EQ117" i="1"/>
  <c r="EE198" i="1"/>
  <c r="EE33" i="1"/>
  <c r="CZ284" i="1"/>
  <c r="EN284" i="1"/>
  <c r="EQ284" i="1"/>
  <c r="EG284" i="1"/>
  <c r="CX244" i="1"/>
  <c r="DY244" i="1"/>
  <c r="BP244" i="1" s="1" a="1"/>
  <c r="BP244" i="1" s="1"/>
  <c r="EE222" i="1"/>
  <c r="EE282" i="1"/>
  <c r="CZ316" i="1"/>
  <c r="EN316" i="1"/>
  <c r="EQ316" i="1"/>
  <c r="EG316" i="1"/>
  <c r="EE237" i="1"/>
  <c r="CZ277" i="1"/>
  <c r="EN277" i="1"/>
  <c r="EG277" i="1"/>
  <c r="EQ277" i="1"/>
  <c r="CZ269" i="1"/>
  <c r="EG269" i="1"/>
  <c r="EQ269" i="1"/>
  <c r="EN269" i="1"/>
  <c r="CX311" i="1"/>
  <c r="DY311" i="1"/>
  <c r="BP311" i="1" s="1" a="1"/>
  <c r="BP311" i="1" s="1"/>
  <c r="EN30" i="1"/>
  <c r="EG30" i="1"/>
  <c r="EQ30" i="1"/>
  <c r="CZ142" i="1"/>
  <c r="EG142" i="1"/>
  <c r="EN142" i="1"/>
  <c r="EQ142" i="1"/>
  <c r="CX160" i="1"/>
  <c r="DY160" i="1"/>
  <c r="BP160" i="1" s="1" a="1"/>
  <c r="BP160" i="1" s="1"/>
  <c r="CX177" i="1"/>
  <c r="DY177" i="1"/>
  <c r="BP177" i="1" s="1" a="1"/>
  <c r="BP177" i="1" s="1"/>
  <c r="CX133" i="1"/>
  <c r="DY133" i="1"/>
  <c r="BP133" i="1" s="1" a="1"/>
  <c r="BP133" i="1" s="1"/>
  <c r="DY185" i="1"/>
  <c r="BP185" i="1" s="1" a="1"/>
  <c r="BP185" i="1" s="1"/>
  <c r="CX185" i="1"/>
  <c r="EE153" i="1"/>
  <c r="CZ281" i="1"/>
  <c r="EN281" i="1"/>
  <c r="EQ281" i="1"/>
  <c r="EG281" i="1"/>
  <c r="CX61" i="1"/>
  <c r="DY61" i="1"/>
  <c r="BP61" i="1" s="1" a="1"/>
  <c r="BP61" i="1" s="1"/>
  <c r="CZ289" i="1"/>
  <c r="EN289" i="1"/>
  <c r="EQ289" i="1"/>
  <c r="EG289" i="1"/>
  <c r="CX337" i="1"/>
  <c r="DY337" i="1"/>
  <c r="BP337" i="1" s="1" a="1"/>
  <c r="BP337" i="1" s="1"/>
  <c r="CZ254" i="1"/>
  <c r="EN254" i="1"/>
  <c r="EQ254" i="1"/>
  <c r="EG254" i="1"/>
  <c r="CZ218" i="1"/>
  <c r="EN218" i="1"/>
  <c r="EQ218" i="1"/>
  <c r="EG218" i="1"/>
  <c r="CX335" i="1"/>
  <c r="DY335" i="1"/>
  <c r="BP335" i="1" s="1" a="1"/>
  <c r="BP335" i="1" s="1"/>
  <c r="CZ271" i="1"/>
  <c r="EN271" i="1"/>
  <c r="EQ271" i="1"/>
  <c r="EG271" i="1"/>
  <c r="EN37" i="1"/>
  <c r="EG37" i="1"/>
  <c r="EQ37" i="1"/>
  <c r="EE112" i="1"/>
  <c r="CZ307" i="1"/>
  <c r="EN307" i="1"/>
  <c r="EG307" i="1"/>
  <c r="EQ307" i="1"/>
  <c r="EE298" i="1"/>
  <c r="EN111" i="1"/>
  <c r="EN33" i="1"/>
  <c r="EG33" i="1"/>
  <c r="EQ33" i="1"/>
  <c r="CX170" i="1"/>
  <c r="DY170" i="1"/>
  <c r="BP170" i="1" s="1" a="1"/>
  <c r="BP170" i="1" s="1"/>
  <c r="CZ282" i="1"/>
  <c r="EN282" i="1"/>
  <c r="EQ282" i="1"/>
  <c r="EG282" i="1"/>
  <c r="EE342" i="1"/>
  <c r="CZ237" i="1"/>
  <c r="EN237" i="1"/>
  <c r="EG237" i="1"/>
  <c r="EQ237" i="1"/>
  <c r="CX194" i="1"/>
  <c r="DY194" i="1"/>
  <c r="BP194" i="1" s="1" a="1"/>
  <c r="BP194" i="1" s="1"/>
  <c r="DY131" i="1"/>
  <c r="BP131" i="1" s="1" a="1"/>
  <c r="BP131" i="1" s="1"/>
  <c r="CX131" i="1"/>
  <c r="CZ127" i="1"/>
  <c r="EN127" i="1"/>
  <c r="EQ127" i="1"/>
  <c r="EG127" i="1"/>
  <c r="CZ187" i="1"/>
  <c r="EN187" i="1"/>
  <c r="EQ187" i="1"/>
  <c r="EG187" i="1"/>
  <c r="CZ82" i="1"/>
  <c r="EN82" i="1"/>
  <c r="EG82" i="1"/>
  <c r="EQ82" i="1"/>
  <c r="CZ110" i="1"/>
  <c r="EN110" i="1"/>
  <c r="EQ110" i="1"/>
  <c r="EG110" i="1"/>
  <c r="CX249" i="1"/>
  <c r="DY249" i="1"/>
  <c r="BP249" i="1" s="1" a="1"/>
  <c r="BP249" i="1" s="1"/>
  <c r="CX202" i="1"/>
  <c r="DY202" i="1"/>
  <c r="BP202" i="1" s="1" a="1"/>
  <c r="BP202" i="1" s="1"/>
  <c r="EE264" i="1"/>
  <c r="CX55" i="1"/>
  <c r="DY55" i="1"/>
  <c r="BP55" i="1" s="1" a="1"/>
  <c r="BP55" i="1" s="1"/>
  <c r="CX63" i="1"/>
  <c r="DY63" i="1"/>
  <c r="CZ153" i="1"/>
  <c r="EN153" i="1"/>
  <c r="EG153" i="1"/>
  <c r="EQ153" i="1"/>
  <c r="CX226" i="1"/>
  <c r="DY226" i="1"/>
  <c r="BP226" i="1" s="1" a="1"/>
  <c r="BP226" i="1" s="1"/>
  <c r="CX162" i="1"/>
  <c r="DY162" i="1"/>
  <c r="BP162" i="1" s="1" a="1"/>
  <c r="BP162" i="1" s="1"/>
  <c r="EE90" i="1"/>
  <c r="CX161" i="1"/>
  <c r="DY161" i="1"/>
  <c r="BP161" i="1" s="1" a="1"/>
  <c r="BP161" i="1" s="1"/>
  <c r="EE254" i="1"/>
  <c r="CZ51" i="1"/>
  <c r="EN51" i="1"/>
  <c r="EQ51" i="1"/>
  <c r="EG51" i="1"/>
  <c r="CX340" i="1"/>
  <c r="DY340" i="1"/>
  <c r="BP340" i="1" s="1" a="1"/>
  <c r="BP340" i="1" s="1"/>
  <c r="CX263" i="1"/>
  <c r="DY263" i="1"/>
  <c r="BP263" i="1" s="1" a="1"/>
  <c r="BP263" i="1" s="1"/>
  <c r="CX39" i="1"/>
  <c r="DY39" i="1"/>
  <c r="CX120" i="1"/>
  <c r="DY120" i="1"/>
  <c r="BP120" i="1" s="1" a="1"/>
  <c r="BP120" i="1" s="1"/>
  <c r="EE117" i="1"/>
  <c r="EE208" i="1"/>
  <c r="CX103" i="1"/>
  <c r="DY103" i="1"/>
  <c r="BP103" i="1" s="1" a="1"/>
  <c r="BP103" i="1" s="1"/>
  <c r="CZ112" i="1"/>
  <c r="EN112" i="1"/>
  <c r="EQ112" i="1"/>
  <c r="EG112" i="1"/>
  <c r="CZ125" i="1"/>
  <c r="EN125" i="1"/>
  <c r="EG125" i="1"/>
  <c r="EQ125" i="1"/>
  <c r="DY144" i="1"/>
  <c r="BP144" i="1" s="1" a="1"/>
  <c r="BP144" i="1" s="1"/>
  <c r="CX144" i="1"/>
  <c r="CZ222" i="1"/>
  <c r="EN222" i="1"/>
  <c r="EG222" i="1"/>
  <c r="EQ222" i="1"/>
  <c r="EE267" i="1"/>
  <c r="EE239" i="1"/>
  <c r="CZ342" i="1"/>
  <c r="EN342" i="1"/>
  <c r="EG342" i="1"/>
  <c r="EQ342" i="1"/>
  <c r="CX64" i="1"/>
  <c r="DY64" i="1"/>
  <c r="BP64" i="1" s="1" a="1"/>
  <c r="BP64" i="1" s="1"/>
  <c r="DY58" i="1"/>
  <c r="BP58" i="1" s="1" a="1"/>
  <c r="BP58" i="1" s="1"/>
  <c r="CX58" i="1"/>
  <c r="CX95" i="1"/>
  <c r="DY95" i="1"/>
  <c r="BP95" i="1" s="1" a="1"/>
  <c r="BP95" i="1" s="1"/>
  <c r="CZ301" i="1"/>
  <c r="EQ301" i="1"/>
  <c r="EG301" i="1"/>
  <c r="EN301" i="1"/>
  <c r="CX107" i="1"/>
  <c r="DY107" i="1"/>
  <c r="BP107" i="1" s="1" a="1"/>
  <c r="BP107" i="1" s="1"/>
  <c r="CZ78" i="1"/>
  <c r="EN78" i="1"/>
  <c r="EQ78" i="1"/>
  <c r="EG78" i="1"/>
  <c r="CZ233" i="1"/>
  <c r="EN233" i="1"/>
  <c r="EG233" i="1"/>
  <c r="EQ233" i="1"/>
  <c r="CZ167" i="1"/>
  <c r="EN167" i="1"/>
  <c r="CX314" i="1"/>
  <c r="DY314" i="1"/>
  <c r="BP314" i="1" s="1" a="1"/>
  <c r="BP314" i="1" s="1"/>
  <c r="CZ143" i="1"/>
  <c r="EN143" i="1"/>
  <c r="EG143" i="1"/>
  <c r="EQ143" i="1"/>
  <c r="CZ264" i="1"/>
  <c r="EN264" i="1"/>
  <c r="EG264" i="1"/>
  <c r="EQ264" i="1"/>
  <c r="DY341" i="1"/>
  <c r="BP341" i="1" s="1" a="1"/>
  <c r="BP341" i="1" s="1"/>
  <c r="CX341" i="1"/>
  <c r="CX234" i="1"/>
  <c r="DY234" i="1"/>
  <c r="BP234" i="1" s="1" a="1"/>
  <c r="BP234" i="1" s="1"/>
  <c r="CZ97" i="1"/>
  <c r="EN97" i="1"/>
  <c r="EQ97" i="1"/>
  <c r="EG97" i="1"/>
  <c r="CX266" i="1"/>
  <c r="DY266" i="1"/>
  <c r="BP266" i="1" s="1" a="1"/>
  <c r="BP266" i="1" s="1"/>
  <c r="EE325" i="1"/>
  <c r="EE204" i="1"/>
  <c r="EQ298" i="1"/>
  <c r="EE260" i="1"/>
  <c r="EN310" i="1"/>
  <c r="CZ310" i="1"/>
  <c r="EG310" i="1"/>
  <c r="EQ310" i="1"/>
  <c r="EE164" i="1"/>
  <c r="CX320" i="1"/>
  <c r="DY320" i="1"/>
  <c r="BP320" i="1" s="1" a="1"/>
  <c r="BP320" i="1" s="1"/>
  <c r="EE139" i="1"/>
  <c r="CZ239" i="1"/>
  <c r="EN239" i="1"/>
  <c r="EG239" i="1"/>
  <c r="EQ239" i="1"/>
  <c r="EE304" i="1"/>
  <c r="EE141" i="1"/>
  <c r="DY38" i="1"/>
  <c r="BP38" i="1" s="1" a="1"/>
  <c r="BP38" i="1" s="1"/>
  <c r="EN18" i="1"/>
  <c r="EG18" i="1"/>
  <c r="EQ18" i="1"/>
  <c r="EE187" i="1"/>
  <c r="EE102" i="1"/>
  <c r="EE67" i="1"/>
  <c r="EE167" i="1"/>
  <c r="EE53" i="1"/>
  <c r="CX211" i="1"/>
  <c r="DY211" i="1"/>
  <c r="BP211" i="1" s="1" a="1"/>
  <c r="BP211" i="1" s="1"/>
  <c r="EN174" i="1"/>
  <c r="EG174" i="1"/>
  <c r="EQ174" i="1"/>
  <c r="DY15" i="1"/>
  <c r="BP15" i="1" s="1" a="1"/>
  <c r="BP15" i="1" s="1"/>
  <c r="DY57" i="1"/>
  <c r="BP57" i="1" s="1" a="1"/>
  <c r="BP57" i="1" s="1"/>
  <c r="CX57" i="1"/>
  <c r="EE329" i="1"/>
  <c r="EE51" i="1"/>
  <c r="EE306" i="1"/>
  <c r="CX190" i="1"/>
  <c r="DY190" i="1"/>
  <c r="BP190" i="1" s="1" a="1"/>
  <c r="BP190" i="1" s="1"/>
  <c r="CZ325" i="1"/>
  <c r="EN325" i="1"/>
  <c r="EQ325" i="1"/>
  <c r="EG325" i="1"/>
  <c r="EE122" i="1"/>
  <c r="CX323" i="1"/>
  <c r="DY323" i="1"/>
  <c r="BP323" i="1" s="1" a="1"/>
  <c r="BP323" i="1" s="1"/>
  <c r="EE116" i="1"/>
  <c r="EE193" i="1"/>
  <c r="CZ139" i="1"/>
  <c r="EN139" i="1"/>
  <c r="EQ139" i="1"/>
  <c r="EG139" i="1"/>
  <c r="EE73" i="1"/>
  <c r="CZ304" i="1"/>
  <c r="EG304" i="1"/>
  <c r="EN304" i="1"/>
  <c r="EQ304" i="1"/>
  <c r="CX113" i="1"/>
  <c r="DY113" i="1"/>
  <c r="EE78" i="1"/>
  <c r="CX84" i="1"/>
  <c r="DY84" i="1"/>
  <c r="BP84" i="1" s="1" a="1"/>
  <c r="BP84" i="1" s="1"/>
  <c r="EE80" i="1"/>
  <c r="CZ67" i="1"/>
  <c r="EN67" i="1"/>
  <c r="EG67" i="1"/>
  <c r="EQ67" i="1"/>
  <c r="CZ53" i="1"/>
  <c r="EG53" i="1"/>
  <c r="EQ53" i="1"/>
  <c r="EN53" i="1"/>
  <c r="EE132" i="1"/>
  <c r="CX278" i="1"/>
  <c r="DY278" i="1"/>
  <c r="BP278" i="1" s="1" a="1"/>
  <c r="BP278" i="1" s="1"/>
  <c r="CX108" i="1"/>
  <c r="DY108" i="1"/>
  <c r="BP108" i="1" s="1" a="1"/>
  <c r="BP108" i="1" s="1"/>
  <c r="CZ276" i="1"/>
  <c r="EN276" i="1"/>
  <c r="EQ276" i="1"/>
  <c r="EG276" i="1"/>
  <c r="EJ25" i="1"/>
  <c r="ED17" i="1"/>
  <c r="CX13" i="1"/>
  <c r="CZ13" i="1" s="1"/>
  <c r="DY13" i="1"/>
  <c r="BP13" i="1" s="1" a="1"/>
  <c r="BP13" i="1" s="1"/>
  <c r="L20" i="7"/>
  <c r="L21" i="7" s="1"/>
  <c r="BT13" i="1"/>
  <c r="CZ219" i="1" l="1"/>
  <c r="EN191" i="1"/>
  <c r="EE235" i="1"/>
  <c r="BQ82" i="1"/>
  <c r="EG267" i="1"/>
  <c r="EN298" i="1"/>
  <c r="EQ267" i="1"/>
  <c r="EE82" i="1"/>
  <c r="EG298" i="1"/>
  <c r="BQ235" i="1"/>
  <c r="EQ180" i="1"/>
  <c r="EN180" i="1"/>
  <c r="EQ229" i="1"/>
  <c r="EN229" i="1"/>
  <c r="DK197" i="1"/>
  <c r="BI197" i="1"/>
  <c r="EQ217" i="1"/>
  <c r="EG217" i="1"/>
  <c r="CZ217" i="1"/>
  <c r="EN87" i="1"/>
  <c r="BQ112" i="1"/>
  <c r="EG180" i="1"/>
  <c r="EQ92" i="1"/>
  <c r="EQ167" i="1"/>
  <c r="BR325" i="1"/>
  <c r="EG247" i="1"/>
  <c r="BR109" i="1"/>
  <c r="EQ240" i="1"/>
  <c r="EN240" i="1"/>
  <c r="EG240" i="1"/>
  <c r="BR291" i="1"/>
  <c r="BR250" i="1"/>
  <c r="CZ203" i="1"/>
  <c r="EQ208" i="1"/>
  <c r="EQ83" i="1"/>
  <c r="EG83" i="1"/>
  <c r="EN83" i="1"/>
  <c r="CZ207" i="1"/>
  <c r="EN207" i="1"/>
  <c r="EQ207" i="1"/>
  <c r="BD203" i="1"/>
  <c r="BI203" i="1" s="1"/>
  <c r="EQ247" i="1"/>
  <c r="BQ73" i="1"/>
  <c r="DL197" i="1"/>
  <c r="DN197" i="1" s="1"/>
  <c r="EQ191" i="1"/>
  <c r="EG191" i="1"/>
  <c r="CZ92" i="1"/>
  <c r="EN267" i="1"/>
  <c r="EN92" i="1"/>
  <c r="CZ208" i="1"/>
  <c r="EN256" i="1"/>
  <c r="EQ99" i="1"/>
  <c r="CZ99" i="1"/>
  <c r="EQ102" i="1"/>
  <c r="CZ229" i="1"/>
  <c r="EG99" i="1"/>
  <c r="EN208" i="1"/>
  <c r="EN104" i="1"/>
  <c r="EN102" i="1"/>
  <c r="EN203" i="1"/>
  <c r="CZ247" i="1"/>
  <c r="EQ203" i="1"/>
  <c r="EQ119" i="1"/>
  <c r="EQ72" i="1"/>
  <c r="BQ67" i="1"/>
  <c r="EN72" i="1"/>
  <c r="CZ72" i="1"/>
  <c r="EG42" i="1"/>
  <c r="BQ111" i="1"/>
  <c r="BQ125" i="1"/>
  <c r="EN42" i="1"/>
  <c r="BR111" i="1"/>
  <c r="BR125" i="1"/>
  <c r="EE60" i="1"/>
  <c r="EQ87" i="1"/>
  <c r="EG87" i="1"/>
  <c r="BR60" i="1"/>
  <c r="EQ104" i="1"/>
  <c r="EG104" i="1"/>
  <c r="BQ109" i="1"/>
  <c r="BQ22" i="1"/>
  <c r="BQ301" i="1"/>
  <c r="BR301" i="1"/>
  <c r="BQ20" i="1"/>
  <c r="BR20" i="1"/>
  <c r="EQ306" i="1"/>
  <c r="EG306" i="1"/>
  <c r="EN306" i="1"/>
  <c r="EE291" i="1"/>
  <c r="BQ43" i="1"/>
  <c r="BR43" i="1"/>
  <c r="BQ223" i="1"/>
  <c r="BP232" i="1" a="1"/>
  <c r="BP232" i="1" s="1"/>
  <c r="CZ102" i="1"/>
  <c r="BP336" i="1" a="1"/>
  <c r="BP336" i="1" s="1"/>
  <c r="BQ336" i="1" s="1"/>
  <c r="BP333" i="1" a="1"/>
  <c r="BP333" i="1" s="1"/>
  <c r="EE333" i="1" s="1"/>
  <c r="BP258" i="1" a="1"/>
  <c r="BP258" i="1" s="1"/>
  <c r="BR258" i="1" s="1"/>
  <c r="BP201" i="1" a="1"/>
  <c r="BP201" i="1" s="1"/>
  <c r="EE201" i="1" s="1"/>
  <c r="BP30" i="1" a="1"/>
  <c r="BP30" i="1" s="1"/>
  <c r="EE30" i="1" s="1"/>
  <c r="BP18" i="1" a="1"/>
  <c r="BP18" i="1" s="1"/>
  <c r="EE18" i="1" s="1"/>
  <c r="BP276" i="1" a="1"/>
  <c r="BP276" i="1" s="1"/>
  <c r="EE276" i="1" s="1"/>
  <c r="BP29" i="1" a="1"/>
  <c r="BP29" i="1" s="1"/>
  <c r="EE29" i="1" s="1"/>
  <c r="BP23" i="1" a="1"/>
  <c r="BP23" i="1" s="1"/>
  <c r="EE23" i="1" s="1"/>
  <c r="BP63" i="1" a="1"/>
  <c r="BP63" i="1" s="1"/>
  <c r="EE63" i="1" s="1"/>
  <c r="BP175" i="1" a="1"/>
  <c r="BP175" i="1" s="1"/>
  <c r="BQ175" i="1" s="1"/>
  <c r="BP284" i="1" a="1"/>
  <c r="BP284" i="1" s="1"/>
  <c r="EE284" i="1" s="1"/>
  <c r="BP317" i="1" a="1"/>
  <c r="BP317" i="1" s="1"/>
  <c r="EE317" i="1" s="1"/>
  <c r="BP253" i="1" a="1"/>
  <c r="BP253" i="1" s="1"/>
  <c r="BR253" i="1" s="1"/>
  <c r="BP37" i="1" a="1"/>
  <c r="BP37" i="1" s="1"/>
  <c r="EE37" i="1" s="1"/>
  <c r="BP124" i="1" a="1"/>
  <c r="BP124" i="1" s="1"/>
  <c r="EE124" i="1" s="1"/>
  <c r="EQ147" i="1"/>
  <c r="BP41" i="1" a="1"/>
  <c r="BP41" i="1" s="1"/>
  <c r="EE41" i="1" s="1"/>
  <c r="BP310" i="1" a="1"/>
  <c r="BP310" i="1" s="1"/>
  <c r="EE310" i="1" s="1"/>
  <c r="EG147" i="1"/>
  <c r="EE17" i="1"/>
  <c r="BP17" i="1" a="1"/>
  <c r="BP17" i="1" s="1"/>
  <c r="BQ17" i="1" s="1"/>
  <c r="BP81" i="1" a="1"/>
  <c r="BP81" i="1" s="1"/>
  <c r="EE81" i="1" s="1"/>
  <c r="BP65" i="1" a="1"/>
  <c r="BP65" i="1" s="1"/>
  <c r="BR65" i="1" s="1"/>
  <c r="EE62" i="1"/>
  <c r="BP62" i="1" a="1"/>
  <c r="BP62" i="1" s="1"/>
  <c r="BP205" i="1" a="1"/>
  <c r="BP205" i="1" s="1"/>
  <c r="EE205" i="1" s="1"/>
  <c r="BP39" i="1" a="1"/>
  <c r="BP39" i="1" s="1"/>
  <c r="EE39" i="1" s="1"/>
  <c r="BP24" i="1" a="1"/>
  <c r="BP24" i="1" s="1"/>
  <c r="EE24" i="1" s="1"/>
  <c r="EN147" i="1"/>
  <c r="BP322" i="1" a="1"/>
  <c r="BP322" i="1" s="1"/>
  <c r="EE322" i="1" s="1"/>
  <c r="BP66" i="1" a="1"/>
  <c r="BP66" i="1" s="1"/>
  <c r="BR66" i="1" s="1"/>
  <c r="BP79" i="1" a="1"/>
  <c r="BP79" i="1" s="1"/>
  <c r="EE79" i="1" s="1"/>
  <c r="BP316" i="1" a="1"/>
  <c r="BP316" i="1" s="1"/>
  <c r="BR316" i="1" s="1"/>
  <c r="BP307" i="1" a="1"/>
  <c r="BP307" i="1" s="1"/>
  <c r="BP59" i="1" a="1"/>
  <c r="BP59" i="1" s="1"/>
  <c r="BR59" i="1" s="1"/>
  <c r="BP113" i="1" a="1"/>
  <c r="BP113" i="1" s="1"/>
  <c r="EE113" i="1" s="1"/>
  <c r="BP334" i="1" a="1"/>
  <c r="BP334" i="1" s="1"/>
  <c r="EE334" i="1" s="1"/>
  <c r="BP123" i="1" a="1"/>
  <c r="BP123" i="1" s="1"/>
  <c r="EE123" i="1" s="1"/>
  <c r="BP273" i="1" a="1"/>
  <c r="BP273" i="1" s="1"/>
  <c r="EE273" i="1" s="1"/>
  <c r="BP248" i="1" a="1"/>
  <c r="BP248" i="1" s="1"/>
  <c r="EE248" i="1" s="1"/>
  <c r="BP19" i="1" a="1"/>
  <c r="BP19" i="1" s="1"/>
  <c r="BR19" i="1" s="1"/>
  <c r="BP159" i="1" a="1"/>
  <c r="BP159" i="1" s="1"/>
  <c r="EE159" i="1" s="1"/>
  <c r="CZ42" i="1"/>
  <c r="CZ111" i="1"/>
  <c r="EQ146" i="1"/>
  <c r="EN146" i="1"/>
  <c r="EQ111" i="1"/>
  <c r="BQ327" i="1"/>
  <c r="EE327" i="1"/>
  <c r="CG275" i="1"/>
  <c r="CG287" i="1"/>
  <c r="CG342" i="1"/>
  <c r="CG199" i="1"/>
  <c r="CG32" i="1"/>
  <c r="CG145" i="1"/>
  <c r="CG42" i="1"/>
  <c r="CG217" i="1"/>
  <c r="CG278" i="1"/>
  <c r="CG336" i="1"/>
  <c r="CG66" i="1"/>
  <c r="CG108" i="1"/>
  <c r="CG149" i="1"/>
  <c r="CG153" i="1"/>
  <c r="CG282" i="1"/>
  <c r="CG16" i="1"/>
  <c r="CG313" i="1"/>
  <c r="CG208" i="1"/>
  <c r="CG67" i="1"/>
  <c r="CG230" i="1"/>
  <c r="CG311" i="1"/>
  <c r="CG84" i="1"/>
  <c r="CG162" i="1"/>
  <c r="CG127" i="1"/>
  <c r="CG168" i="1"/>
  <c r="CG133" i="1"/>
  <c r="CG46" i="1"/>
  <c r="CG237" i="1"/>
  <c r="CG192" i="1"/>
  <c r="CG150" i="1"/>
  <c r="CG18" i="1"/>
  <c r="CG315" i="1"/>
  <c r="CG163" i="1"/>
  <c r="CG292" i="1"/>
  <c r="CG70" i="1"/>
  <c r="CG288" i="1"/>
  <c r="CG76" i="1"/>
  <c r="CG115" i="1"/>
  <c r="CG90" i="1"/>
  <c r="CG38" i="1"/>
  <c r="CG116" i="1"/>
  <c r="CG86" i="1"/>
  <c r="CG71" i="1"/>
  <c r="CG226" i="1"/>
  <c r="CG324" i="1"/>
  <c r="CG93" i="1"/>
  <c r="CG216" i="1"/>
  <c r="CG50" i="1"/>
  <c r="CG296" i="1"/>
  <c r="CG240" i="1"/>
  <c r="CG307" i="1"/>
  <c r="CG271" i="1"/>
  <c r="CG265" i="1"/>
  <c r="CG104" i="1"/>
  <c r="CG159" i="1"/>
  <c r="CG284" i="1"/>
  <c r="CG155" i="1"/>
  <c r="CG293" i="1"/>
  <c r="CG167" i="1"/>
  <c r="CG323" i="1"/>
  <c r="CG295" i="1"/>
  <c r="CG112" i="1"/>
  <c r="CG174" i="1"/>
  <c r="CG189" i="1"/>
  <c r="CG120" i="1"/>
  <c r="CG193" i="1"/>
  <c r="CG148" i="1"/>
  <c r="CG281" i="1"/>
  <c r="CG184" i="1"/>
  <c r="CG139" i="1"/>
  <c r="CG75" i="1"/>
  <c r="CG290" i="1"/>
  <c r="CG231" i="1"/>
  <c r="CG191" i="1"/>
  <c r="CG196" i="1"/>
  <c r="CG340" i="1"/>
  <c r="CG204" i="1"/>
  <c r="CG36" i="1"/>
  <c r="CG250" i="1"/>
  <c r="CG110" i="1"/>
  <c r="CG60" i="1"/>
  <c r="CG15" i="1"/>
  <c r="CG305" i="1"/>
  <c r="CG244" i="1"/>
  <c r="CG147" i="1"/>
  <c r="CG332" i="1"/>
  <c r="CG221" i="1"/>
  <c r="CG25" i="1"/>
  <c r="CG158" i="1"/>
  <c r="CG99" i="1"/>
  <c r="CG87" i="1"/>
  <c r="CG333" i="1"/>
  <c r="CG135" i="1"/>
  <c r="CG273" i="1"/>
  <c r="CG213" i="1"/>
  <c r="CG73" i="1"/>
  <c r="CG263" i="1"/>
  <c r="CG245" i="1"/>
  <c r="CG267" i="1"/>
  <c r="CG31" i="1"/>
  <c r="CG201" i="1"/>
  <c r="CG171" i="1"/>
  <c r="CG140" i="1"/>
  <c r="CG270" i="1"/>
  <c r="CG98" i="1"/>
  <c r="CG325" i="1"/>
  <c r="CG33" i="1"/>
  <c r="CG146" i="1"/>
  <c r="CG232" i="1"/>
  <c r="CG223" i="1"/>
  <c r="CG169" i="1"/>
  <c r="CG298" i="1"/>
  <c r="CG22" i="1"/>
  <c r="CG279" i="1"/>
  <c r="CG260" i="1"/>
  <c r="CG214" i="1"/>
  <c r="CG200" i="1"/>
  <c r="CG316" i="1"/>
  <c r="CG79" i="1"/>
  <c r="CG186" i="1"/>
  <c r="CG61" i="1"/>
  <c r="CG58" i="1"/>
  <c r="CG100" i="1"/>
  <c r="CG85" i="1"/>
  <c r="CG337" i="1"/>
  <c r="CG82" i="1"/>
  <c r="CG219" i="1"/>
  <c r="CG138" i="1"/>
  <c r="CG165" i="1"/>
  <c r="CG28" i="1"/>
  <c r="CG118" i="1"/>
  <c r="CG143" i="1"/>
  <c r="CG299" i="1"/>
  <c r="CG314" i="1"/>
  <c r="CG130" i="1"/>
  <c r="CG236" i="1"/>
  <c r="CG172" i="1"/>
  <c r="CG190" i="1"/>
  <c r="CG134" i="1"/>
  <c r="CG83" i="1"/>
  <c r="CG215" i="1"/>
  <c r="CG180" i="1"/>
  <c r="CG202" i="1"/>
  <c r="CG198" i="1"/>
  <c r="CG114" i="1"/>
  <c r="CG210" i="1"/>
  <c r="CG246" i="1"/>
  <c r="CG131" i="1"/>
  <c r="CG211" i="1"/>
  <c r="CG124" i="1"/>
  <c r="CG286" i="1"/>
  <c r="CG276" i="1"/>
  <c r="CG91" i="1"/>
  <c r="CG53" i="1"/>
  <c r="CG29" i="1"/>
  <c r="CG176" i="1"/>
  <c r="CG20" i="1"/>
  <c r="CG212" i="1"/>
  <c r="CG242" i="1"/>
  <c r="CG49" i="1"/>
  <c r="CG52" i="1"/>
  <c r="CG283" i="1"/>
  <c r="CG274" i="1"/>
  <c r="CG341" i="1"/>
  <c r="CG177" i="1"/>
  <c r="CG74" i="1"/>
  <c r="CG40" i="1"/>
  <c r="CG229" i="1"/>
  <c r="CG57" i="1"/>
  <c r="CG92" i="1"/>
  <c r="CG103" i="1"/>
  <c r="CG181" i="1"/>
  <c r="CG255" i="1"/>
  <c r="CG321" i="1"/>
  <c r="CG45" i="1"/>
  <c r="CG312" i="1"/>
  <c r="CG96" i="1"/>
  <c r="CG205" i="1"/>
  <c r="CG206" i="1"/>
  <c r="CG160" i="1"/>
  <c r="CG89" i="1"/>
  <c r="CG268" i="1"/>
  <c r="CG222" i="1"/>
  <c r="CG272" i="1"/>
  <c r="CG64" i="1"/>
  <c r="CG136" i="1"/>
  <c r="CG78" i="1"/>
  <c r="CG77" i="1"/>
  <c r="CG129" i="1"/>
  <c r="CG209" i="1"/>
  <c r="CG300" i="1"/>
  <c r="CG48" i="1"/>
  <c r="CG117" i="1"/>
  <c r="CG137" i="1"/>
  <c r="CG187" i="1"/>
  <c r="CG304" i="1"/>
  <c r="CG185" i="1"/>
  <c r="CG102" i="1"/>
  <c r="CG306" i="1"/>
  <c r="CG72" i="1"/>
  <c r="CG121" i="1"/>
  <c r="CG142" i="1"/>
  <c r="CG258" i="1"/>
  <c r="CG188" i="1"/>
  <c r="CG259" i="1"/>
  <c r="CG122" i="1"/>
  <c r="CG297" i="1"/>
  <c r="CG97" i="1"/>
  <c r="CG249" i="1"/>
  <c r="CG319" i="1"/>
  <c r="CG141" i="1"/>
  <c r="CG107" i="1"/>
  <c r="CG294" i="1"/>
  <c r="CG195" i="1"/>
  <c r="CG228" i="1"/>
  <c r="CG55" i="1"/>
  <c r="CG328" i="1"/>
  <c r="CG126" i="1"/>
  <c r="CG152" i="1"/>
  <c r="CG254" i="1"/>
  <c r="CG239" i="1"/>
  <c r="CG264" i="1"/>
  <c r="CG125" i="1"/>
  <c r="CG335" i="1"/>
  <c r="CG227" i="1"/>
  <c r="CG94" i="1"/>
  <c r="CG303" i="1"/>
  <c r="CG256" i="1"/>
  <c r="CG23" i="1"/>
  <c r="CG88" i="1"/>
  <c r="CG234" i="1"/>
  <c r="CG310" i="1"/>
  <c r="CG161" i="1"/>
  <c r="CG164" i="1"/>
  <c r="CG166" i="1"/>
  <c r="CG235" i="1"/>
  <c r="CG277" i="1"/>
  <c r="CG14" i="1"/>
  <c r="CG157" i="1"/>
  <c r="CG51" i="1"/>
  <c r="CG194" i="1"/>
  <c r="CG119" i="1"/>
  <c r="CG302" i="1"/>
  <c r="CG269" i="1"/>
  <c r="CG257" i="1"/>
  <c r="CG320" i="1"/>
  <c r="CG95" i="1"/>
  <c r="CG289" i="1"/>
  <c r="CG144" i="1"/>
  <c r="CG26" i="1"/>
  <c r="CG326" i="1"/>
  <c r="CG80" i="1"/>
  <c r="CG285" i="1"/>
  <c r="CG266" i="1"/>
  <c r="CG329" i="1"/>
  <c r="CG238" i="1"/>
  <c r="CG27" i="1"/>
  <c r="BR151" i="1"/>
  <c r="EE151" i="1"/>
  <c r="AG20" i="1"/>
  <c r="AC22" i="1"/>
  <c r="BR233" i="1"/>
  <c r="EE233" i="1"/>
  <c r="EE59" i="1"/>
  <c r="BR327" i="1"/>
  <c r="BQ151" i="1"/>
  <c r="BR138" i="1"/>
  <c r="BQ138" i="1"/>
  <c r="BR234" i="1"/>
  <c r="BQ234" i="1"/>
  <c r="BR249" i="1"/>
  <c r="BQ249" i="1"/>
  <c r="BR337" i="1"/>
  <c r="BQ337" i="1"/>
  <c r="BR212" i="1"/>
  <c r="BQ212" i="1"/>
  <c r="BR105" i="1"/>
  <c r="BQ105" i="1"/>
  <c r="BR45" i="1"/>
  <c r="BQ45" i="1"/>
  <c r="BR236" i="1"/>
  <c r="BQ236" i="1"/>
  <c r="BR71" i="1"/>
  <c r="BQ71" i="1"/>
  <c r="BR294" i="1"/>
  <c r="BQ294" i="1"/>
  <c r="BR302" i="1"/>
  <c r="BQ302" i="1"/>
  <c r="BR328" i="1"/>
  <c r="BQ328" i="1"/>
  <c r="BR95" i="1"/>
  <c r="BQ95" i="1"/>
  <c r="BR177" i="1"/>
  <c r="BQ177" i="1"/>
  <c r="BR244" i="1"/>
  <c r="BQ244" i="1"/>
  <c r="BR16" i="1"/>
  <c r="BQ16" i="1"/>
  <c r="BR136" i="1"/>
  <c r="BQ136" i="1"/>
  <c r="BR230" i="1"/>
  <c r="BQ230" i="1"/>
  <c r="BR126" i="1"/>
  <c r="BQ126" i="1"/>
  <c r="BR264" i="1"/>
  <c r="BQ264" i="1"/>
  <c r="BR38" i="1"/>
  <c r="BQ38" i="1"/>
  <c r="BR341" i="1"/>
  <c r="BQ341" i="1"/>
  <c r="BR144" i="1"/>
  <c r="BQ144" i="1"/>
  <c r="BR226" i="1"/>
  <c r="BQ226" i="1"/>
  <c r="BR131" i="1"/>
  <c r="BQ131" i="1"/>
  <c r="BR206" i="1"/>
  <c r="BQ206" i="1"/>
  <c r="BR155" i="1"/>
  <c r="BQ155" i="1"/>
  <c r="BR168" i="1"/>
  <c r="BQ168" i="1"/>
  <c r="BR171" i="1"/>
  <c r="BQ171" i="1"/>
  <c r="BR120" i="1"/>
  <c r="BQ120" i="1"/>
  <c r="BR194" i="1"/>
  <c r="BQ194" i="1"/>
  <c r="BR160" i="1"/>
  <c r="BQ160" i="1"/>
  <c r="BR213" i="1"/>
  <c r="BQ213" i="1"/>
  <c r="BR158" i="1"/>
  <c r="BQ158" i="1"/>
  <c r="BR25" i="1"/>
  <c r="BQ25" i="1"/>
  <c r="BR326" i="1"/>
  <c r="BQ326" i="1"/>
  <c r="BR321" i="1"/>
  <c r="BQ321" i="1"/>
  <c r="BR114" i="1"/>
  <c r="BQ114" i="1"/>
  <c r="BR163" i="1"/>
  <c r="BQ163" i="1"/>
  <c r="BR32" i="1"/>
  <c r="BQ32" i="1"/>
  <c r="BR15" i="1"/>
  <c r="BQ15" i="1"/>
  <c r="BR108" i="1"/>
  <c r="BQ108" i="1"/>
  <c r="BR323" i="1"/>
  <c r="BQ323" i="1"/>
  <c r="BR58" i="1"/>
  <c r="BQ58" i="1"/>
  <c r="BR263" i="1"/>
  <c r="BQ263" i="1"/>
  <c r="BR335" i="1"/>
  <c r="BQ335" i="1"/>
  <c r="BR287" i="1"/>
  <c r="BQ287" i="1"/>
  <c r="BR245" i="1"/>
  <c r="BQ245" i="1"/>
  <c r="BR129" i="1"/>
  <c r="BQ129" i="1"/>
  <c r="BR162" i="1"/>
  <c r="BQ162" i="1"/>
  <c r="BR57" i="1"/>
  <c r="BQ57" i="1"/>
  <c r="BR64" i="1"/>
  <c r="BQ64" i="1"/>
  <c r="BR61" i="1"/>
  <c r="BQ61" i="1"/>
  <c r="BR186" i="1"/>
  <c r="BQ186" i="1"/>
  <c r="BR200" i="1"/>
  <c r="BQ200" i="1"/>
  <c r="BR143" i="1"/>
  <c r="BQ143" i="1"/>
  <c r="BR293" i="1"/>
  <c r="BQ293" i="1"/>
  <c r="BR84" i="1"/>
  <c r="BQ84" i="1"/>
  <c r="BR278" i="1"/>
  <c r="BQ278" i="1"/>
  <c r="BR340" i="1"/>
  <c r="BQ340" i="1"/>
  <c r="BR26" i="1"/>
  <c r="BQ26" i="1"/>
  <c r="BR246" i="1"/>
  <c r="BQ246" i="1"/>
  <c r="BR231" i="1"/>
  <c r="BQ231" i="1"/>
  <c r="BR312" i="1"/>
  <c r="BQ312" i="1"/>
  <c r="BR27" i="1"/>
  <c r="BQ27" i="1"/>
  <c r="BR70" i="1"/>
  <c r="BQ70" i="1"/>
  <c r="BR75" i="1"/>
  <c r="BQ75" i="1"/>
  <c r="BR89" i="1"/>
  <c r="BQ89" i="1"/>
  <c r="BR292" i="1"/>
  <c r="BQ292" i="1"/>
  <c r="BR172" i="1"/>
  <c r="BQ172" i="1"/>
  <c r="BR319" i="1"/>
  <c r="BQ319" i="1"/>
  <c r="BR86" i="1"/>
  <c r="BQ86" i="1"/>
  <c r="BR238" i="1"/>
  <c r="BQ238" i="1"/>
  <c r="BR332" i="1"/>
  <c r="BQ332" i="1"/>
  <c r="BR152" i="1"/>
  <c r="BQ152" i="1"/>
  <c r="BR285" i="1"/>
  <c r="BQ285" i="1"/>
  <c r="BR85" i="1"/>
  <c r="BQ85" i="1"/>
  <c r="BR313" i="1"/>
  <c r="BQ313" i="1"/>
  <c r="BR130" i="1"/>
  <c r="BQ130" i="1"/>
  <c r="BR275" i="1"/>
  <c r="BQ275" i="1"/>
  <c r="BR290" i="1"/>
  <c r="BQ290" i="1"/>
  <c r="BR14" i="1"/>
  <c r="BQ14" i="1"/>
  <c r="BR214" i="1"/>
  <c r="BQ214" i="1"/>
  <c r="BR50" i="1"/>
  <c r="BQ50" i="1"/>
  <c r="BR297" i="1"/>
  <c r="BQ297" i="1"/>
  <c r="BR55" i="1"/>
  <c r="BQ55" i="1"/>
  <c r="BR196" i="1"/>
  <c r="BQ196" i="1"/>
  <c r="BR81" i="1"/>
  <c r="BR242" i="1"/>
  <c r="BQ242" i="1"/>
  <c r="BR98" i="1"/>
  <c r="BQ98" i="1"/>
  <c r="BR96" i="1"/>
  <c r="BQ96" i="1"/>
  <c r="BR36" i="1"/>
  <c r="BQ36" i="1"/>
  <c r="BR255" i="1"/>
  <c r="BQ255" i="1"/>
  <c r="BR211" i="1"/>
  <c r="BQ211" i="1"/>
  <c r="BR320" i="1"/>
  <c r="BQ320" i="1"/>
  <c r="BR314" i="1"/>
  <c r="BQ314" i="1"/>
  <c r="BR107" i="1"/>
  <c r="BQ107" i="1"/>
  <c r="BR140" i="1"/>
  <c r="BQ140" i="1"/>
  <c r="BR266" i="1"/>
  <c r="BQ266" i="1"/>
  <c r="BR311" i="1"/>
  <c r="BQ311" i="1"/>
  <c r="BR166" i="1"/>
  <c r="BQ166" i="1"/>
  <c r="BR268" i="1"/>
  <c r="BQ268" i="1"/>
  <c r="BR189" i="1"/>
  <c r="BQ189" i="1"/>
  <c r="BR169" i="1"/>
  <c r="BQ169" i="1"/>
  <c r="BR48" i="1"/>
  <c r="BQ48" i="1"/>
  <c r="BR299" i="1"/>
  <c r="BQ299" i="1"/>
  <c r="BR184" i="1"/>
  <c r="BQ184" i="1"/>
  <c r="BR181" i="1"/>
  <c r="BQ181" i="1"/>
  <c r="BR190" i="1"/>
  <c r="BQ190" i="1"/>
  <c r="BR103" i="1"/>
  <c r="BQ103" i="1"/>
  <c r="BR161" i="1"/>
  <c r="BQ161" i="1"/>
  <c r="BR202" i="1"/>
  <c r="BQ202" i="1"/>
  <c r="BR185" i="1"/>
  <c r="BQ185" i="1"/>
  <c r="BR209" i="1"/>
  <c r="BQ209" i="1"/>
  <c r="BR324" i="1"/>
  <c r="BQ324" i="1"/>
  <c r="BR170" i="1"/>
  <c r="CR170" i="1" s="1"/>
  <c r="DU170" i="1" s="1"/>
  <c r="BQ170" i="1"/>
  <c r="BR133" i="1"/>
  <c r="BQ133" i="1"/>
  <c r="BR227" i="1"/>
  <c r="BQ227" i="1"/>
  <c r="BR272" i="1"/>
  <c r="BQ272" i="1"/>
  <c r="BR295" i="1"/>
  <c r="BQ295" i="1"/>
  <c r="BR165" i="1"/>
  <c r="BQ165" i="1"/>
  <c r="BR62" i="1"/>
  <c r="BQ62" i="1"/>
  <c r="BR124" i="1"/>
  <c r="BQ124" i="1"/>
  <c r="CG132" i="1"/>
  <c r="CG105" i="1"/>
  <c r="EE14" i="1"/>
  <c r="CZ113" i="1"/>
  <c r="EN113" i="1"/>
  <c r="EG113" i="1"/>
  <c r="EQ113" i="1"/>
  <c r="EE57" i="1"/>
  <c r="EE314" i="1"/>
  <c r="EE58" i="1"/>
  <c r="CZ120" i="1"/>
  <c r="EG120" i="1"/>
  <c r="EQ120" i="1"/>
  <c r="EN120" i="1"/>
  <c r="CZ131" i="1"/>
  <c r="EN131" i="1"/>
  <c r="EG131" i="1"/>
  <c r="EQ131" i="1"/>
  <c r="CZ337" i="1"/>
  <c r="EN337" i="1"/>
  <c r="EQ337" i="1"/>
  <c r="EG337" i="1"/>
  <c r="CZ160" i="1"/>
  <c r="EG160" i="1"/>
  <c r="EQ160" i="1"/>
  <c r="EN160" i="1"/>
  <c r="EE290" i="1"/>
  <c r="CZ186" i="1"/>
  <c r="EQ186" i="1"/>
  <c r="EN186" i="1"/>
  <c r="EG186" i="1"/>
  <c r="EE295" i="1"/>
  <c r="EN17" i="1"/>
  <c r="EG17" i="1"/>
  <c r="EQ17" i="1"/>
  <c r="EE275" i="1"/>
  <c r="EE26" i="1"/>
  <c r="EE50" i="1"/>
  <c r="EN38" i="1"/>
  <c r="EG38" i="1"/>
  <c r="EQ38" i="1"/>
  <c r="EE320" i="1"/>
  <c r="EE161" i="1"/>
  <c r="EE335" i="1"/>
  <c r="CZ290" i="1"/>
  <c r="EQ290" i="1"/>
  <c r="EG290" i="1"/>
  <c r="EN290" i="1"/>
  <c r="EE287" i="1"/>
  <c r="CZ295" i="1"/>
  <c r="EN295" i="1"/>
  <c r="EG295" i="1"/>
  <c r="EQ295" i="1"/>
  <c r="CZ275" i="1"/>
  <c r="EN275" i="1"/>
  <c r="EQ275" i="1"/>
  <c r="EG275" i="1"/>
  <c r="EE136" i="1"/>
  <c r="EE255" i="1"/>
  <c r="CZ214" i="1"/>
  <c r="EN214" i="1"/>
  <c r="EG214" i="1"/>
  <c r="EQ214" i="1"/>
  <c r="CZ81" i="1"/>
  <c r="EN81" i="1"/>
  <c r="EQ81" i="1"/>
  <c r="EG81" i="1"/>
  <c r="CZ129" i="1"/>
  <c r="EN129" i="1"/>
  <c r="EQ129" i="1"/>
  <c r="EG129" i="1"/>
  <c r="CZ71" i="1"/>
  <c r="EN71" i="1"/>
  <c r="EG71" i="1"/>
  <c r="EQ71" i="1"/>
  <c r="CZ123" i="1"/>
  <c r="EN123" i="1"/>
  <c r="EG123" i="1"/>
  <c r="EQ123" i="1"/>
  <c r="EE163" i="1"/>
  <c r="CZ62" i="1"/>
  <c r="EN62" i="1"/>
  <c r="EG62" i="1"/>
  <c r="EQ62" i="1"/>
  <c r="EE108" i="1"/>
  <c r="CZ314" i="1"/>
  <c r="EQ314" i="1"/>
  <c r="EN314" i="1"/>
  <c r="EG314" i="1"/>
  <c r="EE131" i="1"/>
  <c r="CZ335" i="1"/>
  <c r="EN335" i="1"/>
  <c r="EQ335" i="1"/>
  <c r="EG335" i="1"/>
  <c r="CZ185" i="1"/>
  <c r="EN185" i="1"/>
  <c r="EQ185" i="1"/>
  <c r="EG185" i="1"/>
  <c r="EE213" i="1"/>
  <c r="CZ287" i="1"/>
  <c r="EN287" i="1"/>
  <c r="EG287" i="1"/>
  <c r="EQ287" i="1"/>
  <c r="EE70" i="1"/>
  <c r="EN26" i="1"/>
  <c r="EG26" i="1"/>
  <c r="EQ26" i="1"/>
  <c r="CZ136" i="1"/>
  <c r="EN136" i="1"/>
  <c r="EQ136" i="1"/>
  <c r="EG136" i="1"/>
  <c r="CZ255" i="1"/>
  <c r="EN255" i="1"/>
  <c r="EG255" i="1"/>
  <c r="EQ255" i="1"/>
  <c r="EE168" i="1"/>
  <c r="CZ317" i="1"/>
  <c r="EN317" i="1"/>
  <c r="EQ317" i="1"/>
  <c r="EG317" i="1"/>
  <c r="EE214" i="1"/>
  <c r="CZ108" i="1"/>
  <c r="EG108" i="1"/>
  <c r="EQ108" i="1"/>
  <c r="EN108" i="1"/>
  <c r="EE15" i="1"/>
  <c r="EE38" i="1"/>
  <c r="CZ320" i="1"/>
  <c r="EN320" i="1"/>
  <c r="EG320" i="1"/>
  <c r="EQ320" i="1"/>
  <c r="EE234" i="1"/>
  <c r="EE64" i="1"/>
  <c r="CZ144" i="1"/>
  <c r="EN144" i="1"/>
  <c r="EG144" i="1"/>
  <c r="EQ144" i="1"/>
  <c r="CZ39" i="1"/>
  <c r="EN39" i="1"/>
  <c r="EG39" i="1"/>
  <c r="EQ39" i="1"/>
  <c r="CZ161" i="1"/>
  <c r="EQ161" i="1"/>
  <c r="EN161" i="1"/>
  <c r="EG161" i="1"/>
  <c r="CZ63" i="1"/>
  <c r="EQ63" i="1"/>
  <c r="EN63" i="1"/>
  <c r="EG63" i="1"/>
  <c r="EE185" i="1"/>
  <c r="EE292" i="1"/>
  <c r="EE246" i="1"/>
  <c r="CZ168" i="1"/>
  <c r="EN168" i="1"/>
  <c r="EG168" i="1"/>
  <c r="EQ168" i="1"/>
  <c r="EE231" i="1"/>
  <c r="EE126" i="1"/>
  <c r="EE209" i="1"/>
  <c r="EE114" i="1"/>
  <c r="CZ163" i="1"/>
  <c r="EN163" i="1"/>
  <c r="EG163" i="1"/>
  <c r="EQ163" i="1"/>
  <c r="CZ130" i="1"/>
  <c r="EG130" i="1"/>
  <c r="EQ130" i="1"/>
  <c r="EN130" i="1"/>
  <c r="EE278" i="1"/>
  <c r="EN15" i="1"/>
  <c r="EG15" i="1"/>
  <c r="EQ15" i="1"/>
  <c r="CZ234" i="1"/>
  <c r="EN234" i="1"/>
  <c r="EG234" i="1"/>
  <c r="EQ234" i="1"/>
  <c r="CZ64" i="1"/>
  <c r="EN64" i="1"/>
  <c r="EG64" i="1"/>
  <c r="EQ64" i="1"/>
  <c r="EE144" i="1"/>
  <c r="EE263" i="1"/>
  <c r="CZ213" i="1"/>
  <c r="EQ213" i="1"/>
  <c r="EN213" i="1"/>
  <c r="EG213" i="1"/>
  <c r="EE140" i="1"/>
  <c r="CZ248" i="1"/>
  <c r="EN248" i="1"/>
  <c r="EQ248" i="1"/>
  <c r="EG248" i="1"/>
  <c r="EE86" i="1"/>
  <c r="EE189" i="1"/>
  <c r="EE200" i="1"/>
  <c r="CZ70" i="1"/>
  <c r="EN70" i="1"/>
  <c r="EQ70" i="1"/>
  <c r="EG70" i="1"/>
  <c r="CZ292" i="1"/>
  <c r="EN292" i="1"/>
  <c r="EQ292" i="1"/>
  <c r="EG292" i="1"/>
  <c r="EN14" i="1"/>
  <c r="EG14" i="1"/>
  <c r="EQ14" i="1"/>
  <c r="CZ246" i="1"/>
  <c r="EN246" i="1"/>
  <c r="EG246" i="1"/>
  <c r="EQ246" i="1"/>
  <c r="CZ231" i="1"/>
  <c r="EN231" i="1"/>
  <c r="EG231" i="1"/>
  <c r="EQ231" i="1"/>
  <c r="CZ138" i="1"/>
  <c r="EG138" i="1"/>
  <c r="EQ138" i="1"/>
  <c r="EN138" i="1"/>
  <c r="EE230" i="1"/>
  <c r="CZ126" i="1"/>
  <c r="EN126" i="1"/>
  <c r="EG126" i="1"/>
  <c r="EQ126" i="1"/>
  <c r="CZ114" i="1"/>
  <c r="EN114" i="1"/>
  <c r="EQ114" i="1"/>
  <c r="EG114" i="1"/>
  <c r="EE120" i="1"/>
  <c r="EE190" i="1"/>
  <c r="DV197" i="1"/>
  <c r="DR197" i="1"/>
  <c r="DS197" i="1" s="1"/>
  <c r="EO197" i="1" s="1"/>
  <c r="CZ190" i="1"/>
  <c r="EN190" i="1"/>
  <c r="EQ190" i="1"/>
  <c r="EG190" i="1"/>
  <c r="EE103" i="1"/>
  <c r="EE55" i="1"/>
  <c r="CZ170" i="1"/>
  <c r="EN170" i="1"/>
  <c r="EG170" i="1"/>
  <c r="EQ170" i="1"/>
  <c r="CZ140" i="1"/>
  <c r="EN140" i="1"/>
  <c r="EQ140" i="1"/>
  <c r="EG140" i="1"/>
  <c r="CZ322" i="1"/>
  <c r="EN322" i="1"/>
  <c r="EG322" i="1"/>
  <c r="EQ322" i="1"/>
  <c r="CZ86" i="1"/>
  <c r="EN86" i="1"/>
  <c r="EQ86" i="1"/>
  <c r="EG86" i="1"/>
  <c r="CZ189" i="1"/>
  <c r="EN189" i="1"/>
  <c r="EQ189" i="1"/>
  <c r="EG189" i="1"/>
  <c r="EE138" i="1"/>
  <c r="CZ41" i="1"/>
  <c r="EN41" i="1"/>
  <c r="EG41" i="1"/>
  <c r="EQ41" i="1"/>
  <c r="EE181" i="1"/>
  <c r="CZ297" i="1"/>
  <c r="EN297" i="1"/>
  <c r="EG297" i="1"/>
  <c r="EQ297" i="1"/>
  <c r="CZ209" i="1"/>
  <c r="EN209" i="1"/>
  <c r="EQ209" i="1"/>
  <c r="EG209" i="1"/>
  <c r="EE107" i="1"/>
  <c r="CZ263" i="1"/>
  <c r="EN263" i="1"/>
  <c r="EG263" i="1"/>
  <c r="EQ263" i="1"/>
  <c r="CZ55" i="1"/>
  <c r="EN55" i="1"/>
  <c r="EG55" i="1"/>
  <c r="EQ55" i="1"/>
  <c r="EE194" i="1"/>
  <c r="EE133" i="1"/>
  <c r="EE319" i="1"/>
  <c r="EE16" i="1"/>
  <c r="CZ200" i="1"/>
  <c r="EN200" i="1"/>
  <c r="EG200" i="1"/>
  <c r="EQ200" i="1"/>
  <c r="EE152" i="1"/>
  <c r="EE85" i="1"/>
  <c r="EE313" i="1"/>
  <c r="CZ230" i="1"/>
  <c r="EN230" i="1"/>
  <c r="EG230" i="1"/>
  <c r="EQ230" i="1"/>
  <c r="CZ184" i="1"/>
  <c r="EN184" i="1"/>
  <c r="EG184" i="1"/>
  <c r="EQ184" i="1"/>
  <c r="CZ181" i="1"/>
  <c r="EN181" i="1"/>
  <c r="EG181" i="1"/>
  <c r="EQ181" i="1"/>
  <c r="EE297" i="1"/>
  <c r="EE323" i="1"/>
  <c r="CZ107" i="1"/>
  <c r="EN107" i="1"/>
  <c r="EQ107" i="1"/>
  <c r="EG107" i="1"/>
  <c r="CZ103" i="1"/>
  <c r="EN103" i="1"/>
  <c r="EQ103" i="1"/>
  <c r="EG103" i="1"/>
  <c r="EE162" i="1"/>
  <c r="CZ194" i="1"/>
  <c r="EN194" i="1"/>
  <c r="EG194" i="1"/>
  <c r="EQ194" i="1"/>
  <c r="CZ133" i="1"/>
  <c r="EN133" i="1"/>
  <c r="EG133" i="1"/>
  <c r="EQ133" i="1"/>
  <c r="EE244" i="1"/>
  <c r="EE227" i="1"/>
  <c r="EE75" i="1"/>
  <c r="CZ238" i="1"/>
  <c r="EQ238" i="1"/>
  <c r="EG238" i="1"/>
  <c r="EN238" i="1"/>
  <c r="EE105" i="1"/>
  <c r="EE48" i="1"/>
  <c r="EE299" i="1"/>
  <c r="CZ152" i="1"/>
  <c r="EN152" i="1"/>
  <c r="EQ152" i="1"/>
  <c r="EG152" i="1"/>
  <c r="EE285" i="1"/>
  <c r="CZ313" i="1"/>
  <c r="EN313" i="1"/>
  <c r="EG313" i="1"/>
  <c r="EQ313" i="1"/>
  <c r="CZ206" i="1"/>
  <c r="EQ206" i="1"/>
  <c r="EN206" i="1"/>
  <c r="EG206" i="1"/>
  <c r="EE129" i="1"/>
  <c r="EE341" i="1"/>
  <c r="CZ323" i="1"/>
  <c r="EN323" i="1"/>
  <c r="EG323" i="1"/>
  <c r="EQ323" i="1"/>
  <c r="EE340" i="1"/>
  <c r="EE61" i="1"/>
  <c r="CZ319" i="1"/>
  <c r="EQ319" i="1"/>
  <c r="EG319" i="1"/>
  <c r="EN319" i="1"/>
  <c r="EG16" i="1"/>
  <c r="EQ16" i="1"/>
  <c r="EN16" i="1"/>
  <c r="CZ227" i="1"/>
  <c r="EQ227" i="1"/>
  <c r="EN227" i="1"/>
  <c r="EG227" i="1"/>
  <c r="CZ169" i="1"/>
  <c r="EG169" i="1"/>
  <c r="EN169" i="1"/>
  <c r="EQ169" i="1"/>
  <c r="EE238" i="1"/>
  <c r="CZ105" i="1"/>
  <c r="EQ105" i="1"/>
  <c r="EN105" i="1"/>
  <c r="EG105" i="1"/>
  <c r="CZ48" i="1"/>
  <c r="EN48" i="1"/>
  <c r="EG48" i="1"/>
  <c r="EQ48" i="1"/>
  <c r="CZ299" i="1"/>
  <c r="EN299" i="1"/>
  <c r="EQ299" i="1"/>
  <c r="EG299" i="1"/>
  <c r="EE196" i="1"/>
  <c r="CZ85" i="1"/>
  <c r="EN85" i="1"/>
  <c r="EG85" i="1"/>
  <c r="EQ85" i="1"/>
  <c r="EE326" i="1"/>
  <c r="EE184" i="1"/>
  <c r="EE98" i="1"/>
  <c r="EE302" i="1"/>
  <c r="EE211" i="1"/>
  <c r="EE266" i="1"/>
  <c r="CZ340" i="1"/>
  <c r="EN340" i="1"/>
  <c r="EQ340" i="1"/>
  <c r="EG340" i="1"/>
  <c r="CZ162" i="1"/>
  <c r="EQ162" i="1"/>
  <c r="EN162" i="1"/>
  <c r="EG162" i="1"/>
  <c r="CZ61" i="1"/>
  <c r="EN61" i="1"/>
  <c r="EQ61" i="1"/>
  <c r="EG61" i="1"/>
  <c r="CZ244" i="1"/>
  <c r="EN244" i="1"/>
  <c r="EG244" i="1"/>
  <c r="EQ244" i="1"/>
  <c r="EN24" i="1"/>
  <c r="EQ24" i="1"/>
  <c r="EG24" i="1"/>
  <c r="CZ75" i="1"/>
  <c r="EN75" i="1"/>
  <c r="EG75" i="1"/>
  <c r="EQ75" i="1"/>
  <c r="CZ175" i="1"/>
  <c r="EN175" i="1"/>
  <c r="EQ175" i="1"/>
  <c r="EG175" i="1"/>
  <c r="EE169" i="1"/>
  <c r="EE155" i="1"/>
  <c r="EE245" i="1"/>
  <c r="EG285" i="1"/>
  <c r="EQ285" i="1"/>
  <c r="CZ285" i="1"/>
  <c r="EN285" i="1"/>
  <c r="CZ326" i="1"/>
  <c r="EN326" i="1"/>
  <c r="EQ326" i="1"/>
  <c r="EG326" i="1"/>
  <c r="EE312" i="1"/>
  <c r="CZ302" i="1"/>
  <c r="EN302" i="1"/>
  <c r="EG302" i="1"/>
  <c r="EQ302" i="1"/>
  <c r="EE172" i="1"/>
  <c r="EE71" i="1"/>
  <c r="CZ278" i="1"/>
  <c r="EN278" i="1"/>
  <c r="EG278" i="1"/>
  <c r="EQ278" i="1"/>
  <c r="CZ266" i="1"/>
  <c r="EN266" i="1"/>
  <c r="EG266" i="1"/>
  <c r="EQ266" i="1"/>
  <c r="DV207" i="1"/>
  <c r="DR207" i="1"/>
  <c r="DS207" i="1" s="1"/>
  <c r="EE89" i="1"/>
  <c r="EE332" i="1"/>
  <c r="CZ155" i="1"/>
  <c r="EN155" i="1"/>
  <c r="EQ155" i="1"/>
  <c r="EG155" i="1"/>
  <c r="CZ196" i="1"/>
  <c r="EN196" i="1"/>
  <c r="EQ196" i="1"/>
  <c r="EG196" i="1"/>
  <c r="EE171" i="1"/>
  <c r="CZ98" i="1"/>
  <c r="EN98" i="1"/>
  <c r="EG98" i="1"/>
  <c r="EQ98" i="1"/>
  <c r="EE321" i="1"/>
  <c r="EE324" i="1"/>
  <c r="CZ57" i="1"/>
  <c r="EN57" i="1"/>
  <c r="EQ57" i="1"/>
  <c r="EG57" i="1"/>
  <c r="EE186" i="1"/>
  <c r="CZ341" i="1"/>
  <c r="EN341" i="1"/>
  <c r="EG341" i="1"/>
  <c r="EQ341" i="1"/>
  <c r="CZ211" i="1"/>
  <c r="EN211" i="1"/>
  <c r="EG211" i="1"/>
  <c r="EQ211" i="1"/>
  <c r="EE226" i="1"/>
  <c r="EE202" i="1"/>
  <c r="EE166" i="1"/>
  <c r="CZ268" i="1"/>
  <c r="EN268" i="1"/>
  <c r="EG268" i="1"/>
  <c r="EQ268" i="1"/>
  <c r="CZ272" i="1"/>
  <c r="EN272" i="1"/>
  <c r="EQ272" i="1"/>
  <c r="EG272" i="1"/>
  <c r="CZ89" i="1"/>
  <c r="EN89" i="1"/>
  <c r="EG89" i="1"/>
  <c r="EQ89" i="1"/>
  <c r="CZ245" i="1"/>
  <c r="EN245" i="1"/>
  <c r="EQ245" i="1"/>
  <c r="EG245" i="1"/>
  <c r="EE293" i="1"/>
  <c r="CZ171" i="1"/>
  <c r="EN171" i="1"/>
  <c r="EG171" i="1"/>
  <c r="EQ171" i="1"/>
  <c r="CZ312" i="1"/>
  <c r="EN312" i="1"/>
  <c r="EG312" i="1"/>
  <c r="EQ312" i="1"/>
  <c r="CZ321" i="1"/>
  <c r="EN321" i="1"/>
  <c r="EG321" i="1"/>
  <c r="EQ321" i="1"/>
  <c r="EE294" i="1"/>
  <c r="CZ324" i="1"/>
  <c r="EN324" i="1"/>
  <c r="EQ324" i="1"/>
  <c r="EG324" i="1"/>
  <c r="CZ249" i="1"/>
  <c r="EN249" i="1"/>
  <c r="EQ249" i="1"/>
  <c r="EG249" i="1"/>
  <c r="CZ84" i="1"/>
  <c r="EG84" i="1"/>
  <c r="EN84" i="1"/>
  <c r="EQ84" i="1"/>
  <c r="CZ226" i="1"/>
  <c r="EN226" i="1"/>
  <c r="EG226" i="1"/>
  <c r="EQ226" i="1"/>
  <c r="CZ202" i="1"/>
  <c r="EN202" i="1"/>
  <c r="EG202" i="1"/>
  <c r="EQ202" i="1"/>
  <c r="EE177" i="1"/>
  <c r="EE311" i="1"/>
  <c r="EE158" i="1"/>
  <c r="EE268" i="1"/>
  <c r="CZ212" i="1"/>
  <c r="EG212" i="1"/>
  <c r="EN212" i="1"/>
  <c r="EQ212" i="1"/>
  <c r="CZ332" i="1"/>
  <c r="EN332" i="1"/>
  <c r="EG332" i="1"/>
  <c r="EQ332" i="1"/>
  <c r="EE45" i="1"/>
  <c r="EE25" i="1"/>
  <c r="EE165" i="1"/>
  <c r="CZ65" i="1"/>
  <c r="EN65" i="1"/>
  <c r="EG65" i="1"/>
  <c r="EQ65" i="1"/>
  <c r="EE96" i="1"/>
  <c r="CZ328" i="1"/>
  <c r="EQ328" i="1"/>
  <c r="EN328" i="1"/>
  <c r="EG328" i="1"/>
  <c r="CZ58" i="1"/>
  <c r="EN58" i="1"/>
  <c r="EG58" i="1"/>
  <c r="EQ58" i="1"/>
  <c r="EE84" i="1"/>
  <c r="EE95" i="1"/>
  <c r="EE249" i="1"/>
  <c r="CZ177" i="1"/>
  <c r="EN177" i="1"/>
  <c r="EQ177" i="1"/>
  <c r="EG177" i="1"/>
  <c r="CZ311" i="1"/>
  <c r="EN311" i="1"/>
  <c r="EG311" i="1"/>
  <c r="EQ311" i="1"/>
  <c r="CZ172" i="1"/>
  <c r="EQ172" i="1"/>
  <c r="EN172" i="1"/>
  <c r="EG172" i="1"/>
  <c r="CZ158" i="1"/>
  <c r="EN158" i="1"/>
  <c r="EG158" i="1"/>
  <c r="EQ158" i="1"/>
  <c r="CZ166" i="1"/>
  <c r="EN166" i="1"/>
  <c r="EQ166" i="1"/>
  <c r="EG166" i="1"/>
  <c r="EE272" i="1"/>
  <c r="CZ293" i="1"/>
  <c r="EN293" i="1"/>
  <c r="EG293" i="1"/>
  <c r="EQ293" i="1"/>
  <c r="CZ236" i="1"/>
  <c r="EN236" i="1"/>
  <c r="EQ236" i="1"/>
  <c r="EG236" i="1"/>
  <c r="EE242" i="1"/>
  <c r="CZ165" i="1"/>
  <c r="EQ165" i="1"/>
  <c r="EN165" i="1"/>
  <c r="EG165" i="1"/>
  <c r="CZ294" i="1"/>
  <c r="EN294" i="1"/>
  <c r="EG294" i="1"/>
  <c r="EQ294" i="1"/>
  <c r="CZ96" i="1"/>
  <c r="EG96" i="1"/>
  <c r="EQ96" i="1"/>
  <c r="EN96" i="1"/>
  <c r="EE130" i="1"/>
  <c r="CZ95" i="1"/>
  <c r="EN95" i="1"/>
  <c r="EG95" i="1"/>
  <c r="EQ95" i="1"/>
  <c r="EE337" i="1"/>
  <c r="EE160" i="1"/>
  <c r="CZ334" i="1"/>
  <c r="EN334" i="1"/>
  <c r="EG334" i="1"/>
  <c r="EQ334" i="1"/>
  <c r="EE206" i="1"/>
  <c r="DV203" i="1"/>
  <c r="DR203" i="1"/>
  <c r="DS203" i="1" s="1"/>
  <c r="EO203" i="1" s="1"/>
  <c r="EE212" i="1"/>
  <c r="CZ45" i="1"/>
  <c r="EQ45" i="1"/>
  <c r="EN45" i="1"/>
  <c r="EG45" i="1"/>
  <c r="EE236" i="1"/>
  <c r="CZ242" i="1"/>
  <c r="EN242" i="1"/>
  <c r="EG242" i="1"/>
  <c r="EQ242" i="1"/>
  <c r="EN25" i="1"/>
  <c r="EQ25" i="1"/>
  <c r="EG25" i="1"/>
  <c r="CZ50" i="1"/>
  <c r="EN50" i="1"/>
  <c r="EG50" i="1"/>
  <c r="EQ50" i="1"/>
  <c r="EE328" i="1"/>
  <c r="CX7" i="1"/>
  <c r="EN13" i="1"/>
  <c r="ED20" i="1"/>
  <c r="ED19" i="1"/>
  <c r="ED18" i="1"/>
  <c r="EJ26" i="1"/>
  <c r="EQ13" i="1"/>
  <c r="EG13" i="1"/>
  <c r="BY13" i="1"/>
  <c r="BZ13" i="1" s="1"/>
  <c r="BQ13" i="1"/>
  <c r="BR13" i="1"/>
  <c r="L22" i="7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BR334" i="1" l="1"/>
  <c r="BR37" i="1"/>
  <c r="BQ334" i="1"/>
  <c r="DK203" i="1"/>
  <c r="DL203" i="1" s="1"/>
  <c r="DN203" i="1" s="1"/>
  <c r="DP203" i="1"/>
  <c r="BD207" i="1"/>
  <c r="BQ39" i="1"/>
  <c r="BR248" i="1"/>
  <c r="BQ310" i="1"/>
  <c r="BR175" i="1"/>
  <c r="BQ29" i="1"/>
  <c r="BQ30" i="1"/>
  <c r="BR29" i="1"/>
  <c r="BR317" i="1"/>
  <c r="BR17" i="1"/>
  <c r="BQ333" i="1"/>
  <c r="BR24" i="1"/>
  <c r="BQ81" i="1"/>
  <c r="BQ273" i="1"/>
  <c r="BQ66" i="1"/>
  <c r="BQ113" i="1"/>
  <c r="BR113" i="1"/>
  <c r="BR273" i="1"/>
  <c r="BR30" i="1"/>
  <c r="BQ317" i="1"/>
  <c r="BR63" i="1"/>
  <c r="BR322" i="1"/>
  <c r="EE66" i="1"/>
  <c r="BQ41" i="1"/>
  <c r="BQ24" i="1"/>
  <c r="BR201" i="1"/>
  <c r="BR205" i="1"/>
  <c r="BR159" i="1"/>
  <c r="BQ37" i="1"/>
  <c r="BR310" i="1"/>
  <c r="BR41" i="1"/>
  <c r="BR39" i="1"/>
  <c r="BR276" i="1"/>
  <c r="BQ205" i="1"/>
  <c r="BQ201" i="1"/>
  <c r="BQ59" i="1"/>
  <c r="BR284" i="1"/>
  <c r="BR79" i="1"/>
  <c r="EE175" i="1"/>
  <c r="BQ284" i="1"/>
  <c r="BQ79" i="1"/>
  <c r="BQ23" i="1"/>
  <c r="BQ248" i="1"/>
  <c r="BQ322" i="1"/>
  <c r="BQ63" i="1"/>
  <c r="EE19" i="1"/>
  <c r="BQ19" i="1"/>
  <c r="EE65" i="1"/>
  <c r="EE253" i="1"/>
  <c r="BR18" i="1"/>
  <c r="BQ123" i="1"/>
  <c r="BR23" i="1"/>
  <c r="BQ316" i="1"/>
  <c r="EE316" i="1"/>
  <c r="BR123" i="1"/>
  <c r="BQ276" i="1"/>
  <c r="EE258" i="1"/>
  <c r="BQ258" i="1"/>
  <c r="BQ18" i="1"/>
  <c r="BQ253" i="1"/>
  <c r="BR333" i="1"/>
  <c r="EE336" i="1"/>
  <c r="BR336" i="1"/>
  <c r="BQ65" i="1"/>
  <c r="BR307" i="1"/>
  <c r="EE307" i="1"/>
  <c r="EE232" i="1"/>
  <c r="BR232" i="1"/>
  <c r="BQ159" i="1"/>
  <c r="BQ307" i="1"/>
  <c r="BQ232" i="1"/>
  <c r="BZ14" i="1"/>
  <c r="CB14" i="1" s="1"/>
  <c r="CI14" i="1" s="1"/>
  <c r="BZ15" i="1"/>
  <c r="CB15" i="1" s="1"/>
  <c r="CI15" i="1" s="1"/>
  <c r="AG22" i="1"/>
  <c r="AC23" i="1"/>
  <c r="BR176" i="1"/>
  <c r="BQ176" i="1"/>
  <c r="EE176" i="1"/>
  <c r="EA207" i="1"/>
  <c r="DA207" i="1" s="1"/>
  <c r="EO207" i="1"/>
  <c r="EA197" i="1"/>
  <c r="DA197" i="1" s="1"/>
  <c r="DR170" i="1"/>
  <c r="DS170" i="1" s="1"/>
  <c r="DV170" i="1"/>
  <c r="EA203" i="1"/>
  <c r="DA203" i="1" s="1"/>
  <c r="EJ27" i="1"/>
  <c r="ED23" i="1"/>
  <c r="ED22" i="1"/>
  <c r="CA13" i="1"/>
  <c r="CB13" i="1" s="1"/>
  <c r="CD13" i="1"/>
  <c r="EE13" i="1" s="1"/>
  <c r="AG13" i="1"/>
  <c r="DP207" i="1" l="1"/>
  <c r="BI207" i="1"/>
  <c r="DK207" i="1"/>
  <c r="DL207" i="1" s="1"/>
  <c r="DN207" i="1" s="1"/>
  <c r="BD7" i="1"/>
  <c r="BR7" i="1"/>
  <c r="BZ16" i="1"/>
  <c r="CB16" i="1" s="1"/>
  <c r="CI16" i="1" s="1"/>
  <c r="AG23" i="1"/>
  <c r="CA23" i="1"/>
  <c r="AC24" i="1"/>
  <c r="EA170" i="1"/>
  <c r="DA170" i="1" s="1"/>
  <c r="EO170" i="1"/>
  <c r="ED24" i="1"/>
  <c r="EJ28" i="1"/>
  <c r="BZ18" i="1" l="1"/>
  <c r="CB18" i="1" s="1"/>
  <c r="CI18" i="1" s="1"/>
  <c r="AG24" i="1"/>
  <c r="AC25" i="1"/>
  <c r="D19" i="15"/>
  <c r="EJ29" i="1"/>
  <c r="ED25" i="1"/>
  <c r="D8" i="15"/>
  <c r="D9" i="15"/>
  <c r="N9" i="15" s="1"/>
  <c r="D47" i="15"/>
  <c r="U47" i="15" s="1"/>
  <c r="D27" i="15"/>
  <c r="D25" i="15"/>
  <c r="D50" i="15"/>
  <c r="U50" i="15" s="1"/>
  <c r="D33" i="15"/>
  <c r="U33" i="15" s="1"/>
  <c r="D31" i="15"/>
  <c r="U31" i="15" s="1"/>
  <c r="D54" i="15"/>
  <c r="U54" i="15" s="1"/>
  <c r="D51" i="15"/>
  <c r="U51" i="15" s="1"/>
  <c r="D34" i="15"/>
  <c r="U34" i="15" s="1"/>
  <c r="N19" i="15"/>
  <c r="D38" i="15"/>
  <c r="U38" i="15" s="1"/>
  <c r="D23" i="15"/>
  <c r="D10" i="15"/>
  <c r="N10" i="15" s="1"/>
  <c r="D46" i="15"/>
  <c r="U46" i="15" s="1"/>
  <c r="D29" i="15"/>
  <c r="D24" i="15"/>
  <c r="D42" i="15"/>
  <c r="U42" i="15" s="1"/>
  <c r="D15" i="15"/>
  <c r="N15" i="15" s="1"/>
  <c r="D30" i="15"/>
  <c r="D49" i="15"/>
  <c r="U49" i="15" s="1"/>
  <c r="D40" i="15"/>
  <c r="U40" i="15" s="1"/>
  <c r="D41" i="15"/>
  <c r="U41" i="15" s="1"/>
  <c r="D57" i="15"/>
  <c r="U57" i="15" s="1"/>
  <c r="W57" i="15" s="1"/>
  <c r="D36" i="15"/>
  <c r="U36" i="15" s="1"/>
  <c r="D48" i="15"/>
  <c r="U48" i="15" s="1"/>
  <c r="D18" i="15"/>
  <c r="D45" i="15"/>
  <c r="U45" i="15" s="1"/>
  <c r="D37" i="15"/>
  <c r="U37" i="15" s="1"/>
  <c r="D22" i="15"/>
  <c r="D26" i="15"/>
  <c r="D35" i="15"/>
  <c r="U35" i="15" s="1"/>
  <c r="D28" i="15"/>
  <c r="D12" i="15"/>
  <c r="N12" i="15" s="1"/>
  <c r="D56" i="15"/>
  <c r="U56" i="15" s="1"/>
  <c r="D44" i="15"/>
  <c r="U44" i="15" s="1"/>
  <c r="D20" i="15"/>
  <c r="D13" i="15"/>
  <c r="N13" i="15" s="1"/>
  <c r="D11" i="15"/>
  <c r="N11" i="15" s="1"/>
  <c r="D43" i="15"/>
  <c r="U43" i="15" s="1"/>
  <c r="D17" i="15"/>
  <c r="N17" i="15" s="1"/>
  <c r="D53" i="15"/>
  <c r="U53" i="15" s="1"/>
  <c r="D55" i="15"/>
  <c r="U55" i="15" s="1"/>
  <c r="D21" i="15"/>
  <c r="D14" i="15"/>
  <c r="N14" i="15" s="1"/>
  <c r="D32" i="15"/>
  <c r="U32" i="15" s="1"/>
  <c r="D16" i="15"/>
  <c r="N16" i="15" s="1"/>
  <c r="D52" i="15"/>
  <c r="U52" i="15" s="1"/>
  <c r="D39" i="15"/>
  <c r="U39" i="15" s="1"/>
  <c r="N8" i="15"/>
  <c r="BZ20" i="1" l="1"/>
  <c r="CB20" i="1" s="1"/>
  <c r="CI20" i="1" s="1"/>
  <c r="BZ23" i="1"/>
  <c r="BZ26" i="1" s="1"/>
  <c r="AG25" i="1"/>
  <c r="AC26" i="1"/>
  <c r="EJ30" i="1"/>
  <c r="ED26" i="1"/>
  <c r="C9" i="15"/>
  <c r="E8" i="15"/>
  <c r="F8" i="15" s="1"/>
  <c r="W56" i="15"/>
  <c r="W55" i="15" s="1"/>
  <c r="W54" i="15" s="1"/>
  <c r="W53" i="15" s="1"/>
  <c r="W52" i="15" s="1"/>
  <c r="W51" i="15" s="1"/>
  <c r="W50" i="15" s="1"/>
  <c r="W49" i="15" s="1"/>
  <c r="W48" i="15" s="1"/>
  <c r="W47" i="15" s="1"/>
  <c r="W46" i="15" s="1"/>
  <c r="W45" i="15" s="1"/>
  <c r="W44" i="15" s="1"/>
  <c r="W43" i="15" s="1"/>
  <c r="W42" i="15" s="1"/>
  <c r="W41" i="15" s="1"/>
  <c r="W40" i="15" s="1"/>
  <c r="W39" i="15" s="1"/>
  <c r="W38" i="15" s="1"/>
  <c r="W37" i="15" s="1"/>
  <c r="W36" i="15" s="1"/>
  <c r="W35" i="15" s="1"/>
  <c r="W34" i="15" s="1"/>
  <c r="W33" i="15" s="1"/>
  <c r="W32" i="15" s="1"/>
  <c r="W31" i="15" s="1"/>
  <c r="C8" i="15"/>
  <c r="E9" i="15"/>
  <c r="E52" i="15"/>
  <c r="C52" i="15"/>
  <c r="C16" i="15"/>
  <c r="E16" i="15"/>
  <c r="C26" i="15"/>
  <c r="E26" i="15"/>
  <c r="E46" i="15"/>
  <c r="C46" i="15"/>
  <c r="C32" i="15"/>
  <c r="E32" i="15"/>
  <c r="E22" i="15"/>
  <c r="C22" i="15"/>
  <c r="E10" i="15"/>
  <c r="C10" i="15"/>
  <c r="C14" i="15"/>
  <c r="E14" i="15"/>
  <c r="C37" i="15"/>
  <c r="E37" i="15"/>
  <c r="E23" i="15"/>
  <c r="C23" i="15"/>
  <c r="C21" i="15"/>
  <c r="E21" i="15"/>
  <c r="E45" i="15"/>
  <c r="C45" i="15"/>
  <c r="E38" i="15"/>
  <c r="C38" i="15"/>
  <c r="E55" i="15"/>
  <c r="C55" i="15"/>
  <c r="E18" i="15"/>
  <c r="C18" i="15"/>
  <c r="E19" i="15"/>
  <c r="F19" i="15" s="1"/>
  <c r="C19" i="15"/>
  <c r="C53" i="15"/>
  <c r="E53" i="15"/>
  <c r="C48" i="15"/>
  <c r="E48" i="15"/>
  <c r="E17" i="15"/>
  <c r="C17" i="15"/>
  <c r="E36" i="15"/>
  <c r="C36" i="15"/>
  <c r="E43" i="15"/>
  <c r="C43" i="15"/>
  <c r="E57" i="15"/>
  <c r="C57" i="15"/>
  <c r="C34" i="15"/>
  <c r="E34" i="15"/>
  <c r="E11" i="15"/>
  <c r="C11" i="15"/>
  <c r="C41" i="15"/>
  <c r="E41" i="15"/>
  <c r="C51" i="15"/>
  <c r="E51" i="15"/>
  <c r="E13" i="15"/>
  <c r="C13" i="15"/>
  <c r="E40" i="15"/>
  <c r="C40" i="15"/>
  <c r="E54" i="15"/>
  <c r="C54" i="15"/>
  <c r="E20" i="15"/>
  <c r="C20" i="15"/>
  <c r="C49" i="15"/>
  <c r="E49" i="15"/>
  <c r="C31" i="15"/>
  <c r="E31" i="15"/>
  <c r="E44" i="15"/>
  <c r="C44" i="15"/>
  <c r="E30" i="15"/>
  <c r="C30" i="15"/>
  <c r="C33" i="15"/>
  <c r="E33" i="15"/>
  <c r="E56" i="15"/>
  <c r="C56" i="15"/>
  <c r="E15" i="15"/>
  <c r="C15" i="15"/>
  <c r="C50" i="15"/>
  <c r="E50" i="15"/>
  <c r="E12" i="15"/>
  <c r="C12" i="15"/>
  <c r="E42" i="15"/>
  <c r="C42" i="15"/>
  <c r="C25" i="15"/>
  <c r="E25" i="15"/>
  <c r="E39" i="15"/>
  <c r="C39" i="15"/>
  <c r="E28" i="15"/>
  <c r="C28" i="15"/>
  <c r="E24" i="15"/>
  <c r="C24" i="15"/>
  <c r="E27" i="15"/>
  <c r="C27" i="15"/>
  <c r="C35" i="15"/>
  <c r="E35" i="15"/>
  <c r="E29" i="15"/>
  <c r="C29" i="15"/>
  <c r="C47" i="15"/>
  <c r="E47" i="15"/>
  <c r="AB7" i="1"/>
  <c r="BY7" i="1"/>
  <c r="BT7" i="1"/>
  <c r="BZ105" i="1" l="1"/>
  <c r="BZ112" i="1" s="1"/>
  <c r="CB23" i="1"/>
  <c r="CI23" i="1" s="1"/>
  <c r="AG26" i="1"/>
  <c r="CA26" i="1"/>
  <c r="CB26" i="1" s="1"/>
  <c r="CI26" i="1" s="1"/>
  <c r="AC27" i="1"/>
  <c r="BZ131" i="1"/>
  <c r="BZ139" i="1" s="1"/>
  <c r="EJ31" i="1"/>
  <c r="ED27" i="1"/>
  <c r="G19" i="15"/>
  <c r="F9" i="15"/>
  <c r="G9" i="15" s="1"/>
  <c r="F23" i="15"/>
  <c r="G23" i="15" s="1"/>
  <c r="F27" i="15"/>
  <c r="G27" i="15" s="1"/>
  <c r="G51" i="15"/>
  <c r="F51" i="15"/>
  <c r="F24" i="15"/>
  <c r="G24" i="15" s="1"/>
  <c r="G41" i="15"/>
  <c r="F41" i="15"/>
  <c r="F15" i="15"/>
  <c r="G15" i="15" s="1"/>
  <c r="G49" i="15"/>
  <c r="F49" i="15"/>
  <c r="G55" i="15"/>
  <c r="F55" i="15"/>
  <c r="G52" i="15"/>
  <c r="F52" i="15"/>
  <c r="F28" i="15"/>
  <c r="G28" i="15" s="1"/>
  <c r="F17" i="15"/>
  <c r="G17" i="15" s="1"/>
  <c r="F10" i="15"/>
  <c r="G10" i="15" s="1"/>
  <c r="G35" i="15"/>
  <c r="F35" i="15"/>
  <c r="G44" i="15"/>
  <c r="F44" i="15"/>
  <c r="G31" i="15"/>
  <c r="F31" i="15"/>
  <c r="G43" i="15"/>
  <c r="F43" i="15"/>
  <c r="G36" i="15"/>
  <c r="F36" i="15"/>
  <c r="G56" i="15"/>
  <c r="F56" i="15"/>
  <c r="F20" i="15"/>
  <c r="G20" i="15" s="1"/>
  <c r="F11" i="15"/>
  <c r="G11" i="15" s="1"/>
  <c r="G38" i="15"/>
  <c r="F38" i="15"/>
  <c r="F22" i="15"/>
  <c r="G22" i="15" s="1"/>
  <c r="G47" i="15"/>
  <c r="F47" i="15"/>
  <c r="G39" i="15"/>
  <c r="F39" i="15"/>
  <c r="G33" i="15"/>
  <c r="F33" i="15"/>
  <c r="G34" i="15"/>
  <c r="F34" i="15"/>
  <c r="G48" i="15"/>
  <c r="F48" i="15"/>
  <c r="G32" i="15"/>
  <c r="F32" i="15"/>
  <c r="F25" i="15"/>
  <c r="G25" i="15" s="1"/>
  <c r="G45" i="15"/>
  <c r="F45" i="15"/>
  <c r="F54" i="15"/>
  <c r="G54" i="15"/>
  <c r="G53" i="15"/>
  <c r="F53" i="15"/>
  <c r="F21" i="15"/>
  <c r="G21" i="15" s="1"/>
  <c r="G50" i="15"/>
  <c r="F50" i="15"/>
  <c r="F29" i="15"/>
  <c r="G29" i="15" s="1"/>
  <c r="F30" i="15"/>
  <c r="G30" i="15" s="1"/>
  <c r="G57" i="15"/>
  <c r="F57" i="15"/>
  <c r="G42" i="15"/>
  <c r="F42" i="15"/>
  <c r="G40" i="15"/>
  <c r="F40" i="15"/>
  <c r="G46" i="15"/>
  <c r="F46" i="15"/>
  <c r="F26" i="15"/>
  <c r="G26" i="15" s="1"/>
  <c r="G37" i="15"/>
  <c r="F37" i="15"/>
  <c r="F13" i="15"/>
  <c r="G13" i="15" s="1"/>
  <c r="F18" i="15"/>
  <c r="G18" i="15" s="1"/>
  <c r="F12" i="15"/>
  <c r="G12" i="15" s="1"/>
  <c r="F16" i="15"/>
  <c r="G16" i="15" s="1"/>
  <c r="F14" i="15"/>
  <c r="G14" i="15" s="1"/>
  <c r="G8" i="15"/>
  <c r="AG27" i="1" l="1"/>
  <c r="AC28" i="1"/>
  <c r="ED28" i="1"/>
  <c r="EJ32" i="1"/>
  <c r="R30" i="15"/>
  <c r="S50" i="15"/>
  <c r="R50" i="15"/>
  <c r="S47" i="15"/>
  <c r="R47" i="15"/>
  <c r="R15" i="15"/>
  <c r="R29" i="15"/>
  <c r="R16" i="15"/>
  <c r="S36" i="15"/>
  <c r="R36" i="15"/>
  <c r="S34" i="15"/>
  <c r="R34" i="15"/>
  <c r="R18" i="15"/>
  <c r="S43" i="15"/>
  <c r="R43" i="15"/>
  <c r="S51" i="15"/>
  <c r="R51" i="15"/>
  <c r="S46" i="15"/>
  <c r="R46" i="15"/>
  <c r="S35" i="15"/>
  <c r="R35" i="15"/>
  <c r="S40" i="15"/>
  <c r="R40" i="15"/>
  <c r="R17" i="15"/>
  <c r="R28" i="15"/>
  <c r="R9" i="15"/>
  <c r="R10" i="15"/>
  <c r="R23" i="15"/>
  <c r="R11" i="15"/>
  <c r="S42" i="15"/>
  <c r="R42" i="15"/>
  <c r="R20" i="15"/>
  <c r="R8" i="15"/>
  <c r="S32" i="15"/>
  <c r="R32" i="15"/>
  <c r="S52" i="15"/>
  <c r="R52" i="15"/>
  <c r="R12" i="15"/>
  <c r="S49" i="15"/>
  <c r="R49" i="15"/>
  <c r="R21" i="15"/>
  <c r="R22" i="15"/>
  <c r="R27" i="15"/>
  <c r="R45" i="15"/>
  <c r="S45" i="15"/>
  <c r="S38" i="15"/>
  <c r="R38" i="15"/>
  <c r="R25" i="15"/>
  <c r="R14" i="15"/>
  <c r="S57" i="15"/>
  <c r="R57" i="15"/>
  <c r="S56" i="15"/>
  <c r="R56" i="15"/>
  <c r="S48" i="15"/>
  <c r="R48" i="15"/>
  <c r="S55" i="15"/>
  <c r="R55" i="15"/>
  <c r="S33" i="15"/>
  <c r="R33" i="15"/>
  <c r="R13" i="15"/>
  <c r="S31" i="15"/>
  <c r="R31" i="15"/>
  <c r="S41" i="15"/>
  <c r="R41" i="15"/>
  <c r="S37" i="15"/>
  <c r="R37" i="15"/>
  <c r="S53" i="15"/>
  <c r="R53" i="15"/>
  <c r="S39" i="15"/>
  <c r="R39" i="15"/>
  <c r="R24" i="15"/>
  <c r="R26" i="15"/>
  <c r="S54" i="15"/>
  <c r="R54" i="15"/>
  <c r="R44" i="15"/>
  <c r="S44" i="15"/>
  <c r="R19" i="15"/>
  <c r="P50" i="15"/>
  <c r="Q50" i="15"/>
  <c r="Q51" i="15"/>
  <c r="P51" i="15"/>
  <c r="Q33" i="15"/>
  <c r="P33" i="15"/>
  <c r="Q56" i="15"/>
  <c r="P56" i="15"/>
  <c r="P46" i="15"/>
  <c r="Q46" i="15"/>
  <c r="Q53" i="15"/>
  <c r="P53" i="15"/>
  <c r="Q39" i="15"/>
  <c r="P39" i="15"/>
  <c r="Q54" i="15"/>
  <c r="P54" i="15"/>
  <c r="Q36" i="15"/>
  <c r="P36" i="15"/>
  <c r="Q52" i="15"/>
  <c r="P52" i="15"/>
  <c r="Q40" i="15"/>
  <c r="P40" i="15"/>
  <c r="P47" i="15"/>
  <c r="Q47" i="15"/>
  <c r="Q55" i="15"/>
  <c r="P55" i="15"/>
  <c r="Q30" i="15"/>
  <c r="U30" i="15" s="1"/>
  <c r="W30" i="15" s="1"/>
  <c r="Q37" i="15"/>
  <c r="P37" i="15"/>
  <c r="P43" i="15"/>
  <c r="Q43" i="15"/>
  <c r="P42" i="15"/>
  <c r="Q42" i="15"/>
  <c r="P45" i="15"/>
  <c r="Q45" i="15"/>
  <c r="Q31" i="15"/>
  <c r="P31" i="15"/>
  <c r="Q49" i="15"/>
  <c r="P49" i="15"/>
  <c r="Q57" i="15"/>
  <c r="P57" i="15"/>
  <c r="P38" i="15"/>
  <c r="Q38" i="15"/>
  <c r="Q44" i="15"/>
  <c r="P44" i="15"/>
  <c r="Q32" i="15"/>
  <c r="P32" i="15"/>
  <c r="Q35" i="15"/>
  <c r="P35" i="15"/>
  <c r="Q41" i="15"/>
  <c r="P41" i="15"/>
  <c r="Q48" i="15"/>
  <c r="P48" i="15"/>
  <c r="P34" i="15"/>
  <c r="Q34" i="15"/>
  <c r="P8" i="15"/>
  <c r="AG28" i="1" l="1"/>
  <c r="AC29" i="1"/>
  <c r="S205" i="1"/>
  <c r="S191" i="1"/>
  <c r="S193" i="1"/>
  <c r="S199" i="1"/>
  <c r="S184" i="1"/>
  <c r="S198" i="1"/>
  <c r="S208" i="1"/>
  <c r="S186" i="1"/>
  <c r="S188" i="1"/>
  <c r="S194" i="1"/>
  <c r="ET194" i="1" s="1"/>
  <c r="S204" i="1"/>
  <c r="S190" i="1"/>
  <c r="S196" i="1"/>
  <c r="S202" i="1"/>
  <c r="S189" i="1"/>
  <c r="S197" i="1"/>
  <c r="S192" i="1"/>
  <c r="S206" i="1"/>
  <c r="S200" i="1"/>
  <c r="S207" i="1"/>
  <c r="S185" i="1"/>
  <c r="S203" i="1"/>
  <c r="S187" i="1"/>
  <c r="S201" i="1"/>
  <c r="S195" i="1"/>
  <c r="ET195" i="1" s="1"/>
  <c r="X18" i="1"/>
  <c r="CK18" i="1" s="1"/>
  <c r="CL18" i="1" s="1"/>
  <c r="X22" i="1"/>
  <c r="CK22" i="1" s="1"/>
  <c r="CL22" i="1" s="1"/>
  <c r="X15" i="1"/>
  <c r="CK15" i="1" s="1"/>
  <c r="CL15" i="1" s="1"/>
  <c r="X20" i="1"/>
  <c r="CK20" i="1" s="1"/>
  <c r="CL20" i="1" s="1"/>
  <c r="X16" i="1"/>
  <c r="CK16" i="1" s="1"/>
  <c r="CL16" i="1" s="1"/>
  <c r="X19" i="1"/>
  <c r="CK19" i="1" s="1"/>
  <c r="CL19" i="1" s="1"/>
  <c r="X17" i="1"/>
  <c r="CK17" i="1" s="1"/>
  <c r="CL17" i="1" s="1"/>
  <c r="X14" i="1"/>
  <c r="CK14" i="1" s="1"/>
  <c r="CL14" i="1" s="1"/>
  <c r="X23" i="1"/>
  <c r="CK23" i="1" s="1"/>
  <c r="CL23" i="1" s="1"/>
  <c r="ET314" i="1"/>
  <c r="ET233" i="1"/>
  <c r="ET234" i="1"/>
  <c r="EJ33" i="1"/>
  <c r="ET302" i="1"/>
  <c r="ET295" i="1"/>
  <c r="ET168" i="1"/>
  <c r="ET158" i="1"/>
  <c r="ET163" i="1"/>
  <c r="ET343" i="1"/>
  <c r="ET26" i="1"/>
  <c r="ET25" i="1"/>
  <c r="ET254" i="1"/>
  <c r="ET262" i="1"/>
  <c r="ET66" i="1"/>
  <c r="ET61" i="1"/>
  <c r="ET148" i="1"/>
  <c r="ET137" i="1"/>
  <c r="ET85" i="1"/>
  <c r="ET73" i="1"/>
  <c r="ET90" i="1"/>
  <c r="ED29" i="1"/>
  <c r="ET125" i="1"/>
  <c r="ET109" i="1"/>
  <c r="ET119" i="1"/>
  <c r="ET124" i="1"/>
  <c r="ET117" i="1"/>
  <c r="ET110" i="1"/>
  <c r="ET126" i="1"/>
  <c r="ET19" i="1"/>
  <c r="ET346" i="1"/>
  <c r="ET345" i="1"/>
  <c r="ET277" i="1"/>
  <c r="ET275" i="1"/>
  <c r="ET278" i="1"/>
  <c r="ET213" i="1"/>
  <c r="ET211" i="1"/>
  <c r="ET54" i="1"/>
  <c r="ET49" i="1"/>
  <c r="ET57" i="1"/>
  <c r="ET48" i="1"/>
  <c r="ET53" i="1"/>
  <c r="ET56" i="1"/>
  <c r="ET51" i="1"/>
  <c r="ET52" i="1"/>
  <c r="ET181" i="1"/>
  <c r="ET182" i="1"/>
  <c r="ET251" i="1"/>
  <c r="ET249" i="1"/>
  <c r="ET247" i="1"/>
  <c r="ET42" i="1"/>
  <c r="ET44" i="1"/>
  <c r="ET37" i="1"/>
  <c r="ET40" i="1"/>
  <c r="ET39" i="1"/>
  <c r="ET43" i="1"/>
  <c r="ET38" i="1"/>
  <c r="ET338" i="1"/>
  <c r="ET336" i="1"/>
  <c r="ET333" i="1"/>
  <c r="ET335" i="1"/>
  <c r="ET337" i="1"/>
  <c r="ET332" i="1"/>
  <c r="ET334" i="1"/>
  <c r="ET339" i="1"/>
  <c r="ET406" i="1"/>
  <c r="ET401" i="1"/>
  <c r="ET321" i="1"/>
  <c r="ET282" i="1"/>
  <c r="ET218" i="1"/>
  <c r="ET223" i="1"/>
  <c r="ET153" i="1"/>
  <c r="ET139" i="1"/>
  <c r="ET144" i="1"/>
  <c r="ET103" i="1"/>
  <c r="ET97" i="1"/>
  <c r="ET36" i="1"/>
  <c r="ET91" i="1"/>
  <c r="ET118" i="1"/>
  <c r="ET226" i="1"/>
  <c r="ET313" i="1"/>
  <c r="ET69" i="1"/>
  <c r="ET178" i="1"/>
  <c r="ET316" i="1"/>
  <c r="ET391" i="1"/>
  <c r="ET267" i="1"/>
  <c r="ET370" i="1"/>
  <c r="ET386" i="1"/>
  <c r="ET78" i="1"/>
  <c r="ET175" i="1"/>
  <c r="ET293" i="1"/>
  <c r="ET305" i="1"/>
  <c r="ET311" i="1"/>
  <c r="ET17" i="1"/>
  <c r="ET239" i="1"/>
  <c r="ET280" i="1"/>
  <c r="ET342" i="1"/>
  <c r="ET154" i="1"/>
  <c r="ET367" i="1"/>
  <c r="ET390" i="1"/>
  <c r="ET404" i="1"/>
  <c r="ET80" i="1"/>
  <c r="ET166" i="1"/>
  <c r="ET319" i="1"/>
  <c r="ET330" i="1"/>
  <c r="ET99" i="1"/>
  <c r="ET100" i="1"/>
  <c r="ET136" i="1"/>
  <c r="ET210" i="1"/>
  <c r="ET294" i="1"/>
  <c r="ET27" i="1"/>
  <c r="ET62" i="1"/>
  <c r="ET191" i="1"/>
  <c r="ET242" i="1"/>
  <c r="ET304" i="1"/>
  <c r="ET361" i="1"/>
  <c r="ET382" i="1"/>
  <c r="ET88" i="1"/>
  <c r="ET84" i="1"/>
  <c r="ET106" i="1"/>
  <c r="ET217" i="1"/>
  <c r="ET231" i="1"/>
  <c r="ET22" i="1"/>
  <c r="ET150" i="1"/>
  <c r="ET151" i="1"/>
  <c r="ET173" i="1"/>
  <c r="ET271" i="1"/>
  <c r="ET297" i="1"/>
  <c r="ET326" i="1"/>
  <c r="ET377" i="1"/>
  <c r="ET147" i="1"/>
  <c r="ET359" i="1"/>
  <c r="ET95" i="1"/>
  <c r="ET81" i="1"/>
  <c r="ET122" i="1"/>
  <c r="ET155" i="1"/>
  <c r="ET227" i="1"/>
  <c r="ET269" i="1"/>
  <c r="ET318" i="1"/>
  <c r="ET353" i="1"/>
  <c r="ET128" i="1"/>
  <c r="ET220" i="1"/>
  <c r="ET75" i="1"/>
  <c r="ET115" i="1"/>
  <c r="ET281" i="1"/>
  <c r="ET372" i="1"/>
  <c r="ET389" i="1"/>
  <c r="ET307" i="1"/>
  <c r="ET207" i="1"/>
  <c r="ET279" i="1"/>
  <c r="ET135" i="1"/>
  <c r="ET331" i="1"/>
  <c r="ET238" i="1"/>
  <c r="ET384" i="1"/>
  <c r="ET354" i="1"/>
  <c r="ET140" i="1"/>
  <c r="ET162" i="1"/>
  <c r="ET292" i="1"/>
  <c r="ET28" i="1"/>
  <c r="ET104" i="1"/>
  <c r="ET107" i="1"/>
  <c r="ET363" i="1"/>
  <c r="ET260" i="1"/>
  <c r="ET403" i="1"/>
  <c r="ET360" i="1"/>
  <c r="ET14" i="1"/>
  <c r="ET399" i="1"/>
  <c r="ET232" i="1"/>
  <c r="ET352" i="1"/>
  <c r="ET164" i="1"/>
  <c r="ET323" i="1"/>
  <c r="ET198" i="1"/>
  <c r="ET340" i="1"/>
  <c r="ET161" i="1"/>
  <c r="ET369" i="1"/>
  <c r="ET398" i="1"/>
  <c r="ET397" i="1"/>
  <c r="ET252" i="1"/>
  <c r="ET131" i="1"/>
  <c r="ET407" i="1"/>
  <c r="ET265" i="1"/>
  <c r="ET214" i="1"/>
  <c r="ET101" i="1"/>
  <c r="ET18" i="1"/>
  <c r="ET24" i="1"/>
  <c r="ET373" i="1"/>
  <c r="ET82" i="1"/>
  <c r="ET317" i="1"/>
  <c r="ET169" i="1"/>
  <c r="ET291" i="1"/>
  <c r="ET230" i="1"/>
  <c r="ET108" i="1"/>
  <c r="ET411" i="1"/>
  <c r="ET94" i="1"/>
  <c r="ET120" i="1"/>
  <c r="ET170" i="1"/>
  <c r="ET112" i="1"/>
  <c r="ET74" i="1"/>
  <c r="ET255" i="1"/>
  <c r="ET310" i="1"/>
  <c r="ET237" i="1"/>
  <c r="ET222" i="1"/>
  <c r="ET132" i="1"/>
  <c r="ET256" i="1"/>
  <c r="ET385" i="1"/>
  <c r="ET408" i="1"/>
  <c r="ET356" i="1"/>
  <c r="ET215" i="1"/>
  <c r="ET375" i="1"/>
  <c r="ET58" i="1"/>
  <c r="ET228" i="1"/>
  <c r="ET263" i="1"/>
  <c r="ET20" i="1"/>
  <c r="ET328" i="1"/>
  <c r="ET379" i="1"/>
  <c r="ET402" i="1"/>
  <c r="ET123" i="1"/>
  <c r="ET341" i="1"/>
  <c r="ET257" i="1"/>
  <c r="ET145" i="1"/>
  <c r="ET300" i="1"/>
  <c r="ET176" i="1"/>
  <c r="ET327" i="1"/>
  <c r="ET259" i="1"/>
  <c r="ET272" i="1"/>
  <c r="ET146" i="1"/>
  <c r="ET261" i="1"/>
  <c r="ET358" i="1"/>
  <c r="ET298" i="1"/>
  <c r="ET142" i="1"/>
  <c r="ET368" i="1"/>
  <c r="ET395" i="1"/>
  <c r="ET348" i="1"/>
  <c r="ET303" i="1"/>
  <c r="ET179" i="1"/>
  <c r="ET50" i="1"/>
  <c r="ET32" i="1"/>
  <c r="ET31" i="1"/>
  <c r="ET160" i="1"/>
  <c r="ET229" i="1"/>
  <c r="ET287" i="1"/>
  <c r="ET133" i="1"/>
  <c r="ET116" i="1"/>
  <c r="ET152" i="1"/>
  <c r="ET114" i="1"/>
  <c r="ET76" i="1"/>
  <c r="ET253" i="1"/>
  <c r="ET412" i="1"/>
  <c r="ET388" i="1"/>
  <c r="ET245" i="1"/>
  <c r="ET219" i="1"/>
  <c r="ET67" i="1"/>
  <c r="ET394" i="1"/>
  <c r="ET355" i="1"/>
  <c r="ET197" i="1"/>
  <c r="ET240" i="1"/>
  <c r="ET87" i="1"/>
  <c r="ET362" i="1"/>
  <c r="ET301" i="1"/>
  <c r="ET70" i="1"/>
  <c r="ET248" i="1"/>
  <c r="ET77" i="1"/>
  <c r="ET409" i="1"/>
  <c r="ET357" i="1"/>
  <c r="ET221" i="1"/>
  <c r="ET93" i="1"/>
  <c r="ET83" i="1"/>
  <c r="ET392" i="1"/>
  <c r="ET156" i="1"/>
  <c r="ET141" i="1"/>
  <c r="ET309" i="1"/>
  <c r="ET250" i="1"/>
  <c r="ET396" i="1"/>
  <c r="ET350" i="1"/>
  <c r="ET285" i="1"/>
  <c r="ET111" i="1"/>
  <c r="ET55" i="1"/>
  <c r="ET344" i="1"/>
  <c r="ET60" i="1"/>
  <c r="ET34" i="1"/>
  <c r="ET273" i="1"/>
  <c r="ET127" i="1"/>
  <c r="ET79" i="1"/>
  <c r="ET68" i="1"/>
  <c r="ET374" i="1"/>
  <c r="ET236" i="1"/>
  <c r="ET270" i="1"/>
  <c r="ET290" i="1"/>
  <c r="ET47" i="1"/>
  <c r="ET410" i="1"/>
  <c r="ET322" i="1"/>
  <c r="ET306" i="1"/>
  <c r="ET63" i="1"/>
  <c r="ET65" i="1"/>
  <c r="ET138" i="1"/>
  <c r="ET134" i="1"/>
  <c r="ET143" i="1"/>
  <c r="ET276" i="1"/>
  <c r="ET315" i="1"/>
  <c r="ET45" i="1"/>
  <c r="ET296" i="1"/>
  <c r="ET378" i="1"/>
  <c r="ET320" i="1"/>
  <c r="ET183" i="1"/>
  <c r="ET98" i="1"/>
  <c r="ET86" i="1"/>
  <c r="ET216" i="1"/>
  <c r="ET129" i="1"/>
  <c r="ET286" i="1"/>
  <c r="ET203" i="1"/>
  <c r="ET33" i="1"/>
  <c r="ET351" i="1"/>
  <c r="ET274" i="1"/>
  <c r="ET16" i="1"/>
  <c r="ET371" i="1"/>
  <c r="ET387" i="1"/>
  <c r="ET167" i="1"/>
  <c r="ET349" i="1"/>
  <c r="ET308" i="1"/>
  <c r="ET159" i="1"/>
  <c r="ET324" i="1"/>
  <c r="ET41" i="1"/>
  <c r="ET224" i="1"/>
  <c r="ET171" i="1"/>
  <c r="ET366" i="1"/>
  <c r="ET180" i="1"/>
  <c r="ET71" i="1"/>
  <c r="ET268" i="1"/>
  <c r="ET381" i="1"/>
  <c r="ET209" i="1"/>
  <c r="ET113" i="1"/>
  <c r="ET347" i="1"/>
  <c r="ET325" i="1"/>
  <c r="ET204" i="1"/>
  <c r="ET225" i="1"/>
  <c r="ET235" i="1"/>
  <c r="ET105" i="1"/>
  <c r="ET15" i="1"/>
  <c r="ET266" i="1"/>
  <c r="ET177" i="1"/>
  <c r="ET380" i="1"/>
  <c r="ET165" i="1"/>
  <c r="ET72" i="1"/>
  <c r="ET241" i="1"/>
  <c r="ET299" i="1"/>
  <c r="ET393" i="1"/>
  <c r="ET405" i="1"/>
  <c r="ET21" i="1"/>
  <c r="ET188" i="1"/>
  <c r="ET23" i="1"/>
  <c r="ET212" i="1"/>
  <c r="ET46" i="1"/>
  <c r="ET244" i="1"/>
  <c r="ET172" i="1"/>
  <c r="ET400" i="1"/>
  <c r="ET246" i="1"/>
  <c r="ET96" i="1"/>
  <c r="ET35" i="1"/>
  <c r="ET283" i="1"/>
  <c r="ET243" i="1"/>
  <c r="ET284" i="1"/>
  <c r="ET89" i="1"/>
  <c r="ET64" i="1"/>
  <c r="ET29" i="1"/>
  <c r="ET200" i="1"/>
  <c r="ET376" i="1"/>
  <c r="ET365" i="1"/>
  <c r="ET312" i="1"/>
  <c r="ET264" i="1"/>
  <c r="ET258" i="1"/>
  <c r="ET121" i="1"/>
  <c r="ET364" i="1"/>
  <c r="ET383" i="1"/>
  <c r="ET289" i="1"/>
  <c r="S24" i="15"/>
  <c r="S25" i="15"/>
  <c r="S30" i="15"/>
  <c r="S23" i="15"/>
  <c r="L29" i="5"/>
  <c r="L20" i="5"/>
  <c r="L27" i="5"/>
  <c r="M27" i="5" s="1"/>
  <c r="L19" i="5"/>
  <c r="M19" i="5" s="1"/>
  <c r="L13" i="5"/>
  <c r="L16" i="5"/>
  <c r="L15" i="5"/>
  <c r="L9" i="5"/>
  <c r="S11" i="15"/>
  <c r="S10" i="15"/>
  <c r="L14" i="5"/>
  <c r="L18" i="5"/>
  <c r="S16" i="15"/>
  <c r="L11" i="5"/>
  <c r="L25" i="5"/>
  <c r="L10" i="5"/>
  <c r="S13" i="1"/>
  <c r="S26" i="15"/>
  <c r="L24" i="5"/>
  <c r="L23" i="5"/>
  <c r="L21" i="5"/>
  <c r="S18" i="15"/>
  <c r="S17" i="15"/>
  <c r="L17" i="5"/>
  <c r="L22" i="5"/>
  <c r="S29" i="15"/>
  <c r="S22" i="15"/>
  <c r="L8" i="5"/>
  <c r="L28" i="5"/>
  <c r="S13" i="15"/>
  <c r="L26" i="5"/>
  <c r="S8" i="15"/>
  <c r="S14" i="15"/>
  <c r="S21" i="15"/>
  <c r="S20" i="15"/>
  <c r="S9" i="15"/>
  <c r="S28" i="15"/>
  <c r="S15" i="15"/>
  <c r="S12" i="15"/>
  <c r="L12" i="5"/>
  <c r="S19" i="15"/>
  <c r="S27" i="15"/>
  <c r="P9" i="15"/>
  <c r="X33" i="1" s="1"/>
  <c r="CK33" i="1" s="1"/>
  <c r="CL33" i="1" s="1"/>
  <c r="W202" i="1" l="1"/>
  <c r="DI202" i="1"/>
  <c r="W196" i="1"/>
  <c r="DI196" i="1"/>
  <c r="W190" i="1"/>
  <c r="DI190" i="1"/>
  <c r="W204" i="1"/>
  <c r="DI204" i="1"/>
  <c r="W194" i="1"/>
  <c r="DI194" i="1"/>
  <c r="W195" i="1"/>
  <c r="EF195" i="1" s="1"/>
  <c r="DI195" i="1"/>
  <c r="W188" i="1"/>
  <c r="DI188" i="1"/>
  <c r="W201" i="1"/>
  <c r="EF201" i="1" s="1"/>
  <c r="DI201" i="1"/>
  <c r="W186" i="1"/>
  <c r="DI186" i="1"/>
  <c r="W187" i="1"/>
  <c r="DI187" i="1"/>
  <c r="W208" i="1"/>
  <c r="DI208" i="1"/>
  <c r="W203" i="1"/>
  <c r="DI203" i="1"/>
  <c r="DG203" i="1" s="1"/>
  <c r="W198" i="1"/>
  <c r="DI198" i="1"/>
  <c r="W185" i="1"/>
  <c r="EF185" i="1" s="1"/>
  <c r="DI185" i="1"/>
  <c r="W184" i="1"/>
  <c r="EF184" i="1" s="1"/>
  <c r="DI184" i="1"/>
  <c r="W207" i="1"/>
  <c r="DI207" i="1"/>
  <c r="DG207" i="1" s="1"/>
  <c r="W199" i="1"/>
  <c r="DI199" i="1"/>
  <c r="W200" i="1"/>
  <c r="DI200" i="1"/>
  <c r="W193" i="1"/>
  <c r="EF193" i="1" s="1"/>
  <c r="DI193" i="1"/>
  <c r="W206" i="1"/>
  <c r="DI206" i="1"/>
  <c r="W191" i="1"/>
  <c r="DI191" i="1"/>
  <c r="W192" i="1"/>
  <c r="EF192" i="1" s="1"/>
  <c r="DI192" i="1"/>
  <c r="W205" i="1"/>
  <c r="DI205" i="1"/>
  <c r="W197" i="1"/>
  <c r="EF197" i="1" s="1"/>
  <c r="DI197" i="1"/>
  <c r="DG197" i="1" s="1"/>
  <c r="W13" i="1"/>
  <c r="X13" i="1" s="1"/>
  <c r="CK13" i="1" s="1"/>
  <c r="DI13" i="1"/>
  <c r="W189" i="1"/>
  <c r="EF189" i="1" s="1"/>
  <c r="DI189" i="1"/>
  <c r="ET187" i="1"/>
  <c r="ET196" i="1"/>
  <c r="ET189" i="1"/>
  <c r="ET190" i="1"/>
  <c r="ET201" i="1"/>
  <c r="ET192" i="1"/>
  <c r="ET208" i="1"/>
  <c r="ET199" i="1"/>
  <c r="ET184" i="1"/>
  <c r="ET186" i="1"/>
  <c r="ET202" i="1"/>
  <c r="ET185" i="1"/>
  <c r="ET193" i="1"/>
  <c r="AG29" i="1"/>
  <c r="AC30" i="1"/>
  <c r="ET206" i="1"/>
  <c r="CN33" i="1"/>
  <c r="CP33" i="1"/>
  <c r="CM33" i="1"/>
  <c r="CP23" i="1"/>
  <c r="CN23" i="1"/>
  <c r="CM23" i="1"/>
  <c r="CP14" i="1"/>
  <c r="CN14" i="1"/>
  <c r="CM14" i="1"/>
  <c r="CP17" i="1"/>
  <c r="CN17" i="1"/>
  <c r="CM17" i="1"/>
  <c r="CM19" i="1"/>
  <c r="CN19" i="1"/>
  <c r="CP19" i="1"/>
  <c r="CN16" i="1"/>
  <c r="CP16" i="1"/>
  <c r="CM16" i="1"/>
  <c r="CP20" i="1"/>
  <c r="CM20" i="1"/>
  <c r="CN20" i="1"/>
  <c r="CM15" i="1"/>
  <c r="CP15" i="1"/>
  <c r="CN15" i="1"/>
  <c r="CM22" i="1"/>
  <c r="CN22" i="1"/>
  <c r="CP22" i="1"/>
  <c r="CN18" i="1"/>
  <c r="CP18" i="1"/>
  <c r="CM18" i="1"/>
  <c r="X29" i="1"/>
  <c r="CK29" i="1" s="1"/>
  <c r="CL29" i="1" s="1"/>
  <c r="X25" i="1"/>
  <c r="CK25" i="1" s="1"/>
  <c r="CL25" i="1" s="1"/>
  <c r="X27" i="1"/>
  <c r="CK27" i="1" s="1"/>
  <c r="CL27" i="1" s="1"/>
  <c r="X28" i="1"/>
  <c r="CK28" i="1" s="1"/>
  <c r="CL28" i="1" s="1"/>
  <c r="X26" i="1"/>
  <c r="CK26" i="1" s="1"/>
  <c r="CL26" i="1" s="1"/>
  <c r="X24" i="1"/>
  <c r="CK24" i="1" s="1"/>
  <c r="CL24" i="1" s="1"/>
  <c r="X32" i="1"/>
  <c r="CK32" i="1" s="1"/>
  <c r="CL32" i="1" s="1"/>
  <c r="X30" i="1"/>
  <c r="CK30" i="1" s="1"/>
  <c r="CL30" i="1" s="1"/>
  <c r="X31" i="1"/>
  <c r="CK31" i="1" s="1"/>
  <c r="CL31" i="1" s="1"/>
  <c r="X36" i="1"/>
  <c r="CK36" i="1" s="1"/>
  <c r="CL36" i="1" s="1"/>
  <c r="ET13" i="1"/>
  <c r="EF205" i="1"/>
  <c r="EF149" i="1"/>
  <c r="EF30" i="1"/>
  <c r="EF329" i="1"/>
  <c r="EF289" i="1"/>
  <c r="EF115" i="1"/>
  <c r="EF120" i="1"/>
  <c r="EF190" i="1"/>
  <c r="EF90" i="1"/>
  <c r="EF73" i="1"/>
  <c r="EF95" i="1"/>
  <c r="EF151" i="1"/>
  <c r="EF134" i="1"/>
  <c r="EF176" i="1"/>
  <c r="EF161" i="1"/>
  <c r="EF292" i="1"/>
  <c r="EF324" i="1"/>
  <c r="EF102" i="1"/>
  <c r="EF177" i="1"/>
  <c r="EF157" i="1"/>
  <c r="ET30" i="1"/>
  <c r="EF181" i="1"/>
  <c r="EF210" i="1"/>
  <c r="EF287" i="1"/>
  <c r="EF110" i="1"/>
  <c r="EF125" i="1"/>
  <c r="EF186" i="1"/>
  <c r="EF77" i="1"/>
  <c r="EF96" i="1"/>
  <c r="EF147" i="1"/>
  <c r="EF256" i="1"/>
  <c r="EF31" i="1"/>
  <c r="EF172" i="1"/>
  <c r="EF305" i="1"/>
  <c r="EF291" i="1"/>
  <c r="EF237" i="1"/>
  <c r="EF327" i="1"/>
  <c r="EF130" i="1"/>
  <c r="EF174" i="1"/>
  <c r="EF233" i="1"/>
  <c r="ET130" i="1"/>
  <c r="EF52" i="1"/>
  <c r="EF217" i="1"/>
  <c r="EF272" i="1"/>
  <c r="EF117" i="1"/>
  <c r="EF206" i="1"/>
  <c r="ED30" i="1"/>
  <c r="EF98" i="1"/>
  <c r="EF76" i="1"/>
  <c r="EF143" i="1"/>
  <c r="EF155" i="1"/>
  <c r="EF255" i="1"/>
  <c r="EF221" i="1"/>
  <c r="EF28" i="1"/>
  <c r="EH28" i="1" s="1"/>
  <c r="EP28" i="1" s="1"/>
  <c r="EF167" i="1"/>
  <c r="EF300" i="1"/>
  <c r="EF229" i="1"/>
  <c r="EF317" i="1"/>
  <c r="EF109" i="1"/>
  <c r="EF85" i="1"/>
  <c r="EF59" i="1"/>
  <c r="EF302" i="1"/>
  <c r="ET174" i="1"/>
  <c r="ET205" i="1"/>
  <c r="EF334" i="1"/>
  <c r="EF246" i="1"/>
  <c r="EF51" i="1"/>
  <c r="EF209" i="1"/>
  <c r="EF284" i="1"/>
  <c r="EF281" i="1"/>
  <c r="EF19" i="1"/>
  <c r="EH19" i="1" s="1"/>
  <c r="EP19" i="1" s="1"/>
  <c r="EF113" i="1"/>
  <c r="EF208" i="1"/>
  <c r="EF203" i="1"/>
  <c r="EF82" i="1"/>
  <c r="EF99" i="1"/>
  <c r="EF140" i="1"/>
  <c r="EF260" i="1"/>
  <c r="EF24" i="1"/>
  <c r="EH24" i="1" s="1"/>
  <c r="EP24" i="1" s="1"/>
  <c r="EF170" i="1"/>
  <c r="EF311" i="1"/>
  <c r="EF297" i="1"/>
  <c r="EF316" i="1"/>
  <c r="EF92" i="1"/>
  <c r="EF332" i="1"/>
  <c r="EF247" i="1"/>
  <c r="EF215" i="1"/>
  <c r="EF268" i="1"/>
  <c r="EF271" i="1"/>
  <c r="EF124" i="1"/>
  <c r="EF196" i="1"/>
  <c r="EF104" i="1"/>
  <c r="EF88" i="1"/>
  <c r="EF153" i="1"/>
  <c r="EF258" i="1"/>
  <c r="EF171" i="1"/>
  <c r="EF298" i="1"/>
  <c r="EF293" i="1"/>
  <c r="EF238" i="1"/>
  <c r="EF325" i="1"/>
  <c r="EF42" i="1"/>
  <c r="ET149" i="1"/>
  <c r="EF337" i="1"/>
  <c r="EF45" i="1"/>
  <c r="EF248" i="1"/>
  <c r="EF55" i="1"/>
  <c r="EF212" i="1"/>
  <c r="EF269" i="1"/>
  <c r="EF270" i="1"/>
  <c r="EF20" i="1"/>
  <c r="EH20" i="1" s="1"/>
  <c r="EP20" i="1" s="1"/>
  <c r="DI20" i="1"/>
  <c r="EF111" i="1"/>
  <c r="EF207" i="1"/>
  <c r="EF79" i="1"/>
  <c r="EF107" i="1"/>
  <c r="EF133" i="1"/>
  <c r="EF67" i="1"/>
  <c r="EF259" i="1"/>
  <c r="EF223" i="1"/>
  <c r="EF162" i="1"/>
  <c r="EF304" i="1"/>
  <c r="EF307" i="1"/>
  <c r="EF236" i="1"/>
  <c r="EF320" i="1"/>
  <c r="EF335" i="1"/>
  <c r="EF250" i="1"/>
  <c r="EF53" i="1"/>
  <c r="EF218" i="1"/>
  <c r="EF279" i="1"/>
  <c r="EF267" i="1"/>
  <c r="EF17" i="1"/>
  <c r="EH17" i="1" s="1"/>
  <c r="EP17" i="1" s="1"/>
  <c r="EF122" i="1"/>
  <c r="EF188" i="1"/>
  <c r="EF84" i="1"/>
  <c r="EF137" i="1"/>
  <c r="EF61" i="1"/>
  <c r="EF257" i="1"/>
  <c r="EF222" i="1"/>
  <c r="EF160" i="1"/>
  <c r="EF310" i="1"/>
  <c r="EJ36" i="1"/>
  <c r="EF230" i="1"/>
  <c r="EF318" i="1"/>
  <c r="EF333" i="1"/>
  <c r="EF38" i="1"/>
  <c r="EF245" i="1"/>
  <c r="EF50" i="1"/>
  <c r="EF211" i="1"/>
  <c r="EF273" i="1"/>
  <c r="EF22" i="1"/>
  <c r="EH22" i="1" s="1"/>
  <c r="EP22" i="1" s="1"/>
  <c r="EF127" i="1"/>
  <c r="EF191" i="1"/>
  <c r="EF199" i="1"/>
  <c r="EF86" i="1"/>
  <c r="EF83" i="1"/>
  <c r="EF148" i="1"/>
  <c r="EF66" i="1"/>
  <c r="EF36" i="1"/>
  <c r="EF164" i="1"/>
  <c r="EF296" i="1"/>
  <c r="EF232" i="1"/>
  <c r="EF288" i="1"/>
  <c r="EF336" i="1"/>
  <c r="EF43" i="1"/>
  <c r="EF48" i="1"/>
  <c r="EF213" i="1"/>
  <c r="EF266" i="1"/>
  <c r="EF274" i="1"/>
  <c r="EF14" i="1"/>
  <c r="EH14" i="1" s="1"/>
  <c r="EP14" i="1" s="1"/>
  <c r="EF112" i="1"/>
  <c r="EF198" i="1"/>
  <c r="EF91" i="1"/>
  <c r="EF97" i="1"/>
  <c r="EF144" i="1"/>
  <c r="EF152" i="1"/>
  <c r="EF62" i="1"/>
  <c r="EF254" i="1"/>
  <c r="EF25" i="1"/>
  <c r="EH25" i="1" s="1"/>
  <c r="EP25" i="1" s="1"/>
  <c r="EF342" i="1"/>
  <c r="EF169" i="1"/>
  <c r="EF306" i="1"/>
  <c r="EF231" i="1"/>
  <c r="EF242" i="1"/>
  <c r="EF315" i="1"/>
  <c r="EF46" i="1"/>
  <c r="EF244" i="1"/>
  <c r="EF57" i="1"/>
  <c r="EF219" i="1"/>
  <c r="EF285" i="1"/>
  <c r="EF264" i="1"/>
  <c r="EF16" i="1"/>
  <c r="EH16" i="1" s="1"/>
  <c r="EP16" i="1" s="1"/>
  <c r="EF116" i="1"/>
  <c r="EF200" i="1"/>
  <c r="EF75" i="1"/>
  <c r="EF81" i="1"/>
  <c r="EF145" i="1"/>
  <c r="EF131" i="1"/>
  <c r="EF58" i="1"/>
  <c r="EF26" i="1"/>
  <c r="EH26" i="1" s="1"/>
  <c r="EP26" i="1" s="1"/>
  <c r="EF301" i="1"/>
  <c r="EF240" i="1"/>
  <c r="EF239" i="1"/>
  <c r="EF326" i="1"/>
  <c r="ET288" i="1"/>
  <c r="EF39" i="1"/>
  <c r="EF249" i="1"/>
  <c r="EF49" i="1"/>
  <c r="EF216" i="1"/>
  <c r="EF283" i="1"/>
  <c r="EF265" i="1"/>
  <c r="EF23" i="1"/>
  <c r="EH23" i="1" s="1"/>
  <c r="EP23" i="1" s="1"/>
  <c r="EF121" i="1"/>
  <c r="EF187" i="1"/>
  <c r="EF93" i="1"/>
  <c r="EF78" i="1"/>
  <c r="EF142" i="1"/>
  <c r="EF141" i="1"/>
  <c r="EF64" i="1"/>
  <c r="EF253" i="1"/>
  <c r="EF27" i="1"/>
  <c r="EH27" i="1" s="1"/>
  <c r="EP27" i="1" s="1"/>
  <c r="EF340" i="1"/>
  <c r="EF166" i="1"/>
  <c r="EF290" i="1"/>
  <c r="EF228" i="1"/>
  <c r="EF313" i="1"/>
  <c r="ET92" i="1"/>
  <c r="EF40" i="1"/>
  <c r="EF282" i="1"/>
  <c r="EF286" i="1"/>
  <c r="EF15" i="1"/>
  <c r="EH15" i="1" s="1"/>
  <c r="EP15" i="1" s="1"/>
  <c r="EF119" i="1"/>
  <c r="EF202" i="1"/>
  <c r="EF103" i="1"/>
  <c r="EF105" i="1"/>
  <c r="EF146" i="1"/>
  <c r="EF136" i="1"/>
  <c r="EF70" i="1"/>
  <c r="EF263" i="1"/>
  <c r="EF32" i="1"/>
  <c r="EF341" i="1"/>
  <c r="EF159" i="1"/>
  <c r="EF299" i="1"/>
  <c r="EF227" i="1"/>
  <c r="EF323" i="1"/>
  <c r="EF322" i="1"/>
  <c r="ET329" i="1"/>
  <c r="EF41" i="1"/>
  <c r="EF214" i="1"/>
  <c r="EF278" i="1"/>
  <c r="EF276" i="1"/>
  <c r="EF18" i="1"/>
  <c r="EH18" i="1" s="1"/>
  <c r="EP18" i="1" s="1"/>
  <c r="EF123" i="1"/>
  <c r="EF80" i="1"/>
  <c r="EF108" i="1"/>
  <c r="EF72" i="1"/>
  <c r="EF150" i="1"/>
  <c r="EF60" i="1"/>
  <c r="EF29" i="1"/>
  <c r="EH29" i="1" s="1"/>
  <c r="EP29" i="1" s="1"/>
  <c r="EF165" i="1"/>
  <c r="EF294" i="1"/>
  <c r="EF235" i="1"/>
  <c r="EF319" i="1"/>
  <c r="EF312" i="1"/>
  <c r="ET102" i="1"/>
  <c r="EF37" i="1"/>
  <c r="EF275" i="1"/>
  <c r="EF114" i="1"/>
  <c r="EF129" i="1"/>
  <c r="EF204" i="1"/>
  <c r="EF94" i="1"/>
  <c r="EF89" i="1"/>
  <c r="EF71" i="1"/>
  <c r="EF135" i="1"/>
  <c r="EF132" i="1"/>
  <c r="EF63" i="1"/>
  <c r="EF33" i="1"/>
  <c r="EF158" i="1"/>
  <c r="EF295" i="1"/>
  <c r="EF226" i="1"/>
  <c r="EF321" i="1"/>
  <c r="EF328" i="1"/>
  <c r="EF126" i="1"/>
  <c r="ET59" i="1"/>
  <c r="ET157" i="1"/>
  <c r="EF180" i="1"/>
  <c r="EF277" i="1"/>
  <c r="EF118" i="1"/>
  <c r="EF194" i="1"/>
  <c r="EF87" i="1"/>
  <c r="EF74" i="1"/>
  <c r="EF100" i="1"/>
  <c r="EF138" i="1"/>
  <c r="EF139" i="1"/>
  <c r="EF65" i="1"/>
  <c r="EF175" i="1"/>
  <c r="EF163" i="1"/>
  <c r="EF168" i="1"/>
  <c r="EF303" i="1"/>
  <c r="EF234" i="1"/>
  <c r="EF314" i="1"/>
  <c r="M29" i="5"/>
  <c r="M20" i="5"/>
  <c r="M15" i="5"/>
  <c r="M16" i="5"/>
  <c r="M13" i="5"/>
  <c r="M17" i="5"/>
  <c r="M25" i="5"/>
  <c r="M18" i="5"/>
  <c r="M21" i="5"/>
  <c r="M23" i="5"/>
  <c r="M11" i="5"/>
  <c r="M14" i="5"/>
  <c r="M12" i="5"/>
  <c r="M10" i="5"/>
  <c r="M26" i="5"/>
  <c r="M9" i="5"/>
  <c r="M24" i="5"/>
  <c r="M22" i="5"/>
  <c r="M8" i="5"/>
  <c r="U8" i="5" s="1"/>
  <c r="J8" i="5" s="1"/>
  <c r="M28" i="5"/>
  <c r="EF13" i="1"/>
  <c r="EH13" i="1" s="1"/>
  <c r="EP13" i="1" s="1"/>
  <c r="M33" i="7"/>
  <c r="P10" i="15"/>
  <c r="M22" i="7"/>
  <c r="AG30" i="1" l="1"/>
  <c r="AC31" i="1"/>
  <c r="CN25" i="1"/>
  <c r="CP25" i="1"/>
  <c r="CM25" i="1"/>
  <c r="CP29" i="1"/>
  <c r="CM29" i="1"/>
  <c r="CN29" i="1"/>
  <c r="CP36" i="1"/>
  <c r="CN36" i="1"/>
  <c r="CM36" i="1"/>
  <c r="CN31" i="1"/>
  <c r="CP31" i="1"/>
  <c r="CM31" i="1"/>
  <c r="CM30" i="1"/>
  <c r="CP30" i="1"/>
  <c r="CN30" i="1"/>
  <c r="CP32" i="1"/>
  <c r="CM32" i="1"/>
  <c r="CN32" i="1"/>
  <c r="CP24" i="1"/>
  <c r="CN24" i="1"/>
  <c r="CM24" i="1"/>
  <c r="CP26" i="1"/>
  <c r="CN26" i="1"/>
  <c r="CM26" i="1"/>
  <c r="CP28" i="1"/>
  <c r="CN28" i="1"/>
  <c r="CM28" i="1"/>
  <c r="CN27" i="1"/>
  <c r="CP27" i="1"/>
  <c r="CM27" i="1"/>
  <c r="X41" i="1"/>
  <c r="CK41" i="1" s="1"/>
  <c r="CL41" i="1" s="1"/>
  <c r="X42" i="1"/>
  <c r="CK42" i="1" s="1"/>
  <c r="CL42" i="1" s="1"/>
  <c r="X37" i="1"/>
  <c r="CK37" i="1" s="1"/>
  <c r="CL37" i="1" s="1"/>
  <c r="X43" i="1"/>
  <c r="CK43" i="1" s="1"/>
  <c r="CL43" i="1" s="1"/>
  <c r="X45" i="1"/>
  <c r="CK45" i="1" s="1"/>
  <c r="CL45" i="1" s="1"/>
  <c r="X39" i="1"/>
  <c r="CK39" i="1" s="1"/>
  <c r="CL39" i="1" s="1"/>
  <c r="X46" i="1"/>
  <c r="CK46" i="1" s="1"/>
  <c r="CL46" i="1" s="1"/>
  <c r="X40" i="1"/>
  <c r="CK40" i="1" s="1"/>
  <c r="CL40" i="1" s="1"/>
  <c r="X38" i="1"/>
  <c r="CK38" i="1" s="1"/>
  <c r="CL38" i="1" s="1"/>
  <c r="EH30" i="1"/>
  <c r="EP30" i="1" s="1"/>
  <c r="ES47" i="1"/>
  <c r="ES44" i="1"/>
  <c r="EZ35" i="1"/>
  <c r="ES35" i="1"/>
  <c r="EK14" i="1"/>
  <c r="EK23" i="1"/>
  <c r="EK25" i="1"/>
  <c r="EK22" i="1"/>
  <c r="ED31" i="1"/>
  <c r="EH31" i="1" s="1"/>
  <c r="EP31" i="1" s="1"/>
  <c r="EK33" i="1"/>
  <c r="EJ37" i="1"/>
  <c r="EZ34" i="1"/>
  <c r="ES34" i="1"/>
  <c r="EK27" i="1"/>
  <c r="EZ21" i="1"/>
  <c r="ES21" i="1"/>
  <c r="EK36" i="1"/>
  <c r="EK17" i="1"/>
  <c r="EK30" i="1"/>
  <c r="EK15" i="1"/>
  <c r="EK16" i="1"/>
  <c r="EK19" i="1"/>
  <c r="EK18" i="1"/>
  <c r="EK26" i="1"/>
  <c r="EK32" i="1"/>
  <c r="EK24" i="1"/>
  <c r="EK31" i="1"/>
  <c r="DK20" i="1"/>
  <c r="DG20" i="1"/>
  <c r="EK29" i="1"/>
  <c r="EK20" i="1"/>
  <c r="EK28" i="1"/>
  <c r="EK13" i="1"/>
  <c r="CL13" i="1"/>
  <c r="P11" i="15"/>
  <c r="AG31" i="1" l="1"/>
  <c r="AC32" i="1"/>
  <c r="CN43" i="1"/>
  <c r="CP43" i="1"/>
  <c r="CM43" i="1"/>
  <c r="CP37" i="1"/>
  <c r="CN37" i="1"/>
  <c r="CM37" i="1"/>
  <c r="CP42" i="1"/>
  <c r="CN42" i="1"/>
  <c r="CM42" i="1"/>
  <c r="ES42" i="1" s="1"/>
  <c r="CM38" i="1"/>
  <c r="ES38" i="1" s="1"/>
  <c r="CN38" i="1"/>
  <c r="CP38" i="1"/>
  <c r="CP41" i="1"/>
  <c r="CN41" i="1"/>
  <c r="CM41" i="1"/>
  <c r="CP40" i="1"/>
  <c r="CM40" i="1"/>
  <c r="ES40" i="1" s="1"/>
  <c r="CN40" i="1"/>
  <c r="CM46" i="1"/>
  <c r="ES46" i="1" s="1"/>
  <c r="CP46" i="1"/>
  <c r="CN46" i="1"/>
  <c r="CN39" i="1"/>
  <c r="CP39" i="1"/>
  <c r="CM39" i="1"/>
  <c r="CM45" i="1"/>
  <c r="ES45" i="1" s="1"/>
  <c r="CP45" i="1"/>
  <c r="CN45" i="1"/>
  <c r="EK37" i="1"/>
  <c r="X57" i="1"/>
  <c r="CK57" i="1" s="1"/>
  <c r="CL57" i="1" s="1"/>
  <c r="X50" i="1"/>
  <c r="CK50" i="1" s="1"/>
  <c r="CL50" i="1" s="1"/>
  <c r="X55" i="1"/>
  <c r="CK55" i="1" s="1"/>
  <c r="CL55" i="1" s="1"/>
  <c r="X51" i="1"/>
  <c r="CK51" i="1" s="1"/>
  <c r="CL51" i="1" s="1"/>
  <c r="X48" i="1"/>
  <c r="CK48" i="1" s="1"/>
  <c r="CL48" i="1" s="1"/>
  <c r="X53" i="1"/>
  <c r="CK53" i="1" s="1"/>
  <c r="CL53" i="1" s="1"/>
  <c r="X49" i="1"/>
  <c r="CK49" i="1" s="1"/>
  <c r="CL49" i="1" s="1"/>
  <c r="X52" i="1"/>
  <c r="CK52" i="1" s="1"/>
  <c r="CL52" i="1" s="1"/>
  <c r="EK40" i="1"/>
  <c r="EK38" i="1"/>
  <c r="EZ47" i="1"/>
  <c r="EK41" i="1"/>
  <c r="EK42" i="1"/>
  <c r="EK46" i="1"/>
  <c r="EK45" i="1"/>
  <c r="EK39" i="1"/>
  <c r="EZ44" i="1"/>
  <c r="EK43" i="1"/>
  <c r="ES27" i="1"/>
  <c r="ES16" i="1"/>
  <c r="ES36" i="1"/>
  <c r="ES31" i="1"/>
  <c r="ES26" i="1"/>
  <c r="ES14" i="1"/>
  <c r="ES29" i="1"/>
  <c r="ES15" i="1"/>
  <c r="ES22" i="1"/>
  <c r="EJ38" i="1"/>
  <c r="ED32" i="1"/>
  <c r="EH32" i="1" s="1"/>
  <c r="EP32" i="1" s="1"/>
  <c r="ES32" i="1"/>
  <c r="ES25" i="1"/>
  <c r="ES18" i="1"/>
  <c r="ES23" i="1"/>
  <c r="ES20" i="1"/>
  <c r="ES33" i="1"/>
  <c r="ES28" i="1"/>
  <c r="CP13" i="1"/>
  <c r="CN13" i="1"/>
  <c r="CM13" i="1"/>
  <c r="P12" i="15"/>
  <c r="AG32" i="1" l="1"/>
  <c r="AC33" i="1"/>
  <c r="CP53" i="1"/>
  <c r="CN53" i="1"/>
  <c r="CM53" i="1"/>
  <c r="CP48" i="1"/>
  <c r="CN48" i="1"/>
  <c r="CM48" i="1"/>
  <c r="CN51" i="1"/>
  <c r="CM51" i="1"/>
  <c r="CP51" i="1"/>
  <c r="CP55" i="1"/>
  <c r="CN55" i="1"/>
  <c r="CM55" i="1"/>
  <c r="CM50" i="1"/>
  <c r="CP50" i="1"/>
  <c r="CN50" i="1"/>
  <c r="CM52" i="1"/>
  <c r="CP52" i="1"/>
  <c r="CN52" i="1"/>
  <c r="CM57" i="1"/>
  <c r="CP57" i="1"/>
  <c r="CN57" i="1"/>
  <c r="CP49" i="1"/>
  <c r="CN49" i="1"/>
  <c r="CM49" i="1"/>
  <c r="X65" i="1"/>
  <c r="CK65" i="1" s="1"/>
  <c r="CL65" i="1" s="1"/>
  <c r="X58" i="1"/>
  <c r="CK58" i="1" s="1"/>
  <c r="CL58" i="1" s="1"/>
  <c r="X59" i="1"/>
  <c r="CK59" i="1" s="1"/>
  <c r="CL59" i="1" s="1"/>
  <c r="X64" i="1"/>
  <c r="CK64" i="1" s="1"/>
  <c r="CL64" i="1" s="1"/>
  <c r="X66" i="1"/>
  <c r="CK66" i="1" s="1"/>
  <c r="CL66" i="1" s="1"/>
  <c r="X67" i="1"/>
  <c r="CK67" i="1" s="1"/>
  <c r="CL67" i="1" s="1"/>
  <c r="X63" i="1"/>
  <c r="CK63" i="1" s="1"/>
  <c r="CL63" i="1" s="1"/>
  <c r="X62" i="1"/>
  <c r="CK62" i="1" s="1"/>
  <c r="CL62" i="1" s="1"/>
  <c r="X60" i="1"/>
  <c r="CK60" i="1" s="1"/>
  <c r="CL60" i="1" s="1"/>
  <c r="X61" i="1"/>
  <c r="CK61" i="1" s="1"/>
  <c r="CL61" i="1" s="1"/>
  <c r="X70" i="1"/>
  <c r="CK70" i="1" s="1"/>
  <c r="CL70" i="1" s="1"/>
  <c r="EK55" i="1"/>
  <c r="ES54" i="1"/>
  <c r="EZ54" i="1"/>
  <c r="EK48" i="1"/>
  <c r="ES56" i="1"/>
  <c r="EZ56" i="1"/>
  <c r="EK49" i="1"/>
  <c r="EK50" i="1"/>
  <c r="EK53" i="1"/>
  <c r="EK51" i="1"/>
  <c r="EK52" i="1"/>
  <c r="EK57" i="1"/>
  <c r="EJ39" i="1"/>
  <c r="ED33" i="1"/>
  <c r="EH33" i="1" s="1"/>
  <c r="EP33" i="1" s="1"/>
  <c r="P13" i="15"/>
  <c r="AG33" i="1" l="1"/>
  <c r="AC36" i="1"/>
  <c r="CP60" i="1"/>
  <c r="CN60" i="1"/>
  <c r="CM60" i="1"/>
  <c r="CN62" i="1"/>
  <c r="CP62" i="1"/>
  <c r="CM62" i="1"/>
  <c r="CP58" i="1"/>
  <c r="CN58" i="1"/>
  <c r="CM58" i="1"/>
  <c r="CP70" i="1"/>
  <c r="CN70" i="1"/>
  <c r="CM70" i="1"/>
  <c r="CM65" i="1"/>
  <c r="CP65" i="1"/>
  <c r="CN65" i="1"/>
  <c r="CM61" i="1"/>
  <c r="CN61" i="1"/>
  <c r="CP61" i="1"/>
  <c r="CP63" i="1"/>
  <c r="CN63" i="1"/>
  <c r="CM63" i="1"/>
  <c r="CM67" i="1"/>
  <c r="CP67" i="1"/>
  <c r="CN67" i="1"/>
  <c r="CP66" i="1"/>
  <c r="CM66" i="1"/>
  <c r="CN66" i="1"/>
  <c r="CP64" i="1"/>
  <c r="CN64" i="1"/>
  <c r="CM64" i="1"/>
  <c r="CN59" i="1"/>
  <c r="CM59" i="1"/>
  <c r="CP59" i="1"/>
  <c r="X96" i="1"/>
  <c r="CK96" i="1" s="1"/>
  <c r="CL96" i="1" s="1"/>
  <c r="X79" i="1"/>
  <c r="CK79" i="1" s="1"/>
  <c r="CL79" i="1" s="1"/>
  <c r="X97" i="1"/>
  <c r="CK97" i="1" s="1"/>
  <c r="CL97" i="1" s="1"/>
  <c r="X91" i="1"/>
  <c r="CK91" i="1" s="1"/>
  <c r="CL91" i="1" s="1"/>
  <c r="X107" i="1"/>
  <c r="CK107" i="1" s="1"/>
  <c r="CL107" i="1" s="1"/>
  <c r="X72" i="1"/>
  <c r="CK72" i="1" s="1"/>
  <c r="CL72" i="1" s="1"/>
  <c r="X95" i="1"/>
  <c r="CK95" i="1" s="1"/>
  <c r="CL95" i="1" s="1"/>
  <c r="X82" i="1"/>
  <c r="CK82" i="1" s="1"/>
  <c r="CL82" i="1" s="1"/>
  <c r="X104" i="1"/>
  <c r="CK104" i="1" s="1"/>
  <c r="CL104" i="1" s="1"/>
  <c r="X78" i="1"/>
  <c r="CK78" i="1" s="1"/>
  <c r="CL78" i="1" s="1"/>
  <c r="X99" i="1"/>
  <c r="CK99" i="1" s="1"/>
  <c r="CL99" i="1" s="1"/>
  <c r="X102" i="1"/>
  <c r="CK102" i="1" s="1"/>
  <c r="CL102" i="1" s="1"/>
  <c r="X105" i="1"/>
  <c r="CK105" i="1" s="1"/>
  <c r="CL105" i="1" s="1"/>
  <c r="X94" i="1"/>
  <c r="CK94" i="1" s="1"/>
  <c r="CL94" i="1" s="1"/>
  <c r="X89" i="1"/>
  <c r="CK89" i="1" s="1"/>
  <c r="CL89" i="1" s="1"/>
  <c r="X84" i="1"/>
  <c r="CK84" i="1" s="1"/>
  <c r="CL84" i="1" s="1"/>
  <c r="X81" i="1"/>
  <c r="CK81" i="1" s="1"/>
  <c r="CL81" i="1" s="1"/>
  <c r="X75" i="1"/>
  <c r="CK75" i="1" s="1"/>
  <c r="CL75" i="1" s="1"/>
  <c r="X86" i="1"/>
  <c r="CK86" i="1" s="1"/>
  <c r="CL86" i="1" s="1"/>
  <c r="X76" i="1"/>
  <c r="CK76" i="1" s="1"/>
  <c r="CL76" i="1" s="1"/>
  <c r="X77" i="1"/>
  <c r="CK77" i="1" s="1"/>
  <c r="CL77" i="1" s="1"/>
  <c r="X73" i="1"/>
  <c r="CK73" i="1" s="1"/>
  <c r="CL73" i="1" s="1"/>
  <c r="X74" i="1"/>
  <c r="CK74" i="1" s="1"/>
  <c r="CL74" i="1" s="1"/>
  <c r="X103" i="1"/>
  <c r="CK103" i="1" s="1"/>
  <c r="CL103" i="1" s="1"/>
  <c r="X80" i="1"/>
  <c r="CK80" i="1" s="1"/>
  <c r="CL80" i="1" s="1"/>
  <c r="X71" i="1"/>
  <c r="CK71" i="1" s="1"/>
  <c r="CL71" i="1" s="1"/>
  <c r="X90" i="1"/>
  <c r="CK90" i="1" s="1"/>
  <c r="CL90" i="1" s="1"/>
  <c r="X100" i="1"/>
  <c r="CK100" i="1" s="1"/>
  <c r="CL100" i="1" s="1"/>
  <c r="X88" i="1"/>
  <c r="CK88" i="1" s="1"/>
  <c r="CL88" i="1" s="1"/>
  <c r="X108" i="1"/>
  <c r="CK108" i="1" s="1"/>
  <c r="CL108" i="1" s="1"/>
  <c r="X92" i="1"/>
  <c r="CK92" i="1" s="1"/>
  <c r="CL92" i="1" s="1"/>
  <c r="X83" i="1"/>
  <c r="CK83" i="1" s="1"/>
  <c r="CL83" i="1" s="1"/>
  <c r="X87" i="1"/>
  <c r="CK87" i="1" s="1"/>
  <c r="CL87" i="1" s="1"/>
  <c r="X98" i="1"/>
  <c r="CK98" i="1" s="1"/>
  <c r="CL98" i="1" s="1"/>
  <c r="X93" i="1"/>
  <c r="CK93" i="1" s="1"/>
  <c r="CL93" i="1" s="1"/>
  <c r="X85" i="1"/>
  <c r="CK85" i="1" s="1"/>
  <c r="CL85" i="1" s="1"/>
  <c r="EK60" i="1"/>
  <c r="EK70" i="1"/>
  <c r="ES50" i="1"/>
  <c r="ES53" i="1"/>
  <c r="ES49" i="1"/>
  <c r="EK64" i="1"/>
  <c r="ES51" i="1"/>
  <c r="EK62" i="1"/>
  <c r="EK63" i="1"/>
  <c r="EK66" i="1"/>
  <c r="ES48" i="1"/>
  <c r="ES69" i="1"/>
  <c r="EZ69" i="1"/>
  <c r="EK59" i="1"/>
  <c r="EK58" i="1"/>
  <c r="EZ68" i="1"/>
  <c r="ES68" i="1"/>
  <c r="EK67" i="1"/>
  <c r="ES57" i="1"/>
  <c r="ES52" i="1"/>
  <c r="EK65" i="1"/>
  <c r="EK61" i="1"/>
  <c r="ES55" i="1"/>
  <c r="EJ40" i="1"/>
  <c r="ED36" i="1"/>
  <c r="EH36" i="1" s="1"/>
  <c r="EP36" i="1" s="1"/>
  <c r="P14" i="15"/>
  <c r="AG36" i="1" l="1"/>
  <c r="AC37" i="1"/>
  <c r="CP73" i="1"/>
  <c r="CN73" i="1"/>
  <c r="CM73" i="1"/>
  <c r="CN98" i="1"/>
  <c r="CP98" i="1"/>
  <c r="CM98" i="1"/>
  <c r="CM75" i="1"/>
  <c r="CP75" i="1"/>
  <c r="CN75" i="1"/>
  <c r="CN81" i="1"/>
  <c r="CP81" i="1"/>
  <c r="CM81" i="1"/>
  <c r="CM96" i="1"/>
  <c r="CN96" i="1"/>
  <c r="CP96" i="1"/>
  <c r="CN83" i="1"/>
  <c r="CP83" i="1"/>
  <c r="CM83" i="1"/>
  <c r="CN84" i="1"/>
  <c r="CM84" i="1"/>
  <c r="CP84" i="1"/>
  <c r="CP92" i="1"/>
  <c r="CN92" i="1"/>
  <c r="CM92" i="1"/>
  <c r="CP89" i="1"/>
  <c r="CN89" i="1"/>
  <c r="CM89" i="1"/>
  <c r="CM85" i="1"/>
  <c r="CP85" i="1"/>
  <c r="CN85" i="1"/>
  <c r="CN105" i="1"/>
  <c r="CM105" i="1"/>
  <c r="CP105" i="1"/>
  <c r="CP74" i="1"/>
  <c r="CM74" i="1"/>
  <c r="CN74" i="1"/>
  <c r="CP93" i="1"/>
  <c r="CN93" i="1"/>
  <c r="CM93" i="1"/>
  <c r="CN88" i="1"/>
  <c r="CP88" i="1"/>
  <c r="CM88" i="1"/>
  <c r="CM77" i="1"/>
  <c r="CN77" i="1"/>
  <c r="CP77" i="1"/>
  <c r="CP108" i="1"/>
  <c r="CM108" i="1"/>
  <c r="CN108" i="1"/>
  <c r="CM94" i="1"/>
  <c r="CP94" i="1"/>
  <c r="CN94" i="1"/>
  <c r="CP100" i="1"/>
  <c r="CN100" i="1"/>
  <c r="CM100" i="1"/>
  <c r="CP102" i="1"/>
  <c r="CN102" i="1"/>
  <c r="CM102" i="1"/>
  <c r="CP90" i="1"/>
  <c r="CN90" i="1"/>
  <c r="CM90" i="1"/>
  <c r="CP99" i="1"/>
  <c r="CN99" i="1"/>
  <c r="CM99" i="1"/>
  <c r="CP71" i="1"/>
  <c r="CM71" i="1"/>
  <c r="CN71" i="1"/>
  <c r="CP78" i="1"/>
  <c r="CM78" i="1"/>
  <c r="CN78" i="1"/>
  <c r="CM80" i="1"/>
  <c r="CP80" i="1"/>
  <c r="CN80" i="1"/>
  <c r="CN104" i="1"/>
  <c r="CP104" i="1"/>
  <c r="CM104" i="1"/>
  <c r="CN82" i="1"/>
  <c r="CP82" i="1"/>
  <c r="CM82" i="1"/>
  <c r="CP95" i="1"/>
  <c r="CN95" i="1"/>
  <c r="CM95" i="1"/>
  <c r="CN72" i="1"/>
  <c r="CP72" i="1"/>
  <c r="CM72" i="1"/>
  <c r="CN107" i="1"/>
  <c r="CP107" i="1"/>
  <c r="CM107" i="1"/>
  <c r="CN103" i="1"/>
  <c r="CP103" i="1"/>
  <c r="CM103" i="1"/>
  <c r="CP91" i="1"/>
  <c r="CM91" i="1"/>
  <c r="CN91" i="1"/>
  <c r="CP97" i="1"/>
  <c r="CN97" i="1"/>
  <c r="CM97" i="1"/>
  <c r="CM76" i="1"/>
  <c r="CP76" i="1"/>
  <c r="CN76" i="1"/>
  <c r="CP79" i="1"/>
  <c r="CN79" i="1"/>
  <c r="CM79" i="1"/>
  <c r="CM87" i="1"/>
  <c r="CN87" i="1"/>
  <c r="CP87" i="1"/>
  <c r="CP86" i="1"/>
  <c r="CM86" i="1"/>
  <c r="CN86" i="1"/>
  <c r="X117" i="1"/>
  <c r="CK117" i="1" s="1"/>
  <c r="CL117" i="1" s="1"/>
  <c r="X118" i="1"/>
  <c r="CK118" i="1" s="1"/>
  <c r="CL118" i="1" s="1"/>
  <c r="X115" i="1"/>
  <c r="CK115" i="1" s="1"/>
  <c r="CL115" i="1" s="1"/>
  <c r="X122" i="1"/>
  <c r="CK122" i="1" s="1"/>
  <c r="CL122" i="1" s="1"/>
  <c r="X113" i="1"/>
  <c r="CK113" i="1" s="1"/>
  <c r="CL113" i="1" s="1"/>
  <c r="X119" i="1"/>
  <c r="CK119" i="1" s="1"/>
  <c r="CL119" i="1" s="1"/>
  <c r="X125" i="1"/>
  <c r="CK125" i="1" s="1"/>
  <c r="CL125" i="1" s="1"/>
  <c r="X126" i="1"/>
  <c r="CK126" i="1" s="1"/>
  <c r="CL126" i="1" s="1"/>
  <c r="X123" i="1"/>
  <c r="CK123" i="1" s="1"/>
  <c r="CL123" i="1" s="1"/>
  <c r="X121" i="1"/>
  <c r="CK121" i="1" s="1"/>
  <c r="CL121" i="1" s="1"/>
  <c r="X112" i="1"/>
  <c r="CK112" i="1" s="1"/>
  <c r="CL112" i="1" s="1"/>
  <c r="X114" i="1"/>
  <c r="CK114" i="1" s="1"/>
  <c r="CL114" i="1" s="1"/>
  <c r="X116" i="1"/>
  <c r="CK116" i="1" s="1"/>
  <c r="CL116" i="1" s="1"/>
  <c r="X111" i="1"/>
  <c r="CK111" i="1" s="1"/>
  <c r="CL111" i="1" s="1"/>
  <c r="X129" i="1"/>
  <c r="CK129" i="1" s="1"/>
  <c r="CL129" i="1" s="1"/>
  <c r="X120" i="1"/>
  <c r="CK120" i="1" s="1"/>
  <c r="CL120" i="1" s="1"/>
  <c r="X110" i="1"/>
  <c r="CK110" i="1" s="1"/>
  <c r="CL110" i="1" s="1"/>
  <c r="X124" i="1"/>
  <c r="CK124" i="1" s="1"/>
  <c r="CL124" i="1" s="1"/>
  <c r="X109" i="1"/>
  <c r="CK109" i="1" s="1"/>
  <c r="CL109" i="1" s="1"/>
  <c r="X127" i="1"/>
  <c r="CK127" i="1" s="1"/>
  <c r="CL127" i="1" s="1"/>
  <c r="EK82" i="1"/>
  <c r="EK103" i="1"/>
  <c r="EK98" i="1"/>
  <c r="EK88" i="1"/>
  <c r="EK81" i="1"/>
  <c r="EK80" i="1"/>
  <c r="ES64" i="1"/>
  <c r="ES66" i="1"/>
  <c r="EK85" i="1"/>
  <c r="ES67" i="1"/>
  <c r="EK104" i="1"/>
  <c r="EK94" i="1"/>
  <c r="EK91" i="1"/>
  <c r="EK102" i="1"/>
  <c r="EK74" i="1"/>
  <c r="EK73" i="1"/>
  <c r="EK75" i="1"/>
  <c r="EK76" i="1"/>
  <c r="EK107" i="1"/>
  <c r="EK78" i="1"/>
  <c r="EK71" i="1"/>
  <c r="EZ106" i="1"/>
  <c r="ES106" i="1"/>
  <c r="EK83" i="1"/>
  <c r="ES58" i="1"/>
  <c r="EK93" i="1"/>
  <c r="EK79" i="1"/>
  <c r="EK77" i="1"/>
  <c r="EK100" i="1"/>
  <c r="EK108" i="1"/>
  <c r="EK72" i="1"/>
  <c r="EK89" i="1"/>
  <c r="EK105" i="1"/>
  <c r="EK86" i="1"/>
  <c r="EK87" i="1"/>
  <c r="EK92" i="1"/>
  <c r="ES61" i="1"/>
  <c r="ES101" i="1"/>
  <c r="EZ101" i="1"/>
  <c r="EK95" i="1"/>
  <c r="ES70" i="1"/>
  <c r="EK99" i="1"/>
  <c r="EK90" i="1"/>
  <c r="EK97" i="1"/>
  <c r="EK84" i="1"/>
  <c r="EK96" i="1"/>
  <c r="ES60" i="1"/>
  <c r="EJ41" i="1"/>
  <c r="ED37" i="1"/>
  <c r="EH37" i="1" s="1"/>
  <c r="EP37" i="1" s="1"/>
  <c r="P15" i="15"/>
  <c r="AG37" i="1" l="1"/>
  <c r="AC38" i="1"/>
  <c r="CN114" i="1"/>
  <c r="CM114" i="1"/>
  <c r="CP114" i="1"/>
  <c r="CP113" i="1"/>
  <c r="CN113" i="1"/>
  <c r="CM113" i="1"/>
  <c r="CP127" i="1"/>
  <c r="CN127" i="1"/>
  <c r="CM127" i="1"/>
  <c r="CP122" i="1"/>
  <c r="CM122" i="1"/>
  <c r="CN122" i="1"/>
  <c r="CP116" i="1"/>
  <c r="CN116" i="1"/>
  <c r="CM116" i="1"/>
  <c r="CM112" i="1"/>
  <c r="CN112" i="1"/>
  <c r="CP112" i="1"/>
  <c r="CN119" i="1"/>
  <c r="CP119" i="1"/>
  <c r="CM119" i="1"/>
  <c r="CP115" i="1"/>
  <c r="CN115" i="1"/>
  <c r="CM115" i="1"/>
  <c r="CM118" i="1"/>
  <c r="CP118" i="1"/>
  <c r="CN118" i="1"/>
  <c r="CP117" i="1"/>
  <c r="CN117" i="1"/>
  <c r="CM117" i="1"/>
  <c r="CP120" i="1"/>
  <c r="CN120" i="1"/>
  <c r="CM120" i="1"/>
  <c r="CN109" i="1"/>
  <c r="CP109" i="1"/>
  <c r="CM109" i="1"/>
  <c r="CP124" i="1"/>
  <c r="CN124" i="1"/>
  <c r="CM124" i="1"/>
  <c r="CP110" i="1"/>
  <c r="CN110" i="1"/>
  <c r="CM110" i="1"/>
  <c r="CN129" i="1"/>
  <c r="CM129" i="1"/>
  <c r="CP129" i="1"/>
  <c r="CP111" i="1"/>
  <c r="CM111" i="1"/>
  <c r="CN111" i="1"/>
  <c r="CM121" i="1"/>
  <c r="CN121" i="1"/>
  <c r="CP121" i="1"/>
  <c r="CP123" i="1"/>
  <c r="CN123" i="1"/>
  <c r="CM123" i="1"/>
  <c r="CM126" i="1"/>
  <c r="CP126" i="1"/>
  <c r="CN126" i="1"/>
  <c r="CP125" i="1"/>
  <c r="CM125" i="1"/>
  <c r="CN125" i="1"/>
  <c r="X141" i="1"/>
  <c r="CK141" i="1" s="1"/>
  <c r="CL141" i="1" s="1"/>
  <c r="X138" i="1"/>
  <c r="CK138" i="1" s="1"/>
  <c r="CL138" i="1" s="1"/>
  <c r="X137" i="1"/>
  <c r="CK137" i="1" s="1"/>
  <c r="CL137" i="1" s="1"/>
  <c r="X153" i="1"/>
  <c r="CK153" i="1" s="1"/>
  <c r="CL153" i="1" s="1"/>
  <c r="X149" i="1"/>
  <c r="CK149" i="1" s="1"/>
  <c r="CL149" i="1" s="1"/>
  <c r="X155" i="1"/>
  <c r="CK155" i="1" s="1"/>
  <c r="CL155" i="1" s="1"/>
  <c r="X143" i="1"/>
  <c r="CK143" i="1" s="1"/>
  <c r="CL143" i="1" s="1"/>
  <c r="X145" i="1"/>
  <c r="CK145" i="1" s="1"/>
  <c r="CL145" i="1" s="1"/>
  <c r="X133" i="1"/>
  <c r="CK133" i="1" s="1"/>
  <c r="CL133" i="1" s="1"/>
  <c r="X144" i="1"/>
  <c r="CK144" i="1" s="1"/>
  <c r="CL144" i="1" s="1"/>
  <c r="X150" i="1"/>
  <c r="CK150" i="1" s="1"/>
  <c r="CL150" i="1" s="1"/>
  <c r="X147" i="1"/>
  <c r="CK147" i="1" s="1"/>
  <c r="CL147" i="1" s="1"/>
  <c r="X139" i="1"/>
  <c r="CK139" i="1" s="1"/>
  <c r="CL139" i="1" s="1"/>
  <c r="X140" i="1"/>
  <c r="CK140" i="1" s="1"/>
  <c r="CL140" i="1" s="1"/>
  <c r="X134" i="1"/>
  <c r="CK134" i="1" s="1"/>
  <c r="CL134" i="1" s="1"/>
  <c r="X131" i="1"/>
  <c r="CK131" i="1" s="1"/>
  <c r="CL131" i="1" s="1"/>
  <c r="X152" i="1"/>
  <c r="CK152" i="1" s="1"/>
  <c r="CL152" i="1" s="1"/>
  <c r="X151" i="1"/>
  <c r="CK151" i="1" s="1"/>
  <c r="CL151" i="1" s="1"/>
  <c r="X146" i="1"/>
  <c r="CK146" i="1" s="1"/>
  <c r="CL146" i="1" s="1"/>
  <c r="X132" i="1"/>
  <c r="CK132" i="1" s="1"/>
  <c r="CL132" i="1" s="1"/>
  <c r="X130" i="1"/>
  <c r="CK130" i="1" s="1"/>
  <c r="CL130" i="1" s="1"/>
  <c r="X148" i="1"/>
  <c r="CK148" i="1" s="1"/>
  <c r="CL148" i="1" s="1"/>
  <c r="X135" i="1"/>
  <c r="CK135" i="1" s="1"/>
  <c r="CL135" i="1" s="1"/>
  <c r="X142" i="1"/>
  <c r="CK142" i="1" s="1"/>
  <c r="CL142" i="1" s="1"/>
  <c r="X136" i="1"/>
  <c r="CK136" i="1" s="1"/>
  <c r="CL136" i="1" s="1"/>
  <c r="EK117" i="1"/>
  <c r="ES72" i="1"/>
  <c r="ES74" i="1"/>
  <c r="ES102" i="1"/>
  <c r="EK110" i="1"/>
  <c r="EK123" i="1"/>
  <c r="ES97" i="1"/>
  <c r="EK120" i="1"/>
  <c r="ES100" i="1"/>
  <c r="ES71" i="1"/>
  <c r="ES91" i="1"/>
  <c r="EK112" i="1"/>
  <c r="ES80" i="1"/>
  <c r="ES89" i="1"/>
  <c r="EK124" i="1"/>
  <c r="ES77" i="1"/>
  <c r="ES78" i="1"/>
  <c r="ES94" i="1"/>
  <c r="ES105" i="1"/>
  <c r="EK121" i="1"/>
  <c r="ES108" i="1"/>
  <c r="ES92" i="1"/>
  <c r="EK115" i="1"/>
  <c r="ES79" i="1"/>
  <c r="ES107" i="1"/>
  <c r="ES104" i="1"/>
  <c r="ES90" i="1"/>
  <c r="ES76" i="1"/>
  <c r="ES88" i="1"/>
  <c r="ES95" i="1"/>
  <c r="ES87" i="1"/>
  <c r="EK114" i="1"/>
  <c r="EK129" i="1"/>
  <c r="ES93" i="1"/>
  <c r="EK109" i="1"/>
  <c r="EK122" i="1"/>
  <c r="ES98" i="1"/>
  <c r="ES84" i="1"/>
  <c r="EK125" i="1"/>
  <c r="ES99" i="1"/>
  <c r="ES86" i="1"/>
  <c r="EK116" i="1"/>
  <c r="EK113" i="1"/>
  <c r="ES75" i="1"/>
  <c r="ES103" i="1"/>
  <c r="EK111" i="1"/>
  <c r="EK118" i="1"/>
  <c r="ES73" i="1"/>
  <c r="ES85" i="1"/>
  <c r="ES128" i="1"/>
  <c r="EZ128" i="1"/>
  <c r="EK126" i="1"/>
  <c r="ES82" i="1"/>
  <c r="EK127" i="1"/>
  <c r="ES96" i="1"/>
  <c r="EK119" i="1"/>
  <c r="ES83" i="1"/>
  <c r="ED38" i="1"/>
  <c r="EH38" i="1" s="1"/>
  <c r="EP38" i="1" s="1"/>
  <c r="EJ42" i="1"/>
  <c r="P16" i="15"/>
  <c r="AG38" i="1" l="1"/>
  <c r="AC39" i="1"/>
  <c r="CN153" i="1"/>
  <c r="CM153" i="1"/>
  <c r="CP153" i="1"/>
  <c r="CM151" i="1"/>
  <c r="CP151" i="1"/>
  <c r="CN151" i="1"/>
  <c r="CN138" i="1"/>
  <c r="CP138" i="1"/>
  <c r="CM138" i="1"/>
  <c r="CP132" i="1"/>
  <c r="CM132" i="1"/>
  <c r="CN132" i="1"/>
  <c r="CN137" i="1"/>
  <c r="CP137" i="1"/>
  <c r="CM137" i="1"/>
  <c r="CM141" i="1"/>
  <c r="CP141" i="1"/>
  <c r="CN141" i="1"/>
  <c r="CN146" i="1"/>
  <c r="CM146" i="1"/>
  <c r="CP146" i="1"/>
  <c r="CP152" i="1"/>
  <c r="CM152" i="1"/>
  <c r="CN152" i="1"/>
  <c r="CN131" i="1"/>
  <c r="CP131" i="1"/>
  <c r="CM131" i="1"/>
  <c r="CN134" i="1"/>
  <c r="CP134" i="1"/>
  <c r="CM134" i="1"/>
  <c r="CN140" i="1"/>
  <c r="CP140" i="1"/>
  <c r="CM140" i="1"/>
  <c r="CN139" i="1"/>
  <c r="CP139" i="1"/>
  <c r="CM139" i="1"/>
  <c r="CM147" i="1"/>
  <c r="CP147" i="1"/>
  <c r="CN147" i="1"/>
  <c r="CP150" i="1"/>
  <c r="CN150" i="1"/>
  <c r="CM150" i="1"/>
  <c r="CP144" i="1"/>
  <c r="CN144" i="1"/>
  <c r="CM144" i="1"/>
  <c r="CN136" i="1"/>
  <c r="CM136" i="1"/>
  <c r="CP136" i="1"/>
  <c r="CP133" i="1"/>
  <c r="CN133" i="1"/>
  <c r="CM133" i="1"/>
  <c r="CP142" i="1"/>
  <c r="CN142" i="1"/>
  <c r="CM142" i="1"/>
  <c r="CN145" i="1"/>
  <c r="CP145" i="1"/>
  <c r="CM145" i="1"/>
  <c r="CP135" i="1"/>
  <c r="CN135" i="1"/>
  <c r="CM135" i="1"/>
  <c r="CN143" i="1"/>
  <c r="CP143" i="1"/>
  <c r="CM143" i="1"/>
  <c r="CP148" i="1"/>
  <c r="CN148" i="1"/>
  <c r="CM148" i="1"/>
  <c r="CP155" i="1"/>
  <c r="CN155" i="1"/>
  <c r="CM155" i="1"/>
  <c r="CP130" i="1"/>
  <c r="CN130" i="1"/>
  <c r="CM130" i="1"/>
  <c r="CN149" i="1"/>
  <c r="CM149" i="1"/>
  <c r="CP149" i="1"/>
  <c r="X166" i="1"/>
  <c r="CK166" i="1" s="1"/>
  <c r="CL166" i="1" s="1"/>
  <c r="X174" i="1"/>
  <c r="CK174" i="1" s="1"/>
  <c r="CL174" i="1" s="1"/>
  <c r="X171" i="1"/>
  <c r="CK171" i="1" s="1"/>
  <c r="CL171" i="1" s="1"/>
  <c r="X168" i="1"/>
  <c r="CK168" i="1" s="1"/>
  <c r="CL168" i="1" s="1"/>
  <c r="X159" i="1"/>
  <c r="CK159" i="1" s="1"/>
  <c r="CL159" i="1" s="1"/>
  <c r="X160" i="1"/>
  <c r="CK160" i="1" s="1"/>
  <c r="CL160" i="1" s="1"/>
  <c r="X169" i="1"/>
  <c r="CK169" i="1" s="1"/>
  <c r="CL169" i="1" s="1"/>
  <c r="X172" i="1"/>
  <c r="CK172" i="1" s="1"/>
  <c r="CL172" i="1" s="1"/>
  <c r="X165" i="1"/>
  <c r="CK165" i="1" s="1"/>
  <c r="CL165" i="1" s="1"/>
  <c r="X161" i="1"/>
  <c r="CK161" i="1" s="1"/>
  <c r="CL161" i="1" s="1"/>
  <c r="X170" i="1"/>
  <c r="CK170" i="1" s="1"/>
  <c r="CL170" i="1" s="1"/>
  <c r="X162" i="1"/>
  <c r="CK162" i="1" s="1"/>
  <c r="CL162" i="1" s="1"/>
  <c r="X164" i="1"/>
  <c r="CK164" i="1" s="1"/>
  <c r="CL164" i="1" s="1"/>
  <c r="X158" i="1"/>
  <c r="CK158" i="1" s="1"/>
  <c r="CL158" i="1" s="1"/>
  <c r="X157" i="1"/>
  <c r="CK157" i="1" s="1"/>
  <c r="CL157" i="1" s="1"/>
  <c r="X163" i="1"/>
  <c r="CK163" i="1" s="1"/>
  <c r="CL163" i="1" s="1"/>
  <c r="X167" i="1"/>
  <c r="CK167" i="1" s="1"/>
  <c r="CL167" i="1" s="1"/>
  <c r="EK142" i="1"/>
  <c r="EK148" i="1"/>
  <c r="ES115" i="1"/>
  <c r="ES112" i="1"/>
  <c r="EK155" i="1"/>
  <c r="ES118" i="1"/>
  <c r="EK135" i="1"/>
  <c r="ES119" i="1"/>
  <c r="EK139" i="1"/>
  <c r="ES110" i="1"/>
  <c r="ES129" i="1"/>
  <c r="EK150" i="1"/>
  <c r="EK143" i="1"/>
  <c r="EK147" i="1"/>
  <c r="EK138" i="1"/>
  <c r="ES125" i="1"/>
  <c r="EK134" i="1"/>
  <c r="EK131" i="1"/>
  <c r="ES114" i="1"/>
  <c r="EK146" i="1"/>
  <c r="EK141" i="1"/>
  <c r="EK137" i="1"/>
  <c r="EK153" i="1"/>
  <c r="EK140" i="1"/>
  <c r="EZ154" i="1"/>
  <c r="ES154" i="1"/>
  <c r="ES127" i="1"/>
  <c r="EZ156" i="1"/>
  <c r="ES156" i="1"/>
  <c r="ES124" i="1"/>
  <c r="ES126" i="1"/>
  <c r="EK144" i="1"/>
  <c r="EK136" i="1"/>
  <c r="EK133" i="1"/>
  <c r="EK130" i="1"/>
  <c r="ES121" i="1"/>
  <c r="EK151" i="1"/>
  <c r="ES120" i="1"/>
  <c r="EK132" i="1"/>
  <c r="ES116" i="1"/>
  <c r="ES122" i="1"/>
  <c r="ES117" i="1"/>
  <c r="EK152" i="1"/>
  <c r="EK145" i="1"/>
  <c r="EK149" i="1"/>
  <c r="ED39" i="1"/>
  <c r="EH39" i="1" s="1"/>
  <c r="EP39" i="1" s="1"/>
  <c r="EJ43" i="1"/>
  <c r="P17" i="15"/>
  <c r="AT7" i="1"/>
  <c r="AG39" i="1" l="1"/>
  <c r="AC40" i="1"/>
  <c r="CP169" i="1"/>
  <c r="CM169" i="1"/>
  <c r="CN169" i="1"/>
  <c r="CM159" i="1"/>
  <c r="CN159" i="1"/>
  <c r="CP159" i="1"/>
  <c r="CP168" i="1"/>
  <c r="CM168" i="1"/>
  <c r="CN168" i="1"/>
  <c r="CN171" i="1"/>
  <c r="CP171" i="1"/>
  <c r="CM171" i="1"/>
  <c r="CP167" i="1"/>
  <c r="CN167" i="1"/>
  <c r="CM167" i="1"/>
  <c r="CP166" i="1"/>
  <c r="CM166" i="1"/>
  <c r="CN166" i="1"/>
  <c r="CN165" i="1"/>
  <c r="CM165" i="1"/>
  <c r="CP165" i="1"/>
  <c r="CP174" i="1"/>
  <c r="CN174" i="1"/>
  <c r="CM174" i="1"/>
  <c r="CP163" i="1"/>
  <c r="CN163" i="1"/>
  <c r="CM163" i="1"/>
  <c r="CP157" i="1"/>
  <c r="CM157" i="1"/>
  <c r="CN157" i="1"/>
  <c r="CP164" i="1"/>
  <c r="CN164" i="1"/>
  <c r="CM164" i="1"/>
  <c r="CP158" i="1"/>
  <c r="CM158" i="1"/>
  <c r="CN158" i="1"/>
  <c r="CN162" i="1"/>
  <c r="CM162" i="1"/>
  <c r="CP162" i="1"/>
  <c r="CP170" i="1"/>
  <c r="CN170" i="1"/>
  <c r="CM170" i="1"/>
  <c r="CN172" i="1"/>
  <c r="CP172" i="1"/>
  <c r="CM172" i="1"/>
  <c r="CP161" i="1"/>
  <c r="CN161" i="1"/>
  <c r="CM161" i="1"/>
  <c r="CN160" i="1"/>
  <c r="CP160" i="1"/>
  <c r="CM160" i="1"/>
  <c r="X175" i="1"/>
  <c r="CK175" i="1" s="1"/>
  <c r="CL175" i="1" s="1"/>
  <c r="X177" i="1"/>
  <c r="CK177" i="1" s="1"/>
  <c r="CL177" i="1" s="1"/>
  <c r="X176" i="1"/>
  <c r="CK176" i="1" s="1"/>
  <c r="CL176" i="1" s="1"/>
  <c r="EK165" i="1"/>
  <c r="EK169" i="1"/>
  <c r="ES137" i="1"/>
  <c r="ES138" i="1"/>
  <c r="EK174" i="1"/>
  <c r="ES155" i="1"/>
  <c r="EK157" i="1"/>
  <c r="ES141" i="1"/>
  <c r="ES147" i="1"/>
  <c r="EK162" i="1"/>
  <c r="EK166" i="1"/>
  <c r="ES139" i="1"/>
  <c r="EK172" i="1"/>
  <c r="EK171" i="1"/>
  <c r="ES133" i="1"/>
  <c r="ES150" i="1"/>
  <c r="EK161" i="1"/>
  <c r="ES130" i="1"/>
  <c r="EK168" i="1"/>
  <c r="ES135" i="1"/>
  <c r="ES149" i="1"/>
  <c r="EZ173" i="1"/>
  <c r="ES173" i="1"/>
  <c r="ES148" i="1"/>
  <c r="ES131" i="1"/>
  <c r="EK163" i="1"/>
  <c r="ES146" i="1"/>
  <c r="ES132" i="1"/>
  <c r="ES145" i="1"/>
  <c r="ES144" i="1"/>
  <c r="EK164" i="1"/>
  <c r="EK158" i="1"/>
  <c r="ES136" i="1"/>
  <c r="ES152" i="1"/>
  <c r="ES140" i="1"/>
  <c r="ES134" i="1"/>
  <c r="EK167" i="1"/>
  <c r="EK170" i="1"/>
  <c r="EX170" i="1" s="1"/>
  <c r="EK159" i="1"/>
  <c r="ES143" i="1"/>
  <c r="ES153" i="1"/>
  <c r="EK160" i="1"/>
  <c r="ES142" i="1"/>
  <c r="ED40" i="1"/>
  <c r="EH40" i="1" s="1"/>
  <c r="EP40" i="1" s="1"/>
  <c r="EJ45" i="1"/>
  <c r="P18" i="15"/>
  <c r="AG40" i="1" l="1"/>
  <c r="AC41" i="1"/>
  <c r="CP176" i="1"/>
  <c r="CN176" i="1"/>
  <c r="CM176" i="1"/>
  <c r="CN175" i="1"/>
  <c r="CP175" i="1"/>
  <c r="CM175" i="1"/>
  <c r="CP177" i="1"/>
  <c r="CN177" i="1"/>
  <c r="CM177" i="1"/>
  <c r="X181" i="1"/>
  <c r="CK181" i="1" s="1"/>
  <c r="CL181" i="1" s="1"/>
  <c r="X180" i="1"/>
  <c r="CK180" i="1" s="1"/>
  <c r="CL180" i="1" s="1"/>
  <c r="ES157" i="1"/>
  <c r="ES170" i="1"/>
  <c r="ES172" i="1"/>
  <c r="EK176" i="1"/>
  <c r="ES166" i="1"/>
  <c r="ES174" i="1"/>
  <c r="ES168" i="1"/>
  <c r="ES179" i="1"/>
  <c r="EZ179" i="1"/>
  <c r="ES167" i="1"/>
  <c r="ES161" i="1"/>
  <c r="EK177" i="1"/>
  <c r="ES162" i="1"/>
  <c r="ES158" i="1"/>
  <c r="ES159" i="1"/>
  <c r="ES163" i="1"/>
  <c r="ES164" i="1"/>
  <c r="ES169" i="1"/>
  <c r="ES178" i="1"/>
  <c r="EZ178" i="1"/>
  <c r="EK175" i="1"/>
  <c r="ES160" i="1"/>
  <c r="ES171" i="1"/>
  <c r="ES165" i="1"/>
  <c r="ED41" i="1"/>
  <c r="EH41" i="1" s="1"/>
  <c r="EP41" i="1" s="1"/>
  <c r="EJ46" i="1"/>
  <c r="P19" i="15"/>
  <c r="AG41" i="1" l="1"/>
  <c r="AC42" i="1"/>
  <c r="CP180" i="1"/>
  <c r="CN180" i="1"/>
  <c r="CM180" i="1"/>
  <c r="CM181" i="1"/>
  <c r="CP181" i="1"/>
  <c r="CN181" i="1"/>
  <c r="X197" i="1"/>
  <c r="CK197" i="1" s="1"/>
  <c r="CL197" i="1" s="1"/>
  <c r="X192" i="1"/>
  <c r="CK192" i="1" s="1"/>
  <c r="CL192" i="1" s="1"/>
  <c r="X199" i="1"/>
  <c r="CK199" i="1" s="1"/>
  <c r="CL199" i="1" s="1"/>
  <c r="X191" i="1"/>
  <c r="CK191" i="1" s="1"/>
  <c r="CL191" i="1" s="1"/>
  <c r="X201" i="1"/>
  <c r="CK201" i="1" s="1"/>
  <c r="CL201" i="1" s="1"/>
  <c r="X202" i="1"/>
  <c r="CK202" i="1" s="1"/>
  <c r="CL202" i="1" s="1"/>
  <c r="X195" i="1"/>
  <c r="CK195" i="1" s="1"/>
  <c r="CL195" i="1" s="1"/>
  <c r="X194" i="1"/>
  <c r="CK194" i="1" s="1"/>
  <c r="CL194" i="1" s="1"/>
  <c r="X208" i="1"/>
  <c r="CK208" i="1" s="1"/>
  <c r="CL208" i="1" s="1"/>
  <c r="X189" i="1"/>
  <c r="CK189" i="1" s="1"/>
  <c r="CL189" i="1" s="1"/>
  <c r="X198" i="1"/>
  <c r="CK198" i="1" s="1"/>
  <c r="CL198" i="1" s="1"/>
  <c r="X187" i="1"/>
  <c r="CK187" i="1" s="1"/>
  <c r="CL187" i="1" s="1"/>
  <c r="X204" i="1"/>
  <c r="CK204" i="1" s="1"/>
  <c r="CL204" i="1" s="1"/>
  <c r="X200" i="1"/>
  <c r="CK200" i="1" s="1"/>
  <c r="CL200" i="1" s="1"/>
  <c r="X188" i="1"/>
  <c r="CK188" i="1" s="1"/>
  <c r="CL188" i="1" s="1"/>
  <c r="X193" i="1"/>
  <c r="CK193" i="1" s="1"/>
  <c r="CL193" i="1" s="1"/>
  <c r="X190" i="1"/>
  <c r="CK190" i="1" s="1"/>
  <c r="CL190" i="1" s="1"/>
  <c r="X205" i="1"/>
  <c r="CK205" i="1" s="1"/>
  <c r="CL205" i="1" s="1"/>
  <c r="X184" i="1"/>
  <c r="CK184" i="1" s="1"/>
  <c r="CL184" i="1" s="1"/>
  <c r="X203" i="1"/>
  <c r="CK203" i="1" s="1"/>
  <c r="CL203" i="1" s="1"/>
  <c r="X185" i="1"/>
  <c r="CK185" i="1" s="1"/>
  <c r="CL185" i="1" s="1"/>
  <c r="X207" i="1"/>
  <c r="CK207" i="1" s="1"/>
  <c r="CL207" i="1" s="1"/>
  <c r="X196" i="1"/>
  <c r="CK196" i="1" s="1"/>
  <c r="CL196" i="1" s="1"/>
  <c r="X206" i="1"/>
  <c r="CK206" i="1" s="1"/>
  <c r="CL206" i="1" s="1"/>
  <c r="X186" i="1"/>
  <c r="CK186" i="1" s="1"/>
  <c r="CL186" i="1" s="1"/>
  <c r="ES176" i="1"/>
  <c r="EZ183" i="1"/>
  <c r="ES183" i="1"/>
  <c r="EK181" i="1"/>
  <c r="EK180" i="1"/>
  <c r="ES177" i="1"/>
  <c r="EZ182" i="1"/>
  <c r="ES182" i="1"/>
  <c r="ED42" i="1"/>
  <c r="EH42" i="1" s="1"/>
  <c r="EP42" i="1" s="1"/>
  <c r="EJ48" i="1"/>
  <c r="P20" i="15"/>
  <c r="AG42" i="1" l="1"/>
  <c r="AC43" i="1"/>
  <c r="CP187" i="1"/>
  <c r="CN187" i="1"/>
  <c r="CM187" i="1"/>
  <c r="CP198" i="1"/>
  <c r="CN198" i="1"/>
  <c r="CM198" i="1"/>
  <c r="CN189" i="1"/>
  <c r="CP189" i="1"/>
  <c r="CM189" i="1"/>
  <c r="CP208" i="1"/>
  <c r="CM208" i="1"/>
  <c r="CN208" i="1"/>
  <c r="CN206" i="1"/>
  <c r="CP206" i="1"/>
  <c r="CM206" i="1"/>
  <c r="CN185" i="1"/>
  <c r="CP185" i="1"/>
  <c r="CM185" i="1"/>
  <c r="CM186" i="1"/>
  <c r="CN186" i="1"/>
  <c r="CP186" i="1"/>
  <c r="CM194" i="1"/>
  <c r="CP194" i="1"/>
  <c r="CN194" i="1"/>
  <c r="CP196" i="1"/>
  <c r="CM196" i="1"/>
  <c r="CN196" i="1"/>
  <c r="CM195" i="1"/>
  <c r="CN195" i="1"/>
  <c r="CP195" i="1"/>
  <c r="CP207" i="1"/>
  <c r="CM207" i="1"/>
  <c r="CN207" i="1"/>
  <c r="CN202" i="1"/>
  <c r="CM202" i="1"/>
  <c r="CP202" i="1"/>
  <c r="CM201" i="1"/>
  <c r="CP201" i="1"/>
  <c r="CN201" i="1"/>
  <c r="CM191" i="1"/>
  <c r="CP191" i="1"/>
  <c r="CN191" i="1"/>
  <c r="CN199" i="1"/>
  <c r="CP199" i="1"/>
  <c r="CM199" i="1"/>
  <c r="CN205" i="1"/>
  <c r="CM205" i="1"/>
  <c r="CP205" i="1"/>
  <c r="CP192" i="1"/>
  <c r="CN192" i="1"/>
  <c r="CM192" i="1"/>
  <c r="CN197" i="1"/>
  <c r="CP197" i="1"/>
  <c r="CM197" i="1"/>
  <c r="CN193" i="1"/>
  <c r="CM193" i="1"/>
  <c r="CP193" i="1"/>
  <c r="CP184" i="1"/>
  <c r="CN184" i="1"/>
  <c r="CM184" i="1"/>
  <c r="CN200" i="1"/>
  <c r="CP200" i="1"/>
  <c r="CM200" i="1"/>
  <c r="CP203" i="1"/>
  <c r="CN203" i="1"/>
  <c r="CM203" i="1"/>
  <c r="CP190" i="1"/>
  <c r="CN190" i="1"/>
  <c r="CM190" i="1"/>
  <c r="CP188" i="1"/>
  <c r="CN188" i="1"/>
  <c r="CM188" i="1"/>
  <c r="CN204" i="1"/>
  <c r="CM204" i="1"/>
  <c r="CP204" i="1"/>
  <c r="X214" i="1"/>
  <c r="CK214" i="1" s="1"/>
  <c r="CL214" i="1" s="1"/>
  <c r="X211" i="1"/>
  <c r="CK211" i="1" s="1"/>
  <c r="CL211" i="1" s="1"/>
  <c r="X210" i="1"/>
  <c r="CK210" i="1" s="1"/>
  <c r="CL210" i="1" s="1"/>
  <c r="X215" i="1"/>
  <c r="CK215" i="1" s="1"/>
  <c r="CL215" i="1" s="1"/>
  <c r="X213" i="1"/>
  <c r="CK213" i="1" s="1"/>
  <c r="CL213" i="1" s="1"/>
  <c r="X217" i="1"/>
  <c r="CK217" i="1" s="1"/>
  <c r="CL217" i="1" s="1"/>
  <c r="X216" i="1"/>
  <c r="CK216" i="1" s="1"/>
  <c r="CL216" i="1" s="1"/>
  <c r="X219" i="1"/>
  <c r="CK219" i="1" s="1"/>
  <c r="CL219" i="1" s="1"/>
  <c r="X212" i="1"/>
  <c r="CK212" i="1" s="1"/>
  <c r="CL212" i="1" s="1"/>
  <c r="X218" i="1"/>
  <c r="CK218" i="1" s="1"/>
  <c r="CL218" i="1" s="1"/>
  <c r="X209" i="1"/>
  <c r="CK209" i="1" s="1"/>
  <c r="CL209" i="1" s="1"/>
  <c r="EK203" i="1"/>
  <c r="EX203" i="1" s="1"/>
  <c r="EK202" i="1"/>
  <c r="EK208" i="1"/>
  <c r="EK193" i="1"/>
  <c r="EK200" i="1"/>
  <c r="EK195" i="1"/>
  <c r="EK205" i="1"/>
  <c r="EK194" i="1"/>
  <c r="EK206" i="1"/>
  <c r="EK192" i="1"/>
  <c r="ES180" i="1"/>
  <c r="EK190" i="1"/>
  <c r="EK207" i="1"/>
  <c r="EX207" i="1" s="1"/>
  <c r="EK189" i="1"/>
  <c r="EK187" i="1"/>
  <c r="EK197" i="1"/>
  <c r="EX197" i="1" s="1"/>
  <c r="EK185" i="1"/>
  <c r="EK186" i="1"/>
  <c r="EK204" i="1"/>
  <c r="EK184" i="1"/>
  <c r="EK198" i="1"/>
  <c r="EK201" i="1"/>
  <c r="EK196" i="1"/>
  <c r="ES181" i="1"/>
  <c r="EK191" i="1"/>
  <c r="EK199" i="1"/>
  <c r="EK188" i="1"/>
  <c r="EJ49" i="1"/>
  <c r="ED43" i="1"/>
  <c r="EH43" i="1" s="1"/>
  <c r="EP43" i="1" s="1"/>
  <c r="P21" i="15"/>
  <c r="AG43" i="1" l="1"/>
  <c r="AC45" i="1"/>
  <c r="CP218" i="1"/>
  <c r="CM218" i="1"/>
  <c r="CN218" i="1"/>
  <c r="CN216" i="1"/>
  <c r="CP216" i="1"/>
  <c r="CM216" i="1"/>
  <c r="CP217" i="1"/>
  <c r="CN217" i="1"/>
  <c r="CM217" i="1"/>
  <c r="CM213" i="1"/>
  <c r="CP213" i="1"/>
  <c r="CN213" i="1"/>
  <c r="CP215" i="1"/>
  <c r="CM215" i="1"/>
  <c r="CN215" i="1"/>
  <c r="CP210" i="1"/>
  <c r="CN210" i="1"/>
  <c r="CM210" i="1"/>
  <c r="CP211" i="1"/>
  <c r="CN211" i="1"/>
  <c r="CM211" i="1"/>
  <c r="CN214" i="1"/>
  <c r="CM214" i="1"/>
  <c r="CP214" i="1"/>
  <c r="CN209" i="1"/>
  <c r="CP209" i="1"/>
  <c r="CM209" i="1"/>
  <c r="CM212" i="1"/>
  <c r="CP212" i="1"/>
  <c r="CN212" i="1"/>
  <c r="CP219" i="1"/>
  <c r="CN219" i="1"/>
  <c r="CM219" i="1"/>
  <c r="X222" i="1"/>
  <c r="CK222" i="1" s="1"/>
  <c r="CL222" i="1" s="1"/>
  <c r="X223" i="1"/>
  <c r="CK223" i="1" s="1"/>
  <c r="CL223" i="1" s="1"/>
  <c r="X221" i="1"/>
  <c r="CK221" i="1" s="1"/>
  <c r="CL221" i="1" s="1"/>
  <c r="ES194" i="1"/>
  <c r="ES205" i="1"/>
  <c r="ES195" i="1"/>
  <c r="ES201" i="1"/>
  <c r="ES200" i="1"/>
  <c r="EK215" i="1"/>
  <c r="ES190" i="1"/>
  <c r="ES196" i="1"/>
  <c r="EK209" i="1"/>
  <c r="ES193" i="1"/>
  <c r="EK210" i="1"/>
  <c r="ES198" i="1"/>
  <c r="ES184" i="1"/>
  <c r="EK214" i="1"/>
  <c r="ES189" i="1"/>
  <c r="EK216" i="1"/>
  <c r="ES204" i="1"/>
  <c r="EK218" i="1"/>
  <c r="ES208" i="1"/>
  <c r="EK211" i="1"/>
  <c r="EK219" i="1"/>
  <c r="ES186" i="1"/>
  <c r="ES199" i="1"/>
  <c r="EK212" i="1"/>
  <c r="ES192" i="1"/>
  <c r="ES202" i="1"/>
  <c r="ES197" i="1"/>
  <c r="EK213" i="1"/>
  <c r="ES207" i="1"/>
  <c r="EZ220" i="1"/>
  <c r="ES220" i="1"/>
  <c r="ES185" i="1"/>
  <c r="ES187" i="1"/>
  <c r="EK217" i="1"/>
  <c r="ES188" i="1"/>
  <c r="ES191" i="1"/>
  <c r="ES206" i="1"/>
  <c r="ES203" i="1"/>
  <c r="ED45" i="1"/>
  <c r="EH45" i="1" s="1"/>
  <c r="EP45" i="1" s="1"/>
  <c r="EJ50" i="1"/>
  <c r="P22" i="15"/>
  <c r="AG45" i="1" l="1"/>
  <c r="AC46" i="1"/>
  <c r="CM222" i="1"/>
  <c r="CP222" i="1"/>
  <c r="CN222" i="1"/>
  <c r="CM221" i="1"/>
  <c r="CP221" i="1"/>
  <c r="CN221" i="1"/>
  <c r="CN223" i="1"/>
  <c r="CP223" i="1"/>
  <c r="CM223" i="1"/>
  <c r="X238" i="1"/>
  <c r="CK238" i="1" s="1"/>
  <c r="CL238" i="1" s="1"/>
  <c r="X228" i="1"/>
  <c r="CK228" i="1" s="1"/>
  <c r="CL228" i="1" s="1"/>
  <c r="X229" i="1"/>
  <c r="CK229" i="1" s="1"/>
  <c r="CL229" i="1" s="1"/>
  <c r="X237" i="1"/>
  <c r="CK237" i="1" s="1"/>
  <c r="CL237" i="1" s="1"/>
  <c r="X240" i="1"/>
  <c r="CK240" i="1" s="1"/>
  <c r="CL240" i="1" s="1"/>
  <c r="X230" i="1"/>
  <c r="CK230" i="1" s="1"/>
  <c r="CL230" i="1" s="1"/>
  <c r="X234" i="1"/>
  <c r="CK234" i="1" s="1"/>
  <c r="CL234" i="1" s="1"/>
  <c r="X226" i="1"/>
  <c r="CK226" i="1" s="1"/>
  <c r="CL226" i="1" s="1"/>
  <c r="X231" i="1"/>
  <c r="CK231" i="1" s="1"/>
  <c r="CL231" i="1" s="1"/>
  <c r="X242" i="1"/>
  <c r="CK242" i="1" s="1"/>
  <c r="CL242" i="1" s="1"/>
  <c r="X232" i="1"/>
  <c r="CK232" i="1" s="1"/>
  <c r="CL232" i="1" s="1"/>
  <c r="X233" i="1"/>
  <c r="CK233" i="1" s="1"/>
  <c r="CL233" i="1" s="1"/>
  <c r="X227" i="1"/>
  <c r="CK227" i="1" s="1"/>
  <c r="CL227" i="1" s="1"/>
  <c r="X235" i="1"/>
  <c r="CK235" i="1" s="1"/>
  <c r="CL235" i="1" s="1"/>
  <c r="X239" i="1"/>
  <c r="CK239" i="1" s="1"/>
  <c r="CL239" i="1" s="1"/>
  <c r="X236" i="1"/>
  <c r="CK236" i="1" s="1"/>
  <c r="CL236" i="1" s="1"/>
  <c r="ES216" i="1"/>
  <c r="ES209" i="1"/>
  <c r="ES211" i="1"/>
  <c r="ES215" i="1"/>
  <c r="ES217" i="1"/>
  <c r="ES212" i="1"/>
  <c r="EK222" i="1"/>
  <c r="ES213" i="1"/>
  <c r="EZ225" i="1"/>
  <c r="ES225" i="1"/>
  <c r="ES214" i="1"/>
  <c r="ES210" i="1"/>
  <c r="EK221" i="1"/>
  <c r="ES219" i="1"/>
  <c r="EK223" i="1"/>
  <c r="EZ224" i="1"/>
  <c r="ES224" i="1"/>
  <c r="EJ51" i="1"/>
  <c r="ED46" i="1"/>
  <c r="EH46" i="1" s="1"/>
  <c r="EP46" i="1" s="1"/>
  <c r="P23" i="15"/>
  <c r="AG46" i="1" l="1"/>
  <c r="AC48" i="1"/>
  <c r="CM233" i="1"/>
  <c r="CN233" i="1"/>
  <c r="CP233" i="1"/>
  <c r="CM242" i="1"/>
  <c r="CP242" i="1"/>
  <c r="CN242" i="1"/>
  <c r="CP231" i="1"/>
  <c r="CN231" i="1"/>
  <c r="CM231" i="1"/>
  <c r="CN226" i="1"/>
  <c r="CP226" i="1"/>
  <c r="CM226" i="1"/>
  <c r="CP234" i="1"/>
  <c r="CN234" i="1"/>
  <c r="CM234" i="1"/>
  <c r="CP230" i="1"/>
  <c r="CM230" i="1"/>
  <c r="CN230" i="1"/>
  <c r="CP240" i="1"/>
  <c r="CN240" i="1"/>
  <c r="CM240" i="1"/>
  <c r="CM237" i="1"/>
  <c r="CP237" i="1"/>
  <c r="CN237" i="1"/>
  <c r="CP229" i="1"/>
  <c r="CN229" i="1"/>
  <c r="CM229" i="1"/>
  <c r="CM228" i="1"/>
  <c r="CP228" i="1"/>
  <c r="CN228" i="1"/>
  <c r="CP238" i="1"/>
  <c r="CN238" i="1"/>
  <c r="CM238" i="1"/>
  <c r="CN236" i="1"/>
  <c r="CP236" i="1"/>
  <c r="CM236" i="1"/>
  <c r="CN239" i="1"/>
  <c r="CP239" i="1"/>
  <c r="CM239" i="1"/>
  <c r="CM227" i="1"/>
  <c r="CN227" i="1"/>
  <c r="CP227" i="1"/>
  <c r="CP235" i="1"/>
  <c r="CM235" i="1"/>
  <c r="CN235" i="1"/>
  <c r="CN232" i="1"/>
  <c r="CP232" i="1"/>
  <c r="CM232" i="1"/>
  <c r="X245" i="1"/>
  <c r="CK245" i="1" s="1"/>
  <c r="CL245" i="1" s="1"/>
  <c r="X246" i="1"/>
  <c r="CK246" i="1" s="1"/>
  <c r="CL246" i="1" s="1"/>
  <c r="X249" i="1"/>
  <c r="CK249" i="1" s="1"/>
  <c r="CL249" i="1" s="1"/>
  <c r="X250" i="1"/>
  <c r="CK250" i="1" s="1"/>
  <c r="CL250" i="1" s="1"/>
  <c r="X248" i="1"/>
  <c r="CK248" i="1" s="1"/>
  <c r="CL248" i="1" s="1"/>
  <c r="X244" i="1"/>
  <c r="CK244" i="1" s="1"/>
  <c r="CL244" i="1" s="1"/>
  <c r="X247" i="1"/>
  <c r="CK247" i="1" s="1"/>
  <c r="CL247" i="1" s="1"/>
  <c r="EK232" i="1"/>
  <c r="EK242" i="1"/>
  <c r="EK227" i="1"/>
  <c r="ES223" i="1"/>
  <c r="EK233" i="1"/>
  <c r="EK228" i="1"/>
  <c r="ES222" i="1"/>
  <c r="EK236" i="1"/>
  <c r="EK231" i="1"/>
  <c r="EK239" i="1"/>
  <c r="ES221" i="1"/>
  <c r="EK229" i="1"/>
  <c r="EK237" i="1"/>
  <c r="EZ241" i="1"/>
  <c r="ES241" i="1"/>
  <c r="EK230" i="1"/>
  <c r="EZ243" i="1"/>
  <c r="ES243" i="1"/>
  <c r="EK226" i="1"/>
  <c r="EK235" i="1"/>
  <c r="EK238" i="1"/>
  <c r="EK234" i="1"/>
  <c r="EK240" i="1"/>
  <c r="P24" i="15"/>
  <c r="ED48" i="1"/>
  <c r="EH48" i="1" s="1"/>
  <c r="EP48" i="1" s="1"/>
  <c r="EJ52" i="1"/>
  <c r="AG48" i="1" l="1"/>
  <c r="AC49" i="1"/>
  <c r="CP244" i="1"/>
  <c r="CN244" i="1"/>
  <c r="CM244" i="1"/>
  <c r="CM245" i="1"/>
  <c r="CP245" i="1"/>
  <c r="CN245" i="1"/>
  <c r="CM247" i="1"/>
  <c r="CP247" i="1"/>
  <c r="CN247" i="1"/>
  <c r="CM246" i="1"/>
  <c r="CN246" i="1"/>
  <c r="CP246" i="1"/>
  <c r="CP248" i="1"/>
  <c r="CN248" i="1"/>
  <c r="CM248" i="1"/>
  <c r="CM250" i="1"/>
  <c r="CP250" i="1"/>
  <c r="CN250" i="1"/>
  <c r="CM249" i="1"/>
  <c r="CP249" i="1"/>
  <c r="CN249" i="1"/>
  <c r="X258" i="1"/>
  <c r="CK258" i="1" s="1"/>
  <c r="CL258" i="1" s="1"/>
  <c r="X259" i="1"/>
  <c r="CK259" i="1" s="1"/>
  <c r="CL259" i="1" s="1"/>
  <c r="X254" i="1"/>
  <c r="CK254" i="1" s="1"/>
  <c r="CL254" i="1" s="1"/>
  <c r="X263" i="1"/>
  <c r="CK263" i="1" s="1"/>
  <c r="CL263" i="1" s="1"/>
  <c r="X257" i="1"/>
  <c r="CK257" i="1" s="1"/>
  <c r="CL257" i="1" s="1"/>
  <c r="X256" i="1"/>
  <c r="CK256" i="1" s="1"/>
  <c r="CL256" i="1" s="1"/>
  <c r="X255" i="1"/>
  <c r="CK255" i="1" s="1"/>
  <c r="CL255" i="1" s="1"/>
  <c r="X253" i="1"/>
  <c r="CK253" i="1" s="1"/>
  <c r="CL253" i="1" s="1"/>
  <c r="X260" i="1"/>
  <c r="CK260" i="1" s="1"/>
  <c r="CL260" i="1" s="1"/>
  <c r="EZ252" i="1"/>
  <c r="ES252" i="1"/>
  <c r="EK249" i="1"/>
  <c r="EK245" i="1"/>
  <c r="EK246" i="1"/>
  <c r="EK250" i="1"/>
  <c r="ES236" i="1"/>
  <c r="ES240" i="1"/>
  <c r="ES239" i="1"/>
  <c r="EK247" i="1"/>
  <c r="ES228" i="1"/>
  <c r="ES237" i="1"/>
  <c r="ES238" i="1"/>
  <c r="ES229" i="1"/>
  <c r="ES227" i="1"/>
  <c r="ES234" i="1"/>
  <c r="ES235" i="1"/>
  <c r="ES242" i="1"/>
  <c r="ES230" i="1"/>
  <c r="ES251" i="1"/>
  <c r="EZ251" i="1"/>
  <c r="ES232" i="1"/>
  <c r="ES231" i="1"/>
  <c r="P25" i="15"/>
  <c r="EK244" i="1"/>
  <c r="ES226" i="1"/>
  <c r="EK248" i="1"/>
  <c r="EJ53" i="1"/>
  <c r="ED49" i="1"/>
  <c r="EH49" i="1" s="1"/>
  <c r="EP49" i="1" s="1"/>
  <c r="AG49" i="1" l="1"/>
  <c r="AC50" i="1"/>
  <c r="CP257" i="1"/>
  <c r="CM257" i="1"/>
  <c r="CN257" i="1"/>
  <c r="CN260" i="1"/>
  <c r="CM260" i="1"/>
  <c r="CP260" i="1"/>
  <c r="CN253" i="1"/>
  <c r="CM253" i="1"/>
  <c r="CP253" i="1"/>
  <c r="CM255" i="1"/>
  <c r="CP255" i="1"/>
  <c r="CN255" i="1"/>
  <c r="CM256" i="1"/>
  <c r="CN256" i="1"/>
  <c r="CP256" i="1"/>
  <c r="CN263" i="1"/>
  <c r="CP263" i="1"/>
  <c r="CM263" i="1"/>
  <c r="CP254" i="1"/>
  <c r="CM254" i="1"/>
  <c r="CN254" i="1"/>
  <c r="CN259" i="1"/>
  <c r="CP259" i="1"/>
  <c r="CM259" i="1"/>
  <c r="CP258" i="1"/>
  <c r="CN258" i="1"/>
  <c r="CM258" i="1"/>
  <c r="P26" i="15"/>
  <c r="P27" i="15" s="1"/>
  <c r="X265" i="1"/>
  <c r="CK265" i="1" s="1"/>
  <c r="CL265" i="1" s="1"/>
  <c r="X287" i="1"/>
  <c r="CK287" i="1" s="1"/>
  <c r="CL287" i="1" s="1"/>
  <c r="X266" i="1"/>
  <c r="CK266" i="1" s="1"/>
  <c r="CL266" i="1" s="1"/>
  <c r="X276" i="1"/>
  <c r="CK276" i="1" s="1"/>
  <c r="CL276" i="1" s="1"/>
  <c r="X281" i="1"/>
  <c r="CK281" i="1" s="1"/>
  <c r="CL281" i="1" s="1"/>
  <c r="X285" i="1"/>
  <c r="CK285" i="1" s="1"/>
  <c r="CL285" i="1" s="1"/>
  <c r="X277" i="1"/>
  <c r="CK277" i="1" s="1"/>
  <c r="CL277" i="1" s="1"/>
  <c r="X264" i="1"/>
  <c r="CK264" i="1" s="1"/>
  <c r="CL264" i="1" s="1"/>
  <c r="X270" i="1"/>
  <c r="CK270" i="1" s="1"/>
  <c r="CL270" i="1" s="1"/>
  <c r="X289" i="1"/>
  <c r="CK289" i="1" s="1"/>
  <c r="CL289" i="1" s="1"/>
  <c r="X272" i="1"/>
  <c r="CK272" i="1" s="1"/>
  <c r="CL272" i="1" s="1"/>
  <c r="X284" i="1"/>
  <c r="CK284" i="1" s="1"/>
  <c r="CL284" i="1" s="1"/>
  <c r="X288" i="1"/>
  <c r="CK288" i="1" s="1"/>
  <c r="CL288" i="1" s="1"/>
  <c r="X269" i="1"/>
  <c r="CK269" i="1" s="1"/>
  <c r="CL269" i="1" s="1"/>
  <c r="X271" i="1"/>
  <c r="CK271" i="1" s="1"/>
  <c r="CL271" i="1" s="1"/>
  <c r="X283" i="1"/>
  <c r="CK283" i="1" s="1"/>
  <c r="CL283" i="1" s="1"/>
  <c r="X274" i="1"/>
  <c r="CK274" i="1" s="1"/>
  <c r="CL274" i="1" s="1"/>
  <c r="X275" i="1"/>
  <c r="CK275" i="1" s="1"/>
  <c r="CL275" i="1" s="1"/>
  <c r="X273" i="1"/>
  <c r="CK273" i="1" s="1"/>
  <c r="CL273" i="1" s="1"/>
  <c r="X286" i="1"/>
  <c r="CK286" i="1" s="1"/>
  <c r="CL286" i="1" s="1"/>
  <c r="X282" i="1"/>
  <c r="CK282" i="1" s="1"/>
  <c r="CL282" i="1" s="1"/>
  <c r="X267" i="1"/>
  <c r="CK267" i="1" s="1"/>
  <c r="CL267" i="1" s="1"/>
  <c r="X279" i="1"/>
  <c r="CK279" i="1" s="1"/>
  <c r="CL279" i="1" s="1"/>
  <c r="X268" i="1"/>
  <c r="CK268" i="1" s="1"/>
  <c r="CL268" i="1" s="1"/>
  <c r="X278" i="1"/>
  <c r="CK278" i="1" s="1"/>
  <c r="CL278" i="1" s="1"/>
  <c r="EZ262" i="1"/>
  <c r="ES262" i="1"/>
  <c r="EK257" i="1"/>
  <c r="EK258" i="1"/>
  <c r="ES244" i="1"/>
  <c r="ES250" i="1"/>
  <c r="EK263" i="1"/>
  <c r="ES246" i="1"/>
  <c r="EK259" i="1"/>
  <c r="EK260" i="1"/>
  <c r="ES245" i="1"/>
  <c r="EK255" i="1"/>
  <c r="ES249" i="1"/>
  <c r="EZ261" i="1"/>
  <c r="ES261" i="1"/>
  <c r="EK254" i="1"/>
  <c r="EK256" i="1"/>
  <c r="EK253" i="1"/>
  <c r="ED50" i="1"/>
  <c r="EH50" i="1" s="1"/>
  <c r="EP50" i="1" s="1"/>
  <c r="EJ55" i="1"/>
  <c r="AG50" i="1" l="1"/>
  <c r="AC51" i="1"/>
  <c r="CN278" i="1"/>
  <c r="CM278" i="1"/>
  <c r="CP278" i="1"/>
  <c r="CP277" i="1"/>
  <c r="CN277" i="1"/>
  <c r="CM277" i="1"/>
  <c r="CP282" i="1"/>
  <c r="CN282" i="1"/>
  <c r="CM282" i="1"/>
  <c r="CM286" i="1"/>
  <c r="CN286" i="1"/>
  <c r="CP286" i="1"/>
  <c r="CN276" i="1"/>
  <c r="CP276" i="1"/>
  <c r="CM276" i="1"/>
  <c r="CM273" i="1"/>
  <c r="CN273" i="1"/>
  <c r="CP273" i="1"/>
  <c r="CP266" i="1"/>
  <c r="CN266" i="1"/>
  <c r="CM266" i="1"/>
  <c r="CP275" i="1"/>
  <c r="CN275" i="1"/>
  <c r="CM275" i="1"/>
  <c r="CM287" i="1"/>
  <c r="CP287" i="1"/>
  <c r="CN287" i="1"/>
  <c r="CN265" i="1"/>
  <c r="CM265" i="1"/>
  <c r="CP265" i="1"/>
  <c r="CP283" i="1"/>
  <c r="CN283" i="1"/>
  <c r="CM283" i="1"/>
  <c r="CP274" i="1"/>
  <c r="CM274" i="1"/>
  <c r="CN274" i="1"/>
  <c r="CM271" i="1"/>
  <c r="CN271" i="1"/>
  <c r="CP271" i="1"/>
  <c r="CN269" i="1"/>
  <c r="CM269" i="1"/>
  <c r="CP269" i="1"/>
  <c r="CP288" i="1"/>
  <c r="CN288" i="1"/>
  <c r="CM288" i="1"/>
  <c r="CN284" i="1"/>
  <c r="CP284" i="1"/>
  <c r="CM284" i="1"/>
  <c r="CP272" i="1"/>
  <c r="CN272" i="1"/>
  <c r="CM272" i="1"/>
  <c r="CN289" i="1"/>
  <c r="CM289" i="1"/>
  <c r="CP289" i="1"/>
  <c r="CM270" i="1"/>
  <c r="CP270" i="1"/>
  <c r="CN270" i="1"/>
  <c r="CP268" i="1"/>
  <c r="CN268" i="1"/>
  <c r="CM268" i="1"/>
  <c r="CN264" i="1"/>
  <c r="CM264" i="1"/>
  <c r="CP264" i="1"/>
  <c r="CP267" i="1"/>
  <c r="CM267" i="1"/>
  <c r="CN267" i="1"/>
  <c r="CM285" i="1"/>
  <c r="CN285" i="1"/>
  <c r="CP285" i="1"/>
  <c r="CP279" i="1"/>
  <c r="CN279" i="1"/>
  <c r="CM279" i="1"/>
  <c r="CN281" i="1"/>
  <c r="CP281" i="1"/>
  <c r="CM281" i="1"/>
  <c r="X325" i="1"/>
  <c r="CK325" i="1" s="1"/>
  <c r="CL325" i="1" s="1"/>
  <c r="X319" i="1"/>
  <c r="CK319" i="1" s="1"/>
  <c r="CL319" i="1" s="1"/>
  <c r="X317" i="1"/>
  <c r="CK317" i="1" s="1"/>
  <c r="CL317" i="1" s="1"/>
  <c r="X320" i="1"/>
  <c r="CK320" i="1" s="1"/>
  <c r="CL320" i="1" s="1"/>
  <c r="X313" i="1"/>
  <c r="CK313" i="1" s="1"/>
  <c r="CL313" i="1" s="1"/>
  <c r="X315" i="1"/>
  <c r="CK315" i="1" s="1"/>
  <c r="CL315" i="1" s="1"/>
  <c r="X327" i="1"/>
  <c r="CK327" i="1" s="1"/>
  <c r="CL327" i="1" s="1"/>
  <c r="X314" i="1"/>
  <c r="CK314" i="1" s="1"/>
  <c r="CL314" i="1" s="1"/>
  <c r="X326" i="1"/>
  <c r="CK326" i="1" s="1"/>
  <c r="CL326" i="1" s="1"/>
  <c r="X321" i="1"/>
  <c r="CK321" i="1" s="1"/>
  <c r="CL321" i="1" s="1"/>
  <c r="X323" i="1"/>
  <c r="CK323" i="1" s="1"/>
  <c r="CL323" i="1" s="1"/>
  <c r="X329" i="1"/>
  <c r="CK329" i="1" s="1"/>
  <c r="CL329" i="1" s="1"/>
  <c r="X316" i="1"/>
  <c r="CK316" i="1" s="1"/>
  <c r="CL316" i="1" s="1"/>
  <c r="X318" i="1"/>
  <c r="CK318" i="1" s="1"/>
  <c r="CL318" i="1" s="1"/>
  <c r="X328" i="1"/>
  <c r="CK328" i="1" s="1"/>
  <c r="CL328" i="1" s="1"/>
  <c r="X312" i="1"/>
  <c r="CK312" i="1" s="1"/>
  <c r="CL312" i="1" s="1"/>
  <c r="X322" i="1"/>
  <c r="CK322" i="1" s="1"/>
  <c r="CL322" i="1" s="1"/>
  <c r="X324" i="1"/>
  <c r="CK324" i="1" s="1"/>
  <c r="CL324" i="1" s="1"/>
  <c r="X295" i="1"/>
  <c r="CK295" i="1" s="1"/>
  <c r="CL295" i="1" s="1"/>
  <c r="X301" i="1"/>
  <c r="CK301" i="1" s="1"/>
  <c r="CL301" i="1" s="1"/>
  <c r="X299" i="1"/>
  <c r="CK299" i="1" s="1"/>
  <c r="CL299" i="1" s="1"/>
  <c r="X292" i="1"/>
  <c r="X298" i="1"/>
  <c r="X300" i="1"/>
  <c r="CK300" i="1" s="1"/>
  <c r="CL300" i="1" s="1"/>
  <c r="X310" i="1"/>
  <c r="X290" i="1"/>
  <c r="CK290" i="1" s="1"/>
  <c r="CL290" i="1" s="1"/>
  <c r="X296" i="1"/>
  <c r="CK296" i="1" s="1"/>
  <c r="CL296" i="1" s="1"/>
  <c r="X311" i="1"/>
  <c r="X304" i="1"/>
  <c r="CK304" i="1" s="1"/>
  <c r="CL304" i="1" s="1"/>
  <c r="X302" i="1"/>
  <c r="X293" i="1"/>
  <c r="CK293" i="1" s="1"/>
  <c r="CL293" i="1" s="1"/>
  <c r="X306" i="1"/>
  <c r="X297" i="1"/>
  <c r="CK297" i="1" s="1"/>
  <c r="CL297" i="1" s="1"/>
  <c r="X305" i="1"/>
  <c r="X291" i="1"/>
  <c r="X294" i="1"/>
  <c r="X307" i="1"/>
  <c r="CK307" i="1" s="1"/>
  <c r="CL307" i="1" s="1"/>
  <c r="X303" i="1"/>
  <c r="CK303" i="1" s="1"/>
  <c r="CL303" i="1" s="1"/>
  <c r="ES308" i="1"/>
  <c r="EZ308" i="1"/>
  <c r="EK274" i="1"/>
  <c r="ES260" i="1"/>
  <c r="ES257" i="1"/>
  <c r="ES309" i="1"/>
  <c r="EZ309" i="1"/>
  <c r="ES258" i="1"/>
  <c r="EK281" i="1"/>
  <c r="ES259" i="1"/>
  <c r="EK288" i="1"/>
  <c r="EK273" i="1"/>
  <c r="EK287" i="1"/>
  <c r="EK283" i="1"/>
  <c r="ES254" i="1"/>
  <c r="EK286" i="1"/>
  <c r="EK282" i="1"/>
  <c r="EK289" i="1"/>
  <c r="EK279" i="1"/>
  <c r="EK285" i="1"/>
  <c r="ES263" i="1"/>
  <c r="ES280" i="1"/>
  <c r="EZ280" i="1"/>
  <c r="ES256" i="1"/>
  <c r="EK270" i="1"/>
  <c r="ES255" i="1"/>
  <c r="EK272" i="1"/>
  <c r="EK275" i="1"/>
  <c r="EK277" i="1"/>
  <c r="EK271" i="1"/>
  <c r="EK265" i="1"/>
  <c r="EK276" i="1"/>
  <c r="EK278" i="1"/>
  <c r="EK267" i="1"/>
  <c r="EK264" i="1"/>
  <c r="EK284" i="1"/>
  <c r="EK266" i="1"/>
  <c r="EK268" i="1"/>
  <c r="EK269" i="1"/>
  <c r="EJ57" i="1"/>
  <c r="ED51" i="1"/>
  <c r="EH51" i="1" s="1"/>
  <c r="EP51" i="1" s="1"/>
  <c r="P28" i="15"/>
  <c r="AG51" i="1" l="1"/>
  <c r="AC52" i="1"/>
  <c r="CN303" i="1"/>
  <c r="CP303" i="1"/>
  <c r="CM303" i="1"/>
  <c r="ES303" i="1" s="1"/>
  <c r="EK292" i="1"/>
  <c r="CK292" i="1"/>
  <c r="CL292" i="1" s="1"/>
  <c r="CP307" i="1"/>
  <c r="CN307" i="1"/>
  <c r="CM307" i="1"/>
  <c r="ES307" i="1" s="1"/>
  <c r="CN299" i="1"/>
  <c r="CM299" i="1"/>
  <c r="ES299" i="1" s="1"/>
  <c r="CP299" i="1"/>
  <c r="CM313" i="1"/>
  <c r="CN313" i="1"/>
  <c r="CP313" i="1"/>
  <c r="CP301" i="1"/>
  <c r="CM301" i="1"/>
  <c r="CN301" i="1"/>
  <c r="CM320" i="1"/>
  <c r="CN320" i="1"/>
  <c r="CP320" i="1"/>
  <c r="CM317" i="1"/>
  <c r="CN317" i="1"/>
  <c r="CP317" i="1"/>
  <c r="EK305" i="1"/>
  <c r="CK305" i="1"/>
  <c r="CL305" i="1" s="1"/>
  <c r="CM324" i="1"/>
  <c r="CP324" i="1"/>
  <c r="CN324" i="1"/>
  <c r="CN319" i="1"/>
  <c r="CM319" i="1"/>
  <c r="CP319" i="1"/>
  <c r="EK302" i="1"/>
  <c r="CK302" i="1"/>
  <c r="CL302" i="1" s="1"/>
  <c r="EK294" i="1"/>
  <c r="CK294" i="1"/>
  <c r="CL294" i="1" s="1"/>
  <c r="EK291" i="1"/>
  <c r="CK291" i="1"/>
  <c r="CL291" i="1" s="1"/>
  <c r="CP297" i="1"/>
  <c r="CM297" i="1"/>
  <c r="ES297" i="1" s="1"/>
  <c r="CN297" i="1"/>
  <c r="CP322" i="1"/>
  <c r="CN322" i="1"/>
  <c r="CM322" i="1"/>
  <c r="CM325" i="1"/>
  <c r="CN325" i="1"/>
  <c r="CP325" i="1"/>
  <c r="CN318" i="1"/>
  <c r="CP318" i="1"/>
  <c r="CM318" i="1"/>
  <c r="CP295" i="1"/>
  <c r="CM295" i="1"/>
  <c r="ES295" i="1" s="1"/>
  <c r="CN295" i="1"/>
  <c r="EK306" i="1"/>
  <c r="CK306" i="1"/>
  <c r="CL306" i="1" s="1"/>
  <c r="CP312" i="1"/>
  <c r="CN312" i="1"/>
  <c r="CM312" i="1"/>
  <c r="CM293" i="1"/>
  <c r="ES293" i="1" s="1"/>
  <c r="CP293" i="1"/>
  <c r="CN293" i="1"/>
  <c r="CP328" i="1"/>
  <c r="CN328" i="1"/>
  <c r="CM328" i="1"/>
  <c r="CP304" i="1"/>
  <c r="CM304" i="1"/>
  <c r="ES304" i="1" s="1"/>
  <c r="CN304" i="1"/>
  <c r="CN316" i="1"/>
  <c r="CM316" i="1"/>
  <c r="CP316" i="1"/>
  <c r="CN329" i="1"/>
  <c r="CM329" i="1"/>
  <c r="CP329" i="1"/>
  <c r="CP323" i="1"/>
  <c r="CN323" i="1"/>
  <c r="CM323" i="1"/>
  <c r="EK311" i="1"/>
  <c r="CK311" i="1"/>
  <c r="CL311" i="1" s="1"/>
  <c r="CM290" i="1"/>
  <c r="ES290" i="1" s="1"/>
  <c r="CP290" i="1"/>
  <c r="CN290" i="1"/>
  <c r="CN296" i="1"/>
  <c r="CM296" i="1"/>
  <c r="ES296" i="1" s="1"/>
  <c r="CP296" i="1"/>
  <c r="CM321" i="1"/>
  <c r="CN321" i="1"/>
  <c r="CP321" i="1"/>
  <c r="EK310" i="1"/>
  <c r="CK310" i="1"/>
  <c r="CL310" i="1" s="1"/>
  <c r="CN326" i="1"/>
  <c r="CM326" i="1"/>
  <c r="CP326" i="1"/>
  <c r="CN300" i="1"/>
  <c r="CP300" i="1"/>
  <c r="CM300" i="1"/>
  <c r="ES300" i="1" s="1"/>
  <c r="CN314" i="1"/>
  <c r="CM314" i="1"/>
  <c r="CP314" i="1"/>
  <c r="EK298" i="1"/>
  <c r="CK298" i="1"/>
  <c r="CL298" i="1" s="1"/>
  <c r="CP327" i="1"/>
  <c r="CN327" i="1"/>
  <c r="CM327" i="1"/>
  <c r="CN315" i="1"/>
  <c r="CP315" i="1"/>
  <c r="CM315" i="1"/>
  <c r="EK307" i="1"/>
  <c r="EK299" i="1"/>
  <c r="EK301" i="1"/>
  <c r="EK304" i="1"/>
  <c r="EK295" i="1"/>
  <c r="EK300" i="1"/>
  <c r="EK290" i="1"/>
  <c r="EK297" i="1"/>
  <c r="EK303" i="1"/>
  <c r="X335" i="1"/>
  <c r="CK335" i="1" s="1"/>
  <c r="CL335" i="1" s="1"/>
  <c r="X334" i="1"/>
  <c r="CK334" i="1" s="1"/>
  <c r="CL334" i="1" s="1"/>
  <c r="X337" i="1"/>
  <c r="CK337" i="1" s="1"/>
  <c r="CL337" i="1" s="1"/>
  <c r="X333" i="1"/>
  <c r="CK333" i="1" s="1"/>
  <c r="CL333" i="1" s="1"/>
  <c r="X332" i="1"/>
  <c r="CK332" i="1" s="1"/>
  <c r="CL332" i="1" s="1"/>
  <c r="X336" i="1"/>
  <c r="CK336" i="1" s="1"/>
  <c r="CL336" i="1" s="1"/>
  <c r="EK293" i="1"/>
  <c r="EK296" i="1"/>
  <c r="ES268" i="1"/>
  <c r="EK329" i="1"/>
  <c r="ES331" i="1"/>
  <c r="EZ331" i="1"/>
  <c r="ES276" i="1"/>
  <c r="ES265" i="1"/>
  <c r="EK322" i="1"/>
  <c r="ES287" i="1"/>
  <c r="ES286" i="1"/>
  <c r="EK318" i="1"/>
  <c r="EK323" i="1"/>
  <c r="ES272" i="1"/>
  <c r="EK312" i="1"/>
  <c r="ES281" i="1"/>
  <c r="ES266" i="1"/>
  <c r="EK315" i="1"/>
  <c r="ES277" i="1"/>
  <c r="EK324" i="1"/>
  <c r="EK320" i="1"/>
  <c r="ES273" i="1"/>
  <c r="ES274" i="1"/>
  <c r="ES267" i="1"/>
  <c r="ES270" i="1"/>
  <c r="EK313" i="1"/>
  <c r="EK319" i="1"/>
  <c r="ES279" i="1"/>
  <c r="EK325" i="1"/>
  <c r="EK327" i="1"/>
  <c r="EK328" i="1"/>
  <c r="EZ330" i="1"/>
  <c r="ES330" i="1"/>
  <c r="ES289" i="1"/>
  <c r="EK326" i="1"/>
  <c r="ES288" i="1"/>
  <c r="EK317" i="1"/>
  <c r="ES278" i="1"/>
  <c r="EK314" i="1"/>
  <c r="ES284" i="1"/>
  <c r="ES285" i="1"/>
  <c r="ES275" i="1"/>
  <c r="ES282" i="1"/>
  <c r="EK321" i="1"/>
  <c r="ES283" i="1"/>
  <c r="ES271" i="1"/>
  <c r="ES264" i="1"/>
  <c r="ES269" i="1"/>
  <c r="EK316" i="1"/>
  <c r="ED52" i="1"/>
  <c r="EH52" i="1" s="1"/>
  <c r="EP52" i="1" s="1"/>
  <c r="EJ58" i="1"/>
  <c r="P29" i="15"/>
  <c r="AG52" i="1" l="1"/>
  <c r="AC53" i="1"/>
  <c r="CP311" i="1"/>
  <c r="CN311" i="1"/>
  <c r="CM311" i="1"/>
  <c r="ES311" i="1" s="1"/>
  <c r="CP336" i="1"/>
  <c r="CM336" i="1"/>
  <c r="CN336" i="1"/>
  <c r="CM305" i="1"/>
  <c r="ES305" i="1" s="1"/>
  <c r="CN305" i="1"/>
  <c r="CP305" i="1"/>
  <c r="CP332" i="1"/>
  <c r="CN332" i="1"/>
  <c r="CM332" i="1"/>
  <c r="CN310" i="1"/>
  <c r="CM310" i="1"/>
  <c r="ES310" i="1" s="1"/>
  <c r="CP310" i="1"/>
  <c r="CM333" i="1"/>
  <c r="CN333" i="1"/>
  <c r="CP333" i="1"/>
  <c r="CM337" i="1"/>
  <c r="CP337" i="1"/>
  <c r="CN337" i="1"/>
  <c r="CM306" i="1"/>
  <c r="ES306" i="1" s="1"/>
  <c r="CP306" i="1"/>
  <c r="CN306" i="1"/>
  <c r="CN334" i="1"/>
  <c r="CM334" i="1"/>
  <c r="CP334" i="1"/>
  <c r="CP291" i="1"/>
  <c r="CN291" i="1"/>
  <c r="CM291" i="1"/>
  <c r="CM292" i="1"/>
  <c r="CN292" i="1"/>
  <c r="CP292" i="1"/>
  <c r="CP335" i="1"/>
  <c r="CN335" i="1"/>
  <c r="CM335" i="1"/>
  <c r="CM298" i="1"/>
  <c r="CP298" i="1"/>
  <c r="CN298" i="1"/>
  <c r="CM294" i="1"/>
  <c r="ES294" i="1" s="1"/>
  <c r="CP294" i="1"/>
  <c r="CN294" i="1"/>
  <c r="ES298" i="1"/>
  <c r="CN302" i="1"/>
  <c r="CP302" i="1"/>
  <c r="CM302" i="1"/>
  <c r="ES302" i="1" s="1"/>
  <c r="ES292" i="1"/>
  <c r="X340" i="1"/>
  <c r="CK340" i="1" s="1"/>
  <c r="CL340" i="1" s="1"/>
  <c r="X341" i="1"/>
  <c r="CK341" i="1" s="1"/>
  <c r="CL341" i="1" s="1"/>
  <c r="X342" i="1"/>
  <c r="CK342" i="1" s="1"/>
  <c r="CL342" i="1" s="1"/>
  <c r="ES314" i="1"/>
  <c r="ES312" i="1"/>
  <c r="EK334" i="1"/>
  <c r="ES315" i="1"/>
  <c r="EK335" i="1"/>
  <c r="EK337" i="1"/>
  <c r="EK332" i="1"/>
  <c r="ES323" i="1"/>
  <c r="EK336" i="1"/>
  <c r="ES313" i="1"/>
  <c r="EZ338" i="1"/>
  <c r="ES338" i="1"/>
  <c r="ES319" i="1"/>
  <c r="ES320" i="1"/>
  <c r="EK333" i="1"/>
  <c r="ES328" i="1"/>
  <c r="ES329" i="1"/>
  <c r="ES324" i="1"/>
  <c r="ES316" i="1"/>
  <c r="ES321" i="1"/>
  <c r="ES326" i="1"/>
  <c r="P30" i="15"/>
  <c r="EZ339" i="1"/>
  <c r="ES339" i="1"/>
  <c r="ES325" i="1"/>
  <c r="ED53" i="1"/>
  <c r="EH53" i="1" s="1"/>
  <c r="EP53" i="1" s="1"/>
  <c r="EJ59" i="1"/>
  <c r="AG53" i="1" l="1"/>
  <c r="AC55" i="1"/>
  <c r="CM342" i="1"/>
  <c r="CN342" i="1"/>
  <c r="CP342" i="1"/>
  <c r="CP341" i="1"/>
  <c r="CM341" i="1"/>
  <c r="CN341" i="1"/>
  <c r="CP340" i="1"/>
  <c r="CN340" i="1"/>
  <c r="CM340" i="1"/>
  <c r="ES335" i="1"/>
  <c r="ES336" i="1"/>
  <c r="EK341" i="1"/>
  <c r="EZ343" i="1"/>
  <c r="ES343" i="1"/>
  <c r="EK340" i="1"/>
  <c r="EK342" i="1"/>
  <c r="ES332" i="1"/>
  <c r="EZ344" i="1"/>
  <c r="ES344" i="1"/>
  <c r="ES337" i="1"/>
  <c r="ES333" i="1"/>
  <c r="EJ60" i="1"/>
  <c r="ED55" i="1"/>
  <c r="EH55" i="1" s="1"/>
  <c r="EP55" i="1" s="1"/>
  <c r="AG55" i="1" l="1"/>
  <c r="AC57" i="1"/>
  <c r="CK7" i="1"/>
  <c r="ES340" i="1"/>
  <c r="ES341" i="1"/>
  <c r="EZ346" i="1"/>
  <c r="ES346" i="1"/>
  <c r="EZ345" i="1"/>
  <c r="ES345" i="1"/>
  <c r="ES342" i="1"/>
  <c r="ED57" i="1"/>
  <c r="EH57" i="1" s="1"/>
  <c r="EP57" i="1" s="1"/>
  <c r="EJ61" i="1"/>
  <c r="AG57" i="1" l="1"/>
  <c r="AC58" i="1"/>
  <c r="CP7" i="1"/>
  <c r="CC12" i="1"/>
  <c r="CC13" i="1" s="1"/>
  <c r="EJ62" i="1"/>
  <c r="ED58" i="1"/>
  <c r="EH58" i="1" s="1"/>
  <c r="EP58" i="1" s="1"/>
  <c r="CE13" i="1"/>
  <c r="CI13" i="1" s="1"/>
  <c r="CG318" i="1" l="1"/>
  <c r="ES318" i="1" s="1"/>
  <c r="CG39" i="1"/>
  <c r="ES39" i="1" s="1"/>
  <c r="CG327" i="1"/>
  <c r="ES327" i="1" s="1"/>
  <c r="CG13" i="1"/>
  <c r="ES13" i="1" s="1"/>
  <c r="CG301" i="1"/>
  <c r="ES301" i="1" s="1"/>
  <c r="CG41" i="1"/>
  <c r="ES41" i="1" s="1"/>
  <c r="CG123" i="1"/>
  <c r="ES123" i="1" s="1"/>
  <c r="CG19" i="1"/>
  <c r="ES19" i="1" s="1"/>
  <c r="CG175" i="1"/>
  <c r="ES175" i="1" s="1"/>
  <c r="CG17" i="1"/>
  <c r="ES17" i="1" s="1"/>
  <c r="CG248" i="1"/>
  <c r="ES248" i="1" s="1"/>
  <c r="CG62" i="1"/>
  <c r="ES62" i="1" s="1"/>
  <c r="CG59" i="1"/>
  <c r="ES59" i="1" s="1"/>
  <c r="CG65" i="1"/>
  <c r="ES65" i="1" s="1"/>
  <c r="CG24" i="1"/>
  <c r="ES24" i="1" s="1"/>
  <c r="CG81" i="1"/>
  <c r="ES81" i="1" s="1"/>
  <c r="CG322" i="1"/>
  <c r="ES322" i="1" s="1"/>
  <c r="CG111" i="1"/>
  <c r="ES111" i="1" s="1"/>
  <c r="CG233" i="1"/>
  <c r="ES233" i="1" s="1"/>
  <c r="CG151" i="1"/>
  <c r="ES151" i="1" s="1"/>
  <c r="CG253" i="1"/>
  <c r="ES253" i="1" s="1"/>
  <c r="CG247" i="1"/>
  <c r="ES247" i="1" s="1"/>
  <c r="CG218" i="1"/>
  <c r="ES218" i="1" s="1"/>
  <c r="CG30" i="1"/>
  <c r="ES30" i="1" s="1"/>
  <c r="CG109" i="1"/>
  <c r="ES109" i="1" s="1"/>
  <c r="CG63" i="1"/>
  <c r="ES63" i="1" s="1"/>
  <c r="CG113" i="1"/>
  <c r="ES113" i="1" s="1"/>
  <c r="CG334" i="1"/>
  <c r="ES334" i="1" s="1"/>
  <c r="CG291" i="1"/>
  <c r="ES291" i="1" s="1"/>
  <c r="CG43" i="1"/>
  <c r="ES43" i="1" s="1"/>
  <c r="CG37" i="1"/>
  <c r="ES37" i="1" s="1"/>
  <c r="CG317" i="1"/>
  <c r="ES317" i="1" s="1"/>
  <c r="AG58" i="1"/>
  <c r="AC59" i="1"/>
  <c r="ED59" i="1"/>
  <c r="EH59" i="1" s="1"/>
  <c r="EP59" i="1" s="1"/>
  <c r="EJ63" i="1"/>
  <c r="AG59" i="1" l="1"/>
  <c r="AC60" i="1"/>
  <c r="EJ64" i="1"/>
  <c r="ED60" i="1"/>
  <c r="EH60" i="1" s="1"/>
  <c r="EP60" i="1" s="1"/>
  <c r="AG60" i="1" l="1"/>
  <c r="AC61" i="1"/>
  <c r="EJ65" i="1"/>
  <c r="ED61" i="1"/>
  <c r="EH61" i="1" s="1"/>
  <c r="EP61" i="1" s="1"/>
  <c r="AG61" i="1" l="1"/>
  <c r="AC62" i="1"/>
  <c r="ED62" i="1"/>
  <c r="EH62" i="1" s="1"/>
  <c r="EP62" i="1" s="1"/>
  <c r="EJ66" i="1"/>
  <c r="AG62" i="1" l="1"/>
  <c r="AC63" i="1"/>
  <c r="ED63" i="1"/>
  <c r="EH63" i="1" s="1"/>
  <c r="EP63" i="1" s="1"/>
  <c r="EJ67" i="1"/>
  <c r="AG63" i="1" l="1"/>
  <c r="AC64" i="1"/>
  <c r="EJ70" i="1"/>
  <c r="ED64" i="1"/>
  <c r="EH64" i="1" s="1"/>
  <c r="AG64" i="1" l="1"/>
  <c r="AC65" i="1"/>
  <c r="ED65" i="1"/>
  <c r="EH65" i="1" s="1"/>
  <c r="EP65" i="1" s="1"/>
  <c r="EP64" i="1"/>
  <c r="EJ71" i="1"/>
  <c r="AG65" i="1" l="1"/>
  <c r="AC66" i="1"/>
  <c r="EJ72" i="1"/>
  <c r="ED66" i="1"/>
  <c r="EH66" i="1" s="1"/>
  <c r="AG66" i="1" l="1"/>
  <c r="AC67" i="1"/>
  <c r="ED67" i="1"/>
  <c r="EH67" i="1" s="1"/>
  <c r="EP67" i="1" s="1"/>
  <c r="EP66" i="1"/>
  <c r="EJ73" i="1"/>
  <c r="AG67" i="1" l="1"/>
  <c r="AC70" i="1"/>
  <c r="ED70" i="1"/>
  <c r="EH70" i="1" s="1"/>
  <c r="EJ74" i="1"/>
  <c r="AG70" i="1" l="1"/>
  <c r="AC71" i="1"/>
  <c r="ED71" i="1"/>
  <c r="EH71" i="1" s="1"/>
  <c r="EP71" i="1" s="1"/>
  <c r="EP70" i="1"/>
  <c r="EJ75" i="1"/>
  <c r="AG71" i="1" l="1"/>
  <c r="AC72" i="1"/>
  <c r="EJ76" i="1"/>
  <c r="ED72" i="1"/>
  <c r="EH72" i="1" s="1"/>
  <c r="EP72" i="1" s="1"/>
  <c r="AG72" i="1" l="1"/>
  <c r="AC73" i="1"/>
  <c r="ED73" i="1"/>
  <c r="EH73" i="1" s="1"/>
  <c r="EP73" i="1" s="1"/>
  <c r="EJ77" i="1"/>
  <c r="AG73" i="1" l="1"/>
  <c r="AC74" i="1"/>
  <c r="ED74" i="1"/>
  <c r="EH74" i="1" s="1"/>
  <c r="EP74" i="1" s="1"/>
  <c r="EJ78" i="1"/>
  <c r="AG74" i="1" l="1"/>
  <c r="AC75" i="1"/>
  <c r="EJ79" i="1"/>
  <c r="ED75" i="1"/>
  <c r="EH75" i="1" s="1"/>
  <c r="EP75" i="1" s="1"/>
  <c r="AG75" i="1" l="1"/>
  <c r="AC76" i="1"/>
  <c r="EJ80" i="1"/>
  <c r="ED76" i="1"/>
  <c r="EH76" i="1" s="1"/>
  <c r="EP76" i="1" s="1"/>
  <c r="AG76" i="1" l="1"/>
  <c r="AC77" i="1"/>
  <c r="EJ81" i="1"/>
  <c r="ED77" i="1"/>
  <c r="EH77" i="1" s="1"/>
  <c r="EP77" i="1" s="1"/>
  <c r="AG77" i="1" l="1"/>
  <c r="AC78" i="1"/>
  <c r="ED78" i="1"/>
  <c r="EH78" i="1" s="1"/>
  <c r="EP78" i="1" s="1"/>
  <c r="EJ82" i="1"/>
  <c r="AG78" i="1" l="1"/>
  <c r="AC79" i="1"/>
  <c r="EJ83" i="1"/>
  <c r="ED79" i="1"/>
  <c r="EH79" i="1" s="1"/>
  <c r="EP79" i="1" s="1"/>
  <c r="AG79" i="1" l="1"/>
  <c r="AC80" i="1"/>
  <c r="ED80" i="1"/>
  <c r="EH80" i="1" s="1"/>
  <c r="EP80" i="1" s="1"/>
  <c r="EJ84" i="1"/>
  <c r="AG80" i="1" l="1"/>
  <c r="AC81" i="1"/>
  <c r="ED81" i="1"/>
  <c r="EH81" i="1" s="1"/>
  <c r="EP81" i="1" s="1"/>
  <c r="EJ85" i="1"/>
  <c r="AG81" i="1" l="1"/>
  <c r="AC82" i="1"/>
  <c r="EJ86" i="1"/>
  <c r="ED82" i="1"/>
  <c r="EH82" i="1" s="1"/>
  <c r="EP82" i="1" s="1"/>
  <c r="AG82" i="1" l="1"/>
  <c r="AC83" i="1"/>
  <c r="ED83" i="1"/>
  <c r="EH83" i="1" s="1"/>
  <c r="EP83" i="1" s="1"/>
  <c r="EJ87" i="1"/>
  <c r="AG83" i="1" l="1"/>
  <c r="AC84" i="1"/>
  <c r="ED84" i="1"/>
  <c r="EH84" i="1" s="1"/>
  <c r="EP84" i="1" s="1"/>
  <c r="EJ88" i="1"/>
  <c r="AG84" i="1" l="1"/>
  <c r="AC85" i="1"/>
  <c r="ED85" i="1"/>
  <c r="EH85" i="1" s="1"/>
  <c r="EP85" i="1" s="1"/>
  <c r="EJ89" i="1"/>
  <c r="AG85" i="1" l="1"/>
  <c r="AC86" i="1"/>
  <c r="EJ90" i="1"/>
  <c r="ED86" i="1"/>
  <c r="EH86" i="1" s="1"/>
  <c r="EP86" i="1" s="1"/>
  <c r="AG86" i="1" l="1"/>
  <c r="AC87" i="1"/>
  <c r="EJ91" i="1"/>
  <c r="ED87" i="1"/>
  <c r="EH87" i="1" s="1"/>
  <c r="EP87" i="1" s="1"/>
  <c r="AG87" i="1" l="1"/>
  <c r="AC88" i="1"/>
  <c r="ED88" i="1"/>
  <c r="EH88" i="1" s="1"/>
  <c r="EP88" i="1" s="1"/>
  <c r="EJ92" i="1"/>
  <c r="AG88" i="1" l="1"/>
  <c r="AC89" i="1"/>
  <c r="EJ93" i="1"/>
  <c r="ED89" i="1"/>
  <c r="EH89" i="1" s="1"/>
  <c r="EP89" i="1" s="1"/>
  <c r="AG89" i="1" l="1"/>
  <c r="AC90" i="1"/>
  <c r="EJ94" i="1"/>
  <c r="ED90" i="1"/>
  <c r="EH90" i="1" s="1"/>
  <c r="EP90" i="1" s="1"/>
  <c r="AG90" i="1" l="1"/>
  <c r="AC91" i="1"/>
  <c r="EJ95" i="1"/>
  <c r="ED91" i="1"/>
  <c r="EH91" i="1" s="1"/>
  <c r="EP91" i="1" s="1"/>
  <c r="AG91" i="1" l="1"/>
  <c r="AC92" i="1"/>
  <c r="ED92" i="1"/>
  <c r="EH92" i="1" s="1"/>
  <c r="EP92" i="1" s="1"/>
  <c r="EJ96" i="1"/>
  <c r="AG92" i="1" l="1"/>
  <c r="AC93" i="1"/>
  <c r="EJ97" i="1"/>
  <c r="ED93" i="1"/>
  <c r="EH93" i="1" s="1"/>
  <c r="EP93" i="1" s="1"/>
  <c r="AG93" i="1" l="1"/>
  <c r="AC94" i="1"/>
  <c r="ED94" i="1"/>
  <c r="EH94" i="1" s="1"/>
  <c r="EP94" i="1" s="1"/>
  <c r="EJ98" i="1"/>
  <c r="AG94" i="1" l="1"/>
  <c r="AC95" i="1"/>
  <c r="EJ99" i="1"/>
  <c r="ED95" i="1"/>
  <c r="EH95" i="1" s="1"/>
  <c r="EP95" i="1" s="1"/>
  <c r="AG95" i="1" l="1"/>
  <c r="AC96" i="1"/>
  <c r="ED96" i="1"/>
  <c r="EH96" i="1" s="1"/>
  <c r="EP96" i="1" s="1"/>
  <c r="EJ100" i="1"/>
  <c r="AG96" i="1" l="1"/>
  <c r="AC97" i="1"/>
  <c r="ED97" i="1"/>
  <c r="EH97" i="1" s="1"/>
  <c r="EP97" i="1" s="1"/>
  <c r="EJ102" i="1"/>
  <c r="AG97" i="1" l="1"/>
  <c r="AC98" i="1"/>
  <c r="ED98" i="1"/>
  <c r="EH98" i="1" s="1"/>
  <c r="EP98" i="1" s="1"/>
  <c r="EJ103" i="1"/>
  <c r="AG98" i="1" l="1"/>
  <c r="AC99" i="1"/>
  <c r="EJ104" i="1"/>
  <c r="ED99" i="1"/>
  <c r="EH99" i="1" s="1"/>
  <c r="EP99" i="1" s="1"/>
  <c r="AG99" i="1" l="1"/>
  <c r="AC100" i="1"/>
  <c r="ED100" i="1"/>
  <c r="EH100" i="1" s="1"/>
  <c r="EP100" i="1" s="1"/>
  <c r="EJ105" i="1"/>
  <c r="AG100" i="1" l="1"/>
  <c r="AC102" i="1"/>
  <c r="ED102" i="1"/>
  <c r="EH102" i="1" s="1"/>
  <c r="EP102" i="1" s="1"/>
  <c r="EJ107" i="1"/>
  <c r="AG102" i="1" l="1"/>
  <c r="AC103" i="1"/>
  <c r="EJ108" i="1"/>
  <c r="ED103" i="1"/>
  <c r="EH103" i="1" s="1"/>
  <c r="EP103" i="1" s="1"/>
  <c r="AG103" i="1" l="1"/>
  <c r="AC104" i="1"/>
  <c r="ED104" i="1"/>
  <c r="EH104" i="1" s="1"/>
  <c r="EP104" i="1" s="1"/>
  <c r="EJ109" i="1"/>
  <c r="AG104" i="1" l="1"/>
  <c r="AC105" i="1"/>
  <c r="EJ110" i="1"/>
  <c r="ED105" i="1"/>
  <c r="EH105" i="1" s="1"/>
  <c r="EP105" i="1" s="1"/>
  <c r="AG105" i="1" l="1"/>
  <c r="CA105" i="1"/>
  <c r="CB105" i="1" s="1"/>
  <c r="CI105" i="1" s="1"/>
  <c r="AC107" i="1"/>
  <c r="ED107" i="1"/>
  <c r="EH107" i="1" s="1"/>
  <c r="EP107" i="1" s="1"/>
  <c r="EJ111" i="1"/>
  <c r="AG107" i="1" l="1"/>
  <c r="AC108" i="1"/>
  <c r="ED108" i="1"/>
  <c r="EH108" i="1" s="1"/>
  <c r="EP108" i="1" s="1"/>
  <c r="EJ112" i="1"/>
  <c r="AG108" i="1" l="1"/>
  <c r="AC109" i="1"/>
  <c r="ED109" i="1"/>
  <c r="EH109" i="1" s="1"/>
  <c r="EP109" i="1" s="1"/>
  <c r="EJ113" i="1"/>
  <c r="AG109" i="1" l="1"/>
  <c r="AC110" i="1"/>
  <c r="EJ114" i="1"/>
  <c r="ED110" i="1"/>
  <c r="EH110" i="1" s="1"/>
  <c r="EP110" i="1" s="1"/>
  <c r="AG110" i="1" l="1"/>
  <c r="AC111" i="1"/>
  <c r="EJ115" i="1"/>
  <c r="ED111" i="1"/>
  <c r="EH111" i="1" s="1"/>
  <c r="EP111" i="1" s="1"/>
  <c r="AG111" i="1" l="1"/>
  <c r="AC112" i="1"/>
  <c r="ED112" i="1"/>
  <c r="EH112" i="1" s="1"/>
  <c r="EP112" i="1" s="1"/>
  <c r="EJ116" i="1"/>
  <c r="AG112" i="1" l="1"/>
  <c r="CA112" i="1"/>
  <c r="CB112" i="1" s="1"/>
  <c r="CI112" i="1" s="1"/>
  <c r="AC113" i="1"/>
  <c r="EJ117" i="1"/>
  <c r="ED113" i="1"/>
  <c r="EH113" i="1" s="1"/>
  <c r="EP113" i="1" s="1"/>
  <c r="AG113" i="1" l="1"/>
  <c r="AC114" i="1"/>
  <c r="EJ118" i="1"/>
  <c r="ED114" i="1"/>
  <c r="EH114" i="1" s="1"/>
  <c r="EP114" i="1" s="1"/>
  <c r="AG114" i="1" l="1"/>
  <c r="AC115" i="1"/>
  <c r="EJ119" i="1"/>
  <c r="ED115" i="1"/>
  <c r="EH115" i="1" s="1"/>
  <c r="EP115" i="1" s="1"/>
  <c r="AG115" i="1" l="1"/>
  <c r="AC116" i="1"/>
  <c r="ED116" i="1"/>
  <c r="EH116" i="1" s="1"/>
  <c r="EP116" i="1" s="1"/>
  <c r="EJ120" i="1"/>
  <c r="AG116" i="1" l="1"/>
  <c r="AC117" i="1"/>
  <c r="EJ121" i="1"/>
  <c r="ED117" i="1"/>
  <c r="EH117" i="1" s="1"/>
  <c r="EP117" i="1" s="1"/>
  <c r="AG117" i="1" l="1"/>
  <c r="AC118" i="1"/>
  <c r="ED118" i="1"/>
  <c r="EH118" i="1" s="1"/>
  <c r="EP118" i="1" s="1"/>
  <c r="EJ122" i="1"/>
  <c r="AG118" i="1" l="1"/>
  <c r="AC119" i="1"/>
  <c r="ED119" i="1"/>
  <c r="EH119" i="1" s="1"/>
  <c r="EP119" i="1" s="1"/>
  <c r="EJ123" i="1"/>
  <c r="AG119" i="1" l="1"/>
  <c r="AC120" i="1"/>
  <c r="EJ124" i="1"/>
  <c r="ED120" i="1"/>
  <c r="EH120" i="1" s="1"/>
  <c r="EP120" i="1" s="1"/>
  <c r="AG120" i="1" l="1"/>
  <c r="AC121" i="1"/>
  <c r="EJ125" i="1"/>
  <c r="ED121" i="1"/>
  <c r="EH121" i="1" s="1"/>
  <c r="EP121" i="1" s="1"/>
  <c r="AG121" i="1" l="1"/>
  <c r="AC122" i="1"/>
  <c r="ED122" i="1"/>
  <c r="EH122" i="1" s="1"/>
  <c r="EP122" i="1" s="1"/>
  <c r="EJ126" i="1"/>
  <c r="AG122" i="1" l="1"/>
  <c r="AC123" i="1"/>
  <c r="EJ127" i="1"/>
  <c r="ED123" i="1"/>
  <c r="EH123" i="1" s="1"/>
  <c r="EP123" i="1" s="1"/>
  <c r="AG123" i="1" l="1"/>
  <c r="AC124" i="1"/>
  <c r="ED124" i="1"/>
  <c r="EH124" i="1" s="1"/>
  <c r="EP124" i="1" s="1"/>
  <c r="EJ129" i="1"/>
  <c r="AG124" i="1" l="1"/>
  <c r="AC125" i="1"/>
  <c r="EJ130" i="1"/>
  <c r="ED125" i="1"/>
  <c r="EH125" i="1" s="1"/>
  <c r="EP125" i="1" s="1"/>
  <c r="AG125" i="1" l="1"/>
  <c r="AC126" i="1"/>
  <c r="ED126" i="1"/>
  <c r="EH126" i="1" s="1"/>
  <c r="EP126" i="1" s="1"/>
  <c r="EJ131" i="1"/>
  <c r="AG126" i="1" l="1"/>
  <c r="AC127" i="1"/>
  <c r="EJ132" i="1"/>
  <c r="ED127" i="1"/>
  <c r="EH127" i="1" s="1"/>
  <c r="EP127" i="1" s="1"/>
  <c r="AG127" i="1" l="1"/>
  <c r="AC129" i="1"/>
  <c r="ED129" i="1"/>
  <c r="EH129" i="1" s="1"/>
  <c r="EP129" i="1" s="1"/>
  <c r="EJ133" i="1"/>
  <c r="AG129" i="1" l="1"/>
  <c r="AC130" i="1"/>
  <c r="EJ134" i="1"/>
  <c r="ED130" i="1"/>
  <c r="EH130" i="1" s="1"/>
  <c r="EP130" i="1" s="1"/>
  <c r="AG130" i="1" l="1"/>
  <c r="AC131" i="1"/>
  <c r="ED131" i="1"/>
  <c r="EH131" i="1" s="1"/>
  <c r="EP131" i="1" s="1"/>
  <c r="EJ135" i="1"/>
  <c r="AG131" i="1" l="1"/>
  <c r="CA131" i="1"/>
  <c r="CB131" i="1" s="1"/>
  <c r="CI131" i="1" s="1"/>
  <c r="AC132" i="1"/>
  <c r="ED132" i="1"/>
  <c r="EH132" i="1" s="1"/>
  <c r="EP132" i="1" s="1"/>
  <c r="EJ136" i="1"/>
  <c r="AG132" i="1" l="1"/>
  <c r="AC133" i="1"/>
  <c r="EJ137" i="1"/>
  <c r="ED133" i="1"/>
  <c r="EH133" i="1" s="1"/>
  <c r="EP133" i="1" s="1"/>
  <c r="AG133" i="1" l="1"/>
  <c r="AC134" i="1"/>
  <c r="EJ138" i="1"/>
  <c r="ED134" i="1"/>
  <c r="EH134" i="1" s="1"/>
  <c r="EP134" i="1" s="1"/>
  <c r="AG134" i="1" l="1"/>
  <c r="AC135" i="1"/>
  <c r="ED135" i="1"/>
  <c r="EH135" i="1" s="1"/>
  <c r="EP135" i="1" s="1"/>
  <c r="EJ139" i="1"/>
  <c r="AG135" i="1" l="1"/>
  <c r="AC136" i="1"/>
  <c r="EJ140" i="1"/>
  <c r="ED136" i="1"/>
  <c r="EH136" i="1" s="1"/>
  <c r="EP136" i="1" s="1"/>
  <c r="AG136" i="1" l="1"/>
  <c r="AC137" i="1"/>
  <c r="EJ141" i="1"/>
  <c r="ED137" i="1"/>
  <c r="EH137" i="1" s="1"/>
  <c r="EP137" i="1" s="1"/>
  <c r="AG137" i="1" l="1"/>
  <c r="AC138" i="1"/>
  <c r="ED138" i="1"/>
  <c r="EH138" i="1" s="1"/>
  <c r="EP138" i="1" s="1"/>
  <c r="EJ142" i="1"/>
  <c r="AG138" i="1" l="1"/>
  <c r="AC139" i="1"/>
  <c r="ED139" i="1"/>
  <c r="EH139" i="1" s="1"/>
  <c r="EP139" i="1" s="1"/>
  <c r="EJ143" i="1"/>
  <c r="AG139" i="1" l="1"/>
  <c r="CA139" i="1"/>
  <c r="CB139" i="1" s="1"/>
  <c r="CI139" i="1" s="1"/>
  <c r="AC140" i="1"/>
  <c r="EJ144" i="1"/>
  <c r="ED140" i="1"/>
  <c r="EH140" i="1" s="1"/>
  <c r="EP140" i="1" s="1"/>
  <c r="AG140" i="1" l="1"/>
  <c r="AC141" i="1"/>
  <c r="ED141" i="1"/>
  <c r="EH141" i="1" s="1"/>
  <c r="EP141" i="1" s="1"/>
  <c r="EJ145" i="1"/>
  <c r="AG141" i="1" l="1"/>
  <c r="AC142" i="1"/>
  <c r="EJ146" i="1"/>
  <c r="ED142" i="1"/>
  <c r="EH142" i="1" s="1"/>
  <c r="EP142" i="1" s="1"/>
  <c r="AG142" i="1" l="1"/>
  <c r="AC143" i="1"/>
  <c r="ED143" i="1"/>
  <c r="EH143" i="1" s="1"/>
  <c r="EP143" i="1" s="1"/>
  <c r="EJ147" i="1"/>
  <c r="AG143" i="1" l="1"/>
  <c r="AC144" i="1"/>
  <c r="EJ148" i="1"/>
  <c r="ED144" i="1"/>
  <c r="EH144" i="1" s="1"/>
  <c r="EP144" i="1" s="1"/>
  <c r="AG144" i="1" l="1"/>
  <c r="AC145" i="1"/>
  <c r="EJ149" i="1"/>
  <c r="ED145" i="1"/>
  <c r="EH145" i="1" s="1"/>
  <c r="EP145" i="1" s="1"/>
  <c r="AG145" i="1" l="1"/>
  <c r="AC146" i="1"/>
  <c r="CI7" i="1"/>
  <c r="EJ150" i="1"/>
  <c r="ED146" i="1"/>
  <c r="EH146" i="1" s="1"/>
  <c r="EP146" i="1" s="1"/>
  <c r="AG146" i="1" l="1"/>
  <c r="AC147" i="1"/>
  <c r="ED147" i="1"/>
  <c r="EH147" i="1" s="1"/>
  <c r="EP147" i="1" s="1"/>
  <c r="EJ151" i="1"/>
  <c r="AG147" i="1" l="1"/>
  <c r="AC148" i="1"/>
  <c r="EJ152" i="1"/>
  <c r="ED148" i="1"/>
  <c r="EH148" i="1" s="1"/>
  <c r="EP148" i="1" s="1"/>
  <c r="AG148" i="1" l="1"/>
  <c r="AC149" i="1"/>
  <c r="EJ153" i="1"/>
  <c r="ED149" i="1"/>
  <c r="EH149" i="1" s="1"/>
  <c r="EP149" i="1" s="1"/>
  <c r="AG149" i="1" l="1"/>
  <c r="AC150" i="1"/>
  <c r="ED150" i="1"/>
  <c r="EH150" i="1" s="1"/>
  <c r="EP150" i="1" s="1"/>
  <c r="EJ155" i="1"/>
  <c r="AG150" i="1" l="1"/>
  <c r="AC151" i="1"/>
  <c r="EJ157" i="1"/>
  <c r="ED151" i="1"/>
  <c r="EH151" i="1" s="1"/>
  <c r="EP151" i="1" s="1"/>
  <c r="AG151" i="1" l="1"/>
  <c r="AC152" i="1"/>
  <c r="ED152" i="1"/>
  <c r="EH152" i="1" s="1"/>
  <c r="EP152" i="1" s="1"/>
  <c r="EJ158" i="1"/>
  <c r="AG152" i="1" l="1"/>
  <c r="AC153" i="1"/>
  <c r="ED153" i="1"/>
  <c r="EH153" i="1" s="1"/>
  <c r="EP153" i="1" s="1"/>
  <c r="EJ159" i="1"/>
  <c r="AG153" i="1" l="1"/>
  <c r="AC155" i="1"/>
  <c r="EJ160" i="1"/>
  <c r="ED155" i="1"/>
  <c r="EH155" i="1" s="1"/>
  <c r="EP155" i="1" s="1"/>
  <c r="AG155" i="1" l="1"/>
  <c r="AC157" i="1"/>
  <c r="ED157" i="1"/>
  <c r="EH157" i="1" s="1"/>
  <c r="EP157" i="1" s="1"/>
  <c r="EJ161" i="1"/>
  <c r="AG157" i="1" l="1"/>
  <c r="AC158" i="1"/>
  <c r="ED158" i="1"/>
  <c r="EH158" i="1" s="1"/>
  <c r="EP158" i="1" s="1"/>
  <c r="EJ162" i="1"/>
  <c r="AG158" i="1" l="1"/>
  <c r="AC159" i="1"/>
  <c r="EJ163" i="1"/>
  <c r="ED159" i="1"/>
  <c r="EH159" i="1" s="1"/>
  <c r="EP159" i="1" s="1"/>
  <c r="AG159" i="1" l="1"/>
  <c r="AC160" i="1"/>
  <c r="ED160" i="1"/>
  <c r="EH160" i="1" s="1"/>
  <c r="EP160" i="1" s="1"/>
  <c r="EJ164" i="1"/>
  <c r="AG160" i="1" l="1"/>
  <c r="AC161" i="1"/>
  <c r="EJ165" i="1"/>
  <c r="ED161" i="1"/>
  <c r="EH161" i="1" s="1"/>
  <c r="EP161" i="1" s="1"/>
  <c r="AG161" i="1" l="1"/>
  <c r="AC162" i="1"/>
  <c r="ED162" i="1"/>
  <c r="EH162" i="1" s="1"/>
  <c r="EP162" i="1" s="1"/>
  <c r="EJ166" i="1"/>
  <c r="AG162" i="1" l="1"/>
  <c r="AC163" i="1"/>
  <c r="ED163" i="1"/>
  <c r="EH163" i="1" s="1"/>
  <c r="EP163" i="1" s="1"/>
  <c r="EJ167" i="1"/>
  <c r="AG163" i="1" l="1"/>
  <c r="AC164" i="1"/>
  <c r="ED164" i="1"/>
  <c r="EH164" i="1" s="1"/>
  <c r="EP164" i="1" s="1"/>
  <c r="EJ168" i="1"/>
  <c r="AG164" i="1" l="1"/>
  <c r="AC165" i="1"/>
  <c r="EJ169" i="1"/>
  <c r="ED165" i="1"/>
  <c r="EH165" i="1" s="1"/>
  <c r="EP165" i="1" s="1"/>
  <c r="AG165" i="1" l="1"/>
  <c r="AC166" i="1"/>
  <c r="ED166" i="1"/>
  <c r="EH166" i="1" s="1"/>
  <c r="EP166" i="1" s="1"/>
  <c r="EJ170" i="1"/>
  <c r="AG166" i="1" l="1"/>
  <c r="AC167" i="1"/>
  <c r="EJ171" i="1"/>
  <c r="ED167" i="1"/>
  <c r="EH167" i="1" s="1"/>
  <c r="EP167" i="1" s="1"/>
  <c r="AG167" i="1" l="1"/>
  <c r="AC168" i="1"/>
  <c r="ED168" i="1"/>
  <c r="EH168" i="1" s="1"/>
  <c r="EP168" i="1" s="1"/>
  <c r="EJ172" i="1"/>
  <c r="AG168" i="1" l="1"/>
  <c r="AC169" i="1"/>
  <c r="EJ174" i="1"/>
  <c r="ED169" i="1"/>
  <c r="EH169" i="1" s="1"/>
  <c r="EP169" i="1" s="1"/>
  <c r="AG169" i="1" l="1"/>
  <c r="AC171" i="1"/>
  <c r="EJ175" i="1"/>
  <c r="ED170" i="1"/>
  <c r="EB170" i="1" a="1"/>
  <c r="EB170" i="1" s="1"/>
  <c r="AG171" i="1" l="1"/>
  <c r="AC172" i="1"/>
  <c r="ED171" i="1"/>
  <c r="EH171" i="1" s="1"/>
  <c r="EP171" i="1" s="1"/>
  <c r="EL170" i="1"/>
  <c r="EE170" i="1"/>
  <c r="EH170" i="1" s="1"/>
  <c r="EP170" i="1" s="1"/>
  <c r="EJ176" i="1"/>
  <c r="AG172" i="1" l="1"/>
  <c r="AC174" i="1"/>
  <c r="EV170" i="1"/>
  <c r="EZ170" i="1" s="1"/>
  <c r="EJ177" i="1"/>
  <c r="ED172" i="1"/>
  <c r="EH172" i="1" s="1"/>
  <c r="EP172" i="1" s="1"/>
  <c r="AG174" i="1" l="1"/>
  <c r="AC175" i="1"/>
  <c r="ED174" i="1"/>
  <c r="EH174" i="1" s="1"/>
  <c r="EP174" i="1" s="1"/>
  <c r="EJ180" i="1"/>
  <c r="AG175" i="1" l="1"/>
  <c r="AC176" i="1"/>
  <c r="EJ181" i="1"/>
  <c r="ED175" i="1"/>
  <c r="EH175" i="1" s="1"/>
  <c r="EP175" i="1" s="1"/>
  <c r="AG176" i="1" l="1"/>
  <c r="AC177" i="1"/>
  <c r="EJ184" i="1"/>
  <c r="ED176" i="1"/>
  <c r="EH176" i="1" s="1"/>
  <c r="EP176" i="1" s="1"/>
  <c r="AG177" i="1" l="1"/>
  <c r="AC180" i="1"/>
  <c r="ED177" i="1"/>
  <c r="EH177" i="1" s="1"/>
  <c r="EP177" i="1" s="1"/>
  <c r="EJ185" i="1"/>
  <c r="AG180" i="1" l="1"/>
  <c r="AC181" i="1"/>
  <c r="EJ186" i="1"/>
  <c r="ED180" i="1"/>
  <c r="EH180" i="1" s="1"/>
  <c r="EP180" i="1" s="1"/>
  <c r="AG181" i="1" l="1"/>
  <c r="AC184" i="1"/>
  <c r="ED181" i="1"/>
  <c r="EH181" i="1" s="1"/>
  <c r="EP181" i="1" s="1"/>
  <c r="EJ187" i="1"/>
  <c r="AG184" i="1" l="1"/>
  <c r="AC185" i="1"/>
  <c r="EJ188" i="1"/>
  <c r="ED184" i="1"/>
  <c r="EH184" i="1" s="1"/>
  <c r="EP184" i="1" s="1"/>
  <c r="AG185" i="1" l="1"/>
  <c r="AC186" i="1"/>
  <c r="ED185" i="1"/>
  <c r="EH185" i="1" s="1"/>
  <c r="EP185" i="1" s="1"/>
  <c r="EJ189" i="1"/>
  <c r="AG186" i="1" l="1"/>
  <c r="AC187" i="1"/>
  <c r="EJ190" i="1"/>
  <c r="ED186" i="1"/>
  <c r="EH186" i="1" s="1"/>
  <c r="EP186" i="1" s="1"/>
  <c r="AG187" i="1" l="1"/>
  <c r="AC188" i="1"/>
  <c r="ED187" i="1"/>
  <c r="EH187" i="1" s="1"/>
  <c r="EP187" i="1" s="1"/>
  <c r="EJ191" i="1"/>
  <c r="AG188" i="1" l="1"/>
  <c r="AC189" i="1"/>
  <c r="ED188" i="1"/>
  <c r="EH188" i="1" s="1"/>
  <c r="EP188" i="1" s="1"/>
  <c r="EJ192" i="1"/>
  <c r="AG189" i="1" l="1"/>
  <c r="AC190" i="1"/>
  <c r="ED189" i="1"/>
  <c r="EH189" i="1" s="1"/>
  <c r="EP189" i="1" s="1"/>
  <c r="EJ193" i="1"/>
  <c r="AG190" i="1" l="1"/>
  <c r="AC191" i="1"/>
  <c r="EJ194" i="1"/>
  <c r="ED190" i="1"/>
  <c r="EH190" i="1" s="1"/>
  <c r="EP190" i="1" s="1"/>
  <c r="AG191" i="1" l="1"/>
  <c r="AC192" i="1"/>
  <c r="ED191" i="1"/>
  <c r="EH191" i="1" s="1"/>
  <c r="EP191" i="1" s="1"/>
  <c r="EJ195" i="1"/>
  <c r="AG192" i="1" l="1"/>
  <c r="AC193" i="1"/>
  <c r="EJ196" i="1"/>
  <c r="ED192" i="1"/>
  <c r="EH192" i="1" s="1"/>
  <c r="EP192" i="1" s="1"/>
  <c r="AG193" i="1" l="1"/>
  <c r="AC194" i="1"/>
  <c r="ED193" i="1"/>
  <c r="EH193" i="1" s="1"/>
  <c r="EP193" i="1" s="1"/>
  <c r="EJ197" i="1"/>
  <c r="AG194" i="1" l="1"/>
  <c r="AC195" i="1"/>
  <c r="EJ198" i="1"/>
  <c r="ED194" i="1"/>
  <c r="EH194" i="1" s="1"/>
  <c r="EP194" i="1" s="1"/>
  <c r="AG195" i="1" l="1"/>
  <c r="AC196" i="1"/>
  <c r="ED195" i="1"/>
  <c r="EH195" i="1" s="1"/>
  <c r="EP195" i="1" s="1"/>
  <c r="EJ199" i="1"/>
  <c r="AG196" i="1" l="1"/>
  <c r="AC198" i="1"/>
  <c r="EJ200" i="1"/>
  <c r="ED196" i="1"/>
  <c r="EH196" i="1" s="1"/>
  <c r="EP196" i="1" s="1"/>
  <c r="AG198" i="1" l="1"/>
  <c r="AC199" i="1"/>
  <c r="ED197" i="1"/>
  <c r="EH197" i="1" s="1"/>
  <c r="EP197" i="1" s="1"/>
  <c r="EB197" i="1" a="1"/>
  <c r="EB197" i="1" s="1"/>
  <c r="EJ201" i="1"/>
  <c r="AG199" i="1" l="1"/>
  <c r="AC200" i="1"/>
  <c r="EJ202" i="1"/>
  <c r="ED198" i="1"/>
  <c r="EH198" i="1" s="1"/>
  <c r="EP198" i="1" s="1"/>
  <c r="EL197" i="1"/>
  <c r="EV197" i="1" s="1"/>
  <c r="EE197" i="1"/>
  <c r="AG200" i="1" l="1"/>
  <c r="AC201" i="1"/>
  <c r="EZ197" i="1"/>
  <c r="ED199" i="1"/>
  <c r="EH199" i="1" s="1"/>
  <c r="EP199" i="1" s="1"/>
  <c r="EJ203" i="1"/>
  <c r="AG201" i="1" l="1"/>
  <c r="AC202" i="1"/>
  <c r="ED200" i="1"/>
  <c r="EH200" i="1" s="1"/>
  <c r="EP200" i="1" s="1"/>
  <c r="EJ204" i="1"/>
  <c r="AG202" i="1" l="1"/>
  <c r="AC204" i="1"/>
  <c r="EJ205" i="1"/>
  <c r="ED201" i="1"/>
  <c r="EH201" i="1" s="1"/>
  <c r="EP201" i="1" s="1"/>
  <c r="AG204" i="1" l="1"/>
  <c r="AC205" i="1"/>
  <c r="ED202" i="1"/>
  <c r="EH202" i="1" s="1"/>
  <c r="EP202" i="1" s="1"/>
  <c r="EJ206" i="1"/>
  <c r="AG205" i="1" l="1"/>
  <c r="AC206" i="1"/>
  <c r="EJ207" i="1"/>
  <c r="ED203" i="1"/>
  <c r="EH203" i="1" s="1"/>
  <c r="EP203" i="1" s="1"/>
  <c r="EB203" i="1" a="1"/>
  <c r="EB203" i="1" s="1"/>
  <c r="AG206" i="1" l="1"/>
  <c r="AC208" i="1"/>
  <c r="ED204" i="1"/>
  <c r="EH204" i="1" s="1"/>
  <c r="EP204" i="1" s="1"/>
  <c r="EL203" i="1"/>
  <c r="EV203" i="1" s="1"/>
  <c r="EE203" i="1"/>
  <c r="EJ208" i="1"/>
  <c r="AG208" i="1" l="1"/>
  <c r="AC209" i="1"/>
  <c r="EZ203" i="1"/>
  <c r="EJ209" i="1"/>
  <c r="ED205" i="1"/>
  <c r="EH205" i="1" s="1"/>
  <c r="EP205" i="1" s="1"/>
  <c r="AG209" i="1" l="1"/>
  <c r="AC210" i="1"/>
  <c r="ED206" i="1"/>
  <c r="EH206" i="1" s="1"/>
  <c r="EP206" i="1" s="1"/>
  <c r="EJ210" i="1"/>
  <c r="AG210" i="1" l="1"/>
  <c r="AC211" i="1"/>
  <c r="EJ211" i="1"/>
  <c r="ED207" i="1"/>
  <c r="EH207" i="1" s="1"/>
  <c r="EP207" i="1" s="1"/>
  <c r="EB207" i="1" a="1"/>
  <c r="EB207" i="1" s="1"/>
  <c r="AG211" i="1" l="1"/>
  <c r="AC212" i="1"/>
  <c r="EJ212" i="1"/>
  <c r="ED208" i="1"/>
  <c r="EH208" i="1" s="1"/>
  <c r="EP208" i="1" s="1"/>
  <c r="EL207" i="1"/>
  <c r="EV207" i="1" s="1"/>
  <c r="EE207" i="1"/>
  <c r="AG212" i="1" l="1"/>
  <c r="AC213" i="1"/>
  <c r="ED209" i="1"/>
  <c r="EH209" i="1" s="1"/>
  <c r="EP209" i="1" s="1"/>
  <c r="EJ213" i="1"/>
  <c r="EZ207" i="1"/>
  <c r="AG213" i="1" l="1"/>
  <c r="AC214" i="1"/>
  <c r="EJ214" i="1"/>
  <c r="ED210" i="1"/>
  <c r="EH210" i="1" s="1"/>
  <c r="EP210" i="1" s="1"/>
  <c r="AG214" i="1" l="1"/>
  <c r="AC215" i="1"/>
  <c r="EJ215" i="1"/>
  <c r="ED211" i="1"/>
  <c r="EH211" i="1" s="1"/>
  <c r="EP211" i="1" s="1"/>
  <c r="AG215" i="1" l="1"/>
  <c r="AC216" i="1"/>
  <c r="ED212" i="1"/>
  <c r="EH212" i="1" s="1"/>
  <c r="EP212" i="1" s="1"/>
  <c r="EJ216" i="1"/>
  <c r="AG216" i="1" l="1"/>
  <c r="AC217" i="1"/>
  <c r="EJ217" i="1"/>
  <c r="ED213" i="1"/>
  <c r="EH213" i="1" s="1"/>
  <c r="EP213" i="1" s="1"/>
  <c r="AG217" i="1" l="1"/>
  <c r="AC218" i="1"/>
  <c r="EJ218" i="1"/>
  <c r="ED214" i="1"/>
  <c r="EH214" i="1" s="1"/>
  <c r="EP214" i="1" s="1"/>
  <c r="AG218" i="1" l="1"/>
  <c r="AC219" i="1"/>
  <c r="ED215" i="1"/>
  <c r="EH215" i="1" s="1"/>
  <c r="EP215" i="1" s="1"/>
  <c r="EJ219" i="1"/>
  <c r="AG219" i="1" l="1"/>
  <c r="AC221" i="1"/>
  <c r="EJ221" i="1"/>
  <c r="ED216" i="1"/>
  <c r="EH216" i="1" s="1"/>
  <c r="EP216" i="1" s="1"/>
  <c r="AG221" i="1" l="1"/>
  <c r="AC222" i="1"/>
  <c r="EJ222" i="1"/>
  <c r="ED217" i="1"/>
  <c r="EH217" i="1" s="1"/>
  <c r="EP217" i="1" s="1"/>
  <c r="AG222" i="1" l="1"/>
  <c r="AC223" i="1"/>
  <c r="ED218" i="1"/>
  <c r="EH218" i="1" s="1"/>
  <c r="EP218" i="1" s="1"/>
  <c r="EJ223" i="1"/>
  <c r="AG223" i="1" l="1"/>
  <c r="AC226" i="1"/>
  <c r="EJ226" i="1"/>
  <c r="ED219" i="1"/>
  <c r="EH219" i="1" s="1"/>
  <c r="EP219" i="1" s="1"/>
  <c r="AG226" i="1" l="1"/>
  <c r="AC227" i="1"/>
  <c r="ED221" i="1"/>
  <c r="EH221" i="1" s="1"/>
  <c r="EP221" i="1" s="1"/>
  <c r="EJ227" i="1"/>
  <c r="AG227" i="1" l="1"/>
  <c r="AC228" i="1"/>
  <c r="ED222" i="1"/>
  <c r="EH222" i="1" s="1"/>
  <c r="EP222" i="1" s="1"/>
  <c r="EJ228" i="1"/>
  <c r="AG228" i="1" l="1"/>
  <c r="AC229" i="1"/>
  <c r="ED223" i="1"/>
  <c r="EH223" i="1" s="1"/>
  <c r="EP223" i="1" s="1"/>
  <c r="EJ229" i="1"/>
  <c r="AG229" i="1" l="1"/>
  <c r="AC230" i="1"/>
  <c r="ED226" i="1"/>
  <c r="EH226" i="1" s="1"/>
  <c r="EP226" i="1" s="1"/>
  <c r="EJ230" i="1"/>
  <c r="AG230" i="1" l="1"/>
  <c r="AC231" i="1"/>
  <c r="EJ231" i="1"/>
  <c r="ED227" i="1"/>
  <c r="EH227" i="1" s="1"/>
  <c r="EP227" i="1" s="1"/>
  <c r="AG231" i="1" l="1"/>
  <c r="AC232" i="1"/>
  <c r="ED228" i="1"/>
  <c r="EH228" i="1" s="1"/>
  <c r="EP228" i="1" s="1"/>
  <c r="EJ232" i="1"/>
  <c r="AG232" i="1" l="1"/>
  <c r="AC233" i="1"/>
  <c r="EJ233" i="1"/>
  <c r="ED229" i="1"/>
  <c r="EH229" i="1" s="1"/>
  <c r="EP229" i="1" s="1"/>
  <c r="AG233" i="1" l="1"/>
  <c r="AC234" i="1"/>
  <c r="ED230" i="1"/>
  <c r="EH230" i="1" s="1"/>
  <c r="EP230" i="1" s="1"/>
  <c r="EJ234" i="1"/>
  <c r="AG234" i="1" l="1"/>
  <c r="AC235" i="1"/>
  <c r="EJ235" i="1"/>
  <c r="ED231" i="1"/>
  <c r="EH231" i="1" s="1"/>
  <c r="EP231" i="1" s="1"/>
  <c r="AG235" i="1" l="1"/>
  <c r="AC236" i="1"/>
  <c r="ED232" i="1"/>
  <c r="EH232" i="1" s="1"/>
  <c r="EP232" i="1" s="1"/>
  <c r="EJ236" i="1"/>
  <c r="AG236" i="1" l="1"/>
  <c r="AC237" i="1"/>
  <c r="EJ237" i="1"/>
  <c r="ED233" i="1"/>
  <c r="EH233" i="1" s="1"/>
  <c r="EP233" i="1" s="1"/>
  <c r="AG237" i="1" l="1"/>
  <c r="AC238" i="1"/>
  <c r="ED234" i="1"/>
  <c r="EH234" i="1" s="1"/>
  <c r="EP234" i="1" s="1"/>
  <c r="EJ238" i="1"/>
  <c r="AG238" i="1" l="1"/>
  <c r="AC239" i="1"/>
  <c r="EJ239" i="1"/>
  <c r="ED235" i="1"/>
  <c r="EH235" i="1" s="1"/>
  <c r="EP235" i="1" s="1"/>
  <c r="AG239" i="1" l="1"/>
  <c r="AC240" i="1"/>
  <c r="ED236" i="1"/>
  <c r="EH236" i="1" s="1"/>
  <c r="EP236" i="1" s="1"/>
  <c r="EJ240" i="1"/>
  <c r="AG240" i="1" l="1"/>
  <c r="AC242" i="1"/>
  <c r="EJ242" i="1"/>
  <c r="ED237" i="1"/>
  <c r="EH237" i="1" s="1"/>
  <c r="EP237" i="1" s="1"/>
  <c r="AG242" i="1" l="1"/>
  <c r="AC244" i="1"/>
  <c r="ED238" i="1"/>
  <c r="EH238" i="1" s="1"/>
  <c r="EP238" i="1" s="1"/>
  <c r="EJ244" i="1"/>
  <c r="AG244" i="1" l="1"/>
  <c r="AC245" i="1"/>
  <c r="EJ245" i="1"/>
  <c r="ED239" i="1"/>
  <c r="EH239" i="1" s="1"/>
  <c r="EP239" i="1" s="1"/>
  <c r="AG245" i="1" l="1"/>
  <c r="AC246" i="1"/>
  <c r="ED240" i="1"/>
  <c r="EH240" i="1" s="1"/>
  <c r="EP240" i="1" s="1"/>
  <c r="EJ246" i="1"/>
  <c r="AG246" i="1" l="1"/>
  <c r="AC247" i="1"/>
  <c r="EJ247" i="1"/>
  <c r="ED242" i="1"/>
  <c r="EH242" i="1" s="1"/>
  <c r="EP242" i="1" s="1"/>
  <c r="AG247" i="1" l="1"/>
  <c r="AC248" i="1"/>
  <c r="EJ248" i="1"/>
  <c r="ED244" i="1"/>
  <c r="EH244" i="1" s="1"/>
  <c r="EP244" i="1" s="1"/>
  <c r="AG248" i="1" l="1"/>
  <c r="AC249" i="1"/>
  <c r="EJ249" i="1"/>
  <c r="ED245" i="1"/>
  <c r="EH245" i="1" s="1"/>
  <c r="EP245" i="1" s="1"/>
  <c r="AG249" i="1" l="1"/>
  <c r="AC250" i="1"/>
  <c r="ED246" i="1"/>
  <c r="EH246" i="1" s="1"/>
  <c r="EP246" i="1" s="1"/>
  <c r="EJ250" i="1"/>
  <c r="AG250" i="1" l="1"/>
  <c r="AC253" i="1"/>
  <c r="EJ253" i="1"/>
  <c r="ED247" i="1"/>
  <c r="EH247" i="1" s="1"/>
  <c r="EP247" i="1" s="1"/>
  <c r="AG253" i="1" l="1"/>
  <c r="AC254" i="1"/>
  <c r="EJ254" i="1"/>
  <c r="ED248" i="1"/>
  <c r="EH248" i="1" s="1"/>
  <c r="EP248" i="1" s="1"/>
  <c r="AG254" i="1" l="1"/>
  <c r="AC255" i="1"/>
  <c r="ED249" i="1"/>
  <c r="EH249" i="1" s="1"/>
  <c r="EP249" i="1" s="1"/>
  <c r="EJ255" i="1"/>
  <c r="AG255" i="1" l="1"/>
  <c r="AC256" i="1"/>
  <c r="EJ256" i="1"/>
  <c r="ED250" i="1"/>
  <c r="EH250" i="1" s="1"/>
  <c r="EP250" i="1" s="1"/>
  <c r="AG256" i="1" l="1"/>
  <c r="AC257" i="1"/>
  <c r="ED253" i="1"/>
  <c r="EH253" i="1" s="1"/>
  <c r="EP253" i="1" s="1"/>
  <c r="EJ257" i="1"/>
  <c r="AG257" i="1" l="1"/>
  <c r="AC258" i="1"/>
  <c r="EJ258" i="1"/>
  <c r="ED254" i="1"/>
  <c r="EH254" i="1" s="1"/>
  <c r="EP254" i="1" s="1"/>
  <c r="AG258" i="1" l="1"/>
  <c r="AC259" i="1"/>
  <c r="ED255" i="1"/>
  <c r="EH255" i="1" s="1"/>
  <c r="EP255" i="1" s="1"/>
  <c r="EJ259" i="1"/>
  <c r="AG259" i="1" l="1"/>
  <c r="AC260" i="1"/>
  <c r="EJ260" i="1"/>
  <c r="ED256" i="1"/>
  <c r="EH256" i="1" s="1"/>
  <c r="EP256" i="1" s="1"/>
  <c r="AG260" i="1" l="1"/>
  <c r="AC263" i="1"/>
  <c r="ED257" i="1"/>
  <c r="EH257" i="1" s="1"/>
  <c r="EP257" i="1" s="1"/>
  <c r="EJ263" i="1"/>
  <c r="AG263" i="1" l="1"/>
  <c r="AC264" i="1"/>
  <c r="EJ264" i="1"/>
  <c r="ED258" i="1"/>
  <c r="EH258" i="1" s="1"/>
  <c r="EP258" i="1" s="1"/>
  <c r="AG264" i="1" l="1"/>
  <c r="AC265" i="1"/>
  <c r="ED259" i="1"/>
  <c r="EH259" i="1" s="1"/>
  <c r="EP259" i="1" s="1"/>
  <c r="EJ265" i="1"/>
  <c r="AG265" i="1" l="1"/>
  <c r="AC266" i="1"/>
  <c r="EJ266" i="1"/>
  <c r="ED260" i="1"/>
  <c r="EH260" i="1" s="1"/>
  <c r="EP260" i="1" s="1"/>
  <c r="AG266" i="1" l="1"/>
  <c r="AC267" i="1"/>
  <c r="ED263" i="1"/>
  <c r="EH263" i="1" s="1"/>
  <c r="EP263" i="1" s="1"/>
  <c r="EJ267" i="1"/>
  <c r="AG267" i="1" l="1"/>
  <c r="AC268" i="1"/>
  <c r="ED264" i="1"/>
  <c r="EH264" i="1" s="1"/>
  <c r="EP264" i="1" s="1"/>
  <c r="EJ268" i="1"/>
  <c r="AG268" i="1" l="1"/>
  <c r="AC269" i="1"/>
  <c r="EJ269" i="1"/>
  <c r="ED265" i="1"/>
  <c r="EH265" i="1" s="1"/>
  <c r="EP265" i="1" s="1"/>
  <c r="AG269" i="1" l="1"/>
  <c r="AC270" i="1"/>
  <c r="ED266" i="1"/>
  <c r="EH266" i="1" s="1"/>
  <c r="EP266" i="1" s="1"/>
  <c r="EJ270" i="1"/>
  <c r="AG270" i="1" l="1"/>
  <c r="AC271" i="1"/>
  <c r="ED267" i="1"/>
  <c r="EH267" i="1" s="1"/>
  <c r="EP267" i="1" s="1"/>
  <c r="EJ271" i="1"/>
  <c r="AG271" i="1" l="1"/>
  <c r="AC272" i="1"/>
  <c r="EJ272" i="1"/>
  <c r="ED268" i="1"/>
  <c r="EH268" i="1" s="1"/>
  <c r="EP268" i="1" s="1"/>
  <c r="AG272" i="1" l="1"/>
  <c r="AC273" i="1"/>
  <c r="EJ273" i="1"/>
  <c r="ED269" i="1"/>
  <c r="EH269" i="1" s="1"/>
  <c r="EP269" i="1" s="1"/>
  <c r="AG273" i="1" l="1"/>
  <c r="AC274" i="1"/>
  <c r="ED270" i="1"/>
  <c r="EH270" i="1" s="1"/>
  <c r="EP270" i="1" s="1"/>
  <c r="EJ274" i="1"/>
  <c r="AG274" i="1" l="1"/>
  <c r="AC275" i="1"/>
  <c r="EJ275" i="1"/>
  <c r="ED271" i="1"/>
  <c r="EH271" i="1" s="1"/>
  <c r="EP271" i="1" s="1"/>
  <c r="AG275" i="1" l="1"/>
  <c r="AC276" i="1"/>
  <c r="ED272" i="1"/>
  <c r="EH272" i="1" s="1"/>
  <c r="EP272" i="1" s="1"/>
  <c r="EJ276" i="1"/>
  <c r="AG276" i="1" l="1"/>
  <c r="AC277" i="1"/>
  <c r="EJ277" i="1"/>
  <c r="ED273" i="1"/>
  <c r="EH273" i="1" s="1"/>
  <c r="EP273" i="1" s="1"/>
  <c r="AG277" i="1" l="1"/>
  <c r="AC278" i="1"/>
  <c r="EJ278" i="1"/>
  <c r="ED274" i="1"/>
  <c r="EH274" i="1" s="1"/>
  <c r="EP274" i="1" s="1"/>
  <c r="AG278" i="1" l="1"/>
  <c r="AC279" i="1"/>
  <c r="ED275" i="1"/>
  <c r="EH275" i="1" s="1"/>
  <c r="EP275" i="1" s="1"/>
  <c r="EJ279" i="1"/>
  <c r="AG279" i="1" l="1"/>
  <c r="AC281" i="1"/>
  <c r="EJ281" i="1"/>
  <c r="ED276" i="1"/>
  <c r="EH276" i="1" s="1"/>
  <c r="EP276" i="1" s="1"/>
  <c r="AG281" i="1" l="1"/>
  <c r="AC282" i="1"/>
  <c r="EJ282" i="1"/>
  <c r="ED277" i="1"/>
  <c r="EH277" i="1" s="1"/>
  <c r="EP277" i="1" s="1"/>
  <c r="AG282" i="1" l="1"/>
  <c r="AC283" i="1"/>
  <c r="ED278" i="1"/>
  <c r="EH278" i="1" s="1"/>
  <c r="EP278" i="1" s="1"/>
  <c r="EJ283" i="1"/>
  <c r="AG283" i="1" l="1"/>
  <c r="AC284" i="1"/>
  <c r="ED279" i="1"/>
  <c r="EH279" i="1" s="1"/>
  <c r="EP279" i="1" s="1"/>
  <c r="EJ284" i="1"/>
  <c r="AG284" i="1" l="1"/>
  <c r="AC285" i="1"/>
  <c r="ED281" i="1"/>
  <c r="EH281" i="1" s="1"/>
  <c r="EP281" i="1" s="1"/>
  <c r="EJ285" i="1"/>
  <c r="AG285" i="1" l="1"/>
  <c r="AC286" i="1"/>
  <c r="ED282" i="1"/>
  <c r="EH282" i="1" s="1"/>
  <c r="EP282" i="1" s="1"/>
  <c r="EJ286" i="1"/>
  <c r="AG286" i="1" l="1"/>
  <c r="AC287" i="1"/>
  <c r="EJ287" i="1"/>
  <c r="ED283" i="1"/>
  <c r="EH283" i="1" s="1"/>
  <c r="EP283" i="1" s="1"/>
  <c r="AG287" i="1" l="1"/>
  <c r="AC288" i="1"/>
  <c r="ED284" i="1"/>
  <c r="EH284" i="1" s="1"/>
  <c r="EP284" i="1" s="1"/>
  <c r="EJ288" i="1"/>
  <c r="AG288" i="1" l="1"/>
  <c r="AC289" i="1"/>
  <c r="EJ289" i="1"/>
  <c r="ED285" i="1"/>
  <c r="EH285" i="1" s="1"/>
  <c r="EP285" i="1" s="1"/>
  <c r="AG289" i="1" l="1"/>
  <c r="AC290" i="1"/>
  <c r="ED286" i="1"/>
  <c r="EH286" i="1" s="1"/>
  <c r="EP286" i="1" s="1"/>
  <c r="EJ290" i="1"/>
  <c r="AG290" i="1" l="1"/>
  <c r="AC291" i="1"/>
  <c r="ED287" i="1"/>
  <c r="EH287" i="1" s="1"/>
  <c r="EP287" i="1" s="1"/>
  <c r="EJ291" i="1"/>
  <c r="AG291" i="1" l="1"/>
  <c r="AC292" i="1"/>
  <c r="EJ292" i="1"/>
  <c r="ED288" i="1"/>
  <c r="EH288" i="1" s="1"/>
  <c r="EP288" i="1" s="1"/>
  <c r="AG292" i="1" l="1"/>
  <c r="AC293" i="1"/>
  <c r="ED289" i="1"/>
  <c r="EH289" i="1" s="1"/>
  <c r="EP289" i="1" s="1"/>
  <c r="EJ293" i="1"/>
  <c r="AG293" i="1" l="1"/>
  <c r="AC294" i="1"/>
  <c r="EJ294" i="1"/>
  <c r="ED290" i="1"/>
  <c r="EH290" i="1" s="1"/>
  <c r="EP290" i="1" s="1"/>
  <c r="AG294" i="1" l="1"/>
  <c r="AC295" i="1"/>
  <c r="ED291" i="1"/>
  <c r="EH291" i="1" s="1"/>
  <c r="EP291" i="1" s="1"/>
  <c r="EJ295" i="1"/>
  <c r="AG295" i="1" l="1"/>
  <c r="AC296" i="1"/>
  <c r="EJ296" i="1"/>
  <c r="ED292" i="1"/>
  <c r="EH292" i="1" s="1"/>
  <c r="EP292" i="1" s="1"/>
  <c r="AG296" i="1" l="1"/>
  <c r="AC297" i="1"/>
  <c r="ED293" i="1"/>
  <c r="EH293" i="1" s="1"/>
  <c r="EP293" i="1" s="1"/>
  <c r="EJ297" i="1"/>
  <c r="AG297" i="1" l="1"/>
  <c r="AC298" i="1"/>
  <c r="EJ298" i="1"/>
  <c r="ED294" i="1"/>
  <c r="EH294" i="1" s="1"/>
  <c r="EP294" i="1" s="1"/>
  <c r="AG298" i="1" l="1"/>
  <c r="AC299" i="1"/>
  <c r="ED295" i="1"/>
  <c r="EH295" i="1" s="1"/>
  <c r="EP295" i="1" s="1"/>
  <c r="EJ299" i="1"/>
  <c r="AG299" i="1" l="1"/>
  <c r="AC300" i="1"/>
  <c r="EJ300" i="1"/>
  <c r="ED296" i="1"/>
  <c r="EH296" i="1" s="1"/>
  <c r="EP296" i="1" s="1"/>
  <c r="AG300" i="1" l="1"/>
  <c r="AC301" i="1"/>
  <c r="ED297" i="1"/>
  <c r="EH297" i="1" s="1"/>
  <c r="EP297" i="1" s="1"/>
  <c r="EJ301" i="1"/>
  <c r="AG301" i="1" l="1"/>
  <c r="AC302" i="1"/>
  <c r="EJ302" i="1"/>
  <c r="ED298" i="1"/>
  <c r="EH298" i="1" s="1"/>
  <c r="EP298" i="1" s="1"/>
  <c r="AG302" i="1" l="1"/>
  <c r="AC303" i="1"/>
  <c r="ED299" i="1"/>
  <c r="EH299" i="1" s="1"/>
  <c r="EP299" i="1" s="1"/>
  <c r="EJ303" i="1"/>
  <c r="AG303" i="1" l="1"/>
  <c r="AC304" i="1"/>
  <c r="ED300" i="1"/>
  <c r="EH300" i="1" s="1"/>
  <c r="EP300" i="1" s="1"/>
  <c r="EJ304" i="1"/>
  <c r="AG304" i="1" l="1"/>
  <c r="AC305" i="1"/>
  <c r="ED301" i="1"/>
  <c r="EH301" i="1" s="1"/>
  <c r="EP301" i="1" s="1"/>
  <c r="EJ305" i="1"/>
  <c r="AG305" i="1" l="1"/>
  <c r="AC306" i="1"/>
  <c r="EJ306" i="1"/>
  <c r="ED302" i="1"/>
  <c r="EH302" i="1" s="1"/>
  <c r="EP302" i="1" s="1"/>
  <c r="AG306" i="1" l="1"/>
  <c r="AC307" i="1"/>
  <c r="ED303" i="1"/>
  <c r="EH303" i="1" s="1"/>
  <c r="EP303" i="1" s="1"/>
  <c r="EJ307" i="1"/>
  <c r="AG307" i="1" l="1"/>
  <c r="AC310" i="1"/>
  <c r="EJ310" i="1"/>
  <c r="ED304" i="1"/>
  <c r="EH304" i="1" s="1"/>
  <c r="EP304" i="1" s="1"/>
  <c r="AG310" i="1" l="1"/>
  <c r="AC311" i="1"/>
  <c r="EJ311" i="1"/>
  <c r="ED305" i="1"/>
  <c r="EH305" i="1" s="1"/>
  <c r="EP305" i="1" s="1"/>
  <c r="AG311" i="1" l="1"/>
  <c r="AC312" i="1"/>
  <c r="ED306" i="1"/>
  <c r="EH306" i="1" s="1"/>
  <c r="EP306" i="1" s="1"/>
  <c r="EJ312" i="1"/>
  <c r="AG312" i="1" l="1"/>
  <c r="AC313" i="1"/>
  <c r="EJ313" i="1"/>
  <c r="ED307" i="1"/>
  <c r="EH307" i="1" s="1"/>
  <c r="EP307" i="1" s="1"/>
  <c r="AG313" i="1" l="1"/>
  <c r="AC314" i="1"/>
  <c r="ED310" i="1"/>
  <c r="EH310" i="1" s="1"/>
  <c r="EP310" i="1" s="1"/>
  <c r="EJ314" i="1"/>
  <c r="AG314" i="1" l="1"/>
  <c r="AC315" i="1"/>
  <c r="EJ315" i="1"/>
  <c r="ED311" i="1"/>
  <c r="EH311" i="1" s="1"/>
  <c r="EP311" i="1" s="1"/>
  <c r="AG315" i="1" l="1"/>
  <c r="AC316" i="1"/>
  <c r="ED312" i="1"/>
  <c r="EH312" i="1" s="1"/>
  <c r="EP312" i="1" s="1"/>
  <c r="EJ316" i="1"/>
  <c r="AG316" i="1" l="1"/>
  <c r="AC317" i="1"/>
  <c r="EJ317" i="1"/>
  <c r="ED313" i="1"/>
  <c r="EH313" i="1" s="1"/>
  <c r="EP313" i="1" s="1"/>
  <c r="AG317" i="1" l="1"/>
  <c r="AC318" i="1"/>
  <c r="EJ318" i="1"/>
  <c r="ED314" i="1"/>
  <c r="EH314" i="1" s="1"/>
  <c r="EP314" i="1" s="1"/>
  <c r="AG318" i="1" l="1"/>
  <c r="AC319" i="1"/>
  <c r="ED315" i="1"/>
  <c r="EH315" i="1" s="1"/>
  <c r="EP315" i="1" s="1"/>
  <c r="EJ319" i="1"/>
  <c r="AG319" i="1" l="1"/>
  <c r="AC320" i="1"/>
  <c r="ED316" i="1"/>
  <c r="EH316" i="1" s="1"/>
  <c r="EP316" i="1" s="1"/>
  <c r="EJ320" i="1"/>
  <c r="AG320" i="1" l="1"/>
  <c r="AC321" i="1"/>
  <c r="EJ321" i="1"/>
  <c r="ED317" i="1"/>
  <c r="EH317" i="1" s="1"/>
  <c r="EP317" i="1" s="1"/>
  <c r="AG321" i="1" l="1"/>
  <c r="AC322" i="1"/>
  <c r="ED318" i="1"/>
  <c r="EH318" i="1" s="1"/>
  <c r="EP318" i="1" s="1"/>
  <c r="EJ322" i="1"/>
  <c r="AG322" i="1" l="1"/>
  <c r="AC323" i="1"/>
  <c r="EJ323" i="1"/>
  <c r="ED319" i="1"/>
  <c r="EH319" i="1" s="1"/>
  <c r="EP319" i="1" s="1"/>
  <c r="AG323" i="1" l="1"/>
  <c r="AC324" i="1"/>
  <c r="ED320" i="1"/>
  <c r="EH320" i="1" s="1"/>
  <c r="EP320" i="1" s="1"/>
  <c r="EJ324" i="1"/>
  <c r="AG324" i="1" l="1"/>
  <c r="AC325" i="1"/>
  <c r="ED321" i="1"/>
  <c r="EH321" i="1" s="1"/>
  <c r="EP321" i="1" s="1"/>
  <c r="EJ325" i="1"/>
  <c r="AG325" i="1" l="1"/>
  <c r="AC326" i="1"/>
  <c r="EJ326" i="1"/>
  <c r="ED322" i="1"/>
  <c r="EH322" i="1" s="1"/>
  <c r="EP322" i="1" s="1"/>
  <c r="AG326" i="1" l="1"/>
  <c r="AC327" i="1"/>
  <c r="ED323" i="1"/>
  <c r="EH323" i="1" s="1"/>
  <c r="EP323" i="1" s="1"/>
  <c r="EJ327" i="1"/>
  <c r="AG327" i="1" l="1"/>
  <c r="AC328" i="1"/>
  <c r="ED324" i="1"/>
  <c r="EH324" i="1" s="1"/>
  <c r="EP324" i="1" s="1"/>
  <c r="EJ328" i="1"/>
  <c r="AG328" i="1" l="1"/>
  <c r="AC329" i="1"/>
  <c r="EJ329" i="1"/>
  <c r="ED325" i="1"/>
  <c r="EH325" i="1" s="1"/>
  <c r="EP325" i="1" s="1"/>
  <c r="AG329" i="1" l="1"/>
  <c r="AC332" i="1"/>
  <c r="ED326" i="1"/>
  <c r="EH326" i="1" s="1"/>
  <c r="EP326" i="1" s="1"/>
  <c r="EJ332" i="1"/>
  <c r="AG332" i="1" l="1"/>
  <c r="AC333" i="1"/>
  <c r="EJ333" i="1"/>
  <c r="ED327" i="1"/>
  <c r="EH327" i="1" s="1"/>
  <c r="EP327" i="1" s="1"/>
  <c r="DP7" i="1"/>
  <c r="AG333" i="1" l="1"/>
  <c r="AC334" i="1"/>
  <c r="ED328" i="1"/>
  <c r="EH328" i="1" s="1"/>
  <c r="EP328" i="1" s="1"/>
  <c r="EJ334" i="1"/>
  <c r="AG334" i="1" l="1"/>
  <c r="AC335" i="1"/>
  <c r="EJ335" i="1"/>
  <c r="ED329" i="1"/>
  <c r="EH329" i="1" s="1"/>
  <c r="EP329" i="1" s="1"/>
  <c r="AG335" i="1" l="1"/>
  <c r="AC336" i="1"/>
  <c r="ED332" i="1"/>
  <c r="EH332" i="1" s="1"/>
  <c r="EP332" i="1" s="1"/>
  <c r="EJ336" i="1"/>
  <c r="AG336" i="1" l="1"/>
  <c r="AC337" i="1"/>
  <c r="ED333" i="1"/>
  <c r="EH333" i="1" s="1"/>
  <c r="EP333" i="1" s="1"/>
  <c r="EJ337" i="1"/>
  <c r="AG337" i="1" l="1"/>
  <c r="AC340" i="1"/>
  <c r="EJ340" i="1"/>
  <c r="ED334" i="1"/>
  <c r="EH334" i="1" s="1"/>
  <c r="EP334" i="1" s="1"/>
  <c r="AG340" i="1" l="1"/>
  <c r="AC341" i="1"/>
  <c r="EJ341" i="1"/>
  <c r="ED335" i="1"/>
  <c r="EH335" i="1" s="1"/>
  <c r="EP335" i="1" s="1"/>
  <c r="AG341" i="1" l="1"/>
  <c r="AC342" i="1"/>
  <c r="AG342" i="1" s="1"/>
  <c r="ED336" i="1"/>
  <c r="EH336" i="1" s="1"/>
  <c r="EP336" i="1" s="1"/>
  <c r="EJ342" i="1"/>
  <c r="ED337" i="1" l="1"/>
  <c r="EH337" i="1" s="1"/>
  <c r="EP337" i="1" s="1"/>
  <c r="ED340" i="1" l="1"/>
  <c r="EH340" i="1" s="1"/>
  <c r="EP340" i="1" s="1"/>
  <c r="ED341" i="1" l="1"/>
  <c r="EH341" i="1" s="1"/>
  <c r="EP341" i="1" s="1"/>
  <c r="ED342" i="1" l="1"/>
  <c r="EH342" i="1" s="1"/>
  <c r="DG7" i="1"/>
  <c r="DK7" i="1" l="1"/>
  <c r="EH7" i="1"/>
  <c r="EP342" i="1"/>
  <c r="AG7" i="1" l="1"/>
  <c r="U17" i="5" l="1"/>
  <c r="J17" i="5" s="1"/>
  <c r="P17" i="5"/>
  <c r="U24" i="5"/>
  <c r="P24" i="5"/>
  <c r="U29" i="5"/>
  <c r="P29" i="5"/>
  <c r="U27" i="5"/>
  <c r="U26" i="5" s="1"/>
  <c r="P27" i="5"/>
  <c r="P26" i="5" s="1"/>
  <c r="U12" i="5"/>
  <c r="J12" i="5" s="1"/>
  <c r="P12" i="5"/>
  <c r="N8" i="5"/>
  <c r="U11" i="5"/>
  <c r="U10" i="5" s="1"/>
  <c r="J10" i="5" s="1"/>
  <c r="J11" i="5" s="1"/>
  <c r="P11" i="5"/>
  <c r="P10" i="5" s="1"/>
  <c r="U14" i="5"/>
  <c r="J14" i="5" s="1"/>
  <c r="P14" i="5"/>
  <c r="U9" i="5"/>
  <c r="J9" i="5" s="1"/>
  <c r="P9" i="5"/>
  <c r="U22" i="5"/>
  <c r="P22" i="5"/>
  <c r="U19" i="5"/>
  <c r="P19" i="5"/>
  <c r="P18" i="5" s="1"/>
  <c r="U13" i="5"/>
  <c r="J13" i="5" s="1"/>
  <c r="P13" i="5"/>
  <c r="P8" i="5"/>
  <c r="U16" i="5"/>
  <c r="U15" i="5" s="1"/>
  <c r="J15" i="5" s="1"/>
  <c r="P16" i="5"/>
  <c r="P15" i="5" s="1"/>
  <c r="T70" i="1" l="1"/>
  <c r="T69" i="1"/>
  <c r="U69" i="1" s="1"/>
  <c r="T68" i="1"/>
  <c r="U68" i="1" s="1"/>
  <c r="T67" i="1"/>
  <c r="U67" i="1" s="1"/>
  <c r="T66" i="1"/>
  <c r="U66" i="1" s="1"/>
  <c r="T65" i="1"/>
  <c r="U65" i="1" s="1"/>
  <c r="T64" i="1"/>
  <c r="U64" i="1" s="1"/>
  <c r="T63" i="1"/>
  <c r="U63" i="1" s="1"/>
  <c r="T62" i="1"/>
  <c r="U62" i="1" s="1"/>
  <c r="T61" i="1"/>
  <c r="U61" i="1" s="1"/>
  <c r="T60" i="1"/>
  <c r="U60" i="1" s="1"/>
  <c r="T59" i="1"/>
  <c r="U59" i="1" s="1"/>
  <c r="T58" i="1"/>
  <c r="U58" i="1" s="1"/>
  <c r="U70" i="1"/>
  <c r="N9" i="5"/>
  <c r="P25" i="5"/>
  <c r="P28" i="5"/>
  <c r="P23" i="5"/>
  <c r="P21" i="5"/>
  <c r="P20" i="5" s="1"/>
  <c r="U18" i="5"/>
  <c r="J18" i="5" s="1"/>
  <c r="J19" i="5" s="1"/>
  <c r="J16" i="5"/>
  <c r="U21" i="5"/>
  <c r="U23" i="5"/>
  <c r="J23" i="5" s="1"/>
  <c r="J24" i="5" s="1"/>
  <c r="U25" i="5"/>
  <c r="J25" i="5" s="1"/>
  <c r="J26" i="5" s="1"/>
  <c r="J27" i="5" s="1"/>
  <c r="O8" i="5"/>
  <c r="U28" i="5"/>
  <c r="J28" i="5" s="1"/>
  <c r="J29" i="5" s="1"/>
  <c r="T262" i="1" l="1"/>
  <c r="U262" i="1" s="1"/>
  <c r="T261" i="1"/>
  <c r="U261" i="1" s="1"/>
  <c r="T260" i="1"/>
  <c r="U260" i="1" s="1"/>
  <c r="T259" i="1"/>
  <c r="U259" i="1" s="1"/>
  <c r="T258" i="1"/>
  <c r="U258" i="1" s="1"/>
  <c r="T257" i="1"/>
  <c r="U257" i="1" s="1"/>
  <c r="T256" i="1"/>
  <c r="U256" i="1" s="1"/>
  <c r="T255" i="1"/>
  <c r="U255" i="1" s="1"/>
  <c r="T254" i="1"/>
  <c r="U254" i="1" s="1"/>
  <c r="T253" i="1"/>
  <c r="U253" i="1" s="1"/>
  <c r="T263" i="1"/>
  <c r="U263" i="1" s="1"/>
  <c r="O9" i="5"/>
  <c r="S9" i="5" s="1"/>
  <c r="N10" i="5"/>
  <c r="U20" i="5"/>
  <c r="J20" i="5" s="1"/>
  <c r="J21" i="5" s="1"/>
  <c r="J22" i="5" s="1"/>
  <c r="T8" i="5"/>
  <c r="S8" i="5"/>
  <c r="Q8" i="5"/>
  <c r="R8" i="5" s="1"/>
  <c r="Q9" i="5" l="1"/>
  <c r="R9" i="5" s="1"/>
  <c r="T182" i="1"/>
  <c r="U182" i="1" s="1"/>
  <c r="T181" i="1"/>
  <c r="U181" i="1" s="1"/>
  <c r="T180" i="1"/>
  <c r="U180" i="1" s="1"/>
  <c r="T183" i="1"/>
  <c r="U183" i="1" s="1"/>
  <c r="T9" i="5"/>
  <c r="W9" i="5" s="1"/>
  <c r="O10" i="5"/>
  <c r="N11" i="5"/>
  <c r="W8" i="5"/>
  <c r="T179" i="1" l="1"/>
  <c r="U179" i="1" s="1"/>
  <c r="T178" i="1"/>
  <c r="U178" i="1" s="1"/>
  <c r="T177" i="1"/>
  <c r="U177" i="1" s="1"/>
  <c r="T176" i="1"/>
  <c r="U176" i="1" s="1"/>
  <c r="T175" i="1"/>
  <c r="U175" i="1" s="1"/>
  <c r="N12" i="5"/>
  <c r="N13" i="5" s="1"/>
  <c r="O11" i="5"/>
  <c r="T10" i="5"/>
  <c r="Q10" i="5"/>
  <c r="R10" i="5" s="1"/>
  <c r="S10" i="5"/>
  <c r="Q24" i="15"/>
  <c r="U24" i="15" s="1"/>
  <c r="T150" i="1" l="1"/>
  <c r="U150" i="1" s="1"/>
  <c r="T134" i="1"/>
  <c r="U134" i="1" s="1"/>
  <c r="T149" i="1"/>
  <c r="U149" i="1" s="1"/>
  <c r="T133" i="1"/>
  <c r="U133" i="1" s="1"/>
  <c r="T148" i="1"/>
  <c r="U148" i="1" s="1"/>
  <c r="T132" i="1"/>
  <c r="U132" i="1" s="1"/>
  <c r="T147" i="1"/>
  <c r="U147" i="1" s="1"/>
  <c r="T131" i="1"/>
  <c r="U131" i="1" s="1"/>
  <c r="T146" i="1"/>
  <c r="U146" i="1" s="1"/>
  <c r="T130" i="1"/>
  <c r="U130" i="1" s="1"/>
  <c r="T145" i="1"/>
  <c r="U145" i="1" s="1"/>
  <c r="T144" i="1"/>
  <c r="U144" i="1" s="1"/>
  <c r="T143" i="1"/>
  <c r="U143" i="1" s="1"/>
  <c r="T142" i="1"/>
  <c r="U142" i="1" s="1"/>
  <c r="T141" i="1"/>
  <c r="U141" i="1" s="1"/>
  <c r="T156" i="1"/>
  <c r="U156" i="1" s="1"/>
  <c r="T140" i="1"/>
  <c r="U140" i="1" s="1"/>
  <c r="T155" i="1"/>
  <c r="U155" i="1" s="1"/>
  <c r="T139" i="1"/>
  <c r="U139" i="1" s="1"/>
  <c r="T154" i="1"/>
  <c r="U154" i="1" s="1"/>
  <c r="T138" i="1"/>
  <c r="U138" i="1" s="1"/>
  <c r="T153" i="1"/>
  <c r="U153" i="1" s="1"/>
  <c r="T137" i="1"/>
  <c r="U137" i="1" s="1"/>
  <c r="T152" i="1"/>
  <c r="U152" i="1" s="1"/>
  <c r="T136" i="1"/>
  <c r="U136" i="1" s="1"/>
  <c r="T151" i="1"/>
  <c r="U151" i="1" s="1"/>
  <c r="T135" i="1"/>
  <c r="U135" i="1" s="1"/>
  <c r="T166" i="1"/>
  <c r="U166" i="1" s="1"/>
  <c r="T165" i="1"/>
  <c r="U165" i="1" s="1"/>
  <c r="T164" i="1"/>
  <c r="U164" i="1" s="1"/>
  <c r="T163" i="1"/>
  <c r="U163" i="1" s="1"/>
  <c r="T162" i="1"/>
  <c r="U162" i="1" s="1"/>
  <c r="T161" i="1"/>
  <c r="U161" i="1" s="1"/>
  <c r="T160" i="1"/>
  <c r="U160" i="1" s="1"/>
  <c r="T159" i="1"/>
  <c r="U159" i="1" s="1"/>
  <c r="T174" i="1"/>
  <c r="U174" i="1" s="1"/>
  <c r="T158" i="1"/>
  <c r="U158" i="1" s="1"/>
  <c r="T173" i="1"/>
  <c r="U173" i="1" s="1"/>
  <c r="T157" i="1"/>
  <c r="U157" i="1" s="1"/>
  <c r="T172" i="1"/>
  <c r="U172" i="1" s="1"/>
  <c r="T171" i="1"/>
  <c r="U171" i="1" s="1"/>
  <c r="T170" i="1"/>
  <c r="U170" i="1" s="1"/>
  <c r="T169" i="1"/>
  <c r="U169" i="1" s="1"/>
  <c r="T168" i="1"/>
  <c r="U168" i="1" s="1"/>
  <c r="T167" i="1"/>
  <c r="U167" i="1" s="1"/>
  <c r="W10" i="5"/>
  <c r="W11" i="5"/>
  <c r="T11" i="5"/>
  <c r="S11" i="5"/>
  <c r="Q11" i="5"/>
  <c r="R11" i="5" s="1"/>
  <c r="O13" i="5"/>
  <c r="Q16" i="15"/>
  <c r="U16" i="15" s="1"/>
  <c r="O12" i="5"/>
  <c r="N14" i="5"/>
  <c r="M11" i="7"/>
  <c r="T118" i="1" l="1"/>
  <c r="U118" i="1" s="1"/>
  <c r="T117" i="1"/>
  <c r="U117" i="1" s="1"/>
  <c r="T116" i="1"/>
  <c r="U116" i="1" s="1"/>
  <c r="T115" i="1"/>
  <c r="U115" i="1" s="1"/>
  <c r="T114" i="1"/>
  <c r="U114" i="1" s="1"/>
  <c r="T129" i="1"/>
  <c r="U129" i="1" s="1"/>
  <c r="T113" i="1"/>
  <c r="U113" i="1" s="1"/>
  <c r="T128" i="1"/>
  <c r="U128" i="1" s="1"/>
  <c r="T112" i="1"/>
  <c r="U112" i="1" s="1"/>
  <c r="T127" i="1"/>
  <c r="U127" i="1" s="1"/>
  <c r="T111" i="1"/>
  <c r="U111" i="1" s="1"/>
  <c r="T126" i="1"/>
  <c r="U126" i="1" s="1"/>
  <c r="T110" i="1"/>
  <c r="U110" i="1" s="1"/>
  <c r="T125" i="1"/>
  <c r="U125" i="1" s="1"/>
  <c r="T109" i="1"/>
  <c r="U109" i="1" s="1"/>
  <c r="T124" i="1"/>
  <c r="U124" i="1" s="1"/>
  <c r="T123" i="1"/>
  <c r="U123" i="1" s="1"/>
  <c r="T122" i="1"/>
  <c r="U122" i="1" s="1"/>
  <c r="T121" i="1"/>
  <c r="U121" i="1" s="1"/>
  <c r="T120" i="1"/>
  <c r="U120" i="1" s="1"/>
  <c r="T119" i="1"/>
  <c r="U119" i="1" s="1"/>
  <c r="S13" i="5"/>
  <c r="Q13" i="5"/>
  <c r="R13" i="5" s="1"/>
  <c r="T13" i="5"/>
  <c r="M14" i="7"/>
  <c r="Q14" i="15"/>
  <c r="U14" i="15" s="1"/>
  <c r="O14" i="5"/>
  <c r="N15" i="5"/>
  <c r="S12" i="5"/>
  <c r="T12" i="5"/>
  <c r="Q12" i="5"/>
  <c r="R12" i="5" s="1"/>
  <c r="T102" i="1" l="1"/>
  <c r="U102" i="1" s="1"/>
  <c r="T86" i="1"/>
  <c r="U86" i="1" s="1"/>
  <c r="T101" i="1"/>
  <c r="U101" i="1" s="1"/>
  <c r="T85" i="1"/>
  <c r="U85" i="1" s="1"/>
  <c r="T100" i="1"/>
  <c r="U100" i="1" s="1"/>
  <c r="T84" i="1"/>
  <c r="U84" i="1" s="1"/>
  <c r="T99" i="1"/>
  <c r="U99" i="1" s="1"/>
  <c r="T83" i="1"/>
  <c r="U83" i="1" s="1"/>
  <c r="T98" i="1"/>
  <c r="U98" i="1" s="1"/>
  <c r="T82" i="1"/>
  <c r="U82" i="1" s="1"/>
  <c r="T97" i="1"/>
  <c r="U97" i="1" s="1"/>
  <c r="T81" i="1"/>
  <c r="U81" i="1" s="1"/>
  <c r="T96" i="1"/>
  <c r="U96" i="1" s="1"/>
  <c r="T80" i="1"/>
  <c r="U80" i="1" s="1"/>
  <c r="T95" i="1"/>
  <c r="U95" i="1" s="1"/>
  <c r="T79" i="1"/>
  <c r="U79" i="1" s="1"/>
  <c r="T94" i="1"/>
  <c r="U94" i="1" s="1"/>
  <c r="T78" i="1"/>
  <c r="U78" i="1" s="1"/>
  <c r="T93" i="1"/>
  <c r="U93" i="1" s="1"/>
  <c r="T77" i="1"/>
  <c r="U77" i="1" s="1"/>
  <c r="T108" i="1"/>
  <c r="U108" i="1" s="1"/>
  <c r="T92" i="1"/>
  <c r="U92" i="1" s="1"/>
  <c r="T76" i="1"/>
  <c r="U76" i="1" s="1"/>
  <c r="T107" i="1"/>
  <c r="U107" i="1" s="1"/>
  <c r="T91" i="1"/>
  <c r="U91" i="1" s="1"/>
  <c r="T75" i="1"/>
  <c r="U75" i="1" s="1"/>
  <c r="T106" i="1"/>
  <c r="U106" i="1" s="1"/>
  <c r="T90" i="1"/>
  <c r="U90" i="1" s="1"/>
  <c r="T74" i="1"/>
  <c r="U74" i="1" s="1"/>
  <c r="T105" i="1"/>
  <c r="U105" i="1" s="1"/>
  <c r="T89" i="1"/>
  <c r="U89" i="1" s="1"/>
  <c r="T73" i="1"/>
  <c r="U73" i="1" s="1"/>
  <c r="T104" i="1"/>
  <c r="U104" i="1" s="1"/>
  <c r="T88" i="1"/>
  <c r="U88" i="1" s="1"/>
  <c r="T72" i="1"/>
  <c r="U72" i="1" s="1"/>
  <c r="T103" i="1"/>
  <c r="U103" i="1" s="1"/>
  <c r="T87" i="1"/>
  <c r="U87" i="1" s="1"/>
  <c r="T71" i="1"/>
  <c r="U71" i="1" s="1"/>
  <c r="W13" i="5"/>
  <c r="W12" i="5"/>
  <c r="N16" i="5"/>
  <c r="N17" i="5" s="1"/>
  <c r="O15" i="5"/>
  <c r="Q14" i="5"/>
  <c r="R14" i="5" s="1"/>
  <c r="S14" i="5"/>
  <c r="T14" i="5"/>
  <c r="M16" i="7"/>
  <c r="N18" i="5" l="1"/>
  <c r="T54" i="1"/>
  <c r="U54" i="1" s="1"/>
  <c r="T53" i="1"/>
  <c r="U53" i="1" s="1"/>
  <c r="T52" i="1"/>
  <c r="U52" i="1" s="1"/>
  <c r="T51" i="1"/>
  <c r="U51" i="1" s="1"/>
  <c r="T50" i="1"/>
  <c r="U50" i="1" s="1"/>
  <c r="T49" i="1"/>
  <c r="U49" i="1" s="1"/>
  <c r="T48" i="1"/>
  <c r="U48" i="1" s="1"/>
  <c r="T57" i="1"/>
  <c r="U57" i="1" s="1"/>
  <c r="T56" i="1"/>
  <c r="U56" i="1" s="1"/>
  <c r="T55" i="1"/>
  <c r="U55" i="1" s="1"/>
  <c r="T38" i="1"/>
  <c r="U38" i="1" s="1"/>
  <c r="T37" i="1"/>
  <c r="U37" i="1" s="1"/>
  <c r="T47" i="1"/>
  <c r="U47" i="1" s="1"/>
  <c r="T46" i="1"/>
  <c r="U46" i="1" s="1"/>
  <c r="T45" i="1"/>
  <c r="U45" i="1" s="1"/>
  <c r="T44" i="1"/>
  <c r="U44" i="1" s="1"/>
  <c r="T43" i="1"/>
  <c r="U43" i="1" s="1"/>
  <c r="T42" i="1"/>
  <c r="U42" i="1" s="1"/>
  <c r="T41" i="1"/>
  <c r="U41" i="1" s="1"/>
  <c r="T40" i="1"/>
  <c r="U40" i="1" s="1"/>
  <c r="T39" i="1"/>
  <c r="U39" i="1" s="1"/>
  <c r="W14" i="5"/>
  <c r="Q15" i="5"/>
  <c r="R15" i="5" s="1"/>
  <c r="T15" i="5"/>
  <c r="S15" i="5"/>
  <c r="O17" i="5"/>
  <c r="Q11" i="15"/>
  <c r="U11" i="15" s="1"/>
  <c r="N19" i="5"/>
  <c r="O18" i="5"/>
  <c r="S18" i="5" s="1"/>
  <c r="O16" i="5"/>
  <c r="Q12" i="15"/>
  <c r="U12" i="15" s="1"/>
  <c r="N20" i="5" l="1"/>
  <c r="T225" i="1"/>
  <c r="U225" i="1" s="1"/>
  <c r="T224" i="1"/>
  <c r="U224" i="1" s="1"/>
  <c r="T223" i="1"/>
  <c r="U223" i="1" s="1"/>
  <c r="T222" i="1"/>
  <c r="U222" i="1" s="1"/>
  <c r="T221" i="1"/>
  <c r="U221" i="1" s="1"/>
  <c r="T36" i="1"/>
  <c r="U36" i="1" s="1"/>
  <c r="T35" i="1"/>
  <c r="U35" i="1" s="1"/>
  <c r="T34" i="1"/>
  <c r="U34" i="1" s="1"/>
  <c r="T33" i="1"/>
  <c r="U33" i="1" s="1"/>
  <c r="T32" i="1"/>
  <c r="U32" i="1" s="1"/>
  <c r="T31" i="1"/>
  <c r="U31" i="1" s="1"/>
  <c r="T30" i="1"/>
  <c r="U30" i="1" s="1"/>
  <c r="T29" i="1"/>
  <c r="U29" i="1" s="1"/>
  <c r="T28" i="1"/>
  <c r="U28" i="1" s="1"/>
  <c r="T27" i="1"/>
  <c r="U27" i="1" s="1"/>
  <c r="T26" i="1"/>
  <c r="U26" i="1" s="1"/>
  <c r="T25" i="1"/>
  <c r="U25" i="1" s="1"/>
  <c r="T24" i="1"/>
  <c r="U24" i="1" s="1"/>
  <c r="W15" i="5"/>
  <c r="T18" i="5"/>
  <c r="Q18" i="5"/>
  <c r="R18" i="5" s="1"/>
  <c r="O19" i="5"/>
  <c r="S19" i="5" s="1"/>
  <c r="M18" i="7"/>
  <c r="S17" i="5"/>
  <c r="T17" i="5"/>
  <c r="Q17" i="5"/>
  <c r="R17" i="5" s="1"/>
  <c r="S16" i="5"/>
  <c r="Q16" i="5"/>
  <c r="R16" i="5" s="1"/>
  <c r="T16" i="5"/>
  <c r="W16" i="5"/>
  <c r="Q8" i="15"/>
  <c r="U8" i="15" s="1"/>
  <c r="M10" i="7"/>
  <c r="N21" i="5"/>
  <c r="O20" i="5"/>
  <c r="Q15" i="15"/>
  <c r="U15" i="15" s="1"/>
  <c r="T214" i="1" l="1"/>
  <c r="U214" i="1" s="1"/>
  <c r="T213" i="1"/>
  <c r="U213" i="1" s="1"/>
  <c r="T212" i="1"/>
  <c r="U212" i="1" s="1"/>
  <c r="T211" i="1"/>
  <c r="U211" i="1" s="1"/>
  <c r="T210" i="1"/>
  <c r="U210" i="1" s="1"/>
  <c r="T209" i="1"/>
  <c r="U209" i="1" s="1"/>
  <c r="T220" i="1"/>
  <c r="U220" i="1" s="1"/>
  <c r="T219" i="1"/>
  <c r="U219" i="1" s="1"/>
  <c r="T218" i="1"/>
  <c r="U218" i="1" s="1"/>
  <c r="T217" i="1"/>
  <c r="U217" i="1" s="1"/>
  <c r="T216" i="1"/>
  <c r="U216" i="1" s="1"/>
  <c r="T215" i="1"/>
  <c r="U215" i="1" s="1"/>
  <c r="T22" i="1"/>
  <c r="U22" i="1" s="1"/>
  <c r="T21" i="1"/>
  <c r="U21" i="1" s="1"/>
  <c r="T20" i="1"/>
  <c r="U20" i="1" s="1"/>
  <c r="T19" i="1"/>
  <c r="U19" i="1" s="1"/>
  <c r="T18" i="1"/>
  <c r="U18" i="1" s="1"/>
  <c r="T17" i="1"/>
  <c r="U17" i="1" s="1"/>
  <c r="T16" i="1"/>
  <c r="U16" i="1" s="1"/>
  <c r="T15" i="1"/>
  <c r="U15" i="1" s="1"/>
  <c r="T14" i="1"/>
  <c r="U14" i="1" s="1"/>
  <c r="T13" i="1"/>
  <c r="U13" i="1" s="1"/>
  <c r="T23" i="1"/>
  <c r="U23" i="1" s="1"/>
  <c r="W17" i="5"/>
  <c r="W18" i="5"/>
  <c r="T19" i="5"/>
  <c r="Q19" i="5"/>
  <c r="R19" i="5" s="1"/>
  <c r="W19" i="5"/>
  <c r="M15" i="7"/>
  <c r="T20" i="5"/>
  <c r="Q20" i="5"/>
  <c r="R20" i="5" s="1"/>
  <c r="S20" i="5"/>
  <c r="N22" i="5"/>
  <c r="O21" i="5"/>
  <c r="Q10" i="15"/>
  <c r="U10" i="15" s="1"/>
  <c r="M21" i="7" l="1"/>
  <c r="T342" i="1"/>
  <c r="U342" i="1" s="1"/>
  <c r="T341" i="1"/>
  <c r="U341" i="1" s="1"/>
  <c r="T340" i="1"/>
  <c r="U340" i="1" s="1"/>
  <c r="T344" i="1"/>
  <c r="U344" i="1" s="1"/>
  <c r="T343" i="1"/>
  <c r="U343" i="1" s="1"/>
  <c r="Q29" i="15"/>
  <c r="U29" i="15" s="1"/>
  <c r="W29" i="15" s="1"/>
  <c r="W20" i="5"/>
  <c r="M19" i="7"/>
  <c r="T21" i="5"/>
  <c r="S21" i="5"/>
  <c r="Q21" i="5"/>
  <c r="R21" i="5" s="1"/>
  <c r="W21" i="5" s="1"/>
  <c r="Q13" i="15"/>
  <c r="U13" i="15" s="1"/>
  <c r="O22" i="5"/>
  <c r="N23" i="5"/>
  <c r="T339" i="1" l="1"/>
  <c r="U339" i="1" s="1"/>
  <c r="T338" i="1"/>
  <c r="U338" i="1" s="1"/>
  <c r="T337" i="1"/>
  <c r="U337" i="1" s="1"/>
  <c r="T336" i="1"/>
  <c r="U336" i="1" s="1"/>
  <c r="T335" i="1"/>
  <c r="U335" i="1" s="1"/>
  <c r="T334" i="1"/>
  <c r="U334" i="1" s="1"/>
  <c r="T333" i="1"/>
  <c r="U333" i="1" s="1"/>
  <c r="T332" i="1"/>
  <c r="U332" i="1" s="1"/>
  <c r="M23" i="7"/>
  <c r="Q28" i="15"/>
  <c r="U28" i="15" s="1"/>
  <c r="W28" i="15" s="1"/>
  <c r="Q22" i="5"/>
  <c r="R22" i="5" s="1"/>
  <c r="S22" i="5"/>
  <c r="T22" i="5"/>
  <c r="M17" i="7"/>
  <c r="Q17" i="15"/>
  <c r="U17" i="15" s="1"/>
  <c r="O23" i="5"/>
  <c r="N24" i="5"/>
  <c r="T326" i="1" l="1"/>
  <c r="U326" i="1" s="1"/>
  <c r="T325" i="1"/>
  <c r="U325" i="1" s="1"/>
  <c r="T324" i="1"/>
  <c r="U324" i="1" s="1"/>
  <c r="T323" i="1"/>
  <c r="U323" i="1" s="1"/>
  <c r="T322" i="1"/>
  <c r="U322" i="1" s="1"/>
  <c r="T321" i="1"/>
  <c r="U321" i="1" s="1"/>
  <c r="T320" i="1"/>
  <c r="U320" i="1" s="1"/>
  <c r="T319" i="1"/>
  <c r="U319" i="1" s="1"/>
  <c r="T318" i="1"/>
  <c r="U318" i="1" s="1"/>
  <c r="T317" i="1"/>
  <c r="U317" i="1" s="1"/>
  <c r="T316" i="1"/>
  <c r="U316" i="1" s="1"/>
  <c r="T331" i="1"/>
  <c r="U331" i="1" s="1"/>
  <c r="T315" i="1"/>
  <c r="U315" i="1" s="1"/>
  <c r="T330" i="1"/>
  <c r="U330" i="1" s="1"/>
  <c r="T314" i="1"/>
  <c r="U314" i="1" s="1"/>
  <c r="T329" i="1"/>
  <c r="U329" i="1" s="1"/>
  <c r="T313" i="1"/>
  <c r="U313" i="1" s="1"/>
  <c r="T328" i="1"/>
  <c r="U328" i="1" s="1"/>
  <c r="T312" i="1"/>
  <c r="U312" i="1" s="1"/>
  <c r="T327" i="1"/>
  <c r="U327" i="1" s="1"/>
  <c r="W22" i="5"/>
  <c r="N25" i="5"/>
  <c r="Q27" i="15"/>
  <c r="U27" i="15" s="1"/>
  <c r="W27" i="15" s="1"/>
  <c r="M24" i="7"/>
  <c r="Q9" i="15"/>
  <c r="U9" i="15" s="1"/>
  <c r="O24" i="5"/>
  <c r="Q18" i="15"/>
  <c r="U18" i="15" s="1"/>
  <c r="T23" i="5"/>
  <c r="S23" i="5"/>
  <c r="Q23" i="5"/>
  <c r="R23" i="5" s="1"/>
  <c r="M13" i="7"/>
  <c r="O25" i="5" l="1"/>
  <c r="Q25" i="5" s="1"/>
  <c r="R25" i="5" s="1"/>
  <c r="T310" i="1"/>
  <c r="U310" i="1" s="1"/>
  <c r="T294" i="1"/>
  <c r="U294" i="1" s="1"/>
  <c r="T309" i="1"/>
  <c r="U309" i="1" s="1"/>
  <c r="T293" i="1"/>
  <c r="U293" i="1" s="1"/>
  <c r="T308" i="1"/>
  <c r="U308" i="1" s="1"/>
  <c r="T292" i="1"/>
  <c r="U292" i="1" s="1"/>
  <c r="T307" i="1"/>
  <c r="U307" i="1" s="1"/>
  <c r="T291" i="1"/>
  <c r="U291" i="1" s="1"/>
  <c r="T306" i="1"/>
  <c r="U306" i="1" s="1"/>
  <c r="T290" i="1"/>
  <c r="U290" i="1" s="1"/>
  <c r="T305" i="1"/>
  <c r="U305" i="1" s="1"/>
  <c r="T304" i="1"/>
  <c r="U304" i="1" s="1"/>
  <c r="T303" i="1"/>
  <c r="U303" i="1" s="1"/>
  <c r="T302" i="1"/>
  <c r="U302" i="1" s="1"/>
  <c r="T301" i="1"/>
  <c r="U301" i="1" s="1"/>
  <c r="T300" i="1"/>
  <c r="U300" i="1" s="1"/>
  <c r="T299" i="1"/>
  <c r="U299" i="1" s="1"/>
  <c r="T298" i="1"/>
  <c r="U298" i="1" s="1"/>
  <c r="T297" i="1"/>
  <c r="U297" i="1" s="1"/>
  <c r="T296" i="1"/>
  <c r="U296" i="1" s="1"/>
  <c r="T311" i="1"/>
  <c r="U311" i="1" s="1"/>
  <c r="T295" i="1"/>
  <c r="U295" i="1" s="1"/>
  <c r="N26" i="5"/>
  <c r="M25" i="7"/>
  <c r="Q26" i="15"/>
  <c r="U26" i="15" s="1"/>
  <c r="W26" i="15" s="1"/>
  <c r="M20" i="7"/>
  <c r="T25" i="5"/>
  <c r="S25" i="5"/>
  <c r="N27" i="5"/>
  <c r="M30" i="7"/>
  <c r="Q21" i="15"/>
  <c r="U21" i="15" s="1"/>
  <c r="W23" i="5"/>
  <c r="T24" i="5"/>
  <c r="Q24" i="5"/>
  <c r="R24" i="5" s="1"/>
  <c r="S24" i="5"/>
  <c r="M12" i="7"/>
  <c r="T230" i="1" l="1"/>
  <c r="U230" i="1" s="1"/>
  <c r="T229" i="1"/>
  <c r="U229" i="1" s="1"/>
  <c r="T228" i="1"/>
  <c r="U228" i="1" s="1"/>
  <c r="T243" i="1"/>
  <c r="U243" i="1" s="1"/>
  <c r="T227" i="1"/>
  <c r="U227" i="1" s="1"/>
  <c r="T242" i="1"/>
  <c r="U242" i="1" s="1"/>
  <c r="T226" i="1"/>
  <c r="U226" i="1" s="1"/>
  <c r="T241" i="1"/>
  <c r="U241" i="1" s="1"/>
  <c r="T240" i="1"/>
  <c r="U240" i="1" s="1"/>
  <c r="T239" i="1"/>
  <c r="U239" i="1" s="1"/>
  <c r="T238" i="1"/>
  <c r="U238" i="1" s="1"/>
  <c r="T237" i="1"/>
  <c r="U237" i="1" s="1"/>
  <c r="T236" i="1"/>
  <c r="U236" i="1" s="1"/>
  <c r="T235" i="1"/>
  <c r="U235" i="1" s="1"/>
  <c r="T234" i="1"/>
  <c r="U234" i="1" s="1"/>
  <c r="T233" i="1"/>
  <c r="U233" i="1" s="1"/>
  <c r="T232" i="1"/>
  <c r="U232" i="1" s="1"/>
  <c r="T231" i="1"/>
  <c r="U231" i="1" s="1"/>
  <c r="O26" i="5"/>
  <c r="T278" i="1"/>
  <c r="U278" i="1" s="1"/>
  <c r="T277" i="1"/>
  <c r="U277" i="1" s="1"/>
  <c r="T276" i="1"/>
  <c r="U276" i="1" s="1"/>
  <c r="T275" i="1"/>
  <c r="U275" i="1" s="1"/>
  <c r="T274" i="1"/>
  <c r="U274" i="1" s="1"/>
  <c r="T289" i="1"/>
  <c r="U289" i="1" s="1"/>
  <c r="T273" i="1"/>
  <c r="U273" i="1" s="1"/>
  <c r="T288" i="1"/>
  <c r="U288" i="1" s="1"/>
  <c r="T272" i="1"/>
  <c r="U272" i="1" s="1"/>
  <c r="T287" i="1"/>
  <c r="U287" i="1" s="1"/>
  <c r="T271" i="1"/>
  <c r="U271" i="1" s="1"/>
  <c r="T286" i="1"/>
  <c r="U286" i="1" s="1"/>
  <c r="T270" i="1"/>
  <c r="U270" i="1" s="1"/>
  <c r="T285" i="1"/>
  <c r="U285" i="1" s="1"/>
  <c r="T269" i="1"/>
  <c r="U269" i="1" s="1"/>
  <c r="T284" i="1"/>
  <c r="U284" i="1" s="1"/>
  <c r="T268" i="1"/>
  <c r="U268" i="1" s="1"/>
  <c r="T283" i="1"/>
  <c r="U283" i="1" s="1"/>
  <c r="T267" i="1"/>
  <c r="U267" i="1" s="1"/>
  <c r="T282" i="1"/>
  <c r="U282" i="1" s="1"/>
  <c r="T266" i="1"/>
  <c r="U266" i="1" s="1"/>
  <c r="T281" i="1"/>
  <c r="U281" i="1" s="1"/>
  <c r="T265" i="1"/>
  <c r="U265" i="1" s="1"/>
  <c r="T280" i="1"/>
  <c r="U280" i="1" s="1"/>
  <c r="T264" i="1"/>
  <c r="U264" i="1" s="1"/>
  <c r="T279" i="1"/>
  <c r="U279" i="1" s="1"/>
  <c r="T26" i="5"/>
  <c r="S26" i="5"/>
  <c r="Q26" i="5"/>
  <c r="R26" i="5" s="1"/>
  <c r="W25" i="5"/>
  <c r="M26" i="7"/>
  <c r="W24" i="5"/>
  <c r="N28" i="5"/>
  <c r="O27" i="5"/>
  <c r="S27" i="5" s="1"/>
  <c r="Q20" i="15"/>
  <c r="U20" i="15" s="1"/>
  <c r="Q22" i="15"/>
  <c r="U22" i="15" s="1"/>
  <c r="W26" i="5" l="1"/>
  <c r="N29" i="5"/>
  <c r="O29" i="5" s="1"/>
  <c r="T246" i="1"/>
  <c r="U246" i="1" s="1"/>
  <c r="T245" i="1"/>
  <c r="U245" i="1" s="1"/>
  <c r="T244" i="1"/>
  <c r="U244" i="1" s="1"/>
  <c r="T252" i="1"/>
  <c r="U252" i="1" s="1"/>
  <c r="T251" i="1"/>
  <c r="U251" i="1" s="1"/>
  <c r="T250" i="1"/>
  <c r="U250" i="1" s="1"/>
  <c r="T249" i="1"/>
  <c r="U249" i="1" s="1"/>
  <c r="T248" i="1"/>
  <c r="U248" i="1" s="1"/>
  <c r="T247" i="1"/>
  <c r="U247" i="1" s="1"/>
  <c r="O28" i="5"/>
  <c r="Q28" i="5" s="1"/>
  <c r="R28" i="5" s="1"/>
  <c r="Q27" i="5"/>
  <c r="R27" i="5" s="1"/>
  <c r="T27" i="5"/>
  <c r="Q23" i="15"/>
  <c r="U23" i="15" s="1"/>
  <c r="M31" i="7"/>
  <c r="Q19" i="15"/>
  <c r="U19" i="15" s="1"/>
  <c r="W27" i="5"/>
  <c r="Q25" i="15"/>
  <c r="U25" i="15" s="1"/>
  <c r="W25" i="15" s="1"/>
  <c r="W24" i="15" s="1"/>
  <c r="M29" i="7"/>
  <c r="W23" i="15" l="1"/>
  <c r="W22" i="15" s="1"/>
  <c r="W21" i="15" s="1"/>
  <c r="W20" i="15" s="1"/>
  <c r="W19" i="15" s="1"/>
  <c r="W18" i="15" s="1"/>
  <c r="W17" i="15" s="1"/>
  <c r="W16" i="15" s="1"/>
  <c r="W15" i="15" s="1"/>
  <c r="W14" i="15" s="1"/>
  <c r="W13" i="15" s="1"/>
  <c r="W12" i="15" s="1"/>
  <c r="W11" i="15" s="1"/>
  <c r="W10" i="15" s="1"/>
  <c r="W9" i="15" s="1"/>
  <c r="W8" i="15" s="1"/>
  <c r="T198" i="1"/>
  <c r="U198" i="1" s="1"/>
  <c r="T197" i="1"/>
  <c r="U197" i="1" s="1"/>
  <c r="T196" i="1"/>
  <c r="U196" i="1" s="1"/>
  <c r="T195" i="1"/>
  <c r="U195" i="1" s="1"/>
  <c r="T194" i="1"/>
  <c r="U194" i="1" s="1"/>
  <c r="T193" i="1"/>
  <c r="U193" i="1" s="1"/>
  <c r="T208" i="1"/>
  <c r="U208" i="1" s="1"/>
  <c r="T192" i="1"/>
  <c r="U192" i="1" s="1"/>
  <c r="T207" i="1"/>
  <c r="U207" i="1" s="1"/>
  <c r="T191" i="1"/>
  <c r="U191" i="1" s="1"/>
  <c r="T206" i="1"/>
  <c r="U206" i="1" s="1"/>
  <c r="T190" i="1"/>
  <c r="U190" i="1" s="1"/>
  <c r="T205" i="1"/>
  <c r="U205" i="1" s="1"/>
  <c r="T189" i="1"/>
  <c r="U189" i="1" s="1"/>
  <c r="T204" i="1"/>
  <c r="U204" i="1" s="1"/>
  <c r="T188" i="1"/>
  <c r="U188" i="1" s="1"/>
  <c r="T203" i="1"/>
  <c r="U203" i="1" s="1"/>
  <c r="T187" i="1"/>
  <c r="U187" i="1" s="1"/>
  <c r="T202" i="1"/>
  <c r="U202" i="1" s="1"/>
  <c r="T186" i="1"/>
  <c r="U186" i="1" s="1"/>
  <c r="T201" i="1"/>
  <c r="U201" i="1" s="1"/>
  <c r="T185" i="1"/>
  <c r="U185" i="1" s="1"/>
  <c r="T200" i="1"/>
  <c r="U200" i="1" s="1"/>
  <c r="T184" i="1"/>
  <c r="U184" i="1" s="1"/>
  <c r="T199" i="1"/>
  <c r="U199" i="1" s="1"/>
  <c r="T28" i="5"/>
  <c r="S28" i="5"/>
  <c r="M28" i="7"/>
  <c r="M32" i="7"/>
  <c r="M27" i="7"/>
  <c r="S29" i="5"/>
  <c r="T29" i="5"/>
  <c r="Q29" i="5"/>
  <c r="R29" i="5" s="1"/>
  <c r="W28" i="5" l="1"/>
  <c r="W29" i="5"/>
  <c r="Y29" i="5" s="1"/>
  <c r="Y28" i="5" l="1"/>
  <c r="Y27" i="5" s="1"/>
  <c r="Y26" i="5" s="1"/>
  <c r="Y25" i="5" s="1"/>
  <c r="Y24" i="5" s="1"/>
  <c r="Y23" i="5" s="1"/>
  <c r="Y22" i="5" s="1"/>
  <c r="Y21" i="5" s="1"/>
  <c r="Y20" i="5" s="1"/>
  <c r="Y19" i="5" s="1"/>
  <c r="Y18" i="5" s="1"/>
  <c r="Y17" i="5" s="1"/>
  <c r="Y16" i="5" s="1"/>
  <c r="Y15" i="5" s="1"/>
  <c r="Y14" i="5" s="1"/>
  <c r="Y13" i="5" s="1"/>
  <c r="Y12" i="5" s="1"/>
  <c r="Y11" i="5" s="1"/>
  <c r="Y10" i="5" s="1"/>
  <c r="Y9" i="5" s="1"/>
  <c r="Y8" i="5" s="1"/>
  <c r="EZ11" i="1" s="1"/>
  <c r="CR59" i="1" l="1"/>
  <c r="DU59" i="1" s="1"/>
  <c r="CR318" i="1"/>
  <c r="CR17" i="1"/>
  <c r="CR24" i="1"/>
  <c r="CR43" i="1"/>
  <c r="CR37" i="1"/>
  <c r="CR175" i="1"/>
  <c r="DU175" i="1" s="1"/>
  <c r="CR151" i="1"/>
  <c r="CR322" i="1"/>
  <c r="DU322" i="1" s="1"/>
  <c r="CR81" i="1"/>
  <c r="DU81" i="1" s="1"/>
  <c r="CR233" i="1"/>
  <c r="DU233" i="1" s="1"/>
  <c r="CR253" i="1"/>
  <c r="CR39" i="1"/>
  <c r="CR41" i="1"/>
  <c r="DU41" i="1" s="1"/>
  <c r="CR30" i="1"/>
  <c r="CR218" i="1"/>
  <c r="CR113" i="1"/>
  <c r="DU113" i="1" s="1"/>
  <c r="CR247" i="1"/>
  <c r="DU247" i="1" s="1"/>
  <c r="CR327" i="1"/>
  <c r="DU327" i="1" s="1"/>
  <c r="CR62" i="1"/>
  <c r="CR65" i="1"/>
  <c r="CR334" i="1"/>
  <c r="DU334" i="1" s="1"/>
  <c r="CR111" i="1"/>
  <c r="CR63" i="1"/>
  <c r="CR19" i="1"/>
  <c r="CR248" i="1"/>
  <c r="CR123" i="1"/>
  <c r="CR301" i="1"/>
  <c r="CR291" i="1"/>
  <c r="DU291" i="1" s="1"/>
  <c r="CR109" i="1"/>
  <c r="CR13" i="1"/>
  <c r="CR317" i="1"/>
  <c r="DU111" i="1" l="1"/>
  <c r="DR111" i="1" s="1"/>
  <c r="DS111" i="1" s="1"/>
  <c r="EO111" i="1" s="1"/>
  <c r="DU65" i="1"/>
  <c r="DU43" i="1"/>
  <c r="DV43" i="1" s="1"/>
  <c r="DU24" i="1"/>
  <c r="DV24" i="1" s="1"/>
  <c r="DU17" i="1"/>
  <c r="DU317" i="1"/>
  <c r="DV317" i="1" s="1"/>
  <c r="DU62" i="1"/>
  <c r="DV62" i="1" s="1"/>
  <c r="DR291" i="1"/>
  <c r="DS291" i="1" s="1"/>
  <c r="DV291" i="1"/>
  <c r="DU13" i="1"/>
  <c r="DU301" i="1"/>
  <c r="DU109" i="1"/>
  <c r="DU123" i="1"/>
  <c r="DU248" i="1"/>
  <c r="DU19" i="1"/>
  <c r="DU63" i="1"/>
  <c r="DV41" i="1"/>
  <c r="DR41" i="1"/>
  <c r="DS41" i="1" s="1"/>
  <c r="DU30" i="1"/>
  <c r="DR334" i="1"/>
  <c r="DS334" i="1" s="1"/>
  <c r="EO334" i="1" s="1"/>
  <c r="DV334" i="1"/>
  <c r="DU253" i="1"/>
  <c r="DU218" i="1"/>
  <c r="DV111" i="1"/>
  <c r="EA111" i="1" s="1"/>
  <c r="DU37" i="1"/>
  <c r="DV113" i="1"/>
  <c r="DR113" i="1"/>
  <c r="DS113" i="1" s="1"/>
  <c r="DR247" i="1"/>
  <c r="DS247" i="1" s="1"/>
  <c r="EO247" i="1" s="1"/>
  <c r="DV247" i="1"/>
  <c r="DR62" i="1"/>
  <c r="DS62" i="1" s="1"/>
  <c r="DV81" i="1"/>
  <c r="DR81" i="1"/>
  <c r="DS81" i="1" s="1"/>
  <c r="DR327" i="1"/>
  <c r="DS327" i="1" s="1"/>
  <c r="DV327" i="1"/>
  <c r="DU39" i="1"/>
  <c r="DR24" i="1"/>
  <c r="DS24" i="1" s="1"/>
  <c r="DR322" i="1"/>
  <c r="DS322" i="1" s="1"/>
  <c r="EO322" i="1" s="1"/>
  <c r="DV322" i="1"/>
  <c r="DR233" i="1"/>
  <c r="DS233" i="1" s="1"/>
  <c r="DV233" i="1"/>
  <c r="DV17" i="1"/>
  <c r="DR17" i="1"/>
  <c r="DS17" i="1" s="1"/>
  <c r="DV59" i="1"/>
  <c r="DR59" i="1"/>
  <c r="DS59" i="1" s="1"/>
  <c r="DU151" i="1"/>
  <c r="DR43" i="1"/>
  <c r="DS43" i="1" s="1"/>
  <c r="DV175" i="1"/>
  <c r="DR175" i="1"/>
  <c r="DS175" i="1" s="1"/>
  <c r="DU318" i="1"/>
  <c r="EA291" i="1" l="1"/>
  <c r="EO291" i="1"/>
  <c r="EA175" i="1"/>
  <c r="EO175" i="1"/>
  <c r="EA43" i="1"/>
  <c r="EO43" i="1"/>
  <c r="EA81" i="1"/>
  <c r="EO81" i="1"/>
  <c r="EA327" i="1"/>
  <c r="EO327" i="1"/>
  <c r="EA41" i="1"/>
  <c r="DA41" i="1" s="1"/>
  <c r="EO41" i="1"/>
  <c r="EA59" i="1"/>
  <c r="EO59" i="1"/>
  <c r="EA62" i="1"/>
  <c r="EB62" i="1" s="1" a="1"/>
  <c r="EB62" i="1" s="1"/>
  <c r="EL62" i="1" s="1"/>
  <c r="EO62" i="1"/>
  <c r="EA113" i="1"/>
  <c r="EO113" i="1"/>
  <c r="EA17" i="1"/>
  <c r="EO17" i="1"/>
  <c r="EA233" i="1"/>
  <c r="EO233" i="1"/>
  <c r="EA24" i="1"/>
  <c r="EO24" i="1"/>
  <c r="DR317" i="1"/>
  <c r="DS317" i="1" s="1"/>
  <c r="EB111" i="1" a="1"/>
  <c r="EB111" i="1" s="1"/>
  <c r="EL111" i="1" s="1"/>
  <c r="DA111" i="1"/>
  <c r="EA334" i="1"/>
  <c r="DA334" i="1" s="1"/>
  <c r="EA247" i="1"/>
  <c r="DA247" i="1" s="1"/>
  <c r="DR65" i="1"/>
  <c r="DS65" i="1" s="1"/>
  <c r="DV65" i="1"/>
  <c r="EA322" i="1"/>
  <c r="DA322" i="1" s="1"/>
  <c r="DV318" i="1"/>
  <c r="DR318" i="1"/>
  <c r="DS318" i="1" s="1"/>
  <c r="DV248" i="1"/>
  <c r="DR248" i="1"/>
  <c r="DS248" i="1" s="1"/>
  <c r="DR30" i="1"/>
  <c r="DS30" i="1" s="1"/>
  <c r="DV30" i="1"/>
  <c r="DV123" i="1"/>
  <c r="DR123" i="1"/>
  <c r="DS123" i="1" s="1"/>
  <c r="DR109" i="1"/>
  <c r="DS109" i="1" s="1"/>
  <c r="DV109" i="1"/>
  <c r="EB113" i="1" a="1"/>
  <c r="EB113" i="1" s="1"/>
  <c r="EL113" i="1" s="1"/>
  <c r="DA113" i="1"/>
  <c r="DV37" i="1"/>
  <c r="DR37" i="1"/>
  <c r="DS37" i="1" s="1"/>
  <c r="EB41" i="1" a="1"/>
  <c r="EB41" i="1" s="1"/>
  <c r="EL41" i="1" s="1"/>
  <c r="DV301" i="1"/>
  <c r="DR301" i="1"/>
  <c r="DS301" i="1" s="1"/>
  <c r="EO301" i="1" s="1"/>
  <c r="DV39" i="1"/>
  <c r="DR39" i="1"/>
  <c r="DS39" i="1" s="1"/>
  <c r="EO39" i="1" s="1"/>
  <c r="DR63" i="1"/>
  <c r="DS63" i="1" s="1"/>
  <c r="EO63" i="1" s="1"/>
  <c r="DV63" i="1"/>
  <c r="DV13" i="1"/>
  <c r="DR13" i="1"/>
  <c r="DS13" i="1" s="1"/>
  <c r="EB43" i="1" a="1"/>
  <c r="EB43" i="1" s="1"/>
  <c r="EL43" i="1" s="1"/>
  <c r="DA43" i="1"/>
  <c r="DA327" i="1"/>
  <c r="EB327" i="1" a="1"/>
  <c r="EB327" i="1" s="1"/>
  <c r="EL327" i="1" s="1"/>
  <c r="DV218" i="1"/>
  <c r="DR218" i="1"/>
  <c r="DS218" i="1" s="1"/>
  <c r="DV19" i="1"/>
  <c r="DR19" i="1"/>
  <c r="DS19" i="1" s="1"/>
  <c r="DA59" i="1"/>
  <c r="EB59" i="1" a="1"/>
  <c r="EB59" i="1" s="1"/>
  <c r="EL59" i="1" s="1"/>
  <c r="EB81" i="1" a="1"/>
  <c r="EB81" i="1" s="1"/>
  <c r="EL81" i="1" s="1"/>
  <c r="DA81" i="1"/>
  <c r="EB24" i="1" a="1"/>
  <c r="EB24" i="1" s="1"/>
  <c r="EL24" i="1" s="1"/>
  <c r="DA24" i="1"/>
  <c r="DA175" i="1"/>
  <c r="EB175" i="1" a="1"/>
  <c r="EB175" i="1" s="1"/>
  <c r="EL175" i="1" s="1"/>
  <c r="DA17" i="1"/>
  <c r="EB17" i="1" a="1"/>
  <c r="EB17" i="1" s="1"/>
  <c r="EL17" i="1" s="1"/>
  <c r="DA233" i="1"/>
  <c r="EB233" i="1" a="1"/>
  <c r="EB233" i="1" s="1"/>
  <c r="EL233" i="1" s="1"/>
  <c r="DV151" i="1"/>
  <c r="DR151" i="1"/>
  <c r="DS151" i="1" s="1"/>
  <c r="EO151" i="1" s="1"/>
  <c r="DR253" i="1"/>
  <c r="DS253" i="1" s="1"/>
  <c r="EO253" i="1" s="1"/>
  <c r="DV253" i="1"/>
  <c r="EB291" i="1" a="1"/>
  <c r="EB291" i="1" s="1"/>
  <c r="EL291" i="1" s="1"/>
  <c r="DA291" i="1"/>
  <c r="DA62" i="1" l="1"/>
  <c r="EB247" i="1" a="1"/>
  <c r="EB247" i="1" s="1"/>
  <c r="EL247" i="1" s="1"/>
  <c r="EV247" i="1" s="1"/>
  <c r="EA65" i="1"/>
  <c r="EO65" i="1"/>
  <c r="EA109" i="1"/>
  <c r="EO109" i="1"/>
  <c r="EA123" i="1"/>
  <c r="EO123" i="1"/>
  <c r="EA13" i="1"/>
  <c r="EB13" i="1" s="1" a="1"/>
  <c r="EB13" i="1" s="1"/>
  <c r="EL13" i="1" s="1"/>
  <c r="EO13" i="1"/>
  <c r="EA317" i="1"/>
  <c r="EO317" i="1"/>
  <c r="EA30" i="1"/>
  <c r="DA30" i="1" s="1"/>
  <c r="EO30" i="1"/>
  <c r="EA248" i="1"/>
  <c r="EB248" i="1" s="1" a="1"/>
  <c r="EB248" i="1" s="1"/>
  <c r="EL248" i="1" s="1"/>
  <c r="EO248" i="1"/>
  <c r="EB334" i="1" a="1"/>
  <c r="EB334" i="1" s="1"/>
  <c r="EL334" i="1" s="1"/>
  <c r="EV334" i="1" s="1"/>
  <c r="EA19" i="1"/>
  <c r="EO19" i="1"/>
  <c r="EA218" i="1"/>
  <c r="DA218" i="1" s="1"/>
  <c r="EO218" i="1"/>
  <c r="EA37" i="1"/>
  <c r="EB37" i="1" s="1" a="1"/>
  <c r="EB37" i="1" s="1"/>
  <c r="EL37" i="1" s="1"/>
  <c r="EO37" i="1"/>
  <c r="EA318" i="1"/>
  <c r="EO318" i="1"/>
  <c r="EV59" i="1"/>
  <c r="EX59" i="1"/>
  <c r="EV233" i="1"/>
  <c r="EX233" i="1"/>
  <c r="EV113" i="1"/>
  <c r="EX113" i="1"/>
  <c r="EV175" i="1"/>
  <c r="EX175" i="1"/>
  <c r="EV41" i="1"/>
  <c r="EX41" i="1"/>
  <c r="EV43" i="1"/>
  <c r="EX43" i="1"/>
  <c r="EV17" i="1"/>
  <c r="EX17" i="1"/>
  <c r="EV24" i="1"/>
  <c r="EX24" i="1"/>
  <c r="EV327" i="1"/>
  <c r="EX327" i="1"/>
  <c r="EV111" i="1"/>
  <c r="EX111" i="1"/>
  <c r="EV291" i="1"/>
  <c r="EX291" i="1"/>
  <c r="EV81" i="1"/>
  <c r="EX81" i="1"/>
  <c r="EV62" i="1"/>
  <c r="EX62" i="1"/>
  <c r="EB322" i="1" a="1"/>
  <c r="EB322" i="1" s="1"/>
  <c r="EL322" i="1" s="1"/>
  <c r="EA151" i="1"/>
  <c r="DA151" i="1" s="1"/>
  <c r="EA301" i="1"/>
  <c r="DA301" i="1" s="1"/>
  <c r="EB65" i="1" a="1"/>
  <c r="EB65" i="1" s="1"/>
  <c r="EL65" i="1" s="1"/>
  <c r="DA65" i="1"/>
  <c r="EA63" i="1"/>
  <c r="EB63" i="1" s="1" a="1"/>
  <c r="EB63" i="1" s="1"/>
  <c r="EL63" i="1" s="1"/>
  <c r="EA253" i="1"/>
  <c r="DA253" i="1" s="1"/>
  <c r="EA39" i="1"/>
  <c r="DA39" i="1" s="1"/>
  <c r="EB109" i="1" a="1"/>
  <c r="EB109" i="1" s="1"/>
  <c r="EL109" i="1" s="1"/>
  <c r="DA109" i="1"/>
  <c r="EB123" i="1" a="1"/>
  <c r="EB123" i="1" s="1"/>
  <c r="EL123" i="1" s="1"/>
  <c r="DA123" i="1"/>
  <c r="EB19" i="1" a="1"/>
  <c r="EB19" i="1" s="1"/>
  <c r="EL19" i="1" s="1"/>
  <c r="DA19" i="1"/>
  <c r="EB318" i="1" a="1"/>
  <c r="EB318" i="1" s="1"/>
  <c r="EL318" i="1" s="1"/>
  <c r="DA318" i="1"/>
  <c r="CR42" i="1"/>
  <c r="DU42" i="1" s="1"/>
  <c r="CR71" i="1"/>
  <c r="DU71" i="1" s="1"/>
  <c r="CR250" i="1"/>
  <c r="DU250" i="1" s="1"/>
  <c r="CR194" i="1"/>
  <c r="CR148" i="1"/>
  <c r="DU148" i="1" s="1"/>
  <c r="CR84" i="1"/>
  <c r="DU84" i="1" s="1"/>
  <c r="CR315" i="1"/>
  <c r="CR155" i="1"/>
  <c r="CR52" i="1"/>
  <c r="CR285" i="1"/>
  <c r="CR270" i="1"/>
  <c r="DU270" i="1" s="1"/>
  <c r="CR49" i="1"/>
  <c r="DU49" i="1" s="1"/>
  <c r="CR286" i="1"/>
  <c r="CR190" i="1"/>
  <c r="DU190" i="1" s="1"/>
  <c r="DV190" i="1" s="1"/>
  <c r="CR185" i="1"/>
  <c r="CR147" i="1"/>
  <c r="CR191" i="1"/>
  <c r="DU191" i="1" s="1"/>
  <c r="DV191" i="1" s="1"/>
  <c r="CR325" i="1"/>
  <c r="DU325" i="1" s="1"/>
  <c r="CR130" i="1"/>
  <c r="CR215" i="1"/>
  <c r="CR196" i="1"/>
  <c r="DU196" i="1" s="1"/>
  <c r="CR212" i="1"/>
  <c r="DU212" i="1" s="1"/>
  <c r="DV212" i="1" s="1"/>
  <c r="CR51" i="1"/>
  <c r="CR192" i="1"/>
  <c r="CR76" i="1"/>
  <c r="CR201" i="1"/>
  <c r="CR139" i="1"/>
  <c r="CR263" i="1"/>
  <c r="CR25" i="1"/>
  <c r="CR293" i="1"/>
  <c r="CR137" i="1"/>
  <c r="CR287" i="1"/>
  <c r="DU287" i="1" s="1"/>
  <c r="CR161" i="1"/>
  <c r="DU161" i="1" s="1"/>
  <c r="CR167" i="1"/>
  <c r="DU167" i="1" s="1"/>
  <c r="CR145" i="1"/>
  <c r="DU145" i="1" s="1"/>
  <c r="CR234" i="1"/>
  <c r="CR90" i="1"/>
  <c r="DU90" i="1" s="1"/>
  <c r="CR336" i="1"/>
  <c r="CR198" i="1"/>
  <c r="CR102" i="1"/>
  <c r="CR177" i="1"/>
  <c r="DU177" i="1" s="1"/>
  <c r="CR103" i="1"/>
  <c r="CR45" i="1"/>
  <c r="CR237" i="1"/>
  <c r="CR64" i="1"/>
  <c r="CR91" i="1"/>
  <c r="CR209" i="1"/>
  <c r="CR73" i="1"/>
  <c r="DU73" i="1" s="1"/>
  <c r="CR193" i="1"/>
  <c r="CR340" i="1"/>
  <c r="DU340" i="1" s="1"/>
  <c r="CR300" i="1"/>
  <c r="DU300" i="1" s="1"/>
  <c r="CR143" i="1"/>
  <c r="CR125" i="1"/>
  <c r="CR202" i="1"/>
  <c r="CR238" i="1"/>
  <c r="CR321" i="1"/>
  <c r="CR127" i="1"/>
  <c r="CR115" i="1"/>
  <c r="CR50" i="1"/>
  <c r="CR337" i="1"/>
  <c r="DU337" i="1" s="1"/>
  <c r="CR240" i="1"/>
  <c r="DU240" i="1" s="1"/>
  <c r="CR213" i="1"/>
  <c r="CR180" i="1"/>
  <c r="CR99" i="1"/>
  <c r="CR121" i="1"/>
  <c r="DU121" i="1" s="1"/>
  <c r="CR206" i="1"/>
  <c r="CR70" i="1"/>
  <c r="DU70" i="1" s="1"/>
  <c r="CR208" i="1"/>
  <c r="CR149" i="1"/>
  <c r="CR184" i="1"/>
  <c r="CR168" i="1"/>
  <c r="CR332" i="1"/>
  <c r="CR232" i="1"/>
  <c r="CR271" i="1"/>
  <c r="CR79" i="1"/>
  <c r="CR199" i="1"/>
  <c r="DU199" i="1" s="1"/>
  <c r="CR135" i="1"/>
  <c r="CR244" i="1"/>
  <c r="DU244" i="1" s="1"/>
  <c r="DV244" i="1" s="1"/>
  <c r="CR108" i="1"/>
  <c r="CR107" i="1"/>
  <c r="CR245" i="1"/>
  <c r="CR302" i="1"/>
  <c r="DU302" i="1" s="1"/>
  <c r="CR186" i="1"/>
  <c r="CR341" i="1"/>
  <c r="DU341" i="1" s="1"/>
  <c r="CR292" i="1"/>
  <c r="DU292" i="1" s="1"/>
  <c r="CR86" i="1"/>
  <c r="CR221" i="1"/>
  <c r="CR296" i="1"/>
  <c r="CR57" i="1"/>
  <c r="CR235" i="1"/>
  <c r="CR195" i="1"/>
  <c r="DU195" i="1" s="1"/>
  <c r="CR96" i="1"/>
  <c r="CR281" i="1"/>
  <c r="CR216" i="1"/>
  <c r="CR169" i="1"/>
  <c r="DU169" i="1" s="1"/>
  <c r="CR164" i="1"/>
  <c r="CR310" i="1"/>
  <c r="DU310" i="1" s="1"/>
  <c r="CR314" i="1"/>
  <c r="CR210" i="1"/>
  <c r="CR231" i="1"/>
  <c r="CR48" i="1"/>
  <c r="CR122" i="1"/>
  <c r="CR239" i="1"/>
  <c r="CR257" i="1"/>
  <c r="CR172" i="1"/>
  <c r="CR256" i="1"/>
  <c r="CR275" i="1"/>
  <c r="DU275" i="1" s="1"/>
  <c r="CR219" i="1"/>
  <c r="DU219" i="1" s="1"/>
  <c r="CR46" i="1"/>
  <c r="DU46" i="1" s="1"/>
  <c r="CR324" i="1"/>
  <c r="DU324" i="1" s="1"/>
  <c r="CR299" i="1"/>
  <c r="CR260" i="1"/>
  <c r="DU260" i="1" s="1"/>
  <c r="DV260" i="1" s="1"/>
  <c r="CR67" i="1"/>
  <c r="DU67" i="1" s="1"/>
  <c r="CR200" i="1"/>
  <c r="CR92" i="1"/>
  <c r="DU92" i="1" s="1"/>
  <c r="CR228" i="1"/>
  <c r="DU228" i="1" s="1"/>
  <c r="CR176" i="1"/>
  <c r="CR110" i="1"/>
  <c r="CR246" i="1"/>
  <c r="CR298" i="1"/>
  <c r="DU298" i="1" s="1"/>
  <c r="DV298" i="1" s="1"/>
  <c r="CR249" i="1"/>
  <c r="DU249" i="1" s="1"/>
  <c r="CR138" i="1"/>
  <c r="CR116" i="1"/>
  <c r="CR335" i="1"/>
  <c r="CR274" i="1"/>
  <c r="DU274" i="1" s="1"/>
  <c r="CR157" i="1"/>
  <c r="CR333" i="1"/>
  <c r="CR223" i="1"/>
  <c r="DU223" i="1" s="1"/>
  <c r="CR87" i="1"/>
  <c r="CR303" i="1"/>
  <c r="CR284" i="1"/>
  <c r="DU284" i="1" s="1"/>
  <c r="CR126" i="1"/>
  <c r="DU126" i="1" s="1"/>
  <c r="CR236" i="1"/>
  <c r="CR83" i="1"/>
  <c r="CR312" i="1"/>
  <c r="DU312" i="1" s="1"/>
  <c r="CR22" i="1"/>
  <c r="DU22" i="1" s="1"/>
  <c r="CR27" i="1"/>
  <c r="CR104" i="1"/>
  <c r="CR188" i="1"/>
  <c r="CR129" i="1"/>
  <c r="CR230" i="1"/>
  <c r="DU230" i="1" s="1"/>
  <c r="CR82" i="1"/>
  <c r="DU82" i="1" s="1"/>
  <c r="CR255" i="1"/>
  <c r="DU255" i="1" s="1"/>
  <c r="CR329" i="1"/>
  <c r="CR294" i="1"/>
  <c r="DU294" i="1" s="1"/>
  <c r="CR61" i="1"/>
  <c r="CR131" i="1"/>
  <c r="DU131" i="1" s="1"/>
  <c r="CR323" i="1"/>
  <c r="CR205" i="1"/>
  <c r="CR75" i="1"/>
  <c r="DU75" i="1" s="1"/>
  <c r="DV75" i="1" s="1"/>
  <c r="CR97" i="1"/>
  <c r="DU97" i="1" s="1"/>
  <c r="DR97" i="1" s="1"/>
  <c r="DS97" i="1" s="1"/>
  <c r="CR214" i="1"/>
  <c r="CR98" i="1"/>
  <c r="CR259" i="1"/>
  <c r="CR288" i="1"/>
  <c r="CR328" i="1"/>
  <c r="DL328" i="1" s="1"/>
  <c r="DN328" i="1" s="1"/>
  <c r="CR290" i="1"/>
  <c r="CR158" i="1"/>
  <c r="CR297" i="1"/>
  <c r="DU297" i="1" s="1"/>
  <c r="DV297" i="1" s="1"/>
  <c r="CR258" i="1"/>
  <c r="CR32" i="1"/>
  <c r="DU32" i="1" s="1"/>
  <c r="CR320" i="1"/>
  <c r="DU320" i="1" s="1"/>
  <c r="CR66" i="1"/>
  <c r="DU66" i="1" s="1"/>
  <c r="CR72" i="1"/>
  <c r="DU72" i="1" s="1"/>
  <c r="CR58" i="1"/>
  <c r="CR305" i="1"/>
  <c r="DU305" i="1" s="1"/>
  <c r="CR304" i="1"/>
  <c r="CR114" i="1"/>
  <c r="CR273" i="1"/>
  <c r="DU273" i="1" s="1"/>
  <c r="CR152" i="1"/>
  <c r="CR134" i="1"/>
  <c r="DU134" i="1" s="1"/>
  <c r="CR277" i="1"/>
  <c r="DU277" i="1" s="1"/>
  <c r="CR40" i="1"/>
  <c r="CR162" i="1"/>
  <c r="CR269" i="1"/>
  <c r="CR163" i="1"/>
  <c r="DU163" i="1" s="1"/>
  <c r="CR174" i="1"/>
  <c r="CR276" i="1"/>
  <c r="DU276" i="1" s="1"/>
  <c r="CR189" i="1"/>
  <c r="CR311" i="1"/>
  <c r="CR28" i="1"/>
  <c r="DU28" i="1" s="1"/>
  <c r="CR211" i="1"/>
  <c r="CR272" i="1"/>
  <c r="CR95" i="1"/>
  <c r="CR316" i="1"/>
  <c r="DU316" i="1" s="1"/>
  <c r="CR142" i="1"/>
  <c r="CR295" i="1"/>
  <c r="DU295" i="1" s="1"/>
  <c r="CR282" i="1"/>
  <c r="CR55" i="1"/>
  <c r="CR85" i="1"/>
  <c r="CR119" i="1"/>
  <c r="DU119" i="1" s="1"/>
  <c r="CR226" i="1"/>
  <c r="CR160" i="1"/>
  <c r="CR93" i="1"/>
  <c r="CR120" i="1"/>
  <c r="DU120" i="1" s="1"/>
  <c r="CR100" i="1"/>
  <c r="CR159" i="1"/>
  <c r="CR278" i="1"/>
  <c r="DU278" i="1" s="1"/>
  <c r="CR306" i="1"/>
  <c r="CR227" i="1"/>
  <c r="DU227" i="1" s="1"/>
  <c r="CR136" i="1"/>
  <c r="CR146" i="1"/>
  <c r="DU146" i="1" s="1"/>
  <c r="CR33" i="1"/>
  <c r="CR89" i="1"/>
  <c r="CR166" i="1"/>
  <c r="CR313" i="1"/>
  <c r="DU313" i="1" s="1"/>
  <c r="CR53" i="1"/>
  <c r="CR141" i="1"/>
  <c r="CR283" i="1"/>
  <c r="CR23" i="1"/>
  <c r="DU23" i="1" s="1"/>
  <c r="CR140" i="1"/>
  <c r="DU140" i="1" s="1"/>
  <c r="CR78" i="1"/>
  <c r="CR242" i="1"/>
  <c r="CR150" i="1"/>
  <c r="CR29" i="1"/>
  <c r="CR342" i="1"/>
  <c r="DU342" i="1" s="1"/>
  <c r="DR342" i="1" s="1"/>
  <c r="DS342" i="1" s="1"/>
  <c r="EO342" i="1" s="1"/>
  <c r="CR326" i="1"/>
  <c r="CR153" i="1"/>
  <c r="CR171" i="1"/>
  <c r="CR165" i="1"/>
  <c r="CR279" i="1"/>
  <c r="CR307" i="1"/>
  <c r="CR181" i="1"/>
  <c r="CR124" i="1"/>
  <c r="CR118" i="1"/>
  <c r="CR204" i="1"/>
  <c r="CR38" i="1"/>
  <c r="CR117" i="1"/>
  <c r="CR222" i="1"/>
  <c r="CR265" i="1"/>
  <c r="CR264" i="1"/>
  <c r="CR229" i="1"/>
  <c r="DU229" i="1" s="1"/>
  <c r="CR14" i="1"/>
  <c r="CR31" i="1"/>
  <c r="CR112" i="1"/>
  <c r="CR133" i="1"/>
  <c r="DU133" i="1" s="1"/>
  <c r="CR268" i="1"/>
  <c r="CR94" i="1"/>
  <c r="CR74" i="1"/>
  <c r="CR60" i="1"/>
  <c r="CR187" i="1"/>
  <c r="CR18" i="1"/>
  <c r="CR319" i="1"/>
  <c r="CR36" i="1"/>
  <c r="DU36" i="1" s="1"/>
  <c r="CR289" i="1"/>
  <c r="CR266" i="1"/>
  <c r="CR77" i="1"/>
  <c r="CR144" i="1"/>
  <c r="CR80" i="1"/>
  <c r="CR16" i="1"/>
  <c r="CR88" i="1"/>
  <c r="CR15" i="1"/>
  <c r="CR217" i="1"/>
  <c r="CR267" i="1"/>
  <c r="CR26" i="1"/>
  <c r="CR254" i="1"/>
  <c r="EZ59" i="1" l="1"/>
  <c r="EZ291" i="1"/>
  <c r="EZ43" i="1"/>
  <c r="EV13" i="1"/>
  <c r="EX13" i="1"/>
  <c r="EZ62" i="1"/>
  <c r="EX247" i="1"/>
  <c r="EZ247" i="1" s="1"/>
  <c r="DL20" i="1"/>
  <c r="DN20" i="1" s="1"/>
  <c r="EB253" i="1" a="1"/>
  <c r="EB253" i="1" s="1"/>
  <c r="EL253" i="1" s="1"/>
  <c r="EX253" i="1" s="1"/>
  <c r="EB218" i="1" a="1"/>
  <c r="EB218" i="1" s="1"/>
  <c r="EL218" i="1" s="1"/>
  <c r="EZ17" i="1"/>
  <c r="DU226" i="1"/>
  <c r="DV226" i="1" s="1"/>
  <c r="DU160" i="1"/>
  <c r="DV160" i="1" s="1"/>
  <c r="EZ233" i="1"/>
  <c r="DA248" i="1"/>
  <c r="EZ24" i="1"/>
  <c r="DU122" i="1"/>
  <c r="DV122" i="1" s="1"/>
  <c r="EB30" i="1" a="1"/>
  <c r="EB30" i="1" s="1"/>
  <c r="EL30" i="1" s="1"/>
  <c r="EV30" i="1" s="1"/>
  <c r="DU323" i="1"/>
  <c r="DU57" i="1"/>
  <c r="DV57" i="1" s="1"/>
  <c r="DU299" i="1"/>
  <c r="DU166" i="1"/>
  <c r="DV166" i="1" s="1"/>
  <c r="DU74" i="1"/>
  <c r="DU118" i="1"/>
  <c r="DV118" i="1" s="1"/>
  <c r="EZ81" i="1"/>
  <c r="EB151" i="1" a="1"/>
  <c r="EB151" i="1" s="1"/>
  <c r="EL151" i="1" s="1"/>
  <c r="EV151" i="1" s="1"/>
  <c r="EZ327" i="1"/>
  <c r="EX334" i="1"/>
  <c r="EZ334" i="1" s="1"/>
  <c r="DA37" i="1"/>
  <c r="DU306" i="1"/>
  <c r="DR306" i="1" s="1"/>
  <c r="DS306" i="1" s="1"/>
  <c r="EO306" i="1" s="1"/>
  <c r="DU85" i="1"/>
  <c r="DU189" i="1"/>
  <c r="DR189" i="1" s="1"/>
  <c r="DS189" i="1" s="1"/>
  <c r="EO189" i="1" s="1"/>
  <c r="EX189" i="1" s="1"/>
  <c r="EA97" i="1"/>
  <c r="EO97" i="1"/>
  <c r="DU64" i="1"/>
  <c r="DU77" i="1"/>
  <c r="DU268" i="1"/>
  <c r="DV268" i="1" s="1"/>
  <c r="DU208" i="1"/>
  <c r="DR208" i="1" s="1"/>
  <c r="DS208" i="1" s="1"/>
  <c r="EO208" i="1" s="1"/>
  <c r="EX208" i="1" s="1"/>
  <c r="DU282" i="1"/>
  <c r="DV282" i="1" s="1"/>
  <c r="DU174" i="1"/>
  <c r="DR174" i="1" s="1"/>
  <c r="DS174" i="1" s="1"/>
  <c r="EO174" i="1" s="1"/>
  <c r="DU289" i="1"/>
  <c r="DR289" i="1" s="1"/>
  <c r="DS289" i="1" s="1"/>
  <c r="EB301" i="1" a="1"/>
  <c r="EB301" i="1" s="1"/>
  <c r="EL301" i="1" s="1"/>
  <c r="EV301" i="1" s="1"/>
  <c r="DU48" i="1"/>
  <c r="DU108" i="1"/>
  <c r="DV108" i="1" s="1"/>
  <c r="EB317" i="1" a="1"/>
  <c r="EB317" i="1" s="1"/>
  <c r="EL317" i="1" s="1"/>
  <c r="DA317" i="1"/>
  <c r="DA63" i="1"/>
  <c r="DU187" i="1"/>
  <c r="DR187" i="1" s="1"/>
  <c r="DS187" i="1" s="1"/>
  <c r="EO187" i="1" s="1"/>
  <c r="EX187" i="1" s="1"/>
  <c r="DU272" i="1"/>
  <c r="DV272" i="1" s="1"/>
  <c r="DU213" i="1"/>
  <c r="DV213" i="1" s="1"/>
  <c r="DU88" i="1"/>
  <c r="DR88" i="1" s="1"/>
  <c r="DS88" i="1" s="1"/>
  <c r="DU60" i="1"/>
  <c r="DR60" i="1" s="1"/>
  <c r="DS60" i="1" s="1"/>
  <c r="DU211" i="1"/>
  <c r="DV211" i="1" s="1"/>
  <c r="DU221" i="1"/>
  <c r="DU164" i="1"/>
  <c r="DR164" i="1" s="1"/>
  <c r="DS164" i="1" s="1"/>
  <c r="EO164" i="1" s="1"/>
  <c r="DU86" i="1"/>
  <c r="DR86" i="1" s="1"/>
  <c r="DS86" i="1" s="1"/>
  <c r="EO86" i="1" s="1"/>
  <c r="EV253" i="1"/>
  <c r="EV123" i="1"/>
  <c r="EX123" i="1"/>
  <c r="EZ41" i="1"/>
  <c r="EV318" i="1"/>
  <c r="EX318" i="1"/>
  <c r="EV109" i="1"/>
  <c r="EX109" i="1"/>
  <c r="EZ111" i="1"/>
  <c r="EZ175" i="1"/>
  <c r="EV248" i="1"/>
  <c r="EX248" i="1"/>
  <c r="EZ113" i="1"/>
  <c r="EV37" i="1"/>
  <c r="EX37" i="1"/>
  <c r="EV63" i="1"/>
  <c r="EX63" i="1"/>
  <c r="EV65" i="1"/>
  <c r="EX65" i="1"/>
  <c r="EV218" i="1"/>
  <c r="EX218" i="1"/>
  <c r="EV322" i="1"/>
  <c r="EX322" i="1"/>
  <c r="EV19" i="1"/>
  <c r="EX19" i="1"/>
  <c r="DV292" i="1"/>
  <c r="DR292" i="1"/>
  <c r="DS292" i="1" s="1"/>
  <c r="DU162" i="1"/>
  <c r="DV162" i="1" s="1"/>
  <c r="DR122" i="1"/>
  <c r="DS122" i="1" s="1"/>
  <c r="DU216" i="1"/>
  <c r="DV216" i="1" s="1"/>
  <c r="DU51" i="1"/>
  <c r="DU254" i="1"/>
  <c r="DR254" i="1" s="1"/>
  <c r="DS254" i="1" s="1"/>
  <c r="EO254" i="1" s="1"/>
  <c r="DU265" i="1"/>
  <c r="DU40" i="1"/>
  <c r="DR40" i="1" s="1"/>
  <c r="DS40" i="1" s="1"/>
  <c r="EO40" i="1" s="1"/>
  <c r="DU27" i="1"/>
  <c r="DV27" i="1" s="1"/>
  <c r="DU246" i="1"/>
  <c r="DV246" i="1" s="1"/>
  <c r="DU281" i="1"/>
  <c r="DV281" i="1" s="1"/>
  <c r="DR244" i="1"/>
  <c r="DS244" i="1" s="1"/>
  <c r="DU171" i="1"/>
  <c r="DR171" i="1" s="1"/>
  <c r="DS171" i="1" s="1"/>
  <c r="EO171" i="1" s="1"/>
  <c r="DU285" i="1"/>
  <c r="DV285" i="1" s="1"/>
  <c r="DV289" i="1"/>
  <c r="DR268" i="1"/>
  <c r="DS268" i="1" s="1"/>
  <c r="DU222" i="1"/>
  <c r="DV222" i="1" s="1"/>
  <c r="DU326" i="1"/>
  <c r="DU96" i="1"/>
  <c r="DR96" i="1" s="1"/>
  <c r="DS96" i="1" s="1"/>
  <c r="EO96" i="1" s="1"/>
  <c r="DU237" i="1"/>
  <c r="DV97" i="1"/>
  <c r="DU217" i="1"/>
  <c r="DU53" i="1"/>
  <c r="DU311" i="1"/>
  <c r="DV311" i="1" s="1"/>
  <c r="DU158" i="1"/>
  <c r="DR158" i="1" s="1"/>
  <c r="DS158" i="1" s="1"/>
  <c r="EO158" i="1" s="1"/>
  <c r="DU210" i="1"/>
  <c r="DU79" i="1"/>
  <c r="DU45" i="1"/>
  <c r="DU83" i="1"/>
  <c r="DU235" i="1"/>
  <c r="DV235" i="1" s="1"/>
  <c r="DR213" i="1"/>
  <c r="DS213" i="1" s="1"/>
  <c r="DU29" i="1"/>
  <c r="DR166" i="1"/>
  <c r="DS166" i="1" s="1"/>
  <c r="DU186" i="1"/>
  <c r="DV186" i="1" s="1"/>
  <c r="DU193" i="1"/>
  <c r="DV60" i="1"/>
  <c r="DU150" i="1"/>
  <c r="DU142" i="1"/>
  <c r="DV142" i="1" s="1"/>
  <c r="DU200" i="1"/>
  <c r="DU257" i="1"/>
  <c r="DR257" i="1" s="1"/>
  <c r="DS257" i="1" s="1"/>
  <c r="EO257" i="1" s="1"/>
  <c r="DU296" i="1"/>
  <c r="DR296" i="1" s="1"/>
  <c r="DS296" i="1" s="1"/>
  <c r="EO296" i="1" s="1"/>
  <c r="DU245" i="1"/>
  <c r="DU242" i="1"/>
  <c r="DV242" i="1" s="1"/>
  <c r="DU89" i="1"/>
  <c r="DV208" i="1"/>
  <c r="DU209" i="1"/>
  <c r="DV209" i="1" s="1"/>
  <c r="DV316" i="1"/>
  <c r="DR316" i="1"/>
  <c r="DS316" i="1" s="1"/>
  <c r="EB97" i="1" a="1"/>
  <c r="EB97" i="1" s="1"/>
  <c r="EL97" i="1" s="1"/>
  <c r="DA97" i="1"/>
  <c r="DR222" i="1"/>
  <c r="DS222" i="1" s="1"/>
  <c r="EO222" i="1" s="1"/>
  <c r="DU267" i="1"/>
  <c r="DU18" i="1"/>
  <c r="DV22" i="1"/>
  <c r="DR22" i="1"/>
  <c r="DS22" i="1" s="1"/>
  <c r="EO22" i="1" s="1"/>
  <c r="DV277" i="1"/>
  <c r="DR277" i="1"/>
  <c r="DS277" i="1" s="1"/>
  <c r="EO277" i="1" s="1"/>
  <c r="DU80" i="1"/>
  <c r="DV313" i="1"/>
  <c r="DR313" i="1"/>
  <c r="DS313" i="1" s="1"/>
  <c r="DV278" i="1"/>
  <c r="DR278" i="1"/>
  <c r="DS278" i="1" s="1"/>
  <c r="EO278" i="1" s="1"/>
  <c r="DV305" i="1"/>
  <c r="DR305" i="1"/>
  <c r="DS305" i="1" s="1"/>
  <c r="DV120" i="1"/>
  <c r="DR120" i="1"/>
  <c r="DS120" i="1" s="1"/>
  <c r="EO120" i="1" s="1"/>
  <c r="DR255" i="1"/>
  <c r="DS255" i="1" s="1"/>
  <c r="EO255" i="1" s="1"/>
  <c r="DV255" i="1"/>
  <c r="DU266" i="1"/>
  <c r="DR82" i="1"/>
  <c r="DS82" i="1" s="1"/>
  <c r="DV82" i="1"/>
  <c r="DR163" i="1"/>
  <c r="DS163" i="1" s="1"/>
  <c r="DV163" i="1"/>
  <c r="DR72" i="1"/>
  <c r="DS72" i="1" s="1"/>
  <c r="DV72" i="1"/>
  <c r="DR230" i="1"/>
  <c r="DS230" i="1" s="1"/>
  <c r="DV230" i="1"/>
  <c r="DV276" i="1"/>
  <c r="DR276" i="1"/>
  <c r="DS276" i="1" s="1"/>
  <c r="DU329" i="1"/>
  <c r="DU333" i="1"/>
  <c r="DU94" i="1"/>
  <c r="DU38" i="1"/>
  <c r="DU153" i="1"/>
  <c r="DR282" i="1"/>
  <c r="DS282" i="1" s="1"/>
  <c r="DU288" i="1"/>
  <c r="DV146" i="1"/>
  <c r="DR146" i="1"/>
  <c r="DS146" i="1" s="1"/>
  <c r="DU188" i="1"/>
  <c r="DU95" i="1"/>
  <c r="DR140" i="1"/>
  <c r="DS140" i="1" s="1"/>
  <c r="DV140" i="1"/>
  <c r="DV134" i="1"/>
  <c r="DR134" i="1"/>
  <c r="DS134" i="1" s="1"/>
  <c r="EO134" i="1" s="1"/>
  <c r="DU31" i="1"/>
  <c r="DU181" i="1"/>
  <c r="DU165" i="1"/>
  <c r="DR119" i="1"/>
  <c r="DS119" i="1" s="1"/>
  <c r="EO119" i="1" s="1"/>
  <c r="DV119" i="1"/>
  <c r="DU114" i="1"/>
  <c r="DV320" i="1"/>
  <c r="DR320" i="1"/>
  <c r="DS320" i="1" s="1"/>
  <c r="EO320" i="1" s="1"/>
  <c r="DU328" i="1"/>
  <c r="DV131" i="1"/>
  <c r="DR131" i="1"/>
  <c r="DS131" i="1" s="1"/>
  <c r="DU157" i="1"/>
  <c r="DU319" i="1"/>
  <c r="DU204" i="1"/>
  <c r="DU136" i="1"/>
  <c r="DV342" i="1"/>
  <c r="EA342" i="1" s="1"/>
  <c r="DR27" i="1"/>
  <c r="DS27" i="1" s="1"/>
  <c r="DU236" i="1"/>
  <c r="DR298" i="1"/>
  <c r="DS298" i="1" s="1"/>
  <c r="DU335" i="1"/>
  <c r="DU14" i="1"/>
  <c r="DV23" i="1"/>
  <c r="DR23" i="1"/>
  <c r="DS23" i="1" s="1"/>
  <c r="EO23" i="1" s="1"/>
  <c r="EX23" i="1" s="1"/>
  <c r="DU93" i="1"/>
  <c r="DR211" i="1"/>
  <c r="DS211" i="1" s="1"/>
  <c r="DV174" i="1"/>
  <c r="DR162" i="1"/>
  <c r="DS162" i="1" s="1"/>
  <c r="DU58" i="1"/>
  <c r="DU15" i="1"/>
  <c r="DU61" i="1"/>
  <c r="DU314" i="1"/>
  <c r="DU129" i="1"/>
  <c r="DV92" i="1"/>
  <c r="DR92" i="1"/>
  <c r="DS92" i="1" s="1"/>
  <c r="EO92" i="1" s="1"/>
  <c r="DU239" i="1"/>
  <c r="DV227" i="1"/>
  <c r="DR227" i="1"/>
  <c r="DS227" i="1" s="1"/>
  <c r="DV306" i="1"/>
  <c r="EA306" i="1" s="1"/>
  <c r="DU16" i="1"/>
  <c r="DU104" i="1"/>
  <c r="DU98" i="1"/>
  <c r="DV295" i="1"/>
  <c r="DR295" i="1"/>
  <c r="DS295" i="1" s="1"/>
  <c r="EO295" i="1" s="1"/>
  <c r="DR32" i="1"/>
  <c r="DS32" i="1" s="1"/>
  <c r="DV32" i="1"/>
  <c r="DV40" i="1"/>
  <c r="EA40" i="1" s="1"/>
  <c r="DU303" i="1"/>
  <c r="DR274" i="1"/>
  <c r="DS274" i="1" s="1"/>
  <c r="EO274" i="1" s="1"/>
  <c r="DV274" i="1"/>
  <c r="DR246" i="1"/>
  <c r="DS246" i="1" s="1"/>
  <c r="DU176" i="1"/>
  <c r="DR229" i="1"/>
  <c r="DS229" i="1" s="1"/>
  <c r="DV229" i="1"/>
  <c r="DU117" i="1"/>
  <c r="DR118" i="1"/>
  <c r="DS118" i="1" s="1"/>
  <c r="DU307" i="1"/>
  <c r="DU141" i="1"/>
  <c r="DU159" i="1"/>
  <c r="DU55" i="1"/>
  <c r="DU33" i="1"/>
  <c r="DU152" i="1"/>
  <c r="DU304" i="1"/>
  <c r="DR311" i="1"/>
  <c r="DS311" i="1" s="1"/>
  <c r="DU290" i="1"/>
  <c r="DU214" i="1"/>
  <c r="DU138" i="1"/>
  <c r="DU256" i="1"/>
  <c r="DR294" i="1"/>
  <c r="DS294" i="1" s="1"/>
  <c r="EO294" i="1" s="1"/>
  <c r="DV294" i="1"/>
  <c r="DR75" i="1"/>
  <c r="DS75" i="1" s="1"/>
  <c r="DR312" i="1"/>
  <c r="DS312" i="1" s="1"/>
  <c r="DV312" i="1"/>
  <c r="DV228" i="1"/>
  <c r="DR228" i="1"/>
  <c r="DS228" i="1" s="1"/>
  <c r="DV299" i="1"/>
  <c r="DR299" i="1"/>
  <c r="DS299" i="1" s="1"/>
  <c r="EO299" i="1" s="1"/>
  <c r="DR219" i="1"/>
  <c r="DS219" i="1" s="1"/>
  <c r="EO219" i="1" s="1"/>
  <c r="DV219" i="1"/>
  <c r="DV341" i="1"/>
  <c r="DR341" i="1"/>
  <c r="DS341" i="1" s="1"/>
  <c r="DU26" i="1"/>
  <c r="DR323" i="1"/>
  <c r="DS323" i="1" s="1"/>
  <c r="DV323" i="1"/>
  <c r="DU116" i="1"/>
  <c r="DR67" i="1"/>
  <c r="DS67" i="1" s="1"/>
  <c r="EO67" i="1" s="1"/>
  <c r="DV67" i="1"/>
  <c r="DV28" i="1"/>
  <c r="DR28" i="1"/>
  <c r="DS28" i="1" s="1"/>
  <c r="EO28" i="1" s="1"/>
  <c r="DU144" i="1"/>
  <c r="DV133" i="1"/>
  <c r="DR133" i="1"/>
  <c r="DS133" i="1" s="1"/>
  <c r="EO133" i="1" s="1"/>
  <c r="DU279" i="1"/>
  <c r="DU100" i="1"/>
  <c r="DU269" i="1"/>
  <c r="DU112" i="1"/>
  <c r="DU264" i="1"/>
  <c r="DU124" i="1"/>
  <c r="DU78" i="1"/>
  <c r="DU283" i="1"/>
  <c r="DR160" i="1"/>
  <c r="DS160" i="1" s="1"/>
  <c r="DV223" i="1"/>
  <c r="DR223" i="1"/>
  <c r="DS223" i="1" s="1"/>
  <c r="EO223" i="1" s="1"/>
  <c r="DU110" i="1"/>
  <c r="DR48" i="1"/>
  <c r="DS48" i="1" s="1"/>
  <c r="EO48" i="1" s="1"/>
  <c r="DV48" i="1"/>
  <c r="DR297" i="1"/>
  <c r="DS297" i="1" s="1"/>
  <c r="DR302" i="1"/>
  <c r="DS302" i="1" s="1"/>
  <c r="EO302" i="1" s="1"/>
  <c r="DV302" i="1"/>
  <c r="DV273" i="1"/>
  <c r="DR273" i="1"/>
  <c r="DS273" i="1" s="1"/>
  <c r="DR169" i="1"/>
  <c r="DS169" i="1" s="1"/>
  <c r="EO169" i="1" s="1"/>
  <c r="DV169" i="1"/>
  <c r="DV36" i="1"/>
  <c r="DR36" i="1"/>
  <c r="DS36" i="1" s="1"/>
  <c r="DV66" i="1"/>
  <c r="DR66" i="1"/>
  <c r="DS66" i="1" s="1"/>
  <c r="DU258" i="1"/>
  <c r="DU259" i="1"/>
  <c r="DR284" i="1"/>
  <c r="DS284" i="1" s="1"/>
  <c r="DV284" i="1"/>
  <c r="DU87" i="1"/>
  <c r="DU231" i="1"/>
  <c r="DU99" i="1"/>
  <c r="DU149" i="1"/>
  <c r="DV145" i="1"/>
  <c r="DR145" i="1"/>
  <c r="DS145" i="1" s="1"/>
  <c r="EO145" i="1" s="1"/>
  <c r="DU137" i="1"/>
  <c r="DV51" i="1"/>
  <c r="DR51" i="1"/>
  <c r="DS51" i="1" s="1"/>
  <c r="EO51" i="1" s="1"/>
  <c r="DU143" i="1"/>
  <c r="DV275" i="1"/>
  <c r="DR275" i="1"/>
  <c r="DS275" i="1" s="1"/>
  <c r="DR281" i="1"/>
  <c r="DS281" i="1" s="1"/>
  <c r="DU107" i="1"/>
  <c r="DU168" i="1"/>
  <c r="DU127" i="1"/>
  <c r="DV164" i="1"/>
  <c r="EA164" i="1" s="1"/>
  <c r="DR199" i="1"/>
  <c r="DS199" i="1" s="1"/>
  <c r="EO199" i="1" s="1"/>
  <c r="EX199" i="1" s="1"/>
  <c r="DV199" i="1"/>
  <c r="DU332" i="1"/>
  <c r="DU206" i="1"/>
  <c r="DR310" i="1"/>
  <c r="DS310" i="1" s="1"/>
  <c r="EO310" i="1" s="1"/>
  <c r="DV310" i="1"/>
  <c r="DV177" i="1"/>
  <c r="DR177" i="1"/>
  <c r="DS177" i="1" s="1"/>
  <c r="EO177" i="1" s="1"/>
  <c r="DR324" i="1"/>
  <c r="DS324" i="1" s="1"/>
  <c r="DV324" i="1"/>
  <c r="DU172" i="1"/>
  <c r="DV96" i="1"/>
  <c r="EA96" i="1" s="1"/>
  <c r="DR57" i="1"/>
  <c r="DS57" i="1" s="1"/>
  <c r="DU321" i="1"/>
  <c r="DR186" i="1"/>
  <c r="DS186" i="1" s="1"/>
  <c r="DR340" i="1"/>
  <c r="DS340" i="1" s="1"/>
  <c r="DV340" i="1"/>
  <c r="DU91" i="1"/>
  <c r="DU232" i="1"/>
  <c r="DV240" i="1"/>
  <c r="DR240" i="1"/>
  <c r="DS240" i="1" s="1"/>
  <c r="EO240" i="1" s="1"/>
  <c r="DV296" i="1"/>
  <c r="EA296" i="1" s="1"/>
  <c r="DR90" i="1"/>
  <c r="DS90" i="1" s="1"/>
  <c r="DV90" i="1"/>
  <c r="DR196" i="1"/>
  <c r="DS196" i="1" s="1"/>
  <c r="EO196" i="1" s="1"/>
  <c r="EX196" i="1" s="1"/>
  <c r="DV196" i="1"/>
  <c r="DR300" i="1"/>
  <c r="DS300" i="1" s="1"/>
  <c r="DV300" i="1"/>
  <c r="DR193" i="1"/>
  <c r="DS193" i="1" s="1"/>
  <c r="EO193" i="1" s="1"/>
  <c r="EX193" i="1" s="1"/>
  <c r="DV193" i="1"/>
  <c r="DV161" i="1"/>
  <c r="DR161" i="1"/>
  <c r="DS161" i="1" s="1"/>
  <c r="DU205" i="1"/>
  <c r="DU135" i="1"/>
  <c r="DR260" i="1"/>
  <c r="DS260" i="1" s="1"/>
  <c r="DR216" i="1"/>
  <c r="DS216" i="1" s="1"/>
  <c r="DR108" i="1"/>
  <c r="DS108" i="1" s="1"/>
  <c r="DU271" i="1"/>
  <c r="DR73" i="1"/>
  <c r="DS73" i="1" s="1"/>
  <c r="DV73" i="1"/>
  <c r="DR64" i="1"/>
  <c r="DS64" i="1" s="1"/>
  <c r="DV64" i="1"/>
  <c r="DV245" i="1"/>
  <c r="DR245" i="1"/>
  <c r="DS245" i="1" s="1"/>
  <c r="EO245" i="1" s="1"/>
  <c r="DU202" i="1"/>
  <c r="DU234" i="1"/>
  <c r="DR325" i="1"/>
  <c r="DS325" i="1" s="1"/>
  <c r="EO325" i="1" s="1"/>
  <c r="DV325" i="1"/>
  <c r="DV195" i="1"/>
  <c r="DR195" i="1"/>
  <c r="DS195" i="1" s="1"/>
  <c r="EO195" i="1" s="1"/>
  <c r="EX195" i="1" s="1"/>
  <c r="DU50" i="1"/>
  <c r="DR237" i="1"/>
  <c r="DS237" i="1" s="1"/>
  <c r="EO237" i="1" s="1"/>
  <c r="DV237" i="1"/>
  <c r="DU102" i="1"/>
  <c r="DR70" i="1"/>
  <c r="DS70" i="1" s="1"/>
  <c r="DV70" i="1"/>
  <c r="DU180" i="1"/>
  <c r="DV287" i="1"/>
  <c r="DR287" i="1"/>
  <c r="DS287" i="1" s="1"/>
  <c r="EO287" i="1" s="1"/>
  <c r="DU238" i="1"/>
  <c r="DU198" i="1"/>
  <c r="DV46" i="1"/>
  <c r="DR46" i="1"/>
  <c r="DS46" i="1" s="1"/>
  <c r="DV121" i="1"/>
  <c r="DR121" i="1"/>
  <c r="DS121" i="1" s="1"/>
  <c r="EO121" i="1" s="1"/>
  <c r="DV337" i="1"/>
  <c r="DR337" i="1"/>
  <c r="DS337" i="1" s="1"/>
  <c r="EO337" i="1" s="1"/>
  <c r="DU115" i="1"/>
  <c r="DU103" i="1"/>
  <c r="DV126" i="1"/>
  <c r="DR126" i="1"/>
  <c r="DS126" i="1" s="1"/>
  <c r="DV249" i="1"/>
  <c r="DR249" i="1"/>
  <c r="DS249" i="1" s="1"/>
  <c r="DU184" i="1"/>
  <c r="DR71" i="1"/>
  <c r="DS71" i="1" s="1"/>
  <c r="DV71" i="1"/>
  <c r="DR212" i="1"/>
  <c r="DS212" i="1" s="1"/>
  <c r="DU336" i="1"/>
  <c r="DR148" i="1"/>
  <c r="DS148" i="1" s="1"/>
  <c r="EO148" i="1" s="1"/>
  <c r="DV148" i="1"/>
  <c r="DV42" i="1"/>
  <c r="DR42" i="1"/>
  <c r="DS42" i="1" s="1"/>
  <c r="DU215" i="1"/>
  <c r="DR191" i="1"/>
  <c r="DS191" i="1" s="1"/>
  <c r="DU286" i="1"/>
  <c r="DU130" i="1"/>
  <c r="DU125" i="1"/>
  <c r="DU76" i="1"/>
  <c r="DV49" i="1"/>
  <c r="DR49" i="1"/>
  <c r="DS49" i="1" s="1"/>
  <c r="DU293" i="1"/>
  <c r="DR190" i="1"/>
  <c r="DS190" i="1" s="1"/>
  <c r="DU155" i="1"/>
  <c r="DU263" i="1"/>
  <c r="DV270" i="1"/>
  <c r="DR270" i="1"/>
  <c r="DS270" i="1" s="1"/>
  <c r="DV250" i="1"/>
  <c r="DR250" i="1"/>
  <c r="DS250" i="1" s="1"/>
  <c r="DU201" i="1"/>
  <c r="DU25" i="1"/>
  <c r="DU147" i="1"/>
  <c r="DR84" i="1"/>
  <c r="DS84" i="1" s="1"/>
  <c r="EO84" i="1" s="1"/>
  <c r="DV84" i="1"/>
  <c r="DV167" i="1"/>
  <c r="DR167" i="1"/>
  <c r="DS167" i="1" s="1"/>
  <c r="EO167" i="1" s="1"/>
  <c r="DU139" i="1"/>
  <c r="DU194" i="1"/>
  <c r="DU315" i="1"/>
  <c r="DU185" i="1"/>
  <c r="DU192" i="1"/>
  <c r="EB39" i="1" a="1"/>
  <c r="EB39" i="1" s="1"/>
  <c r="EL39" i="1" s="1"/>
  <c r="DU52" i="1"/>
  <c r="DR285" i="1" l="1"/>
  <c r="DS285" i="1" s="1"/>
  <c r="EA285" i="1" s="1"/>
  <c r="DR209" i="1"/>
  <c r="DS209" i="1" s="1"/>
  <c r="EA209" i="1" s="1"/>
  <c r="EB209" i="1" s="1" a="1"/>
  <c r="EB209" i="1" s="1"/>
  <c r="EL209" i="1" s="1"/>
  <c r="EA208" i="1"/>
  <c r="DV171" i="1"/>
  <c r="EA171" i="1" s="1"/>
  <c r="DA171" i="1" s="1"/>
  <c r="DR226" i="1"/>
  <c r="DS226" i="1" s="1"/>
  <c r="EA226" i="1" s="1"/>
  <c r="DV189" i="1"/>
  <c r="EA189" i="1" s="1"/>
  <c r="EB189" i="1" s="1" a="1"/>
  <c r="EB189" i="1" s="1"/>
  <c r="EL189" i="1" s="1"/>
  <c r="EV189" i="1" s="1"/>
  <c r="EZ189" i="1" s="1"/>
  <c r="EZ322" i="1"/>
  <c r="EZ13" i="1"/>
  <c r="EX301" i="1"/>
  <c r="EX30" i="1"/>
  <c r="EZ30" i="1" s="1"/>
  <c r="EX151" i="1"/>
  <c r="EZ151" i="1" s="1"/>
  <c r="EZ63" i="1"/>
  <c r="DV257" i="1"/>
  <c r="EA257" i="1" s="1"/>
  <c r="DR142" i="1"/>
  <c r="DS142" i="1" s="1"/>
  <c r="EA142" i="1" s="1"/>
  <c r="EA174" i="1"/>
  <c r="EZ37" i="1"/>
  <c r="EZ253" i="1"/>
  <c r="DR74" i="1"/>
  <c r="DS74" i="1" s="1"/>
  <c r="DV74" i="1"/>
  <c r="EZ109" i="1"/>
  <c r="DV158" i="1"/>
  <c r="EA158" i="1" s="1"/>
  <c r="EB158" i="1" s="1" a="1"/>
  <c r="EB158" i="1" s="1"/>
  <c r="EL158" i="1" s="1"/>
  <c r="DR272" i="1"/>
  <c r="DS272" i="1" s="1"/>
  <c r="DV86" i="1"/>
  <c r="EA86" i="1" s="1"/>
  <c r="DA86" i="1" s="1"/>
  <c r="DR235" i="1"/>
  <c r="DS235" i="1" s="1"/>
  <c r="EO235" i="1" s="1"/>
  <c r="DV254" i="1"/>
  <c r="EA254" i="1" s="1"/>
  <c r="DA254" i="1" s="1"/>
  <c r="DV88" i="1"/>
  <c r="EA49" i="1"/>
  <c r="EO49" i="1"/>
  <c r="EA212" i="1"/>
  <c r="EO212" i="1"/>
  <c r="EA70" i="1"/>
  <c r="EO70" i="1"/>
  <c r="EA340" i="1"/>
  <c r="EO340" i="1"/>
  <c r="EA66" i="1"/>
  <c r="EB66" i="1" s="1" a="1"/>
  <c r="EB66" i="1" s="1"/>
  <c r="EL66" i="1" s="1"/>
  <c r="EO66" i="1"/>
  <c r="EA298" i="1"/>
  <c r="EO298" i="1"/>
  <c r="EA131" i="1"/>
  <c r="EB131" i="1" s="1" a="1"/>
  <c r="EB131" i="1" s="1"/>
  <c r="EL131" i="1" s="1"/>
  <c r="EO131" i="1"/>
  <c r="EX131" i="1" s="1"/>
  <c r="EA213" i="1"/>
  <c r="EO213" i="1"/>
  <c r="EA268" i="1"/>
  <c r="EO268" i="1"/>
  <c r="EA186" i="1"/>
  <c r="EO186" i="1"/>
  <c r="EX186" i="1" s="1"/>
  <c r="EA246" i="1"/>
  <c r="EO246" i="1"/>
  <c r="EA82" i="1"/>
  <c r="EO82" i="1"/>
  <c r="EA289" i="1"/>
  <c r="EO289" i="1"/>
  <c r="EO285" i="1"/>
  <c r="EA71" i="1"/>
  <c r="EB71" i="1" s="1" a="1"/>
  <c r="EB71" i="1" s="1"/>
  <c r="EL71" i="1" s="1"/>
  <c r="EO71" i="1"/>
  <c r="EA64" i="1"/>
  <c r="EO64" i="1"/>
  <c r="EZ19" i="1"/>
  <c r="EA36" i="1"/>
  <c r="EB36" i="1" s="1" a="1"/>
  <c r="EB36" i="1" s="1"/>
  <c r="EL36" i="1" s="1"/>
  <c r="EO36" i="1"/>
  <c r="EA311" i="1"/>
  <c r="EO311" i="1"/>
  <c r="EA227" i="1"/>
  <c r="EO227" i="1"/>
  <c r="EA313" i="1"/>
  <c r="EB313" i="1" s="1" a="1"/>
  <c r="EB313" i="1" s="1"/>
  <c r="EL313" i="1" s="1"/>
  <c r="EO313" i="1"/>
  <c r="DV221" i="1"/>
  <c r="DR221" i="1"/>
  <c r="DS221" i="1" s="1"/>
  <c r="EA73" i="1"/>
  <c r="DA73" i="1" s="1"/>
  <c r="EO73" i="1"/>
  <c r="EA160" i="1"/>
  <c r="EO160" i="1"/>
  <c r="EA228" i="1"/>
  <c r="DA228" i="1" s="1"/>
  <c r="EO228" i="1"/>
  <c r="EA162" i="1"/>
  <c r="EO162" i="1"/>
  <c r="EA27" i="1"/>
  <c r="EO27" i="1"/>
  <c r="EA146" i="1"/>
  <c r="EO146" i="1"/>
  <c r="EA244" i="1"/>
  <c r="EO244" i="1"/>
  <c r="EX244" i="1" s="1"/>
  <c r="EA250" i="1"/>
  <c r="EB250" i="1" s="1" a="1"/>
  <c r="EB250" i="1" s="1"/>
  <c r="EL250" i="1" s="1"/>
  <c r="EO250" i="1"/>
  <c r="EA60" i="1"/>
  <c r="EO60" i="1"/>
  <c r="EA300" i="1"/>
  <c r="EO300" i="1"/>
  <c r="EA108" i="1"/>
  <c r="EB108" i="1" s="1" a="1"/>
  <c r="EB108" i="1" s="1"/>
  <c r="EL108" i="1" s="1"/>
  <c r="EO108" i="1"/>
  <c r="EA88" i="1"/>
  <c r="EO88" i="1"/>
  <c r="DR77" i="1"/>
  <c r="DS77" i="1" s="1"/>
  <c r="DV77" i="1"/>
  <c r="EA46" i="1"/>
  <c r="EO46" i="1"/>
  <c r="EA211" i="1"/>
  <c r="DA211" i="1" s="1"/>
  <c r="EO211" i="1"/>
  <c r="EA249" i="1"/>
  <c r="EB249" i="1" s="1" a="1"/>
  <c r="EB249" i="1" s="1"/>
  <c r="EL249" i="1" s="1"/>
  <c r="EO249" i="1"/>
  <c r="EA216" i="1"/>
  <c r="EB216" i="1" s="1" a="1"/>
  <c r="EB216" i="1" s="1"/>
  <c r="EL216" i="1" s="1"/>
  <c r="EO216" i="1"/>
  <c r="EA324" i="1"/>
  <c r="EO324" i="1"/>
  <c r="EA75" i="1"/>
  <c r="DA75" i="1" s="1"/>
  <c r="EO75" i="1"/>
  <c r="EA276" i="1"/>
  <c r="EB276" i="1" s="1" a="1"/>
  <c r="EB276" i="1" s="1"/>
  <c r="EL276" i="1" s="1"/>
  <c r="EO276" i="1"/>
  <c r="EZ218" i="1"/>
  <c r="EA57" i="1"/>
  <c r="DA57" i="1" s="1"/>
  <c r="EO57" i="1"/>
  <c r="EA126" i="1"/>
  <c r="DA126" i="1" s="1"/>
  <c r="EO126" i="1"/>
  <c r="EA90" i="1"/>
  <c r="EB90" i="1" s="1" a="1"/>
  <c r="EB90" i="1" s="1"/>
  <c r="EL90" i="1" s="1"/>
  <c r="EO90" i="1"/>
  <c r="EA32" i="1"/>
  <c r="DA32" i="1" s="1"/>
  <c r="EO32" i="1"/>
  <c r="EA305" i="1"/>
  <c r="DA305" i="1" s="1"/>
  <c r="EO305" i="1"/>
  <c r="EA273" i="1"/>
  <c r="EO273" i="1"/>
  <c r="EA282" i="1"/>
  <c r="DA282" i="1" s="1"/>
  <c r="EO282" i="1"/>
  <c r="EA260" i="1"/>
  <c r="EO260" i="1"/>
  <c r="EA281" i="1"/>
  <c r="EO281" i="1"/>
  <c r="EA42" i="1"/>
  <c r="DA42" i="1" s="1"/>
  <c r="EO42" i="1"/>
  <c r="EA275" i="1"/>
  <c r="DA275" i="1" s="1"/>
  <c r="EO275" i="1"/>
  <c r="EA297" i="1"/>
  <c r="DA297" i="1" s="1"/>
  <c r="EO297" i="1"/>
  <c r="EA323" i="1"/>
  <c r="EB323" i="1" s="1" a="1"/>
  <c r="EB323" i="1" s="1"/>
  <c r="EL323" i="1" s="1"/>
  <c r="EO323" i="1"/>
  <c r="EA230" i="1"/>
  <c r="EO230" i="1"/>
  <c r="DV85" i="1"/>
  <c r="DR85" i="1"/>
  <c r="DS85" i="1" s="1"/>
  <c r="EA312" i="1"/>
  <c r="EO312" i="1"/>
  <c r="EA166" i="1"/>
  <c r="EO166" i="1"/>
  <c r="EA270" i="1"/>
  <c r="DA270" i="1" s="1"/>
  <c r="EO270" i="1"/>
  <c r="EA284" i="1"/>
  <c r="DA284" i="1" s="1"/>
  <c r="EO284" i="1"/>
  <c r="EA341" i="1"/>
  <c r="EB341" i="1" s="1" a="1"/>
  <c r="EB341" i="1" s="1"/>
  <c r="EL341" i="1" s="1"/>
  <c r="EO341" i="1"/>
  <c r="EA72" i="1"/>
  <c r="EB72" i="1" s="1" a="1"/>
  <c r="EB72" i="1" s="1"/>
  <c r="EL72" i="1" s="1"/>
  <c r="EO72" i="1"/>
  <c r="EA316" i="1"/>
  <c r="EO316" i="1"/>
  <c r="EA122" i="1"/>
  <c r="EO122" i="1"/>
  <c r="EV317" i="1"/>
  <c r="EX317" i="1"/>
  <c r="EA191" i="1"/>
  <c r="EO191" i="1"/>
  <c r="EX191" i="1" s="1"/>
  <c r="EA118" i="1"/>
  <c r="EO118" i="1"/>
  <c r="EA190" i="1"/>
  <c r="EB190" i="1" s="1" a="1"/>
  <c r="EB190" i="1" s="1"/>
  <c r="EL190" i="1" s="1"/>
  <c r="EO190" i="1"/>
  <c r="EX190" i="1" s="1"/>
  <c r="EA140" i="1"/>
  <c r="DA140" i="1" s="1"/>
  <c r="EO140" i="1"/>
  <c r="DV187" i="1"/>
  <c r="EA187" i="1" s="1"/>
  <c r="EA161" i="1"/>
  <c r="DA161" i="1" s="1"/>
  <c r="EO161" i="1"/>
  <c r="EA229" i="1"/>
  <c r="EB229" i="1" s="1" a="1"/>
  <c r="EB229" i="1" s="1"/>
  <c r="EL229" i="1" s="1"/>
  <c r="EO229" i="1"/>
  <c r="EA163" i="1"/>
  <c r="EO163" i="1"/>
  <c r="EA292" i="1"/>
  <c r="EO292" i="1"/>
  <c r="EZ248" i="1"/>
  <c r="EZ301" i="1"/>
  <c r="EZ318" i="1"/>
  <c r="EV39" i="1"/>
  <c r="EX39" i="1"/>
  <c r="EZ65" i="1"/>
  <c r="EV97" i="1"/>
  <c r="EX97" i="1"/>
  <c r="EZ123" i="1"/>
  <c r="DV89" i="1"/>
  <c r="DR89" i="1"/>
  <c r="DS89" i="1" s="1"/>
  <c r="DV83" i="1"/>
  <c r="DR83" i="1"/>
  <c r="DS83" i="1" s="1"/>
  <c r="EA199" i="1"/>
  <c r="DR242" i="1"/>
  <c r="DS242" i="1" s="1"/>
  <c r="DV45" i="1"/>
  <c r="DR45" i="1"/>
  <c r="DS45" i="1" s="1"/>
  <c r="DV79" i="1"/>
  <c r="DR79" i="1"/>
  <c r="DS79" i="1" s="1"/>
  <c r="DV210" i="1"/>
  <c r="DR210" i="1"/>
  <c r="DS210" i="1" s="1"/>
  <c r="DR200" i="1"/>
  <c r="DS200" i="1" s="1"/>
  <c r="DV200" i="1"/>
  <c r="DR150" i="1"/>
  <c r="DS150" i="1" s="1"/>
  <c r="DV150" i="1"/>
  <c r="DV53" i="1"/>
  <c r="DR53" i="1"/>
  <c r="DS53" i="1" s="1"/>
  <c r="DR217" i="1"/>
  <c r="DS217" i="1" s="1"/>
  <c r="DV217" i="1"/>
  <c r="DR265" i="1"/>
  <c r="DS265" i="1" s="1"/>
  <c r="DV265" i="1"/>
  <c r="DV29" i="1"/>
  <c r="DR29" i="1"/>
  <c r="DS29" i="1" s="1"/>
  <c r="DV326" i="1"/>
  <c r="DR326" i="1"/>
  <c r="DS326" i="1" s="1"/>
  <c r="EA193" i="1"/>
  <c r="DA193" i="1" s="1"/>
  <c r="DA257" i="1"/>
  <c r="EB257" i="1" a="1"/>
  <c r="EB257" i="1" s="1"/>
  <c r="EL257" i="1" s="1"/>
  <c r="EB96" i="1" a="1"/>
  <c r="EB96" i="1" s="1"/>
  <c r="EL96" i="1" s="1"/>
  <c r="DA96" i="1"/>
  <c r="EB342" i="1" a="1"/>
  <c r="EB342" i="1" s="1"/>
  <c r="EL342" i="1" s="1"/>
  <c r="DA342" i="1"/>
  <c r="EB296" i="1" a="1"/>
  <c r="EB296" i="1" s="1"/>
  <c r="EL296" i="1" s="1"/>
  <c r="DA296" i="1"/>
  <c r="EB254" i="1" a="1"/>
  <c r="EB254" i="1" s="1"/>
  <c r="EL254" i="1" s="1"/>
  <c r="DA164" i="1"/>
  <c r="EB164" i="1" a="1"/>
  <c r="EB164" i="1" s="1"/>
  <c r="EL164" i="1" s="1"/>
  <c r="DA40" i="1"/>
  <c r="EB40" i="1" a="1"/>
  <c r="EB40" i="1" s="1"/>
  <c r="EL40" i="1" s="1"/>
  <c r="DA306" i="1"/>
  <c r="EB306" i="1" a="1"/>
  <c r="EB306" i="1" s="1"/>
  <c r="EL306" i="1" s="1"/>
  <c r="DV202" i="1"/>
  <c r="DR202" i="1"/>
  <c r="DS202" i="1" s="1"/>
  <c r="EO202" i="1" s="1"/>
  <c r="EX202" i="1" s="1"/>
  <c r="DV135" i="1"/>
  <c r="DR135" i="1"/>
  <c r="DS135" i="1" s="1"/>
  <c r="EO135" i="1" s="1"/>
  <c r="EB57" i="1" a="1"/>
  <c r="EB57" i="1" s="1"/>
  <c r="EL57" i="1" s="1"/>
  <c r="DR206" i="1"/>
  <c r="DS206" i="1" s="1"/>
  <c r="EO206" i="1" s="1"/>
  <c r="EX206" i="1" s="1"/>
  <c r="DV206" i="1"/>
  <c r="DA36" i="1"/>
  <c r="DV152" i="1"/>
  <c r="DR152" i="1"/>
  <c r="DS152" i="1" s="1"/>
  <c r="DA246" i="1"/>
  <c r="EB246" i="1" a="1"/>
  <c r="EB246" i="1" s="1"/>
  <c r="EL246" i="1" s="1"/>
  <c r="EA320" i="1"/>
  <c r="EA255" i="1"/>
  <c r="EB49" i="1" a="1"/>
  <c r="EB49" i="1" s="1"/>
  <c r="EL49" i="1" s="1"/>
  <c r="DA49" i="1"/>
  <c r="DR139" i="1"/>
  <c r="DS139" i="1" s="1"/>
  <c r="DV139" i="1"/>
  <c r="EA237" i="1"/>
  <c r="EA148" i="1"/>
  <c r="DV50" i="1"/>
  <c r="DR50" i="1"/>
  <c r="DS50" i="1" s="1"/>
  <c r="EO50" i="1" s="1"/>
  <c r="EA196" i="1"/>
  <c r="DV110" i="1"/>
  <c r="DR110" i="1"/>
  <c r="DS110" i="1" s="1"/>
  <c r="EO110" i="1" s="1"/>
  <c r="DV269" i="1"/>
  <c r="DR269" i="1"/>
  <c r="DS269" i="1" s="1"/>
  <c r="EO269" i="1" s="1"/>
  <c r="EA219" i="1"/>
  <c r="DV33" i="1"/>
  <c r="DR33" i="1"/>
  <c r="DS33" i="1" s="1"/>
  <c r="EO33" i="1" s="1"/>
  <c r="DR136" i="1"/>
  <c r="DS136" i="1" s="1"/>
  <c r="EO136" i="1" s="1"/>
  <c r="DV136" i="1"/>
  <c r="EB282" i="1" a="1"/>
  <c r="EB282" i="1" s="1"/>
  <c r="EL282" i="1" s="1"/>
  <c r="DR333" i="1"/>
  <c r="DS333" i="1" s="1"/>
  <c r="EO333" i="1" s="1"/>
  <c r="DV333" i="1"/>
  <c r="DR194" i="1"/>
  <c r="DS194" i="1" s="1"/>
  <c r="EO194" i="1" s="1"/>
  <c r="EX194" i="1" s="1"/>
  <c r="DV194" i="1"/>
  <c r="DV238" i="1"/>
  <c r="DR238" i="1"/>
  <c r="DS238" i="1" s="1"/>
  <c r="EO238" i="1" s="1"/>
  <c r="EA167" i="1"/>
  <c r="DV336" i="1"/>
  <c r="DR336" i="1"/>
  <c r="DS336" i="1" s="1"/>
  <c r="EO336" i="1" s="1"/>
  <c r="DV103" i="1"/>
  <c r="DR103" i="1"/>
  <c r="DS103" i="1" s="1"/>
  <c r="DV143" i="1"/>
  <c r="DR143" i="1"/>
  <c r="DS143" i="1" s="1"/>
  <c r="DV231" i="1"/>
  <c r="DR231" i="1"/>
  <c r="DS231" i="1" s="1"/>
  <c r="EA223" i="1"/>
  <c r="EA299" i="1"/>
  <c r="EA274" i="1"/>
  <c r="DR14" i="1"/>
  <c r="DS14" i="1" s="1"/>
  <c r="EO14" i="1" s="1"/>
  <c r="DV14" i="1"/>
  <c r="DV114" i="1"/>
  <c r="DR114" i="1"/>
  <c r="DS114" i="1" s="1"/>
  <c r="DV95" i="1"/>
  <c r="DR95" i="1"/>
  <c r="DS95" i="1" s="1"/>
  <c r="EA120" i="1"/>
  <c r="DV76" i="1"/>
  <c r="DR76" i="1"/>
  <c r="DS76" i="1" s="1"/>
  <c r="EO76" i="1" s="1"/>
  <c r="EB212" i="1" a="1"/>
  <c r="EB212" i="1" s="1"/>
  <c r="EL212" i="1" s="1"/>
  <c r="DA212" i="1"/>
  <c r="EA287" i="1"/>
  <c r="DV172" i="1"/>
  <c r="DR172" i="1"/>
  <c r="DS172" i="1" s="1"/>
  <c r="DR332" i="1"/>
  <c r="DS332" i="1" s="1"/>
  <c r="DV332" i="1"/>
  <c r="DV100" i="1"/>
  <c r="DR100" i="1"/>
  <c r="DS100" i="1" s="1"/>
  <c r="DV55" i="1"/>
  <c r="DR55" i="1"/>
  <c r="DS55" i="1" s="1"/>
  <c r="DV303" i="1"/>
  <c r="DR303" i="1"/>
  <c r="DS303" i="1" s="1"/>
  <c r="EO303" i="1" s="1"/>
  <c r="DR98" i="1"/>
  <c r="DS98" i="1" s="1"/>
  <c r="DV98" i="1"/>
  <c r="DR204" i="1"/>
  <c r="DS204" i="1" s="1"/>
  <c r="EO204" i="1" s="1"/>
  <c r="EX204" i="1" s="1"/>
  <c r="DV204" i="1"/>
  <c r="DR188" i="1"/>
  <c r="DS188" i="1" s="1"/>
  <c r="EO188" i="1" s="1"/>
  <c r="EX188" i="1" s="1"/>
  <c r="DV188" i="1"/>
  <c r="EA277" i="1"/>
  <c r="EA222" i="1"/>
  <c r="DA191" i="1"/>
  <c r="EB191" i="1" a="1"/>
  <c r="EB191" i="1" s="1"/>
  <c r="EL191" i="1" s="1"/>
  <c r="DV185" i="1"/>
  <c r="DR185" i="1"/>
  <c r="DS185" i="1" s="1"/>
  <c r="DR201" i="1"/>
  <c r="DS201" i="1" s="1"/>
  <c r="EO201" i="1" s="1"/>
  <c r="EX201" i="1" s="1"/>
  <c r="DV201" i="1"/>
  <c r="DV215" i="1"/>
  <c r="DR215" i="1"/>
  <c r="DS215" i="1" s="1"/>
  <c r="DR52" i="1"/>
  <c r="DS52" i="1" s="1"/>
  <c r="DV52" i="1"/>
  <c r="DR263" i="1"/>
  <c r="DS263" i="1" s="1"/>
  <c r="DV263" i="1"/>
  <c r="DR125" i="1"/>
  <c r="DS125" i="1" s="1"/>
  <c r="EO125" i="1" s="1"/>
  <c r="DV125" i="1"/>
  <c r="DV115" i="1"/>
  <c r="DR115" i="1"/>
  <c r="DS115" i="1" s="1"/>
  <c r="EA195" i="1"/>
  <c r="EB64" i="1" a="1"/>
  <c r="EB64" i="1" s="1"/>
  <c r="EL64" i="1" s="1"/>
  <c r="DA64" i="1"/>
  <c r="EA169" i="1"/>
  <c r="DV279" i="1"/>
  <c r="DR279" i="1"/>
  <c r="DS279" i="1" s="1"/>
  <c r="EO279" i="1" s="1"/>
  <c r="DV159" i="1"/>
  <c r="DR159" i="1"/>
  <c r="DS159" i="1" s="1"/>
  <c r="EO159" i="1" s="1"/>
  <c r="DV314" i="1"/>
  <c r="DR314" i="1"/>
  <c r="DS314" i="1" s="1"/>
  <c r="DR153" i="1"/>
  <c r="DS153" i="1" s="1"/>
  <c r="EO153" i="1" s="1"/>
  <c r="DV153" i="1"/>
  <c r="DR329" i="1"/>
  <c r="DS329" i="1" s="1"/>
  <c r="DV329" i="1"/>
  <c r="DR205" i="1"/>
  <c r="DS205" i="1" s="1"/>
  <c r="EO205" i="1" s="1"/>
  <c r="EX205" i="1" s="1"/>
  <c r="DV205" i="1"/>
  <c r="EB324" i="1" a="1"/>
  <c r="EB324" i="1" s="1"/>
  <c r="EL324" i="1" s="1"/>
  <c r="DA324" i="1"/>
  <c r="EB199" i="1" a="1"/>
  <c r="EB199" i="1" s="1"/>
  <c r="EL199" i="1" s="1"/>
  <c r="EV199" i="1" s="1"/>
  <c r="EZ199" i="1" s="1"/>
  <c r="DA199" i="1"/>
  <c r="EA51" i="1"/>
  <c r="DV87" i="1"/>
  <c r="DR87" i="1"/>
  <c r="DS87" i="1" s="1"/>
  <c r="EO87" i="1" s="1"/>
  <c r="EB160" i="1" a="1"/>
  <c r="EB160" i="1" s="1"/>
  <c r="EL160" i="1" s="1"/>
  <c r="DA160" i="1"/>
  <c r="EA133" i="1"/>
  <c r="EA67" i="1"/>
  <c r="DR141" i="1"/>
  <c r="DS141" i="1" s="1"/>
  <c r="DV141" i="1"/>
  <c r="DV104" i="1"/>
  <c r="DR104" i="1"/>
  <c r="DS104" i="1" s="1"/>
  <c r="DV239" i="1"/>
  <c r="DR239" i="1"/>
  <c r="DS239" i="1" s="1"/>
  <c r="EO239" i="1" s="1"/>
  <c r="DR61" i="1"/>
  <c r="DS61" i="1" s="1"/>
  <c r="DV61" i="1"/>
  <c r="DR319" i="1"/>
  <c r="DS319" i="1" s="1"/>
  <c r="EO319" i="1" s="1"/>
  <c r="DV319" i="1"/>
  <c r="EA119" i="1"/>
  <c r="DV38" i="1"/>
  <c r="DR38" i="1"/>
  <c r="DS38" i="1" s="1"/>
  <c r="EA84" i="1"/>
  <c r="DR130" i="1"/>
  <c r="DS130" i="1" s="1"/>
  <c r="EO130" i="1" s="1"/>
  <c r="DV130" i="1"/>
  <c r="EA337" i="1"/>
  <c r="DR180" i="1"/>
  <c r="DS180" i="1" s="1"/>
  <c r="DV180" i="1"/>
  <c r="EA240" i="1"/>
  <c r="EA177" i="1"/>
  <c r="DV307" i="1"/>
  <c r="DR307" i="1"/>
  <c r="DS307" i="1" s="1"/>
  <c r="EA92" i="1"/>
  <c r="DR15" i="1"/>
  <c r="DS15" i="1" s="1"/>
  <c r="DV15" i="1"/>
  <c r="DR335" i="1"/>
  <c r="DS335" i="1" s="1"/>
  <c r="EO335" i="1" s="1"/>
  <c r="DV335" i="1"/>
  <c r="DV165" i="1"/>
  <c r="DR165" i="1"/>
  <c r="DS165" i="1" s="1"/>
  <c r="DA82" i="1"/>
  <c r="EB82" i="1" a="1"/>
  <c r="EB82" i="1" s="1"/>
  <c r="EL82" i="1" s="1"/>
  <c r="DR271" i="1"/>
  <c r="DS271" i="1" s="1"/>
  <c r="EO271" i="1" s="1"/>
  <c r="DV271" i="1"/>
  <c r="DV137" i="1"/>
  <c r="DR137" i="1"/>
  <c r="DS137" i="1" s="1"/>
  <c r="EO137" i="1" s="1"/>
  <c r="DA273" i="1"/>
  <c r="EB273" i="1" a="1"/>
  <c r="EB273" i="1" s="1"/>
  <c r="EL273" i="1" s="1"/>
  <c r="DR283" i="1"/>
  <c r="DS283" i="1" s="1"/>
  <c r="DV283" i="1"/>
  <c r="EB228" i="1" a="1"/>
  <c r="EB228" i="1" s="1"/>
  <c r="EL228" i="1" s="1"/>
  <c r="DV256" i="1"/>
  <c r="DR256" i="1"/>
  <c r="DS256" i="1" s="1"/>
  <c r="EB118" i="1" a="1"/>
  <c r="EB118" i="1" s="1"/>
  <c r="EL118" i="1" s="1"/>
  <c r="DA118" i="1"/>
  <c r="DV16" i="1"/>
  <c r="DR16" i="1"/>
  <c r="DS16" i="1" s="1"/>
  <c r="EO16" i="1" s="1"/>
  <c r="DV58" i="1"/>
  <c r="DR58" i="1"/>
  <c r="DS58" i="1" s="1"/>
  <c r="DA298" i="1"/>
  <c r="EB298" i="1" a="1"/>
  <c r="EB298" i="1" s="1"/>
  <c r="EL298" i="1" s="1"/>
  <c r="DV181" i="1"/>
  <c r="DR181" i="1"/>
  <c r="DS181" i="1" s="1"/>
  <c r="EO181" i="1" s="1"/>
  <c r="DR94" i="1"/>
  <c r="DS94" i="1" s="1"/>
  <c r="EO94" i="1" s="1"/>
  <c r="DV94" i="1"/>
  <c r="DA276" i="1"/>
  <c r="EB161" i="1" a="1"/>
  <c r="EB161" i="1" s="1"/>
  <c r="EL161" i="1" s="1"/>
  <c r="DV147" i="1"/>
  <c r="DR147" i="1"/>
  <c r="DS147" i="1" s="1"/>
  <c r="DV155" i="1"/>
  <c r="DR155" i="1"/>
  <c r="DS155" i="1" s="1"/>
  <c r="EA121" i="1"/>
  <c r="EA325" i="1"/>
  <c r="DR232" i="1"/>
  <c r="DS232" i="1" s="1"/>
  <c r="DV232" i="1"/>
  <c r="DV127" i="1"/>
  <c r="DR127" i="1"/>
  <c r="DS127" i="1" s="1"/>
  <c r="DV259" i="1"/>
  <c r="DR259" i="1"/>
  <c r="DS259" i="1" s="1"/>
  <c r="EO259" i="1" s="1"/>
  <c r="DR78" i="1"/>
  <c r="DS78" i="1" s="1"/>
  <c r="DV78" i="1"/>
  <c r="DV116" i="1"/>
  <c r="DR116" i="1"/>
  <c r="DS116" i="1" s="1"/>
  <c r="DV117" i="1"/>
  <c r="DR117" i="1"/>
  <c r="DS117" i="1" s="1"/>
  <c r="EO117" i="1" s="1"/>
  <c r="DA162" i="1"/>
  <c r="EB162" i="1" a="1"/>
  <c r="EB162" i="1" s="1"/>
  <c r="EL162" i="1" s="1"/>
  <c r="DR31" i="1"/>
  <c r="DS31" i="1" s="1"/>
  <c r="DV31" i="1"/>
  <c r="EB146" i="1" a="1"/>
  <c r="EB146" i="1" s="1"/>
  <c r="EL146" i="1" s="1"/>
  <c r="DA146" i="1"/>
  <c r="DV286" i="1"/>
  <c r="DR286" i="1"/>
  <c r="DS286" i="1" s="1"/>
  <c r="DR184" i="1"/>
  <c r="DS184" i="1" s="1"/>
  <c r="DV184" i="1"/>
  <c r="EB70" i="1" a="1"/>
  <c r="EB70" i="1" s="1"/>
  <c r="EL70" i="1" s="1"/>
  <c r="DA70" i="1"/>
  <c r="DR234" i="1"/>
  <c r="DS234" i="1" s="1"/>
  <c r="EO234" i="1" s="1"/>
  <c r="DV234" i="1"/>
  <c r="DR168" i="1"/>
  <c r="DS168" i="1" s="1"/>
  <c r="DV168" i="1"/>
  <c r="EA145" i="1"/>
  <c r="DR258" i="1"/>
  <c r="DS258" i="1" s="1"/>
  <c r="EO258" i="1" s="1"/>
  <c r="DV258" i="1"/>
  <c r="DV124" i="1"/>
  <c r="DR124" i="1"/>
  <c r="DS124" i="1" s="1"/>
  <c r="EO124" i="1" s="1"/>
  <c r="DR144" i="1"/>
  <c r="DS144" i="1" s="1"/>
  <c r="DV144" i="1"/>
  <c r="DR138" i="1"/>
  <c r="DS138" i="1" s="1"/>
  <c r="EO138" i="1" s="1"/>
  <c r="DV138" i="1"/>
  <c r="EA295" i="1"/>
  <c r="DR236" i="1"/>
  <c r="DS236" i="1" s="1"/>
  <c r="EO236" i="1" s="1"/>
  <c r="DV236" i="1"/>
  <c r="EA134" i="1"/>
  <c r="EB46" i="1" a="1"/>
  <c r="EB46" i="1" s="1"/>
  <c r="EL46" i="1" s="1"/>
  <c r="DA46" i="1"/>
  <c r="DR91" i="1"/>
  <c r="DS91" i="1" s="1"/>
  <c r="EO91" i="1" s="1"/>
  <c r="DV91" i="1"/>
  <c r="DR264" i="1"/>
  <c r="DS264" i="1" s="1"/>
  <c r="DV264" i="1"/>
  <c r="DA312" i="1"/>
  <c r="EB312" i="1" a="1"/>
  <c r="EB312" i="1" s="1"/>
  <c r="EL312" i="1" s="1"/>
  <c r="DV80" i="1"/>
  <c r="DR80" i="1"/>
  <c r="DS80" i="1" s="1"/>
  <c r="EA22" i="1"/>
  <c r="DR267" i="1"/>
  <c r="DS267" i="1" s="1"/>
  <c r="DV267" i="1"/>
  <c r="DR149" i="1"/>
  <c r="DS149" i="1" s="1"/>
  <c r="DV149" i="1"/>
  <c r="EA302" i="1"/>
  <c r="DV112" i="1"/>
  <c r="DR112" i="1"/>
  <c r="DS112" i="1" s="1"/>
  <c r="EO112" i="1" s="1"/>
  <c r="EA28" i="1"/>
  <c r="DR26" i="1"/>
  <c r="DS26" i="1" s="1"/>
  <c r="EO26" i="1" s="1"/>
  <c r="DV26" i="1"/>
  <c r="EB75" i="1" a="1"/>
  <c r="EB75" i="1" s="1"/>
  <c r="EL75" i="1" s="1"/>
  <c r="DR157" i="1"/>
  <c r="DS157" i="1" s="1"/>
  <c r="DV157" i="1"/>
  <c r="DA230" i="1"/>
  <c r="EB230" i="1" a="1"/>
  <c r="EB230" i="1" s="1"/>
  <c r="EL230" i="1" s="1"/>
  <c r="DR192" i="1"/>
  <c r="DS192" i="1" s="1"/>
  <c r="DV192" i="1"/>
  <c r="DV25" i="1"/>
  <c r="DR25" i="1"/>
  <c r="DS25" i="1" s="1"/>
  <c r="EB300" i="1" a="1"/>
  <c r="EB300" i="1" s="1"/>
  <c r="EL300" i="1" s="1"/>
  <c r="DA300" i="1"/>
  <c r="DA340" i="1"/>
  <c r="EB340" i="1" a="1"/>
  <c r="EB340" i="1" s="1"/>
  <c r="EL340" i="1" s="1"/>
  <c r="DV107" i="1"/>
  <c r="DR107" i="1"/>
  <c r="DS107" i="1" s="1"/>
  <c r="EO107" i="1" s="1"/>
  <c r="EB297" i="1" a="1"/>
  <c r="EB297" i="1" s="1"/>
  <c r="EL297" i="1" s="1"/>
  <c r="DV214" i="1"/>
  <c r="DR214" i="1"/>
  <c r="DS214" i="1" s="1"/>
  <c r="EB27" i="1" a="1"/>
  <c r="EB27" i="1" s="1"/>
  <c r="EL27" i="1" s="1"/>
  <c r="DA27" i="1"/>
  <c r="DA131" i="1"/>
  <c r="EB140" i="1" a="1"/>
  <c r="EB140" i="1" s="1"/>
  <c r="EL140" i="1" s="1"/>
  <c r="DR288" i="1"/>
  <c r="DS288" i="1" s="1"/>
  <c r="EO288" i="1" s="1"/>
  <c r="DV288" i="1"/>
  <c r="EA278" i="1"/>
  <c r="DV293" i="1"/>
  <c r="DR293" i="1"/>
  <c r="DS293" i="1" s="1"/>
  <c r="EB208" i="1" a="1"/>
  <c r="EB208" i="1" s="1"/>
  <c r="EL208" i="1" s="1"/>
  <c r="EV208" i="1" s="1"/>
  <c r="EZ208" i="1" s="1"/>
  <c r="DA208" i="1"/>
  <c r="EB186" i="1" a="1"/>
  <c r="EB186" i="1" s="1"/>
  <c r="EL186" i="1" s="1"/>
  <c r="EV186" i="1" s="1"/>
  <c r="EZ186" i="1" s="1"/>
  <c r="DA186" i="1"/>
  <c r="EA310" i="1"/>
  <c r="EB281" i="1" a="1"/>
  <c r="EB281" i="1" s="1"/>
  <c r="EL281" i="1" s="1"/>
  <c r="DA281" i="1"/>
  <c r="DA341" i="1"/>
  <c r="EA294" i="1"/>
  <c r="DV290" i="1"/>
  <c r="DR290" i="1"/>
  <c r="DS290" i="1" s="1"/>
  <c r="DA187" i="1"/>
  <c r="EB187" i="1" a="1"/>
  <c r="EB187" i="1" s="1"/>
  <c r="EL187" i="1" s="1"/>
  <c r="EV187" i="1" s="1"/>
  <c r="EZ187" i="1" s="1"/>
  <c r="EB227" i="1" a="1"/>
  <c r="EB227" i="1" s="1"/>
  <c r="EL227" i="1" s="1"/>
  <c r="DA227" i="1"/>
  <c r="DV129" i="1"/>
  <c r="DR129" i="1"/>
  <c r="DS129" i="1" s="1"/>
  <c r="DR93" i="1"/>
  <c r="DS93" i="1" s="1"/>
  <c r="EO93" i="1" s="1"/>
  <c r="DV93" i="1"/>
  <c r="DA72" i="1"/>
  <c r="DR266" i="1"/>
  <c r="DS266" i="1" s="1"/>
  <c r="EO266" i="1" s="1"/>
  <c r="DV266" i="1"/>
  <c r="EB126" i="1" a="1"/>
  <c r="EB126" i="1" s="1"/>
  <c r="EL126" i="1" s="1"/>
  <c r="DR198" i="1"/>
  <c r="DS198" i="1" s="1"/>
  <c r="EO198" i="1" s="1"/>
  <c r="EX198" i="1" s="1"/>
  <c r="DV198" i="1"/>
  <c r="EB260" i="1" a="1"/>
  <c r="EB260" i="1" s="1"/>
  <c r="EL260" i="1" s="1"/>
  <c r="DA260" i="1"/>
  <c r="DR321" i="1"/>
  <c r="DS321" i="1" s="1"/>
  <c r="EO321" i="1" s="1"/>
  <c r="DV321" i="1"/>
  <c r="DV99" i="1"/>
  <c r="DR99" i="1"/>
  <c r="DS99" i="1" s="1"/>
  <c r="EO99" i="1" s="1"/>
  <c r="EA48" i="1"/>
  <c r="DA311" i="1"/>
  <c r="EB311" i="1" a="1"/>
  <c r="EB311" i="1" s="1"/>
  <c r="EL311" i="1" s="1"/>
  <c r="EA23" i="1"/>
  <c r="DV328" i="1"/>
  <c r="DR328" i="1"/>
  <c r="DS328" i="1" s="1"/>
  <c r="EO328" i="1" s="1"/>
  <c r="DV18" i="1"/>
  <c r="DR18" i="1"/>
  <c r="DS18" i="1" s="1"/>
  <c r="EB316" i="1" a="1"/>
  <c r="EB316" i="1" s="1"/>
  <c r="EL316" i="1" s="1"/>
  <c r="DA316" i="1"/>
  <c r="DV102" i="1"/>
  <c r="DR102" i="1"/>
  <c r="DS102" i="1" s="1"/>
  <c r="DV315" i="1"/>
  <c r="DR315" i="1"/>
  <c r="DS315" i="1" s="1"/>
  <c r="EA245" i="1"/>
  <c r="DV304" i="1"/>
  <c r="DR304" i="1"/>
  <c r="DS304" i="1" s="1"/>
  <c r="DV176" i="1"/>
  <c r="DR176" i="1"/>
  <c r="DS176" i="1" s="1"/>
  <c r="EO176" i="1" s="1"/>
  <c r="DA174" i="1"/>
  <c r="EB174" i="1" a="1"/>
  <c r="EB174" i="1" s="1"/>
  <c r="EL174" i="1" s="1"/>
  <c r="EB163" i="1" a="1"/>
  <c r="EB163" i="1" s="1"/>
  <c r="EL163" i="1" s="1"/>
  <c r="DA163" i="1"/>
  <c r="DA323" i="1" l="1"/>
  <c r="EB285" i="1" a="1"/>
  <c r="EB285" i="1" s="1"/>
  <c r="EL285" i="1" s="1"/>
  <c r="DA285" i="1"/>
  <c r="EB211" i="1" a="1"/>
  <c r="EB211" i="1" s="1"/>
  <c r="EL211" i="1" s="1"/>
  <c r="DA313" i="1"/>
  <c r="EB32" i="1" a="1"/>
  <c r="EB32" i="1" s="1"/>
  <c r="EL32" i="1" s="1"/>
  <c r="EX32" i="1" s="1"/>
  <c r="EO209" i="1"/>
  <c r="EB42" i="1" a="1"/>
  <c r="EB42" i="1" s="1"/>
  <c r="EL42" i="1" s="1"/>
  <c r="EX42" i="1" s="1"/>
  <c r="DA249" i="1"/>
  <c r="EB193" i="1" a="1"/>
  <c r="EB193" i="1" s="1"/>
  <c r="EL193" i="1" s="1"/>
  <c r="EV193" i="1" s="1"/>
  <c r="EZ193" i="1" s="1"/>
  <c r="DA216" i="1"/>
  <c r="EB275" i="1" a="1"/>
  <c r="EB275" i="1" s="1"/>
  <c r="EL275" i="1" s="1"/>
  <c r="DA209" i="1"/>
  <c r="EB305" i="1" a="1"/>
  <c r="EB305" i="1" s="1"/>
  <c r="EL305" i="1" s="1"/>
  <c r="EV305" i="1" s="1"/>
  <c r="EB73" i="1" a="1"/>
  <c r="EB73" i="1" s="1"/>
  <c r="EL73" i="1" s="1"/>
  <c r="EV73" i="1" s="1"/>
  <c r="DA71" i="1"/>
  <c r="DA108" i="1"/>
  <c r="DA229" i="1"/>
  <c r="EV190" i="1"/>
  <c r="EZ190" i="1" s="1"/>
  <c r="EB171" i="1" a="1"/>
  <c r="EB171" i="1" s="1"/>
  <c r="EL171" i="1" s="1"/>
  <c r="EX171" i="1" s="1"/>
  <c r="DA158" i="1"/>
  <c r="EB284" i="1" a="1"/>
  <c r="EB284" i="1" s="1"/>
  <c r="EL284" i="1" s="1"/>
  <c r="EX284" i="1" s="1"/>
  <c r="DA66" i="1"/>
  <c r="DA90" i="1"/>
  <c r="DA190" i="1"/>
  <c r="DA250" i="1"/>
  <c r="EA235" i="1"/>
  <c r="EO226" i="1"/>
  <c r="DA189" i="1"/>
  <c r="EB270" i="1" a="1"/>
  <c r="EB270" i="1" s="1"/>
  <c r="EL270" i="1" s="1"/>
  <c r="EX270" i="1" s="1"/>
  <c r="EB86" i="1" a="1"/>
  <c r="EB86" i="1" s="1"/>
  <c r="EL86" i="1" s="1"/>
  <c r="EV86" i="1" s="1"/>
  <c r="EV131" i="1"/>
  <c r="EZ131" i="1" s="1"/>
  <c r="EZ39" i="1"/>
  <c r="EO142" i="1"/>
  <c r="EB142" i="1" a="1"/>
  <c r="EB142" i="1" s="1"/>
  <c r="EL142" i="1" s="1"/>
  <c r="DA142" i="1"/>
  <c r="EO272" i="1"/>
  <c r="EA272" i="1"/>
  <c r="EV191" i="1"/>
  <c r="EZ191" i="1" s="1"/>
  <c r="EA74" i="1"/>
  <c r="EO74" i="1"/>
  <c r="EA332" i="1"/>
  <c r="EO332" i="1"/>
  <c r="EA53" i="1"/>
  <c r="EO53" i="1"/>
  <c r="EA89" i="1"/>
  <c r="EO89" i="1"/>
  <c r="EA267" i="1"/>
  <c r="DA267" i="1" s="1"/>
  <c r="EO267" i="1"/>
  <c r="EA78" i="1"/>
  <c r="EO78" i="1"/>
  <c r="EA141" i="1"/>
  <c r="EB141" i="1" s="1" a="1"/>
  <c r="EB141" i="1" s="1"/>
  <c r="EL141" i="1" s="1"/>
  <c r="EO141" i="1"/>
  <c r="EA115" i="1"/>
  <c r="EB115" i="1" s="1" a="1"/>
  <c r="EB115" i="1" s="1"/>
  <c r="EL115" i="1" s="1"/>
  <c r="EO115" i="1"/>
  <c r="EA172" i="1"/>
  <c r="EO172" i="1"/>
  <c r="DA213" i="1"/>
  <c r="EB213" i="1" a="1"/>
  <c r="EB213" i="1" s="1"/>
  <c r="EL213" i="1" s="1"/>
  <c r="EV213" i="1" s="1"/>
  <c r="EA144" i="1"/>
  <c r="EO144" i="1"/>
  <c r="EA286" i="1"/>
  <c r="EO286" i="1"/>
  <c r="EA184" i="1"/>
  <c r="DA184" i="1" s="1"/>
  <c r="EO184" i="1"/>
  <c r="EX184" i="1" s="1"/>
  <c r="EA283" i="1"/>
  <c r="EB283" i="1" s="1" a="1"/>
  <c r="EB283" i="1" s="1"/>
  <c r="EL283" i="1" s="1"/>
  <c r="EO283" i="1"/>
  <c r="EA15" i="1"/>
  <c r="DA15" i="1" s="1"/>
  <c r="EO15" i="1"/>
  <c r="EA152" i="1"/>
  <c r="DA152" i="1" s="1"/>
  <c r="EO152" i="1"/>
  <c r="EA150" i="1"/>
  <c r="EO150" i="1"/>
  <c r="EA127" i="1"/>
  <c r="DA127" i="1" s="1"/>
  <c r="EO127" i="1"/>
  <c r="EA329" i="1"/>
  <c r="EO329" i="1"/>
  <c r="EB292" i="1" a="1"/>
  <c r="EB292" i="1" s="1"/>
  <c r="EL292" i="1" s="1"/>
  <c r="DA292" i="1"/>
  <c r="DA60" i="1"/>
  <c r="EB60" i="1" a="1"/>
  <c r="EB60" i="1" s="1"/>
  <c r="EL60" i="1" s="1"/>
  <c r="EV60" i="1" s="1"/>
  <c r="EA200" i="1"/>
  <c r="DA200" i="1" s="1"/>
  <c r="EO200" i="1"/>
  <c r="EX200" i="1" s="1"/>
  <c r="EB166" i="1" a="1"/>
  <c r="EB166" i="1" s="1"/>
  <c r="EL166" i="1" s="1"/>
  <c r="DA166" i="1"/>
  <c r="EA221" i="1"/>
  <c r="EO221" i="1"/>
  <c r="EA263" i="1"/>
  <c r="EO263" i="1"/>
  <c r="EA231" i="1"/>
  <c r="DA231" i="1" s="1"/>
  <c r="EO231" i="1"/>
  <c r="EA210" i="1"/>
  <c r="DA210" i="1" s="1"/>
  <c r="EO210" i="1"/>
  <c r="EA38" i="1"/>
  <c r="EO38" i="1"/>
  <c r="EA31" i="1"/>
  <c r="EB31" i="1" s="1" a="1"/>
  <c r="EB31" i="1" s="1"/>
  <c r="EL31" i="1" s="1"/>
  <c r="EO31" i="1"/>
  <c r="EA232" i="1"/>
  <c r="EB232" i="1" s="1" a="1"/>
  <c r="EB232" i="1" s="1"/>
  <c r="EL232" i="1" s="1"/>
  <c r="EO232" i="1"/>
  <c r="EA314" i="1"/>
  <c r="EB314" i="1" s="1" a="1"/>
  <c r="EB314" i="1" s="1"/>
  <c r="EL314" i="1" s="1"/>
  <c r="EO314" i="1"/>
  <c r="EZ317" i="1"/>
  <c r="DA289" i="1"/>
  <c r="EB289" i="1" a="1"/>
  <c r="EB289" i="1" s="1"/>
  <c r="EL289" i="1" s="1"/>
  <c r="EA214" i="1"/>
  <c r="EB214" i="1" s="1" a="1"/>
  <c r="EB214" i="1" s="1"/>
  <c r="EL214" i="1" s="1"/>
  <c r="EO214" i="1"/>
  <c r="EA80" i="1"/>
  <c r="EB80" i="1" s="1" a="1"/>
  <c r="EB80" i="1" s="1"/>
  <c r="EL80" i="1" s="1"/>
  <c r="EO80" i="1"/>
  <c r="EA143" i="1"/>
  <c r="EB143" i="1" s="1" a="1"/>
  <c r="EB143" i="1" s="1"/>
  <c r="EL143" i="1" s="1"/>
  <c r="EO143" i="1"/>
  <c r="EA326" i="1"/>
  <c r="EB326" i="1" s="1" a="1"/>
  <c r="EB326" i="1" s="1"/>
  <c r="EL326" i="1" s="1"/>
  <c r="EO326" i="1"/>
  <c r="EA79" i="1"/>
  <c r="EB79" i="1" s="1" a="1"/>
  <c r="EB79" i="1" s="1"/>
  <c r="EL79" i="1" s="1"/>
  <c r="EO79" i="1"/>
  <c r="EX79" i="1" s="1"/>
  <c r="EO85" i="1"/>
  <c r="EA85" i="1"/>
  <c r="EB244" i="1" a="1"/>
  <c r="EB244" i="1" s="1"/>
  <c r="EL244" i="1" s="1"/>
  <c r="EV244" i="1" s="1"/>
  <c r="EZ244" i="1" s="1"/>
  <c r="DA244" i="1"/>
  <c r="EA168" i="1"/>
  <c r="DA168" i="1" s="1"/>
  <c r="EO168" i="1"/>
  <c r="EA215" i="1"/>
  <c r="DA215" i="1" s="1"/>
  <c r="EO215" i="1"/>
  <c r="DA122" i="1"/>
  <c r="EB122" i="1" a="1"/>
  <c r="EB122" i="1" s="1"/>
  <c r="EL122" i="1" s="1"/>
  <c r="EV122" i="1" s="1"/>
  <c r="EA304" i="1"/>
  <c r="EB304" i="1" s="1" a="1"/>
  <c r="EB304" i="1" s="1"/>
  <c r="EL304" i="1" s="1"/>
  <c r="EO304" i="1"/>
  <c r="EA315" i="1"/>
  <c r="DA315" i="1" s="1"/>
  <c r="EO315" i="1"/>
  <c r="EA155" i="1"/>
  <c r="EB155" i="1" s="1" a="1"/>
  <c r="EB155" i="1" s="1"/>
  <c r="EL155" i="1" s="1"/>
  <c r="EO155" i="1"/>
  <c r="EA29" i="1"/>
  <c r="EB29" i="1" s="1" a="1"/>
  <c r="EB29" i="1" s="1"/>
  <c r="EL29" i="1" s="1"/>
  <c r="EO29" i="1"/>
  <c r="EA45" i="1"/>
  <c r="DA45" i="1" s="1"/>
  <c r="EO45" i="1"/>
  <c r="EA77" i="1"/>
  <c r="EO77" i="1"/>
  <c r="EA102" i="1"/>
  <c r="EB102" i="1" s="1" a="1"/>
  <c r="EB102" i="1" s="1"/>
  <c r="EL102" i="1" s="1"/>
  <c r="EO102" i="1"/>
  <c r="EA307" i="1"/>
  <c r="DA307" i="1" s="1"/>
  <c r="EO307" i="1"/>
  <c r="EA25" i="1"/>
  <c r="EB25" i="1" s="1" a="1"/>
  <c r="EB25" i="1" s="1"/>
  <c r="EL25" i="1" s="1"/>
  <c r="EO25" i="1"/>
  <c r="EA58" i="1"/>
  <c r="DA58" i="1" s="1"/>
  <c r="EO58" i="1"/>
  <c r="EA52" i="1"/>
  <c r="EB52" i="1" s="1" a="1"/>
  <c r="EB52" i="1" s="1"/>
  <c r="EL52" i="1" s="1"/>
  <c r="EO52" i="1"/>
  <c r="EA98" i="1"/>
  <c r="DA98" i="1" s="1"/>
  <c r="EO98" i="1"/>
  <c r="EA18" i="1"/>
  <c r="EO18" i="1"/>
  <c r="EA129" i="1"/>
  <c r="DA129" i="1" s="1"/>
  <c r="EO129" i="1"/>
  <c r="EA103" i="1"/>
  <c r="EB103" i="1" s="1" a="1"/>
  <c r="EB103" i="1" s="1"/>
  <c r="EL103" i="1" s="1"/>
  <c r="EO103" i="1"/>
  <c r="EA139" i="1"/>
  <c r="EB139" i="1" s="1" a="1"/>
  <c r="EB139" i="1" s="1"/>
  <c r="EL139" i="1" s="1"/>
  <c r="EO139" i="1"/>
  <c r="EA293" i="1"/>
  <c r="DA293" i="1" s="1"/>
  <c r="EO293" i="1"/>
  <c r="EA192" i="1"/>
  <c r="EB192" i="1" s="1" a="1"/>
  <c r="EB192" i="1" s="1"/>
  <c r="EL192" i="1" s="1"/>
  <c r="EO192" i="1"/>
  <c r="EX192" i="1" s="1"/>
  <c r="EA149" i="1"/>
  <c r="EB149" i="1" s="1" a="1"/>
  <c r="EB149" i="1" s="1"/>
  <c r="EL149" i="1" s="1"/>
  <c r="EO149" i="1"/>
  <c r="EA61" i="1"/>
  <c r="EB61" i="1" s="1" a="1"/>
  <c r="EB61" i="1" s="1"/>
  <c r="EL61" i="1" s="1"/>
  <c r="EO61" i="1"/>
  <c r="EA55" i="1"/>
  <c r="DA55" i="1" s="1"/>
  <c r="EO55" i="1"/>
  <c r="EA147" i="1"/>
  <c r="EB147" i="1" s="1" a="1"/>
  <c r="EB147" i="1" s="1"/>
  <c r="EL147" i="1" s="1"/>
  <c r="EO147" i="1"/>
  <c r="EA180" i="1"/>
  <c r="DA180" i="1" s="1"/>
  <c r="EO180" i="1"/>
  <c r="EA242" i="1"/>
  <c r="EO242" i="1"/>
  <c r="EZ97" i="1"/>
  <c r="EB88" i="1" a="1"/>
  <c r="EB88" i="1" s="1"/>
  <c r="EL88" i="1" s="1"/>
  <c r="DA88" i="1"/>
  <c r="EA185" i="1"/>
  <c r="EB185" i="1" s="1" a="1"/>
  <c r="EB185" i="1" s="1"/>
  <c r="EL185" i="1" s="1"/>
  <c r="EO185" i="1"/>
  <c r="EX185" i="1" s="1"/>
  <c r="EA100" i="1"/>
  <c r="EB100" i="1" s="1" a="1"/>
  <c r="EB100" i="1" s="1"/>
  <c r="EL100" i="1" s="1"/>
  <c r="EO100" i="1"/>
  <c r="EA95" i="1"/>
  <c r="DA95" i="1" s="1"/>
  <c r="EO95" i="1"/>
  <c r="EA265" i="1"/>
  <c r="EB265" i="1" s="1" a="1"/>
  <c r="EB265" i="1" s="1"/>
  <c r="EL265" i="1" s="1"/>
  <c r="EO265" i="1"/>
  <c r="DA226" i="1"/>
  <c r="EB226" i="1" a="1"/>
  <c r="EB226" i="1" s="1"/>
  <c r="EL226" i="1" s="1"/>
  <c r="EA264" i="1"/>
  <c r="EB264" i="1" s="1" a="1"/>
  <c r="EB264" i="1" s="1"/>
  <c r="EL264" i="1" s="1"/>
  <c r="EO264" i="1"/>
  <c r="EA116" i="1"/>
  <c r="EB116" i="1" s="1" a="1"/>
  <c r="EB116" i="1" s="1"/>
  <c r="EL116" i="1" s="1"/>
  <c r="EO116" i="1"/>
  <c r="EA256" i="1"/>
  <c r="EO256" i="1"/>
  <c r="EA104" i="1"/>
  <c r="EB104" i="1" s="1" a="1"/>
  <c r="EB104" i="1" s="1"/>
  <c r="EL104" i="1" s="1"/>
  <c r="EO104" i="1"/>
  <c r="EA83" i="1"/>
  <c r="EO83" i="1"/>
  <c r="EA165" i="1"/>
  <c r="DA165" i="1" s="1"/>
  <c r="EO165" i="1"/>
  <c r="EA290" i="1"/>
  <c r="DA290" i="1" s="1"/>
  <c r="EO290" i="1"/>
  <c r="EA157" i="1"/>
  <c r="EO157" i="1"/>
  <c r="EA114" i="1"/>
  <c r="DA114" i="1" s="1"/>
  <c r="EO114" i="1"/>
  <c r="EA217" i="1"/>
  <c r="EO217" i="1"/>
  <c r="EB268" i="1" a="1"/>
  <c r="EB268" i="1" s="1"/>
  <c r="EL268" i="1" s="1"/>
  <c r="DA268" i="1"/>
  <c r="EV229" i="1"/>
  <c r="EX229" i="1"/>
  <c r="EV146" i="1"/>
  <c r="EX146" i="1"/>
  <c r="EV40" i="1"/>
  <c r="EX40" i="1"/>
  <c r="EV312" i="1"/>
  <c r="EX312" i="1"/>
  <c r="EV46" i="1"/>
  <c r="EX46" i="1"/>
  <c r="EV273" i="1"/>
  <c r="EX273" i="1"/>
  <c r="EV90" i="1"/>
  <c r="EX90" i="1"/>
  <c r="EV96" i="1"/>
  <c r="EX96" i="1"/>
  <c r="EV160" i="1"/>
  <c r="EX160" i="1"/>
  <c r="EV36" i="1"/>
  <c r="EX36" i="1"/>
  <c r="EV257" i="1"/>
  <c r="EX257" i="1"/>
  <c r="EV174" i="1"/>
  <c r="EX174" i="1"/>
  <c r="EV162" i="1"/>
  <c r="EX162" i="1"/>
  <c r="EV298" i="1"/>
  <c r="EX298" i="1"/>
  <c r="EV250" i="1"/>
  <c r="EX250" i="1"/>
  <c r="EV230" i="1"/>
  <c r="EX230" i="1"/>
  <c r="EV323" i="1"/>
  <c r="EX323" i="1"/>
  <c r="EV212" i="1"/>
  <c r="EX212" i="1"/>
  <c r="EV311" i="1"/>
  <c r="EX311" i="1"/>
  <c r="EV249" i="1"/>
  <c r="EX249" i="1"/>
  <c r="EV216" i="1"/>
  <c r="EX216" i="1"/>
  <c r="EV108" i="1"/>
  <c r="EX108" i="1"/>
  <c r="EV126" i="1"/>
  <c r="EX126" i="1"/>
  <c r="EV32" i="1"/>
  <c r="EV164" i="1"/>
  <c r="EX164" i="1"/>
  <c r="EV227" i="1"/>
  <c r="EX227" i="1"/>
  <c r="EV66" i="1"/>
  <c r="EX66" i="1"/>
  <c r="EV282" i="1"/>
  <c r="EX282" i="1"/>
  <c r="EV57" i="1"/>
  <c r="EX57" i="1"/>
  <c r="EV313" i="1"/>
  <c r="EX313" i="1"/>
  <c r="EV297" i="1"/>
  <c r="EX297" i="1"/>
  <c r="EV42" i="1"/>
  <c r="EV260" i="1"/>
  <c r="EX260" i="1"/>
  <c r="EV341" i="1"/>
  <c r="EX341" i="1"/>
  <c r="EV211" i="1"/>
  <c r="EX211" i="1"/>
  <c r="EV70" i="1"/>
  <c r="EX70" i="1"/>
  <c r="EV82" i="1"/>
  <c r="EX82" i="1"/>
  <c r="EV324" i="1"/>
  <c r="EX324" i="1"/>
  <c r="EV49" i="1"/>
  <c r="EX49" i="1"/>
  <c r="EV254" i="1"/>
  <c r="EX254" i="1"/>
  <c r="EV27" i="1"/>
  <c r="EX27" i="1"/>
  <c r="EV275" i="1"/>
  <c r="EX275" i="1"/>
  <c r="EX305" i="1"/>
  <c r="EV118" i="1"/>
  <c r="EX118" i="1"/>
  <c r="EV75" i="1"/>
  <c r="EX75" i="1"/>
  <c r="EV296" i="1"/>
  <c r="EX296" i="1"/>
  <c r="EV72" i="1"/>
  <c r="EX72" i="1"/>
  <c r="EV281" i="1"/>
  <c r="EX281" i="1"/>
  <c r="EV340" i="1"/>
  <c r="EX340" i="1"/>
  <c r="EV161" i="1"/>
  <c r="EX161" i="1"/>
  <c r="EV64" i="1"/>
  <c r="EX64" i="1"/>
  <c r="EV270" i="1"/>
  <c r="EV228" i="1"/>
  <c r="EX228" i="1"/>
  <c r="EV71" i="1"/>
  <c r="EX71" i="1"/>
  <c r="EV158" i="1"/>
  <c r="EX158" i="1"/>
  <c r="EV316" i="1"/>
  <c r="EX316" i="1"/>
  <c r="EV163" i="1"/>
  <c r="EX163" i="1"/>
  <c r="EV276" i="1"/>
  <c r="EX276" i="1"/>
  <c r="EV246" i="1"/>
  <c r="EX246" i="1"/>
  <c r="EV306" i="1"/>
  <c r="EX306" i="1"/>
  <c r="EV209" i="1"/>
  <c r="EX209" i="1"/>
  <c r="EV140" i="1"/>
  <c r="EX140" i="1"/>
  <c r="EV300" i="1"/>
  <c r="EX300" i="1"/>
  <c r="EV285" i="1"/>
  <c r="EX285" i="1"/>
  <c r="EV342" i="1"/>
  <c r="EX342" i="1"/>
  <c r="EA188" i="1"/>
  <c r="DA188" i="1" s="1"/>
  <c r="EB210" i="1" a="1"/>
  <c r="EB210" i="1" s="1"/>
  <c r="EL210" i="1" s="1"/>
  <c r="DA265" i="1"/>
  <c r="EB53" i="1" a="1"/>
  <c r="EB53" i="1" s="1"/>
  <c r="EL53" i="1" s="1"/>
  <c r="DA53" i="1"/>
  <c r="EA328" i="1"/>
  <c r="DA134" i="1"/>
  <c r="EB134" i="1" a="1"/>
  <c r="EB134" i="1" s="1"/>
  <c r="EL134" i="1" s="1"/>
  <c r="EB277" i="1" a="1"/>
  <c r="EB277" i="1" s="1"/>
  <c r="EL277" i="1" s="1"/>
  <c r="DA277" i="1"/>
  <c r="DA100" i="1"/>
  <c r="EA206" i="1"/>
  <c r="EA125" i="1"/>
  <c r="EA194" i="1"/>
  <c r="EA110" i="1"/>
  <c r="EA94" i="1"/>
  <c r="EA130" i="1"/>
  <c r="EA205" i="1"/>
  <c r="DA120" i="1"/>
  <c r="EB120" i="1" a="1"/>
  <c r="EB120" i="1" s="1"/>
  <c r="EL120" i="1" s="1"/>
  <c r="EB255" i="1" a="1"/>
  <c r="EB255" i="1" s="1"/>
  <c r="EL255" i="1" s="1"/>
  <c r="DA255" i="1"/>
  <c r="EA234" i="1"/>
  <c r="EA335" i="1"/>
  <c r="DA84" i="1"/>
  <c r="EB84" i="1" a="1"/>
  <c r="EB84" i="1" s="1"/>
  <c r="EL84" i="1" s="1"/>
  <c r="EA159" i="1"/>
  <c r="EB263" i="1" a="1"/>
  <c r="EB263" i="1" s="1"/>
  <c r="EL263" i="1" s="1"/>
  <c r="DA263" i="1"/>
  <c r="EA135" i="1"/>
  <c r="EB22" i="1" a="1"/>
  <c r="EB22" i="1" s="1"/>
  <c r="EL22" i="1" s="1"/>
  <c r="DA22" i="1"/>
  <c r="EA26" i="1"/>
  <c r="DA295" i="1"/>
  <c r="EB295" i="1" a="1"/>
  <c r="EB295" i="1" s="1"/>
  <c r="EL295" i="1" s="1"/>
  <c r="EA181" i="1"/>
  <c r="DA283" i="1"/>
  <c r="EB332" i="1" a="1"/>
  <c r="EB332" i="1" s="1"/>
  <c r="EL332" i="1" s="1"/>
  <c r="DA332" i="1"/>
  <c r="EB196" i="1" a="1"/>
  <c r="EB196" i="1" s="1"/>
  <c r="EL196" i="1" s="1"/>
  <c r="EV196" i="1" s="1"/>
  <c r="EZ196" i="1" s="1"/>
  <c r="DA196" i="1"/>
  <c r="EB320" i="1" a="1"/>
  <c r="EB320" i="1" s="1"/>
  <c r="EL320" i="1" s="1"/>
  <c r="DA320" i="1"/>
  <c r="EB245" i="1" a="1"/>
  <c r="EB245" i="1" s="1"/>
  <c r="EL245" i="1" s="1"/>
  <c r="DA245" i="1"/>
  <c r="DA232" i="1"/>
  <c r="EB172" i="1" a="1"/>
  <c r="EB172" i="1" s="1"/>
  <c r="EL172" i="1" s="1"/>
  <c r="DA172" i="1"/>
  <c r="DA264" i="1"/>
  <c r="EA236" i="1"/>
  <c r="EB48" i="1" a="1"/>
  <c r="EB48" i="1" s="1"/>
  <c r="EL48" i="1" s="1"/>
  <c r="DA48" i="1"/>
  <c r="EB28" i="1" a="1"/>
  <c r="EB28" i="1" s="1"/>
  <c r="EL28" i="1" s="1"/>
  <c r="DA28" i="1"/>
  <c r="EA99" i="1"/>
  <c r="EA112" i="1"/>
  <c r="EA91" i="1"/>
  <c r="EA138" i="1"/>
  <c r="EB325" i="1" a="1"/>
  <c r="EB325" i="1" s="1"/>
  <c r="EL325" i="1" s="1"/>
  <c r="DA325" i="1"/>
  <c r="EB92" i="1" a="1"/>
  <c r="EB92" i="1" s="1"/>
  <c r="EL92" i="1" s="1"/>
  <c r="DA92" i="1"/>
  <c r="EB67" i="1" a="1"/>
  <c r="EB67" i="1" s="1"/>
  <c r="EL67" i="1" s="1"/>
  <c r="DA67" i="1"/>
  <c r="EA279" i="1"/>
  <c r="EA204" i="1"/>
  <c r="EA333" i="1"/>
  <c r="EA50" i="1"/>
  <c r="EA202" i="1"/>
  <c r="EA117" i="1"/>
  <c r="EB121" i="1" a="1"/>
  <c r="EB121" i="1" s="1"/>
  <c r="EL121" i="1" s="1"/>
  <c r="DA121" i="1"/>
  <c r="EB133" i="1" a="1"/>
  <c r="EB133" i="1" s="1"/>
  <c r="EL133" i="1" s="1"/>
  <c r="DA133" i="1"/>
  <c r="EB215" i="1" a="1"/>
  <c r="EB215" i="1" s="1"/>
  <c r="EL215" i="1" s="1"/>
  <c r="EB114" i="1" a="1"/>
  <c r="EB114" i="1" s="1"/>
  <c r="EL114" i="1" s="1"/>
  <c r="DA144" i="1"/>
  <c r="EB144" i="1" a="1"/>
  <c r="EB144" i="1" s="1"/>
  <c r="EL144" i="1" s="1"/>
  <c r="EB286" i="1" a="1"/>
  <c r="EB286" i="1" s="1"/>
  <c r="EL286" i="1" s="1"/>
  <c r="DA286" i="1"/>
  <c r="EB38" i="1" a="1"/>
  <c r="EB38" i="1" s="1"/>
  <c r="EL38" i="1" s="1"/>
  <c r="DA38" i="1"/>
  <c r="DA214" i="1"/>
  <c r="DA302" i="1"/>
  <c r="EB302" i="1" a="1"/>
  <c r="EB302" i="1" s="1"/>
  <c r="EL302" i="1" s="1"/>
  <c r="EA266" i="1"/>
  <c r="EA124" i="1"/>
  <c r="EA137" i="1"/>
  <c r="DA177" i="1"/>
  <c r="EB177" i="1" a="1"/>
  <c r="EB177" i="1" s="1"/>
  <c r="EL177" i="1" s="1"/>
  <c r="EB169" i="1" a="1"/>
  <c r="EB169" i="1" s="1"/>
  <c r="EL169" i="1" s="1"/>
  <c r="DA169" i="1"/>
  <c r="EA336" i="1"/>
  <c r="EB152" i="1" a="1"/>
  <c r="EB152" i="1" s="1"/>
  <c r="EL152" i="1" s="1"/>
  <c r="EA16" i="1"/>
  <c r="EB240" i="1" a="1"/>
  <c r="EB240" i="1" s="1"/>
  <c r="EL240" i="1" s="1"/>
  <c r="DA240" i="1"/>
  <c r="DA119" i="1"/>
  <c r="EB119" i="1" a="1"/>
  <c r="EB119" i="1" s="1"/>
  <c r="EL119" i="1" s="1"/>
  <c r="EA87" i="1"/>
  <c r="DA329" i="1"/>
  <c r="EB329" i="1" a="1"/>
  <c r="EB329" i="1" s="1"/>
  <c r="EL329" i="1" s="1"/>
  <c r="EA201" i="1"/>
  <c r="DA287" i="1"/>
  <c r="EB287" i="1" a="1"/>
  <c r="EB287" i="1" s="1"/>
  <c r="EL287" i="1" s="1"/>
  <c r="DA148" i="1"/>
  <c r="EB148" i="1" a="1"/>
  <c r="EB148" i="1" s="1"/>
  <c r="EL148" i="1" s="1"/>
  <c r="EB294" i="1" a="1"/>
  <c r="EB294" i="1" s="1"/>
  <c r="EL294" i="1" s="1"/>
  <c r="DA294" i="1"/>
  <c r="EB98" i="1" a="1"/>
  <c r="EB98" i="1" s="1"/>
  <c r="EL98" i="1" s="1"/>
  <c r="EA14" i="1"/>
  <c r="DA167" i="1"/>
  <c r="EB167" i="1" a="1"/>
  <c r="EB167" i="1" s="1"/>
  <c r="EL167" i="1" s="1"/>
  <c r="EA136" i="1"/>
  <c r="DA116" i="1"/>
  <c r="EB18" i="1" a="1"/>
  <c r="EB18" i="1" s="1"/>
  <c r="EL18" i="1" s="1"/>
  <c r="DA18" i="1"/>
  <c r="EA258" i="1"/>
  <c r="EA271" i="1"/>
  <c r="EA319" i="1"/>
  <c r="EB51" i="1" a="1"/>
  <c r="EB51" i="1" s="1"/>
  <c r="EL51" i="1" s="1"/>
  <c r="DA51" i="1"/>
  <c r="EA153" i="1"/>
  <c r="EA303" i="1"/>
  <c r="EB274" i="1" a="1"/>
  <c r="EB274" i="1" s="1"/>
  <c r="EL274" i="1" s="1"/>
  <c r="DA274" i="1"/>
  <c r="EA33" i="1"/>
  <c r="EB237" i="1" a="1"/>
  <c r="EB237" i="1" s="1"/>
  <c r="EL237" i="1" s="1"/>
  <c r="DA237" i="1"/>
  <c r="EB23" i="1" a="1"/>
  <c r="EB23" i="1" s="1"/>
  <c r="EL23" i="1" s="1"/>
  <c r="EV23" i="1" s="1"/>
  <c r="EZ23" i="1" s="1"/>
  <c r="DA23" i="1"/>
  <c r="EB157" i="1" a="1"/>
  <c r="EB157" i="1" s="1"/>
  <c r="EL157" i="1" s="1"/>
  <c r="DA157" i="1"/>
  <c r="EB145" i="1" a="1"/>
  <c r="EB145" i="1" s="1"/>
  <c r="EL145" i="1" s="1"/>
  <c r="DA145" i="1"/>
  <c r="EB195" i="1" a="1"/>
  <c r="EB195" i="1" s="1"/>
  <c r="EL195" i="1" s="1"/>
  <c r="EV195" i="1" s="1"/>
  <c r="EZ195" i="1" s="1"/>
  <c r="DA195" i="1"/>
  <c r="EA76" i="1"/>
  <c r="EA198" i="1"/>
  <c r="EA321" i="1"/>
  <c r="EB310" i="1" a="1"/>
  <c r="EB310" i="1" s="1"/>
  <c r="EL310" i="1" s="1"/>
  <c r="DA310" i="1"/>
  <c r="EA176" i="1"/>
  <c r="EA93" i="1"/>
  <c r="EA288" i="1"/>
  <c r="EA107" i="1"/>
  <c r="EB78" i="1" a="1"/>
  <c r="EB78" i="1" s="1"/>
  <c r="EL78" i="1" s="1"/>
  <c r="DA78" i="1"/>
  <c r="EB256" i="1" a="1"/>
  <c r="EB256" i="1" s="1"/>
  <c r="EL256" i="1" s="1"/>
  <c r="DA256" i="1"/>
  <c r="EB180" i="1" a="1"/>
  <c r="EB180" i="1" s="1"/>
  <c r="EL180" i="1" s="1"/>
  <c r="DA115" i="1"/>
  <c r="EB55" i="1" a="1"/>
  <c r="EB55" i="1" s="1"/>
  <c r="EL55" i="1" s="1"/>
  <c r="EB299" i="1" a="1"/>
  <c r="EB299" i="1" s="1"/>
  <c r="EL299" i="1" s="1"/>
  <c r="DA299" i="1"/>
  <c r="EA238" i="1"/>
  <c r="DA219" i="1"/>
  <c r="EB219" i="1" a="1"/>
  <c r="EB219" i="1" s="1"/>
  <c r="EL219" i="1" s="1"/>
  <c r="DA278" i="1"/>
  <c r="EB278" i="1" a="1"/>
  <c r="EB278" i="1" s="1"/>
  <c r="EL278" i="1" s="1"/>
  <c r="EA259" i="1"/>
  <c r="EB337" i="1" a="1"/>
  <c r="EB337" i="1" s="1"/>
  <c r="EL337" i="1" s="1"/>
  <c r="DA337" i="1"/>
  <c r="EA239" i="1"/>
  <c r="EB222" i="1" a="1"/>
  <c r="EB222" i="1" s="1"/>
  <c r="EL222" i="1" s="1"/>
  <c r="DA222" i="1"/>
  <c r="EB223" i="1" a="1"/>
  <c r="EB223" i="1" s="1"/>
  <c r="EL223" i="1" s="1"/>
  <c r="DA223" i="1"/>
  <c r="EA269" i="1"/>
  <c r="EB127" i="1" l="1" a="1"/>
  <c r="EB127" i="1" s="1"/>
  <c r="EL127" i="1" s="1"/>
  <c r="EV171" i="1"/>
  <c r="EX73" i="1"/>
  <c r="EB58" i="1" a="1"/>
  <c r="EB58" i="1" s="1"/>
  <c r="EL58" i="1" s="1"/>
  <c r="EB45" i="1" a="1"/>
  <c r="EB45" i="1" s="1"/>
  <c r="EL45" i="1" s="1"/>
  <c r="EV45" i="1" s="1"/>
  <c r="EB290" i="1" a="1"/>
  <c r="EB290" i="1" s="1"/>
  <c r="EL290" i="1" s="1"/>
  <c r="DA29" i="1"/>
  <c r="DA155" i="1"/>
  <c r="DA61" i="1"/>
  <c r="DA103" i="1"/>
  <c r="DA52" i="1"/>
  <c r="DA80" i="1"/>
  <c r="EB267" i="1" a="1"/>
  <c r="EB267" i="1" s="1"/>
  <c r="EL267" i="1" s="1"/>
  <c r="DA31" i="1"/>
  <c r="DA149" i="1"/>
  <c r="EV284" i="1"/>
  <c r="EZ284" i="1" s="1"/>
  <c r="EB315" i="1" a="1"/>
  <c r="EB315" i="1" s="1"/>
  <c r="EL315" i="1" s="1"/>
  <c r="EX315" i="1" s="1"/>
  <c r="EX86" i="1"/>
  <c r="EZ86" i="1" s="1"/>
  <c r="EB231" i="1" a="1"/>
  <c r="EB231" i="1" s="1"/>
  <c r="EL231" i="1" s="1"/>
  <c r="EX231" i="1" s="1"/>
  <c r="DA192" i="1"/>
  <c r="EB15" i="1" a="1"/>
  <c r="EB15" i="1" s="1"/>
  <c r="EL15" i="1" s="1"/>
  <c r="EV15" i="1" s="1"/>
  <c r="DA141" i="1"/>
  <c r="DA314" i="1"/>
  <c r="EB95" i="1" a="1"/>
  <c r="EB95" i="1" s="1"/>
  <c r="EL95" i="1" s="1"/>
  <c r="EB235" i="1" a="1"/>
  <c r="EB235" i="1" s="1"/>
  <c r="EL235" i="1" s="1"/>
  <c r="DA235" i="1"/>
  <c r="DA147" i="1"/>
  <c r="EB129" i="1" a="1"/>
  <c r="EB129" i="1" s="1"/>
  <c r="EL129" i="1" s="1"/>
  <c r="EV129" i="1" s="1"/>
  <c r="EB168" i="1" a="1"/>
  <c r="EB168" i="1" s="1"/>
  <c r="EL168" i="1" s="1"/>
  <c r="EV168" i="1" s="1"/>
  <c r="EB200" i="1" a="1"/>
  <c r="EB200" i="1" s="1"/>
  <c r="EL200" i="1" s="1"/>
  <c r="EV200" i="1" s="1"/>
  <c r="EZ200" i="1" s="1"/>
  <c r="DA139" i="1"/>
  <c r="DA143" i="1"/>
  <c r="DA25" i="1"/>
  <c r="EB293" i="1" a="1"/>
  <c r="EB293" i="1" s="1"/>
  <c r="EL293" i="1" s="1"/>
  <c r="EV293" i="1" s="1"/>
  <c r="EV142" i="1"/>
  <c r="DA304" i="1"/>
  <c r="DA102" i="1"/>
  <c r="EZ311" i="1"/>
  <c r="EZ174" i="1"/>
  <c r="EB307" i="1" a="1"/>
  <c r="EB307" i="1" s="1"/>
  <c r="EL307" i="1" s="1"/>
  <c r="EX307" i="1" s="1"/>
  <c r="EB165" i="1" a="1"/>
  <c r="EB165" i="1" s="1"/>
  <c r="EL165" i="1" s="1"/>
  <c r="EV165" i="1" s="1"/>
  <c r="EZ297" i="1"/>
  <c r="EV185" i="1"/>
  <c r="EZ185" i="1" s="1"/>
  <c r="DA185" i="1"/>
  <c r="EB184" i="1" a="1"/>
  <c r="EB184" i="1" s="1"/>
  <c r="EL184" i="1" s="1"/>
  <c r="EV184" i="1" s="1"/>
  <c r="EZ184" i="1" s="1"/>
  <c r="EZ66" i="1"/>
  <c r="DA104" i="1"/>
  <c r="EV192" i="1"/>
  <c r="EZ192" i="1" s="1"/>
  <c r="DA326" i="1"/>
  <c r="EV79" i="1"/>
  <c r="EZ79" i="1" s="1"/>
  <c r="EZ164" i="1"/>
  <c r="EX142" i="1"/>
  <c r="EZ254" i="1"/>
  <c r="DA79" i="1"/>
  <c r="EZ227" i="1"/>
  <c r="EZ324" i="1"/>
  <c r="EZ312" i="1"/>
  <c r="EZ82" i="1"/>
  <c r="EZ211" i="1"/>
  <c r="EB188" i="1" a="1"/>
  <c r="EB188" i="1" s="1"/>
  <c r="EL188" i="1" s="1"/>
  <c r="EV188" i="1" s="1"/>
  <c r="EZ188" i="1" s="1"/>
  <c r="EZ70" i="1"/>
  <c r="EZ313" i="1"/>
  <c r="EZ341" i="1"/>
  <c r="EZ249" i="1"/>
  <c r="EB74" i="1" a="1"/>
  <c r="EB74" i="1" s="1"/>
  <c r="EL74" i="1" s="1"/>
  <c r="EV74" i="1" s="1"/>
  <c r="DA74" i="1"/>
  <c r="DA272" i="1"/>
  <c r="EB272" i="1" a="1"/>
  <c r="EB272" i="1" s="1"/>
  <c r="EL272" i="1" s="1"/>
  <c r="EZ228" i="1"/>
  <c r="EZ306" i="1"/>
  <c r="EZ126" i="1"/>
  <c r="EZ246" i="1"/>
  <c r="EZ276" i="1"/>
  <c r="EZ163" i="1"/>
  <c r="EZ158" i="1"/>
  <c r="EZ273" i="1"/>
  <c r="EZ316" i="1"/>
  <c r="EZ260" i="1"/>
  <c r="EZ57" i="1"/>
  <c r="EZ171" i="1"/>
  <c r="EZ323" i="1"/>
  <c r="EZ36" i="1"/>
  <c r="EZ40" i="1"/>
  <c r="DA221" i="1"/>
  <c r="EB221" i="1" a="1"/>
  <c r="EB221" i="1" s="1"/>
  <c r="EL221" i="1" s="1"/>
  <c r="EV221" i="1" s="1"/>
  <c r="EZ282" i="1"/>
  <c r="EZ108" i="1"/>
  <c r="EZ230" i="1"/>
  <c r="EZ160" i="1"/>
  <c r="DA85" i="1"/>
  <c r="EB85" i="1" a="1"/>
  <c r="EB85" i="1" s="1"/>
  <c r="EL85" i="1" s="1"/>
  <c r="EV166" i="1"/>
  <c r="EX166" i="1"/>
  <c r="EZ71" i="1"/>
  <c r="EZ49" i="1"/>
  <c r="EZ42" i="1"/>
  <c r="EZ73" i="1"/>
  <c r="EZ216" i="1"/>
  <c r="EZ250" i="1"/>
  <c r="EZ146" i="1"/>
  <c r="EB83" i="1" a="1"/>
  <c r="EB83" i="1" s="1"/>
  <c r="EL83" i="1" s="1"/>
  <c r="DA83" i="1"/>
  <c r="EZ298" i="1"/>
  <c r="EZ96" i="1"/>
  <c r="EZ229" i="1"/>
  <c r="EZ162" i="1"/>
  <c r="EZ90" i="1"/>
  <c r="EV268" i="1"/>
  <c r="EX268" i="1"/>
  <c r="EV88" i="1"/>
  <c r="EX88" i="1"/>
  <c r="EV292" i="1"/>
  <c r="EX292" i="1"/>
  <c r="DA89" i="1"/>
  <c r="EB89" i="1" a="1"/>
  <c r="EB89" i="1" s="1"/>
  <c r="EL89" i="1" s="1"/>
  <c r="DA217" i="1"/>
  <c r="EB217" i="1" a="1"/>
  <c r="EB217" i="1" s="1"/>
  <c r="EL217" i="1" s="1"/>
  <c r="EB242" i="1" a="1"/>
  <c r="EB242" i="1" s="1"/>
  <c r="EL242" i="1" s="1"/>
  <c r="DA242" i="1"/>
  <c r="EZ32" i="1"/>
  <c r="EZ212" i="1"/>
  <c r="EZ257" i="1"/>
  <c r="EZ46" i="1"/>
  <c r="EV226" i="1"/>
  <c r="EX226" i="1"/>
  <c r="EX122" i="1"/>
  <c r="EZ122" i="1" s="1"/>
  <c r="EV289" i="1"/>
  <c r="EX289" i="1"/>
  <c r="EB150" i="1" a="1"/>
  <c r="EB150" i="1" s="1"/>
  <c r="EL150" i="1" s="1"/>
  <c r="DA150" i="1"/>
  <c r="EX60" i="1"/>
  <c r="EZ60" i="1" s="1"/>
  <c r="DA77" i="1"/>
  <c r="EB77" i="1" a="1"/>
  <c r="EB77" i="1" s="1"/>
  <c r="EL77" i="1" s="1"/>
  <c r="EV77" i="1" s="1"/>
  <c r="EX213" i="1"/>
  <c r="EZ213" i="1" s="1"/>
  <c r="EV256" i="1"/>
  <c r="EX256" i="1"/>
  <c r="EV302" i="1"/>
  <c r="EX302" i="1"/>
  <c r="EV222" i="1"/>
  <c r="EX222" i="1"/>
  <c r="EV240" i="1"/>
  <c r="EX240" i="1"/>
  <c r="EV48" i="1"/>
  <c r="EX48" i="1"/>
  <c r="EV104" i="1"/>
  <c r="EX104" i="1"/>
  <c r="EZ75" i="1"/>
  <c r="EV214" i="1"/>
  <c r="EX214" i="1"/>
  <c r="EV295" i="1"/>
  <c r="EX295" i="1"/>
  <c r="EV53" i="1"/>
  <c r="EX53" i="1"/>
  <c r="EV294" i="1"/>
  <c r="EX294" i="1"/>
  <c r="EV215" i="1"/>
  <c r="EX215" i="1"/>
  <c r="EV67" i="1"/>
  <c r="EX67" i="1"/>
  <c r="EV232" i="1"/>
  <c r="EX232" i="1"/>
  <c r="EZ342" i="1"/>
  <c r="EZ270" i="1"/>
  <c r="EZ118" i="1"/>
  <c r="EV299" i="1"/>
  <c r="EX299" i="1"/>
  <c r="EV265" i="1"/>
  <c r="EX265" i="1"/>
  <c r="EV147" i="1"/>
  <c r="EX147" i="1"/>
  <c r="EV255" i="1"/>
  <c r="EX255" i="1"/>
  <c r="EV55" i="1"/>
  <c r="EX55" i="1"/>
  <c r="EV145" i="1"/>
  <c r="EX145" i="1"/>
  <c r="EV102" i="1"/>
  <c r="EX102" i="1"/>
  <c r="EV152" i="1"/>
  <c r="EX152" i="1"/>
  <c r="EV38" i="1"/>
  <c r="EX38" i="1"/>
  <c r="EV133" i="1"/>
  <c r="EX133" i="1"/>
  <c r="EV92" i="1"/>
  <c r="EX92" i="1"/>
  <c r="EV25" i="1"/>
  <c r="EX25" i="1"/>
  <c r="EV143" i="1"/>
  <c r="EX143" i="1"/>
  <c r="EX45" i="1"/>
  <c r="EZ64" i="1"/>
  <c r="EZ305" i="1"/>
  <c r="EV337" i="1"/>
  <c r="EX337" i="1"/>
  <c r="EV245" i="1"/>
  <c r="EX245" i="1"/>
  <c r="EV148" i="1"/>
  <c r="EX148" i="1"/>
  <c r="EV115" i="1"/>
  <c r="EX115" i="1"/>
  <c r="EV157" i="1"/>
  <c r="EX157" i="1"/>
  <c r="EV18" i="1"/>
  <c r="EX18" i="1"/>
  <c r="EV58" i="1"/>
  <c r="EX58" i="1"/>
  <c r="EV325" i="1"/>
  <c r="EX325" i="1"/>
  <c r="EV264" i="1"/>
  <c r="EX264" i="1"/>
  <c r="EV80" i="1"/>
  <c r="EX80" i="1"/>
  <c r="EV120" i="1"/>
  <c r="EX120" i="1"/>
  <c r="EV100" i="1"/>
  <c r="EX100" i="1"/>
  <c r="EZ285" i="1"/>
  <c r="EZ161" i="1"/>
  <c r="EZ275" i="1"/>
  <c r="EV155" i="1"/>
  <c r="EX155" i="1"/>
  <c r="EV320" i="1"/>
  <c r="EX320" i="1"/>
  <c r="EV29" i="1"/>
  <c r="EX29" i="1"/>
  <c r="EV78" i="1"/>
  <c r="EX78" i="1"/>
  <c r="EV116" i="1"/>
  <c r="EX116" i="1"/>
  <c r="EV169" i="1"/>
  <c r="EX169" i="1"/>
  <c r="EV121" i="1"/>
  <c r="EX121" i="1"/>
  <c r="EV95" i="1"/>
  <c r="EX95" i="1"/>
  <c r="EV277" i="1"/>
  <c r="EX277" i="1"/>
  <c r="EZ300" i="1"/>
  <c r="EZ340" i="1"/>
  <c r="EZ27" i="1"/>
  <c r="EV51" i="1"/>
  <c r="EX51" i="1"/>
  <c r="EV22" i="1"/>
  <c r="EX22" i="1"/>
  <c r="EV310" i="1"/>
  <c r="EX310" i="1"/>
  <c r="EV149" i="1"/>
  <c r="EX149" i="1"/>
  <c r="EV237" i="1"/>
  <c r="EX237" i="1"/>
  <c r="EV167" i="1"/>
  <c r="EX167" i="1"/>
  <c r="EV329" i="1"/>
  <c r="EX329" i="1"/>
  <c r="EV286" i="1"/>
  <c r="EX286" i="1"/>
  <c r="EZ140" i="1"/>
  <c r="EZ281" i="1"/>
  <c r="EV278" i="1"/>
  <c r="EX278" i="1"/>
  <c r="EV144" i="1"/>
  <c r="EX144" i="1"/>
  <c r="EV172" i="1"/>
  <c r="EX172" i="1"/>
  <c r="EV332" i="1"/>
  <c r="EX332" i="1"/>
  <c r="EV127" i="1"/>
  <c r="EX127" i="1"/>
  <c r="EV134" i="1"/>
  <c r="EX134" i="1"/>
  <c r="EV326" i="1"/>
  <c r="EX326" i="1"/>
  <c r="EV61" i="1"/>
  <c r="EX61" i="1"/>
  <c r="EV31" i="1"/>
  <c r="EX31" i="1"/>
  <c r="EV28" i="1"/>
  <c r="EX28" i="1"/>
  <c r="EV52" i="1"/>
  <c r="EX52" i="1"/>
  <c r="EV263" i="1"/>
  <c r="EX263" i="1"/>
  <c r="EV210" i="1"/>
  <c r="EX210" i="1"/>
  <c r="EZ209" i="1"/>
  <c r="EZ72" i="1"/>
  <c r="EV287" i="1"/>
  <c r="EX287" i="1"/>
  <c r="EV177" i="1"/>
  <c r="EX177" i="1"/>
  <c r="EV103" i="1"/>
  <c r="EX103" i="1"/>
  <c r="EV290" i="1"/>
  <c r="EX290" i="1"/>
  <c r="EV314" i="1"/>
  <c r="EX314" i="1"/>
  <c r="EV180" i="1"/>
  <c r="EX180" i="1"/>
  <c r="EV274" i="1"/>
  <c r="EX274" i="1"/>
  <c r="EV119" i="1"/>
  <c r="EX119" i="1"/>
  <c r="EV223" i="1"/>
  <c r="EX223" i="1"/>
  <c r="EV139" i="1"/>
  <c r="EX139" i="1"/>
  <c r="EV98" i="1"/>
  <c r="EX98" i="1"/>
  <c r="EV283" i="1"/>
  <c r="EX283" i="1"/>
  <c r="EV84" i="1"/>
  <c r="EX84" i="1"/>
  <c r="EZ296" i="1"/>
  <c r="EV219" i="1"/>
  <c r="EX219" i="1"/>
  <c r="EV267" i="1"/>
  <c r="EX267" i="1"/>
  <c r="EV114" i="1"/>
  <c r="EX114" i="1"/>
  <c r="EV141" i="1"/>
  <c r="EX141" i="1"/>
  <c r="EV304" i="1"/>
  <c r="EX304" i="1"/>
  <c r="EB124" i="1" a="1"/>
  <c r="EB124" i="1" s="1"/>
  <c r="EL124" i="1" s="1"/>
  <c r="DA124" i="1"/>
  <c r="EB153" i="1" a="1"/>
  <c r="EB153" i="1" s="1"/>
  <c r="EL153" i="1" s="1"/>
  <c r="DA153" i="1"/>
  <c r="EB76" i="1" a="1"/>
  <c r="EB76" i="1" s="1"/>
  <c r="EL76" i="1" s="1"/>
  <c r="DA76" i="1"/>
  <c r="DA279" i="1"/>
  <c r="EB279" i="1" a="1"/>
  <c r="EB279" i="1" s="1"/>
  <c r="EL279" i="1" s="1"/>
  <c r="DA181" i="1"/>
  <c r="EB181" i="1" a="1"/>
  <c r="EB181" i="1" s="1"/>
  <c r="EL181" i="1" s="1"/>
  <c r="EB335" i="1" a="1"/>
  <c r="EB335" i="1" s="1"/>
  <c r="EL335" i="1" s="1"/>
  <c r="DA335" i="1"/>
  <c r="EB234" i="1" a="1"/>
  <c r="EB234" i="1" s="1"/>
  <c r="EL234" i="1" s="1"/>
  <c r="DA234" i="1"/>
  <c r="DA107" i="1"/>
  <c r="EB107" i="1" a="1"/>
  <c r="EB107" i="1" s="1"/>
  <c r="EL107" i="1" s="1"/>
  <c r="DA319" i="1"/>
  <c r="EB319" i="1" a="1"/>
  <c r="EB319" i="1" s="1"/>
  <c r="EL319" i="1" s="1"/>
  <c r="DA206" i="1"/>
  <c r="EB206" i="1" a="1"/>
  <c r="EB206" i="1" s="1"/>
  <c r="EL206" i="1" s="1"/>
  <c r="EV206" i="1" s="1"/>
  <c r="EZ206" i="1" s="1"/>
  <c r="EB288" i="1" a="1"/>
  <c r="EB288" i="1" s="1"/>
  <c r="EL288" i="1" s="1"/>
  <c r="DA288" i="1"/>
  <c r="DA271" i="1"/>
  <c r="EB271" i="1" a="1"/>
  <c r="EB271" i="1" s="1"/>
  <c r="EL271" i="1" s="1"/>
  <c r="EB26" i="1" a="1"/>
  <c r="EB26" i="1" s="1"/>
  <c r="EL26" i="1" s="1"/>
  <c r="DA26" i="1"/>
  <c r="EB239" i="1" a="1"/>
  <c r="EB239" i="1" s="1"/>
  <c r="EL239" i="1" s="1"/>
  <c r="DA239" i="1"/>
  <c r="EB238" i="1" a="1"/>
  <c r="EB238" i="1" s="1"/>
  <c r="EL238" i="1" s="1"/>
  <c r="DA238" i="1"/>
  <c r="DA16" i="1"/>
  <c r="EB16" i="1" a="1"/>
  <c r="EB16" i="1" s="1"/>
  <c r="EL16" i="1" s="1"/>
  <c r="DA259" i="1"/>
  <c r="EB259" i="1" a="1"/>
  <c r="EB259" i="1" s="1"/>
  <c r="EL259" i="1" s="1"/>
  <c r="EB93" i="1" a="1"/>
  <c r="EB93" i="1" s="1"/>
  <c r="EL93" i="1" s="1"/>
  <c r="DA93" i="1"/>
  <c r="DA258" i="1"/>
  <c r="EB258" i="1" a="1"/>
  <c r="EB258" i="1" s="1"/>
  <c r="EL258" i="1" s="1"/>
  <c r="DA176" i="1"/>
  <c r="EB176" i="1" a="1"/>
  <c r="EB176" i="1" s="1"/>
  <c r="EL176" i="1" s="1"/>
  <c r="EB236" i="1" a="1"/>
  <c r="EB236" i="1" s="1"/>
  <c r="EL236" i="1" s="1"/>
  <c r="DA236" i="1"/>
  <c r="EB336" i="1" a="1"/>
  <c r="EB336" i="1" s="1"/>
  <c r="EL336" i="1" s="1"/>
  <c r="DA336" i="1"/>
  <c r="DA138" i="1"/>
  <c r="EB138" i="1" a="1"/>
  <c r="EB138" i="1" s="1"/>
  <c r="EL138" i="1" s="1"/>
  <c r="EB321" i="1" a="1"/>
  <c r="EB321" i="1" s="1"/>
  <c r="EL321" i="1" s="1"/>
  <c r="DA321" i="1"/>
  <c r="EB91" i="1" a="1"/>
  <c r="EB91" i="1" s="1"/>
  <c r="EL91" i="1" s="1"/>
  <c r="DA91" i="1"/>
  <c r="EB205" i="1" a="1"/>
  <c r="EB205" i="1" s="1"/>
  <c r="EL205" i="1" s="1"/>
  <c r="EV205" i="1" s="1"/>
  <c r="EZ205" i="1" s="1"/>
  <c r="DA205" i="1"/>
  <c r="EB136" i="1" a="1"/>
  <c r="EB136" i="1" s="1"/>
  <c r="EL136" i="1" s="1"/>
  <c r="DA136" i="1"/>
  <c r="DA201" i="1"/>
  <c r="EB201" i="1" a="1"/>
  <c r="EB201" i="1" s="1"/>
  <c r="EL201" i="1" s="1"/>
  <c r="EV201" i="1" s="1"/>
  <c r="EZ201" i="1" s="1"/>
  <c r="DA117" i="1"/>
  <c r="EB117" i="1" a="1"/>
  <c r="EB117" i="1" s="1"/>
  <c r="EL117" i="1" s="1"/>
  <c r="DA112" i="1"/>
  <c r="EB112" i="1" a="1"/>
  <c r="EB112" i="1" s="1"/>
  <c r="EL112" i="1" s="1"/>
  <c r="EB130" i="1" a="1"/>
  <c r="EB130" i="1" s="1"/>
  <c r="EL130" i="1" s="1"/>
  <c r="DA130" i="1"/>
  <c r="DA99" i="1"/>
  <c r="EB99" i="1" a="1"/>
  <c r="EB99" i="1" s="1"/>
  <c r="EL99" i="1" s="1"/>
  <c r="EB135" i="1" a="1"/>
  <c r="EB135" i="1" s="1"/>
  <c r="EL135" i="1" s="1"/>
  <c r="DA135" i="1"/>
  <c r="EB94" i="1" a="1"/>
  <c r="EB94" i="1" s="1"/>
  <c r="EL94" i="1" s="1"/>
  <c r="DA94" i="1"/>
  <c r="EB33" i="1" a="1"/>
  <c r="EB33" i="1" s="1"/>
  <c r="EL33" i="1" s="1"/>
  <c r="DA33" i="1"/>
  <c r="EB137" i="1" a="1"/>
  <c r="EB137" i="1" s="1"/>
  <c r="EL137" i="1" s="1"/>
  <c r="DA137" i="1"/>
  <c r="EB269" i="1" a="1"/>
  <c r="EB269" i="1" s="1"/>
  <c r="EL269" i="1" s="1"/>
  <c r="DA269" i="1"/>
  <c r="DA87" i="1"/>
  <c r="EB87" i="1" a="1"/>
  <c r="EB87" i="1" s="1"/>
  <c r="EL87" i="1" s="1"/>
  <c r="DA202" i="1"/>
  <c r="EB202" i="1" a="1"/>
  <c r="EB202" i="1" s="1"/>
  <c r="EL202" i="1" s="1"/>
  <c r="EV202" i="1" s="1"/>
  <c r="EZ202" i="1" s="1"/>
  <c r="EB14" i="1" a="1"/>
  <c r="EB14" i="1" s="1"/>
  <c r="EL14" i="1" s="1"/>
  <c r="DA14" i="1"/>
  <c r="DA13" i="1" s="1"/>
  <c r="DA50" i="1"/>
  <c r="EB50" i="1" a="1"/>
  <c r="EB50" i="1" s="1"/>
  <c r="EL50" i="1" s="1"/>
  <c r="EB159" i="1" a="1"/>
  <c r="EB159" i="1" s="1"/>
  <c r="EL159" i="1" s="1"/>
  <c r="DA159" i="1"/>
  <c r="EB110" i="1" a="1"/>
  <c r="EB110" i="1" s="1"/>
  <c r="EL110" i="1" s="1"/>
  <c r="DA110" i="1"/>
  <c r="EB328" i="1" a="1"/>
  <c r="EB328" i="1" s="1"/>
  <c r="EL328" i="1" s="1"/>
  <c r="DA328" i="1"/>
  <c r="DA198" i="1"/>
  <c r="EB198" i="1" a="1"/>
  <c r="EB198" i="1" s="1"/>
  <c r="EL198" i="1" s="1"/>
  <c r="EV198" i="1" s="1"/>
  <c r="EZ198" i="1" s="1"/>
  <c r="EB303" i="1" a="1"/>
  <c r="EB303" i="1" s="1"/>
  <c r="EL303" i="1" s="1"/>
  <c r="DA303" i="1"/>
  <c r="EB266" i="1" a="1"/>
  <c r="EB266" i="1" s="1"/>
  <c r="EL266" i="1" s="1"/>
  <c r="DA266" i="1"/>
  <c r="EB333" i="1" a="1"/>
  <c r="EB333" i="1" s="1"/>
  <c r="EL333" i="1" s="1"/>
  <c r="DA333" i="1"/>
  <c r="DA194" i="1"/>
  <c r="EB194" i="1" a="1"/>
  <c r="EB194" i="1" s="1"/>
  <c r="EL194" i="1" s="1"/>
  <c r="EV194" i="1" s="1"/>
  <c r="EZ194" i="1" s="1"/>
  <c r="EB204" i="1" a="1"/>
  <c r="EB204" i="1" s="1"/>
  <c r="EL204" i="1" s="1"/>
  <c r="EV204" i="1" s="1"/>
  <c r="EZ204" i="1" s="1"/>
  <c r="DA204" i="1"/>
  <c r="EB125" i="1" a="1"/>
  <c r="EB125" i="1" s="1"/>
  <c r="EL125" i="1" s="1"/>
  <c r="DA125" i="1"/>
  <c r="EV315" i="1" l="1"/>
  <c r="EX293" i="1"/>
  <c r="EZ293" i="1" s="1"/>
  <c r="EX129" i="1"/>
  <c r="EX165" i="1"/>
  <c r="EZ165" i="1" s="1"/>
  <c r="EX168" i="1"/>
  <c r="EZ168" i="1" s="1"/>
  <c r="EV231" i="1"/>
  <c r="EZ231" i="1" s="1"/>
  <c r="EX15" i="1"/>
  <c r="EZ15" i="1" s="1"/>
  <c r="EV307" i="1"/>
  <c r="EZ307" i="1" s="1"/>
  <c r="EV235" i="1"/>
  <c r="EX235" i="1"/>
  <c r="EZ142" i="1"/>
  <c r="EZ120" i="1"/>
  <c r="EZ115" i="1"/>
  <c r="EZ226" i="1"/>
  <c r="EZ268" i="1"/>
  <c r="EZ92" i="1"/>
  <c r="EZ147" i="1"/>
  <c r="EZ292" i="1"/>
  <c r="EZ78" i="1"/>
  <c r="EX77" i="1"/>
  <c r="EZ77" i="1" s="1"/>
  <c r="EZ98" i="1"/>
  <c r="EZ103" i="1"/>
  <c r="EZ31" i="1"/>
  <c r="EZ278" i="1"/>
  <c r="EZ310" i="1"/>
  <c r="EZ100" i="1"/>
  <c r="EX221" i="1"/>
  <c r="EZ221" i="1" s="1"/>
  <c r="EZ48" i="1"/>
  <c r="EZ214" i="1"/>
  <c r="EZ139" i="1"/>
  <c r="EZ61" i="1"/>
  <c r="EZ177" i="1"/>
  <c r="EZ22" i="1"/>
  <c r="EV272" i="1"/>
  <c r="EX272" i="1"/>
  <c r="EX74" i="1"/>
  <c r="EZ74" i="1" s="1"/>
  <c r="EZ29" i="1"/>
  <c r="EZ88" i="1"/>
  <c r="EZ180" i="1"/>
  <c r="EZ157" i="1"/>
  <c r="EZ255" i="1"/>
  <c r="EZ169" i="1"/>
  <c r="EZ45" i="1"/>
  <c r="EZ102" i="1"/>
  <c r="EZ256" i="1"/>
  <c r="EZ166" i="1"/>
  <c r="EV85" i="1"/>
  <c r="EX85" i="1"/>
  <c r="EZ232" i="1"/>
  <c r="EZ129" i="1"/>
  <c r="EZ25" i="1"/>
  <c r="EZ55" i="1"/>
  <c r="EZ104" i="1"/>
  <c r="EV242" i="1"/>
  <c r="EX242" i="1"/>
  <c r="EV217" i="1"/>
  <c r="EX217" i="1"/>
  <c r="EV150" i="1"/>
  <c r="EX150" i="1"/>
  <c r="EV83" i="1"/>
  <c r="EX83" i="1"/>
  <c r="EV89" i="1"/>
  <c r="EX89" i="1"/>
  <c r="EZ289" i="1"/>
  <c r="EZ277" i="1"/>
  <c r="EZ320" i="1"/>
  <c r="EZ133" i="1"/>
  <c r="EZ265" i="1"/>
  <c r="EZ240" i="1"/>
  <c r="EZ267" i="1"/>
  <c r="EZ95" i="1"/>
  <c r="EZ155" i="1"/>
  <c r="EZ38" i="1"/>
  <c r="EZ222" i="1"/>
  <c r="EZ121" i="1"/>
  <c r="EZ152" i="1"/>
  <c r="EZ299" i="1"/>
  <c r="EZ302" i="1"/>
  <c r="EV107" i="1"/>
  <c r="EX107" i="1"/>
  <c r="EV99" i="1"/>
  <c r="EX99" i="1"/>
  <c r="EV16" i="1"/>
  <c r="EX16" i="1"/>
  <c r="EV266" i="1"/>
  <c r="EX266" i="1"/>
  <c r="EV14" i="1"/>
  <c r="EX14" i="1"/>
  <c r="EV321" i="1"/>
  <c r="EX321" i="1"/>
  <c r="EZ304" i="1"/>
  <c r="EZ116" i="1"/>
  <c r="EZ143" i="1"/>
  <c r="EZ145" i="1"/>
  <c r="EV234" i="1"/>
  <c r="EX234" i="1"/>
  <c r="EZ141" i="1"/>
  <c r="EV112" i="1"/>
  <c r="EX112" i="1"/>
  <c r="EZ223" i="1"/>
  <c r="EZ287" i="1"/>
  <c r="EZ326" i="1"/>
  <c r="EZ51" i="1"/>
  <c r="EZ80" i="1"/>
  <c r="EZ148" i="1"/>
  <c r="EZ67" i="1"/>
  <c r="EV336" i="1"/>
  <c r="EX336" i="1"/>
  <c r="EV239" i="1"/>
  <c r="EX239" i="1"/>
  <c r="EV335" i="1"/>
  <c r="EX335" i="1"/>
  <c r="EZ114" i="1"/>
  <c r="EV303" i="1"/>
  <c r="EX303" i="1"/>
  <c r="EV130" i="1"/>
  <c r="EX130" i="1"/>
  <c r="EV238" i="1"/>
  <c r="EX238" i="1"/>
  <c r="EV87" i="1"/>
  <c r="EX87" i="1"/>
  <c r="EV117" i="1"/>
  <c r="EX117" i="1"/>
  <c r="EV181" i="1"/>
  <c r="EX181" i="1"/>
  <c r="EZ119" i="1"/>
  <c r="EZ134" i="1"/>
  <c r="EZ286" i="1"/>
  <c r="EZ264" i="1"/>
  <c r="EZ245" i="1"/>
  <c r="EZ215" i="1"/>
  <c r="EV269" i="1"/>
  <c r="EX269" i="1"/>
  <c r="EV236" i="1"/>
  <c r="EX236" i="1"/>
  <c r="EV26" i="1"/>
  <c r="EX26" i="1"/>
  <c r="EV176" i="1"/>
  <c r="EX176" i="1"/>
  <c r="EV271" i="1"/>
  <c r="EX271" i="1"/>
  <c r="EV279" i="1"/>
  <c r="EX279" i="1"/>
  <c r="EZ274" i="1"/>
  <c r="EZ210" i="1"/>
  <c r="EZ127" i="1"/>
  <c r="EZ329" i="1"/>
  <c r="EZ325" i="1"/>
  <c r="EZ294" i="1"/>
  <c r="EV125" i="1"/>
  <c r="EX125" i="1"/>
  <c r="EV110" i="1"/>
  <c r="EX110" i="1"/>
  <c r="EV137" i="1"/>
  <c r="EX137" i="1"/>
  <c r="EZ219" i="1"/>
  <c r="EV328" i="1"/>
  <c r="EX328" i="1"/>
  <c r="EV258" i="1"/>
  <c r="EX258" i="1"/>
  <c r="EZ263" i="1"/>
  <c r="EZ332" i="1"/>
  <c r="EZ167" i="1"/>
  <c r="EZ337" i="1"/>
  <c r="EZ53" i="1"/>
  <c r="EV136" i="1"/>
  <c r="EX136" i="1"/>
  <c r="EV288" i="1"/>
  <c r="EX288" i="1"/>
  <c r="EV76" i="1"/>
  <c r="EX76" i="1"/>
  <c r="EZ84" i="1"/>
  <c r="EZ314" i="1"/>
  <c r="EZ52" i="1"/>
  <c r="EZ172" i="1"/>
  <c r="EZ237" i="1"/>
  <c r="EZ58" i="1"/>
  <c r="EZ295" i="1"/>
  <c r="EV33" i="1"/>
  <c r="EX33" i="1"/>
  <c r="EV50" i="1"/>
  <c r="EX50" i="1"/>
  <c r="EV94" i="1"/>
  <c r="EX94" i="1"/>
  <c r="EV93" i="1"/>
  <c r="EX93" i="1"/>
  <c r="EV153" i="1"/>
  <c r="EX153" i="1"/>
  <c r="EV259" i="1"/>
  <c r="EX259" i="1"/>
  <c r="EV319" i="1"/>
  <c r="EX319" i="1"/>
  <c r="EZ283" i="1"/>
  <c r="EZ290" i="1"/>
  <c r="EZ28" i="1"/>
  <c r="EZ144" i="1"/>
  <c r="EZ149" i="1"/>
  <c r="EZ18" i="1"/>
  <c r="EZ315" i="1"/>
  <c r="EV138" i="1"/>
  <c r="EX138" i="1"/>
  <c r="EV159" i="1"/>
  <c r="EX159" i="1"/>
  <c r="EV333" i="1"/>
  <c r="EX333" i="1"/>
  <c r="EV135" i="1"/>
  <c r="EX135" i="1"/>
  <c r="EV91" i="1"/>
  <c r="EX91" i="1"/>
  <c r="EV124" i="1"/>
  <c r="EX124" i="1"/>
  <c r="CR132" i="1"/>
  <c r="DU132" i="1" s="1"/>
  <c r="EZ235" i="1" l="1"/>
  <c r="EZ14" i="1"/>
  <c r="EZ333" i="1"/>
  <c r="EZ258" i="1"/>
  <c r="EZ99" i="1"/>
  <c r="EZ83" i="1"/>
  <c r="EZ85" i="1"/>
  <c r="EZ336" i="1"/>
  <c r="EZ272" i="1"/>
  <c r="EZ150" i="1"/>
  <c r="EZ91" i="1"/>
  <c r="EZ269" i="1"/>
  <c r="EZ130" i="1"/>
  <c r="EZ266" i="1"/>
  <c r="EZ16" i="1"/>
  <c r="EZ76" i="1"/>
  <c r="EZ89" i="1"/>
  <c r="EZ288" i="1"/>
  <c r="EZ176" i="1"/>
  <c r="EZ153" i="1"/>
  <c r="EZ136" i="1"/>
  <c r="EZ26" i="1"/>
  <c r="EZ87" i="1"/>
  <c r="EZ242" i="1"/>
  <c r="EZ303" i="1"/>
  <c r="EZ236" i="1"/>
  <c r="EZ217" i="1"/>
  <c r="EZ138" i="1"/>
  <c r="EZ135" i="1"/>
  <c r="EZ159" i="1"/>
  <c r="EZ328" i="1"/>
  <c r="EZ279" i="1"/>
  <c r="EZ234" i="1"/>
  <c r="EZ107" i="1"/>
  <c r="EZ239" i="1"/>
  <c r="EZ93" i="1"/>
  <c r="EZ137" i="1"/>
  <c r="EZ94" i="1"/>
  <c r="EZ124" i="1"/>
  <c r="EZ238" i="1"/>
  <c r="EZ271" i="1"/>
  <c r="EZ181" i="1"/>
  <c r="EZ117" i="1"/>
  <c r="EZ110" i="1"/>
  <c r="EZ321" i="1"/>
  <c r="EZ50" i="1"/>
  <c r="EZ125" i="1"/>
  <c r="EZ33" i="1"/>
  <c r="EZ319" i="1"/>
  <c r="EZ259" i="1"/>
  <c r="EZ112" i="1"/>
  <c r="EZ335" i="1"/>
  <c r="DR132" i="1"/>
  <c r="DS132" i="1" s="1"/>
  <c r="DV132" i="1"/>
  <c r="EA132" i="1" l="1"/>
  <c r="EB132" i="1" s="1" a="1"/>
  <c r="EB132" i="1" s="1"/>
  <c r="EL132" i="1" s="1"/>
  <c r="EO132" i="1"/>
  <c r="EX132" i="1" s="1"/>
  <c r="EV132" i="1" l="1"/>
  <c r="EZ132" i="1" s="1"/>
  <c r="DA132" i="1"/>
  <c r="EB105" i="1"/>
  <c r="EB105" i="1" a="1"/>
  <c r="EL105" i="1"/>
  <c r="EV105" i="1"/>
  <c r="EB20" i="1"/>
  <c r="DV105" i="1"/>
  <c r="EZ7" i="1"/>
  <c r="EZ20" i="1"/>
  <c r="EX7" i="1"/>
  <c r="EX20" i="1"/>
  <c r="EA105" i="1"/>
  <c r="DA105" i="1"/>
  <c r="DU105" i="1"/>
  <c r="DR105" i="1"/>
  <c r="DS105" i="1"/>
  <c r="EO105" i="1"/>
  <c r="EX105" i="1"/>
  <c r="DV20" i="1"/>
  <c r="DN7" i="1"/>
  <c r="CR105" i="1"/>
  <c r="DL105" i="1"/>
  <c r="DN105" i="1"/>
  <c r="EZ105" i="1"/>
  <c r="EB20" i="1" a="1"/>
  <c r="EL20" i="1"/>
  <c r="EV20" i="1"/>
  <c r="EV7" i="1"/>
  <c r="CZ7" i="1"/>
  <c r="EA20" i="1"/>
  <c r="DA20" i="1"/>
  <c r="CR20" i="1"/>
  <c r="DU20" i="1"/>
  <c r="DR20" i="1"/>
  <c r="DS20" i="1"/>
  <c r="EO20" i="1"/>
  <c r="EO7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<sst xmlns="http://schemas.openxmlformats.org/spreadsheetml/2006/main" count="35587" uniqueCount="4414">
  <si>
    <t xml:space="preserve"> </t>
  </si>
  <si>
    <t>ime</t>
  </si>
  <si>
    <t>prezime</t>
  </si>
  <si>
    <t>klub</t>
  </si>
  <si>
    <t>kategorija</t>
  </si>
  <si>
    <t>ime – prezime – klub</t>
  </si>
  <si>
    <t>ime – prezime – klub – kategorija</t>
  </si>
  <si>
    <t>ime – prezime</t>
  </si>
  <si>
    <t>spol</t>
  </si>
  <si>
    <t>novi natjecatelji</t>
  </si>
  <si>
    <t>osoba</t>
  </si>
  <si>
    <t>imeprez</t>
  </si>
  <si>
    <t>naziv</t>
  </si>
  <si>
    <t>broj novih</t>
  </si>
  <si>
    <t>klubova</t>
  </si>
  <si>
    <t>imeprezime_id</t>
  </si>
  <si>
    <t>rbr</t>
  </si>
  <si>
    <t>primarni rbr</t>
  </si>
  <si>
    <t>natjecatelja</t>
  </si>
  <si>
    <t>sql (oso&amp;ime)</t>
  </si>
  <si>
    <t>test sql</t>
  </si>
  <si>
    <t>testovi</t>
  </si>
  <si>
    <t>liga.id</t>
  </si>
  <si>
    <t>grana.id</t>
  </si>
  <si>
    <t>kategorija_id</t>
  </si>
  <si>
    <t>oznaka</t>
  </si>
  <si>
    <t>min_dob</t>
  </si>
  <si>
    <t>max_dob</t>
  </si>
  <si>
    <t>granica</t>
  </si>
  <si>
    <t>natjecateljska</t>
  </si>
  <si>
    <t>kategorija_rbr</t>
  </si>
  <si>
    <t>datum natjecanja</t>
  </si>
  <si>
    <t>Podatci o natjecanju</t>
  </si>
  <si>
    <t>Podatci iz baze podataka</t>
  </si>
  <si>
    <t>staza</t>
  </si>
  <si>
    <t>staza_id</t>
  </si>
  <si>
    <t>staza_naziv</t>
  </si>
  <si>
    <t>staza_alias</t>
  </si>
  <si>
    <t>km</t>
  </si>
  <si>
    <t>m</t>
  </si>
  <si>
    <t>kt</t>
  </si>
  <si>
    <t>trka_id</t>
  </si>
  <si>
    <t>SELECT max(id) FROM staza_kategorija</t>
  </si>
  <si>
    <t>dnevnik_id</t>
  </si>
  <si>
    <t>SELECT max(id) FROM osoba</t>
  </si>
  <si>
    <t>SELECT max(id) FROM imeprezime</t>
  </si>
  <si>
    <t>STAZE</t>
  </si>
  <si>
    <t>UPIS STAZA U BAZU PODATAKA</t>
  </si>
  <si>
    <t>SQL UPIT IZ BAZE PODATAKA</t>
  </si>
  <si>
    <t>SQL UPIT</t>
  </si>
  <si>
    <t>sql – tablica staza</t>
  </si>
  <si>
    <t>sql – tablica staza_kategorija</t>
  </si>
  <si>
    <t>NATJECATELJI</t>
  </si>
  <si>
    <t>stazakateg_id</t>
  </si>
  <si>
    <t>RUČNO</t>
  </si>
  <si>
    <t>Uputa za korištenje ove Excel datoteke</t>
  </si>
  <si>
    <r>
      <t>12. – na listovima "</t>
    </r>
    <r>
      <rPr>
        <b/>
        <sz val="11"/>
        <color theme="1"/>
        <rFont val="Calibri"/>
        <family val="2"/>
        <charset val="238"/>
        <scheme val="minor"/>
      </rPr>
      <t>registar-natjecatelj</t>
    </r>
    <r>
      <rPr>
        <sz val="11"/>
        <color theme="1"/>
        <rFont val="Calibri"/>
        <family val="2"/>
        <charset val="238"/>
        <scheme val="minor"/>
      </rPr>
      <t>i", "</t>
    </r>
    <r>
      <rPr>
        <b/>
        <sz val="11"/>
        <color theme="1"/>
        <rFont val="Calibri"/>
        <family val="2"/>
        <charset val="238"/>
        <scheme val="minor"/>
      </rPr>
      <t>registar-natjecatelji-aliasi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staze</t>
    </r>
    <r>
      <rPr>
        <sz val="11"/>
        <color theme="1"/>
        <rFont val="Calibri"/>
        <family val="2"/>
        <charset val="238"/>
        <scheme val="minor"/>
      </rPr>
      <t>" kopirati query-je iz svijetlo crvenih polja, te iste potjerati</t>
    </r>
  </si>
  <si>
    <r>
      <t xml:space="preserve">         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programom 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, te sve redove osim prvog, kopirati u gornje</t>
    </r>
  </si>
  <si>
    <r>
      <t>13. – na listu "</t>
    </r>
    <r>
      <rPr>
        <b/>
        <sz val="11"/>
        <color theme="1"/>
        <rFont val="Calibri"/>
        <family val="2"/>
        <charset val="238"/>
        <scheme val="minor"/>
      </rPr>
      <t>natjecanje</t>
    </r>
    <r>
      <rPr>
        <sz val="11"/>
        <color theme="1"/>
        <rFont val="Calibri"/>
        <family val="2"/>
        <charset val="238"/>
        <scheme val="minor"/>
      </rPr>
      <t>" u stupcu "</t>
    </r>
    <r>
      <rPr>
        <b/>
        <sz val="11"/>
        <color theme="1"/>
        <rFont val="Calibri"/>
        <family val="2"/>
        <charset val="238"/>
        <scheme val="minor"/>
      </rPr>
      <t>spol</t>
    </r>
    <r>
      <rPr>
        <sz val="11"/>
        <color theme="1"/>
        <rFont val="Calibri"/>
        <family val="2"/>
        <charset val="238"/>
        <scheme val="minor"/>
      </rPr>
      <t xml:space="preserve">" (negdje oko CG) </t>
    </r>
    <r>
      <rPr>
        <b/>
        <sz val="11"/>
        <color rgb="FFFF0000"/>
        <rFont val="Calibri"/>
        <family val="2"/>
        <charset val="238"/>
        <scheme val="minor"/>
      </rPr>
      <t>ZA NOVE</t>
    </r>
    <r>
      <rPr>
        <sz val="11"/>
        <color theme="1"/>
        <rFont val="Calibri"/>
        <family val="2"/>
        <charset val="238"/>
        <scheme val="minor"/>
      </rPr>
      <t xml:space="preserve"> (dakle one koji imaju nešto upisano u stupcu "</t>
    </r>
    <r>
      <rPr>
        <b/>
        <sz val="11"/>
        <color theme="1"/>
        <rFont val="Calibri"/>
        <family val="2"/>
        <charset val="238"/>
        <scheme val="minor"/>
      </rPr>
      <t>testovi</t>
    </r>
    <r>
      <rPr>
        <sz val="11"/>
        <color theme="1"/>
        <rFont val="Calibri"/>
        <family val="2"/>
        <charset val="238"/>
        <scheme val="minor"/>
      </rPr>
      <t>" (negdje oko CE) i nastupaju u nekoj od kategorija koje</t>
    </r>
  </si>
  <si>
    <r>
      <t xml:space="preserve">          su neodređene po pitanju spola (otvorene, početničke i sve kategorije u PreO grani) ručno promijeniti slovo spola iz "</t>
    </r>
    <r>
      <rPr>
        <b/>
        <sz val="11"/>
        <color theme="1"/>
        <rFont val="Calibri"/>
        <family val="2"/>
        <charset val="238"/>
        <scheme val="minor"/>
      </rPr>
      <t>-</t>
    </r>
    <r>
      <rPr>
        <sz val="11"/>
        <color theme="1"/>
        <rFont val="Calibri"/>
        <family val="2"/>
        <charset val="238"/>
        <scheme val="minor"/>
      </rPr>
      <t>" u "</t>
    </r>
    <r>
      <rPr>
        <b/>
        <sz val="11"/>
        <color theme="1"/>
        <rFont val="Calibri"/>
        <family val="2"/>
        <charset val="238"/>
        <scheme val="minor"/>
      </rPr>
      <t>M</t>
    </r>
    <r>
      <rPr>
        <sz val="11"/>
        <color theme="1"/>
        <rFont val="Calibri"/>
        <family val="2"/>
        <charset val="238"/>
        <scheme val="minor"/>
      </rPr>
      <t>" ili "</t>
    </r>
    <r>
      <rPr>
        <b/>
        <sz val="11"/>
        <color theme="1"/>
        <rFont val="Calibri"/>
        <family val="2"/>
        <charset val="238"/>
        <scheme val="minor"/>
      </rPr>
      <t>Ž</t>
    </r>
    <r>
      <rPr>
        <sz val="11"/>
        <color theme="1"/>
        <rFont val="Calibri"/>
        <family val="2"/>
        <charset val="238"/>
        <scheme val="minor"/>
      </rPr>
      <t>" ovisno o imenu natjecatelja/ice</t>
    </r>
  </si>
  <si>
    <t>uparivanje</t>
  </si>
  <si>
    <t>uparivanje_oznaka</t>
  </si>
  <si>
    <t>uparivanje_id</t>
  </si>
  <si>
    <t>rezultat_id</t>
  </si>
  <si>
    <t>vrijeme_sec</t>
  </si>
  <si>
    <t>registar</t>
  </si>
  <si>
    <t>rezultat za upis u bazu podataka</t>
  </si>
  <si>
    <t>SELECT max(id) FROM rezultat</t>
  </si>
  <si>
    <t>UPARIVANJE</t>
  </si>
  <si>
    <t>SELECT
	id,
	oznaka
FROM
	uparivanje
ORDER BY
	id</t>
  </si>
  <si>
    <t>ime-pre</t>
  </si>
  <si>
    <t>novo</t>
  </si>
  <si>
    <t>GENERIRANJE FAJLA S ORIGINALNIM REZULTATIMA</t>
  </si>
  <si>
    <t>GENERIRANJE FAJLA S PRIKAZOM UPARIVANJA</t>
  </si>
  <si>
    <t>sec</t>
  </si>
  <si>
    <t>kat</t>
  </si>
  <si>
    <t>vrijeme</t>
  </si>
  <si>
    <t>status</t>
  </si>
  <si>
    <t>drž</t>
  </si>
  <si>
    <t>klub reg</t>
  </si>
  <si>
    <t>broj ispravljenih</t>
  </si>
  <si>
    <t>&lt;&gt;</t>
  </si>
  <si>
    <t>novo-ot</t>
  </si>
  <si>
    <t>status_id</t>
  </si>
  <si>
    <t>STATUS REZULTATA</t>
  </si>
  <si>
    <t>id</t>
  </si>
  <si>
    <t>oevent_classifier</t>
  </si>
  <si>
    <t>ok</t>
  </si>
  <si>
    <t>regularan rezultat</t>
  </si>
  <si>
    <t>ot</t>
  </si>
  <si>
    <t>NULL</t>
  </si>
  <si>
    <t>mp</t>
  </si>
  <si>
    <t>pogrešno perforiranje</t>
  </si>
  <si>
    <t>dnf</t>
  </si>
  <si>
    <t>nije prošao kroz cilj</t>
  </si>
  <si>
    <t>disq</t>
  </si>
  <si>
    <t>diskvalifikacija</t>
  </si>
  <si>
    <t>dns</t>
  </si>
  <si>
    <t>nije startao/la</t>
  </si>
  <si>
    <t>SELECT
	id,
	naziv
FROM
	klub
ORDER BY
	naziv</t>
  </si>
  <si>
    <t>klub_id</t>
  </si>
  <si>
    <t>klub_naziv</t>
  </si>
  <si>
    <t>alias za klub</t>
  </si>
  <si>
    <t>klubova/aliasa</t>
  </si>
  <si>
    <t>aliasa</t>
  </si>
  <si>
    <t>klubovi/aliasi</t>
  </si>
  <si>
    <t>klubalias_id</t>
  </si>
  <si>
    <t>novi klub</t>
  </si>
  <si>
    <t>klubnovi_id</t>
  </si>
  <si>
    <t>sql klub</t>
  </si>
  <si>
    <t>sql alias</t>
  </si>
  <si>
    <t>sql (klub/alias)</t>
  </si>
  <si>
    <t xml:space="preserve">broj novih </t>
  </si>
  <si>
    <t>novi klubovi i novi aliasi klubova</t>
  </si>
  <si>
    <t>klubalias_alias</t>
  </si>
  <si>
    <t>drž_id</t>
  </si>
  <si>
    <t>SELECT
	id,
	naziv,
    oznaka
FROM
	drzava
ORDER BY
	id</t>
  </si>
  <si>
    <t>drzava_id</t>
  </si>
  <si>
    <t>drzava_naziv</t>
  </si>
  <si>
    <t>drzava_oznaka</t>
  </si>
  <si>
    <t>država</t>
  </si>
  <si>
    <t>nove države</t>
  </si>
  <si>
    <t>puni naziv</t>
  </si>
  <si>
    <t>država_id</t>
  </si>
  <si>
    <t>sql (država)</t>
  </si>
  <si>
    <t>nova država</t>
  </si>
  <si>
    <t>imepre_id</t>
  </si>
  <si>
    <t>klubalias_klub_id</t>
  </si>
  <si>
    <t>SELECT
	id,
	alias,
    klub_id
FROM
	klub_alias
ORDER BY
	alias</t>
  </si>
  <si>
    <t>SELECT
	id,
	alias,
    imeprezime_id
FROM
	imeprezime_alias
ORDER BY
	alias</t>
  </si>
  <si>
    <t>alias_id</t>
  </si>
  <si>
    <t>prekoračeno vrijeme zadržavanja na stazi</t>
  </si>
  <si>
    <t>katnat_id</t>
  </si>
  <si>
    <t>katreg_id</t>
  </si>
  <si>
    <t>katalias_katreg_id</t>
  </si>
  <si>
    <t>katalias_id</t>
  </si>
  <si>
    <t>katalias_katid</t>
  </si>
  <si>
    <t>sql</t>
  </si>
  <si>
    <t>stazakat_id</t>
  </si>
  <si>
    <t>KATEGORIJE NA NATJECANJU</t>
  </si>
  <si>
    <t>KATEGORIJE U REGISTRU</t>
  </si>
  <si>
    <t>DRŽAVE U REGISTRU</t>
  </si>
  <si>
    <t>KLUBOVI U REGISTRU</t>
  </si>
  <si>
    <t>duljina</t>
  </si>
  <si>
    <t>kontrole</t>
  </si>
  <si>
    <t>uspon</t>
  </si>
  <si>
    <t>kategorija ( u rezultatima)</t>
  </si>
  <si>
    <t>ZA KOPIRATI I UBITI DUPLIĆE I DISKANE</t>
  </si>
  <si>
    <t>REZULTAT RUČNE OBRADE</t>
  </si>
  <si>
    <t>stupac C je alias za kategoriju</t>
  </si>
  <si>
    <t>SELECT max(id) FROM kategorija_alias</t>
  </si>
  <si>
    <t>klub_kratko</t>
  </si>
  <si>
    <t>klub_dugo</t>
  </si>
  <si>
    <t>reg_id</t>
  </si>
  <si>
    <t>index natjecatelja u registru</t>
  </si>
  <si>
    <t>podatci pročitani iz csv datoteke</t>
  </si>
  <si>
    <t>kat (csv)</t>
  </si>
  <si>
    <t>kat (reg)</t>
  </si>
  <si>
    <t>broj sql</t>
  </si>
  <si>
    <t>insert-a</t>
  </si>
  <si>
    <t>broj</t>
  </si>
  <si>
    <t>drž (reg)</t>
  </si>
  <si>
    <t>uparivanje kategorija i staza s registrom</t>
  </si>
  <si>
    <t>STAZE NA NATJECANJU</t>
  </si>
  <si>
    <t>uparivanje klubova s registrom</t>
  </si>
  <si>
    <t>klubovi</t>
  </si>
  <si>
    <t>rezultati</t>
  </si>
  <si>
    <t>status_rez_id</t>
  </si>
  <si>
    <t>uparivanje natjecatelja s registrom</t>
  </si>
  <si>
    <t>nepoznati natjecatelji</t>
  </si>
  <si>
    <t>kateg</t>
  </si>
  <si>
    <t>imepre-klu-kat</t>
  </si>
  <si>
    <t>imepre-klu-kat-ot</t>
  </si>
  <si>
    <t>imepre-klu(ali)-kat</t>
  </si>
  <si>
    <t>imepre-klu(ali)-kat-ot</t>
  </si>
  <si>
    <t>imepre-(raz-klu)-kat</t>
  </si>
  <si>
    <t>imepre-(raz-klu)-kat-ot</t>
  </si>
  <si>
    <t>imepre(ali)-klu-kat</t>
  </si>
  <si>
    <t>imepre(ali)-klu-kat-ot</t>
  </si>
  <si>
    <t>imepre(ali)-klu(ali)-kat</t>
  </si>
  <si>
    <t>imepre(ali)-klu(ali)-kat-ot</t>
  </si>
  <si>
    <t>imepre(ali)-(raz-klu)-kat</t>
  </si>
  <si>
    <t>imepre(ali)-(raz-klu)-kat-ot</t>
  </si>
  <si>
    <t>imepre-klu</t>
  </si>
  <si>
    <t>imepre-klu-ot</t>
  </si>
  <si>
    <t>imepre-klu(ali)</t>
  </si>
  <si>
    <t>imepre-klu(ali)-ot</t>
  </si>
  <si>
    <t>imepre-(raz-klu)</t>
  </si>
  <si>
    <t>imepre-(raz-klu)-ot</t>
  </si>
  <si>
    <t>imepre</t>
  </si>
  <si>
    <t>imepre-ot</t>
  </si>
  <si>
    <t>imepre-klu-kat(ali)</t>
  </si>
  <si>
    <t>imepre-klu-kat(ali)-ot</t>
  </si>
  <si>
    <t>imepre-klu(ali)-kat(ali)</t>
  </si>
  <si>
    <t>imepre-klu(ali)-kat(ali)-ot</t>
  </si>
  <si>
    <t>imepre-(raz-klu)-kat(ali)</t>
  </si>
  <si>
    <t>imepre-(raz-klu)-kat(ali)-ot</t>
  </si>
  <si>
    <t>imepre(ali)-klu-kat(ali)</t>
  </si>
  <si>
    <t>imepre(ali)-klu-kat(ali)-ot</t>
  </si>
  <si>
    <t>imepre(ali)-klu(ali)-kat(ali)</t>
  </si>
  <si>
    <t>imepre(ali)-klu(ali)-kat(ali)-ot</t>
  </si>
  <si>
    <t>imepre(ali)-(raz-klu)-kat(ali)</t>
  </si>
  <si>
    <t>imepre(ali)-(raz-klu)-kat(ali)-ot</t>
  </si>
  <si>
    <t>stazaKategorija_id</t>
  </si>
  <si>
    <t>imePrezime_id</t>
  </si>
  <si>
    <t>imeprezimealias_id</t>
  </si>
  <si>
    <t>kategorijaalias_id</t>
  </si>
  <si>
    <t>novih</t>
  </si>
  <si>
    <t>broj spolova</t>
  </si>
  <si>
    <t>za ažuriranje</t>
  </si>
  <si>
    <t>spol za ažuriranje</t>
  </si>
  <si>
    <t>trka je  rangirana</t>
  </si>
  <si>
    <t>upis rezultata u bazu podataka</t>
  </si>
  <si>
    <t>ažuriranje potvrde registracija</t>
  </si>
  <si>
    <t>upis rezultata</t>
  </si>
  <si>
    <t>potvrda registracija</t>
  </si>
  <si>
    <t>all in 1 – upis svega vezanog uz trku u bazu podataka</t>
  </si>
  <si>
    <t>all in 1 – upis svega u bazu podataka</t>
  </si>
  <si>
    <t>POLJE REGISTAR JE 1 AKO JE NATJECATELJ REGISTRIRAN U TOJ KATEGORIJI I AKO JE NATJECANJE RANGIRANO</t>
  </si>
  <si>
    <t>sql – kumulativno</t>
  </si>
  <si>
    <t>Obavezno ažurirati sva crvena polja na listu data, prenijeti iz registra sve listove čiji naziv počinje s 'registar' i odraditi sve ručne intervencije na listu 'natjecanje_staze', listu 'natjecanje_kategorije' i na ovom listu</t>
  </si>
  <si>
    <t>DETEKCIJA DUPLIH IMENA I PREZIMENA - SAŠA HORVAT</t>
  </si>
  <si>
    <t>sql insert</t>
  </si>
  <si>
    <t>NOVE DRŽAVE (JER JE VIDLJIVA SAMO PRVA)</t>
  </si>
  <si>
    <t>NOVI KLUBOVI (JER JE VIDLJIV SAMO PRVI)</t>
  </si>
  <si>
    <t>novi_alias_id</t>
  </si>
  <si>
    <t>ŠTO SE DOGAĐA KADA POSTOJEĆI NATJECATELJ IZ REGISTRA NASTUPA ZA NEPOSTOJEĆI KLUB?</t>
  </si>
  <si>
    <t>AUTOMATSKO DODAVANJE NOVE KATEGORIJE U TABLICU kategorija</t>
  </si>
  <si>
    <t>rbr (reg)</t>
  </si>
  <si>
    <t>sort</t>
  </si>
  <si>
    <t>SELECT
	id,
	oznaka,
	naziv,
	originalstatus_id AS oevent_classifier
FROM
	status_rezultat
ORDER BY
	id</t>
  </si>
  <si>
    <t>originalstatus_id</t>
  </si>
  <si>
    <t>stazakategorija_id</t>
  </si>
  <si>
    <t>broj registriranih</t>
  </si>
  <si>
    <t>rezultata</t>
  </si>
  <si>
    <t>broj pogrešnih</t>
  </si>
  <si>
    <t>provjera</t>
  </si>
  <si>
    <t>&lt;&gt; klubovi</t>
  </si>
  <si>
    <t>broj &lt;&gt;</t>
  </si>
  <si>
    <t>nastup za različit klub od onog za koji je natjecatelj registriran</t>
  </si>
  <si>
    <t>v1.00</t>
  </si>
  <si>
    <t>Datoteka za upis rezultata natjecanja, zadnja promjena 2021-05-05</t>
  </si>
  <si>
    <r>
      <t>01. – ovaj predložak za obradu rezultata spremiti pod imenom "</t>
    </r>
    <r>
      <rPr>
        <b/>
        <sz val="11"/>
        <color theme="1"/>
        <rFont val="Calibri"/>
        <family val="2"/>
        <charset val="238"/>
        <scheme val="minor"/>
      </rPr>
      <t>GGGG-MM-DD – Naziv natjecanja – import u MySQL.xlsx</t>
    </r>
    <r>
      <rPr>
        <sz val="11"/>
        <color theme="1"/>
        <rFont val="Calibri"/>
        <family val="2"/>
        <charset val="238"/>
        <scheme val="minor"/>
      </rPr>
      <t>"</t>
    </r>
  </si>
  <si>
    <t>Verzije ove datoteke - Povijest promjena</t>
  </si>
  <si>
    <t>v1.00 – 2021-05-05 – kada natjecatelj nastupa za klub za koji nije registriran,</t>
  </si>
  <si>
    <t xml:space="preserve">          klub za koji nastupa dodajem kao alias (ako ga već nema među aliasima) i</t>
  </si>
  <si>
    <r>
      <t>02. – u MySQL bazi podataka u tablicu "</t>
    </r>
    <r>
      <rPr>
        <b/>
        <sz val="11"/>
        <color theme="1"/>
        <rFont val="Calibri"/>
        <family val="2"/>
        <charset val="238"/>
        <scheme val="minor"/>
      </rPr>
      <t>trka</t>
    </r>
    <r>
      <rPr>
        <sz val="11"/>
        <color theme="1"/>
        <rFont val="Calibri"/>
        <family val="2"/>
        <charset val="238"/>
        <scheme val="minor"/>
      </rPr>
      <t>" pažljivo upisati novu trku i sve pripadne generalije o njoj, te dodati pripadni</t>
    </r>
  </si>
  <si>
    <r>
      <t xml:space="preserve">          zapis u tablici "</t>
    </r>
    <r>
      <rPr>
        <b/>
        <sz val="11"/>
        <color theme="1"/>
        <rFont val="Calibri"/>
        <family val="2"/>
        <charset val="238"/>
        <scheme val="minor"/>
      </rPr>
      <t>dnevnik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</si>
  <si>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03. – na ovom listu popuniti </t>
    </r>
    <r>
      <rPr>
        <b/>
        <sz val="11"/>
        <color theme="1"/>
        <rFont val="Calibri"/>
        <family val="2"/>
        <charset val="238"/>
        <scheme val="minor"/>
      </rPr>
      <t>SVA</t>
    </r>
    <r>
      <rPr>
        <sz val="11"/>
        <color theme="1"/>
        <rFont val="Calibri"/>
        <family val="2"/>
        <charset val="238"/>
        <scheme val="minor"/>
      </rPr>
      <t xml:space="preserve"> plava polja friškim i točnim podatcima pročitanim iz MySQL baze podataka, za većinu polja</t>
    </r>
  </si>
  <si>
    <r>
      <t xml:space="preserve">          imam upit koji treba potjerati da bi se dobio traženi podatak.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</t>
    </r>
  </si>
  <si>
    <r>
      <t>04. – ako sam mijenjao tablice "</t>
    </r>
    <r>
      <rPr>
        <b/>
        <sz val="11"/>
        <color theme="1"/>
        <rFont val="Calibri"/>
        <family val="2"/>
        <charset val="238"/>
        <scheme val="minor"/>
      </rPr>
      <t>uparivanje</t>
    </r>
    <r>
      <rPr>
        <sz val="11"/>
        <color theme="1"/>
        <rFont val="Calibri"/>
        <family val="2"/>
        <charset val="238"/>
        <scheme val="minor"/>
      </rPr>
      <t>" (nije vjerojatno) i "</t>
    </r>
    <r>
      <rPr>
        <b/>
        <sz val="11"/>
        <color theme="1"/>
        <rFont val="Calibri"/>
        <family val="2"/>
        <charset val="238"/>
        <scheme val="minor"/>
      </rPr>
      <t>status_rezultat</t>
    </r>
    <r>
      <rPr>
        <sz val="11"/>
        <color theme="1"/>
        <rFont val="Calibri"/>
        <family val="2"/>
        <charset val="238"/>
        <scheme val="minor"/>
      </rPr>
      <t>" (još manje vjerojatno) treba ažurirati</t>
    </r>
  </si>
  <si>
    <r>
      <t xml:space="preserve">          skrivene listove "</t>
    </r>
    <r>
      <rPr>
        <b/>
        <sz val="11"/>
        <color theme="1"/>
        <rFont val="Calibri"/>
        <family val="2"/>
        <charset val="238"/>
        <scheme val="minor"/>
      </rPr>
      <t>registar-uparivanje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registar-status-rezultat</t>
    </r>
    <r>
      <rPr>
        <sz val="11"/>
        <color theme="1"/>
        <rFont val="Calibri"/>
        <family val="2"/>
        <charset val="238"/>
        <scheme val="minor"/>
      </rPr>
      <t>"</t>
    </r>
  </si>
  <si>
    <r>
      <t>05. – na listovima "</t>
    </r>
    <r>
      <rPr>
        <b/>
        <sz val="11"/>
        <color theme="1"/>
        <rFont val="Calibri"/>
        <family val="2"/>
        <charset val="238"/>
        <scheme val="minor"/>
      </rPr>
      <t>registar-kategorije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registar-države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registar-klubovi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registar-natjecatelji</t>
    </r>
    <r>
      <rPr>
        <sz val="11"/>
        <color theme="1"/>
        <rFont val="Calibri"/>
        <family val="2"/>
        <charset val="238"/>
        <scheme val="minor"/>
      </rPr>
      <t>" popuniti plava polja</t>
    </r>
  </si>
  <si>
    <t xml:space="preserve">          friškim podatcima iz MySQL baze podataka na web serveru.</t>
  </si>
  <si>
    <r>
      <t xml:space="preserve">         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sve redove osim prvog, kopirati u gornje lijevo polje odgovarajućeg okvira s podatcima.</t>
    </r>
  </si>
  <si>
    <r>
      <t xml:space="preserve">06.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s rezultatima dobiven od organizatora preimenovati u "</t>
    </r>
    <r>
      <rPr>
        <b/>
        <sz val="11"/>
        <color theme="1"/>
        <rFont val="Calibri"/>
        <family val="2"/>
        <charset val="238"/>
        <scheme val="minor"/>
      </rPr>
      <t>GGGG-MM-DD – Naziv natjecanja – export rezultata.csv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</si>
  <si>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07. – </t>
    </r>
    <r>
      <rPr>
        <b/>
        <sz val="11"/>
        <color theme="1"/>
        <rFont val="Calibri"/>
        <family val="2"/>
        <charset val="238"/>
        <scheme val="minor"/>
      </rPr>
      <t>CSV export</t>
    </r>
    <r>
      <rPr>
        <sz val="11"/>
        <color theme="1"/>
        <rFont val="Calibri"/>
        <family val="2"/>
        <charset val="238"/>
        <scheme val="minor"/>
      </rPr>
      <t xml:space="preserve"> dobiven od organizatora otvoriti programom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te provjeriti izgleda li dobro (obratiti pažnju vide li</t>
    </r>
  </si>
  <si>
    <r>
      <t xml:space="preserve">          se slova  </t>
    </r>
    <r>
      <rPr>
        <b/>
        <sz val="11"/>
        <color theme="1"/>
        <rFont val="Calibri"/>
        <family val="2"/>
        <charset val="238"/>
        <scheme val="minor"/>
      </rPr>
      <t>č, ć, đ, š, ž</t>
    </r>
    <r>
      <rPr>
        <sz val="11"/>
        <color theme="1"/>
        <rFont val="Calibri"/>
        <family val="2"/>
        <charset val="238"/>
        <scheme val="minor"/>
      </rPr>
      <t xml:space="preserve">), te na csv separator (smije biti 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 xml:space="preserve">) i character encoding (koji smije biti </t>
    </r>
    <r>
      <rPr>
        <b/>
        <sz val="11"/>
        <color theme="1"/>
        <rFont val="Calibri"/>
        <family val="2"/>
        <charset val="238"/>
        <scheme val="minor"/>
      </rPr>
      <t>ANSI</t>
    </r>
    <r>
      <rPr>
        <sz val="11"/>
        <color theme="1"/>
        <rFont val="Calibri"/>
        <family val="2"/>
        <charset val="238"/>
        <scheme val="minor"/>
      </rPr>
      <t xml:space="preserve"> ili </t>
    </r>
    <r>
      <rPr>
        <b/>
        <sz val="11"/>
        <color theme="1"/>
        <rFont val="Calibri"/>
        <family val="2"/>
        <charset val="238"/>
        <scheme val="minor"/>
      </rPr>
      <t>UTF-8</t>
    </r>
    <r>
      <rPr>
        <sz val="11"/>
        <color theme="1"/>
        <rFont val="Calibri"/>
        <family val="2"/>
        <charset val="238"/>
        <scheme val="minor"/>
      </rPr>
      <t>).</t>
    </r>
  </si>
  <si>
    <r>
      <t xml:space="preserve">          na Windows 10 računalu "</t>
    </r>
    <r>
      <rPr>
        <b/>
        <sz val="11"/>
        <color theme="1"/>
        <rFont val="Calibri"/>
        <family val="2"/>
        <charset val="238"/>
        <scheme val="minor"/>
      </rPr>
      <t>Non-Unicode Locale</t>
    </r>
    <r>
      <rPr>
        <sz val="11"/>
        <color theme="1"/>
        <rFont val="Calibri"/>
        <family val="2"/>
        <charset val="238"/>
        <scheme val="minor"/>
      </rPr>
      <t>" mora biti postavljen na "</t>
    </r>
    <r>
      <rPr>
        <b/>
        <sz val="11"/>
        <color theme="1"/>
        <rFont val="Calibri"/>
        <family val="2"/>
        <charset val="238"/>
        <scheme val="minor"/>
      </rPr>
      <t>Croatia</t>
    </r>
    <r>
      <rPr>
        <sz val="11"/>
        <color theme="1"/>
        <rFont val="Calibri"/>
        <family val="2"/>
        <charset val="238"/>
        <scheme val="minor"/>
      </rPr>
      <t>"</t>
    </r>
  </si>
  <si>
    <t xml:space="preserve">          u rezultat upisujem alias kluba. Prve tri trke sam ostavio u Beta verziji</t>
  </si>
  <si>
    <t xml:space="preserve">          koja ovaj slučaj ne odrađuje dobro, a rezultate u SQL-u sam pokrpao ručno</t>
  </si>
  <si>
    <r>
      <t xml:space="preserve">08. – na polju </t>
    </r>
    <r>
      <rPr>
        <b/>
        <sz val="11"/>
        <color theme="1"/>
        <rFont val="Calibri"/>
        <family val="2"/>
        <charset val="238"/>
        <scheme val="minor"/>
      </rPr>
      <t>B4</t>
    </r>
    <r>
      <rPr>
        <sz val="11"/>
        <color theme="1"/>
        <rFont val="Calibri"/>
        <family val="2"/>
        <charset val="238"/>
        <scheme val="minor"/>
      </rPr>
      <t xml:space="preserve"> na ovom listu potjerati "</t>
    </r>
    <r>
      <rPr>
        <b/>
        <sz val="11"/>
        <color theme="1"/>
        <rFont val="Calibri"/>
        <family val="2"/>
        <charset val="238"/>
        <scheme val="minor"/>
      </rPr>
      <t>Tekst u stupce</t>
    </r>
    <r>
      <rPr>
        <sz val="11"/>
        <color theme="1"/>
        <rFont val="Calibri"/>
        <family val="2"/>
        <charset val="238"/>
        <scheme val="minor"/>
      </rPr>
      <t>" (na tabu "</t>
    </r>
    <r>
      <rPr>
        <b/>
        <sz val="11"/>
        <color theme="1"/>
        <rFont val="Calibri"/>
        <family val="2"/>
        <charset val="238"/>
        <scheme val="minor"/>
      </rPr>
      <t>Podaci</t>
    </r>
    <r>
      <rPr>
        <sz val="11"/>
        <color theme="1"/>
        <rFont val="Calibri"/>
        <family val="2"/>
        <charset val="238"/>
        <scheme val="minor"/>
      </rPr>
      <t xml:space="preserve">"), uključiti "razgraničeno", a na sljedećem listu </t>
    </r>
  </si>
  <si>
    <r>
      <t xml:space="preserve">          zakvačkati "</t>
    </r>
    <r>
      <rPr>
        <b/>
        <sz val="11"/>
        <color theme="1"/>
        <rFont val="Calibri"/>
        <family val="2"/>
        <charset val="238"/>
        <scheme val="minor"/>
      </rPr>
      <t>tabulator</t>
    </r>
    <r>
      <rPr>
        <sz val="11"/>
        <color theme="1"/>
        <rFont val="Calibri"/>
        <family val="2"/>
        <charset val="238"/>
        <scheme val="minor"/>
      </rPr>
      <t>", "</t>
    </r>
    <r>
      <rPr>
        <b/>
        <sz val="11"/>
        <color theme="1"/>
        <rFont val="Calibri"/>
        <family val="2"/>
        <charset val="238"/>
        <scheme val="minor"/>
      </rPr>
      <t>točka-zarez</t>
    </r>
    <r>
      <rPr>
        <sz val="11"/>
        <color theme="1"/>
        <rFont val="Calibri"/>
        <family val="2"/>
        <charset val="238"/>
        <scheme val="minor"/>
      </rPr>
      <t>" i "</t>
    </r>
    <r>
      <rPr>
        <b/>
        <sz val="11"/>
        <color theme="1"/>
        <rFont val="Calibri"/>
        <family val="2"/>
        <charset val="238"/>
        <scheme val="minor"/>
      </rPr>
      <t>zarez</t>
    </r>
    <r>
      <rPr>
        <sz val="11"/>
        <color theme="1"/>
        <rFont val="Calibri"/>
        <family val="2"/>
        <charset val="238"/>
        <scheme val="minor"/>
      </rPr>
      <t>", pa klik na "</t>
    </r>
    <r>
      <rPr>
        <b/>
        <sz val="11"/>
        <color theme="1"/>
        <rFont val="Calibri"/>
        <family val="2"/>
        <charset val="238"/>
        <scheme val="minor"/>
      </rPr>
      <t>Završi</t>
    </r>
    <r>
      <rPr>
        <sz val="11"/>
        <color theme="1"/>
        <rFont val="Calibri"/>
        <family val="2"/>
        <charset val="238"/>
        <scheme val="minor"/>
      </rPr>
      <t>"</t>
    </r>
  </si>
  <si>
    <r>
      <t xml:space="preserve">09. – U </t>
    </r>
    <r>
      <rPr>
        <b/>
        <sz val="11"/>
        <color theme="1"/>
        <rFont val="Calibri"/>
        <family val="2"/>
        <charset val="238"/>
        <scheme val="minor"/>
      </rPr>
      <t xml:space="preserve">CSV export-u </t>
    </r>
    <r>
      <rPr>
        <sz val="11"/>
        <color theme="1"/>
        <rFont val="Calibri"/>
        <family val="2"/>
        <charset val="238"/>
        <scheme val="minor"/>
      </rPr>
      <t>s rezultatima koji je otvoren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>", označiti cijeli text osim zadnje prazne linije,</t>
    </r>
  </si>
  <si>
    <r>
      <t xml:space="preserve">          te kopirati na list "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B2</t>
    </r>
    <r>
      <rPr>
        <sz val="11"/>
        <color theme="1"/>
        <rFont val="Calibri"/>
        <family val="2"/>
        <charset val="238"/>
        <scheme val="minor"/>
      </rPr>
      <t>"</t>
    </r>
  </si>
  <si>
    <r>
      <t>10. – na listu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označiti podatke u crvenom okviru (u stupcima "</t>
    </r>
    <r>
      <rPr>
        <b/>
        <sz val="11"/>
        <color theme="1"/>
        <rFont val="Calibri"/>
        <family val="2"/>
        <charset val="238"/>
        <scheme val="minor"/>
      </rPr>
      <t>B:E</t>
    </r>
    <r>
      <rPr>
        <sz val="11"/>
        <color theme="1"/>
        <rFont val="Calibri"/>
        <family val="2"/>
        <charset val="238"/>
        <scheme val="minor"/>
      </rPr>
      <t>"), te isto kopirati kao text u praznu</t>
    </r>
  </si>
  <si>
    <t xml:space="preserve">          Excel datoteku.</t>
  </si>
  <si>
    <r>
      <t xml:space="preserve">       – Za svaku uokvirenu grupu polja potjerati pripadni </t>
    </r>
    <r>
      <rPr>
        <b/>
        <sz val="11"/>
        <color theme="1"/>
        <rFont val="Calibri"/>
        <family val="2"/>
        <charset val="238"/>
        <scheme val="minor"/>
      </rPr>
      <t>SQL upit</t>
    </r>
    <r>
      <rPr>
        <sz val="11"/>
        <color theme="1"/>
        <rFont val="Calibri"/>
        <family val="2"/>
        <charset val="238"/>
        <scheme val="minor"/>
      </rPr>
      <t xml:space="preserve"> koji se nalazi u crvenom polju dva reda iznad okvira za podatke.</t>
    </r>
  </si>
  <si>
    <r>
      <t xml:space="preserve">       – I ove upite vrtim u </t>
    </r>
    <r>
      <rPr>
        <b/>
        <sz val="11"/>
        <color theme="1"/>
        <rFont val="Calibri"/>
        <family val="2"/>
        <charset val="238"/>
        <scheme val="minor"/>
      </rPr>
      <t>PHP MyAdmin-u</t>
    </r>
    <r>
      <rPr>
        <sz val="11"/>
        <color theme="1"/>
        <rFont val="Calibri"/>
        <family val="2"/>
        <charset val="238"/>
        <scheme val="minor"/>
      </rPr>
      <t xml:space="preserve"> na web serveru Saveza. Rezultate query-a export-ati u "</t>
    </r>
    <r>
      <rPr>
        <b/>
        <sz val="11"/>
        <color theme="1"/>
        <rFont val="Calibri"/>
        <family val="2"/>
        <charset val="238"/>
        <scheme val="minor"/>
      </rPr>
      <t>CSV for MS Excel</t>
    </r>
    <r>
      <rPr>
        <sz val="11"/>
        <color theme="1"/>
        <rFont val="Calibri"/>
        <family val="2"/>
        <charset val="238"/>
        <scheme val="minor"/>
      </rPr>
      <t xml:space="preserve">", otvoriti </t>
    </r>
  </si>
  <si>
    <r>
      <t xml:space="preserve">       – Prilikom otvaranja export-a u programu "</t>
    </r>
    <r>
      <rPr>
        <b/>
        <sz val="11"/>
        <color theme="1"/>
        <rFont val="Calibri"/>
        <family val="2"/>
        <charset val="238"/>
        <scheme val="minor"/>
      </rPr>
      <t>Notepad++</t>
    </r>
    <r>
      <rPr>
        <sz val="11"/>
        <color theme="1"/>
        <rFont val="Calibri"/>
        <family val="2"/>
        <charset val="238"/>
        <scheme val="minor"/>
      </rPr>
      <t xml:space="preserve">" obratiti pažnju je li sve OK sa slovima </t>
    </r>
    <r>
      <rPr>
        <b/>
        <sz val="11"/>
        <color theme="1"/>
        <rFont val="Calibri"/>
        <family val="2"/>
        <charset val="238"/>
        <scheme val="minor"/>
      </rPr>
      <t>č, ć, đ, š, ž</t>
    </r>
  </si>
  <si>
    <r>
      <t xml:space="preserve">      –  Ako nešto od navedenog nije OK u </t>
    </r>
    <r>
      <rPr>
        <b/>
        <sz val="11"/>
        <color theme="1"/>
        <rFont val="Calibri"/>
        <family val="2"/>
        <charset val="238"/>
        <scheme val="minor"/>
      </rPr>
      <t>OEvent-u</t>
    </r>
    <r>
      <rPr>
        <sz val="11"/>
        <color theme="1"/>
        <rFont val="Calibri"/>
        <family val="2"/>
        <charset val="238"/>
        <scheme val="minor"/>
      </rPr>
      <t xml:space="preserve"> otvoriti datoteku natjecanja i pod "</t>
    </r>
    <r>
      <rPr>
        <b/>
        <sz val="11"/>
        <color theme="1"/>
        <rFont val="Calibri"/>
        <family val="2"/>
        <charset val="238"/>
        <scheme val="minor"/>
      </rPr>
      <t>Competition</t>
    </r>
    <r>
      <rPr>
        <sz val="11"/>
        <color theme="1"/>
        <rFont val="Calibri"/>
        <family val="2"/>
        <charset val="238"/>
        <scheme val="minor"/>
      </rPr>
      <t xml:space="preserve">" napraviti </t>
    </r>
    <r>
      <rPr>
        <b/>
        <sz val="11"/>
        <color theme="1"/>
        <rFont val="Calibri"/>
        <family val="2"/>
        <charset val="238"/>
        <scheme val="minor"/>
      </rPr>
      <t>Export</t>
    </r>
    <r>
      <rPr>
        <sz val="11"/>
        <color theme="1"/>
        <rFont val="Calibri"/>
        <family val="2"/>
        <charset val="238"/>
        <scheme val="minor"/>
      </rPr>
      <t xml:space="preserve"> u </t>
    </r>
    <r>
      <rPr>
        <b/>
        <sz val="11"/>
        <color theme="1"/>
        <rFont val="Calibri"/>
        <family val="2"/>
        <charset val="238"/>
        <scheme val="minor"/>
      </rPr>
      <t>CSV</t>
    </r>
    <r>
      <rPr>
        <sz val="11"/>
        <color theme="1"/>
        <rFont val="Calibri"/>
        <family val="2"/>
        <charset val="238"/>
        <scheme val="minor"/>
      </rPr>
      <t>,</t>
    </r>
  </si>
  <si>
    <t xml:space="preserve">       – Dok je raspon još označen sortirati ga uzlazno po 4. stupcu i ukloniti duplikate.</t>
  </si>
  <si>
    <t xml:space="preserve">       – Obrisati s vrha liste staze bez kontrola (to smo dobili od vakanata i onih koji nisu startali).</t>
  </si>
  <si>
    <t xml:space="preserve">       – Pažljivo pregledati sve staze koje su rezultat MP-a (fali neka kontrola) i takve redove obrisati.</t>
  </si>
  <si>
    <t xml:space="preserve">       – Nadam se da je to bio zadnji bug u obradi rezultata :-) :-) :-)</t>
  </si>
  <si>
    <t xml:space="preserve">       – Na kraju mi mora ostati toliko redova koliko imam kategorija. Ručno svim kategorijama koje imaju istu stazu (nalaze se</t>
  </si>
  <si>
    <t xml:space="preserve">          jedna ispod druge) upisati isti broj ili isto slovo.</t>
  </si>
  <si>
    <r>
      <t xml:space="preserve">       – Prva dva stupca kopirati i zalijepiti kao text na list "</t>
    </r>
    <r>
      <rPr>
        <b/>
        <sz val="11"/>
        <color theme="1"/>
        <rFont val="Calibri"/>
        <family val="2"/>
        <charset val="238"/>
        <scheme val="minor"/>
      </rPr>
      <t>natjecanje-staze</t>
    </r>
    <r>
      <rPr>
        <sz val="11"/>
        <color theme="1"/>
        <rFont val="Calibri"/>
        <family val="2"/>
        <charset val="238"/>
        <scheme val="minor"/>
      </rPr>
      <t>" u polje "</t>
    </r>
    <r>
      <rPr>
        <b/>
        <sz val="11"/>
        <color theme="1"/>
        <rFont val="Calibri"/>
        <family val="2"/>
        <charset val="238"/>
        <scheme val="minor"/>
      </rPr>
      <t>G8</t>
    </r>
    <r>
      <rPr>
        <sz val="11"/>
        <color theme="1"/>
        <rFont val="Calibri"/>
        <family val="2"/>
        <charset val="238"/>
        <scheme val="minor"/>
      </rPr>
      <t>",  Pomoćni Excel fajl mi više ne treba.</t>
    </r>
  </si>
  <si>
    <r>
      <t>11. – na listu "</t>
    </r>
    <r>
      <rPr>
        <b/>
        <sz val="11"/>
        <color theme="1"/>
        <rFont val="Calibri"/>
        <family val="2"/>
        <charset val="238"/>
        <scheme val="minor"/>
      </rPr>
      <t>natjecanje-kategorije</t>
    </r>
    <r>
      <rPr>
        <sz val="11"/>
        <color theme="1"/>
        <rFont val="Calibri"/>
        <family val="2"/>
        <charset val="238"/>
        <scheme val="minor"/>
      </rPr>
      <t>" provjeriti jesu li sve kategorije povezane s onima u registru. Ako mi neka fali  (npr. ako je</t>
    </r>
  </si>
  <si>
    <r>
      <t xml:space="preserve">          na natjecanju kategorija imala drugačije ime u stupcu "</t>
    </r>
    <r>
      <rPr>
        <b/>
        <sz val="11"/>
        <color theme="1"/>
        <rFont val="Calibri"/>
        <family val="2"/>
        <charset val="238"/>
        <scheme val="minor"/>
      </rPr>
      <t>I:I</t>
    </r>
    <r>
      <rPr>
        <sz val="11"/>
        <color theme="1"/>
        <rFont val="Calibri"/>
        <family val="2"/>
        <charset val="238"/>
        <scheme val="minor"/>
      </rPr>
      <t>" upisati točno ime te kategorije</t>
    </r>
  </si>
  <si>
    <t>PROVJERITI UPISUJE LI DOBRO ALIASE ZA slučaj VIHOR-KAPELA</t>
  </si>
  <si>
    <t>diskvalificiranih</t>
  </si>
  <si>
    <t>za provjeru</t>
  </si>
  <si>
    <t>txt</t>
  </si>
  <si>
    <t>concat</t>
  </si>
  <si>
    <t>Stno</t>
  </si>
  <si>
    <t>Chip</t>
  </si>
  <si>
    <t>Database Id</t>
  </si>
  <si>
    <t>Surname</t>
  </si>
  <si>
    <t>First name</t>
  </si>
  <si>
    <t>YB</t>
  </si>
  <si>
    <t>S</t>
  </si>
  <si>
    <t>Block</t>
  </si>
  <si>
    <t>nc</t>
  </si>
  <si>
    <t>Start</t>
  </si>
  <si>
    <t>Finish</t>
  </si>
  <si>
    <t>Time</t>
  </si>
  <si>
    <t>Classifier</t>
  </si>
  <si>
    <t>Club no.</t>
  </si>
  <si>
    <t>Cl.name</t>
  </si>
  <si>
    <t>City</t>
  </si>
  <si>
    <t>Nat</t>
  </si>
  <si>
    <t>Cl. no.</t>
  </si>
  <si>
    <t>Short</t>
  </si>
  <si>
    <t>Long</t>
  </si>
  <si>
    <t>Num1</t>
  </si>
  <si>
    <t>Num2</t>
  </si>
  <si>
    <t>Num3</t>
  </si>
  <si>
    <t>Text1</t>
  </si>
  <si>
    <t>Text2</t>
  </si>
  <si>
    <t>Text3</t>
  </si>
  <si>
    <t>Adr. name</t>
  </si>
  <si>
    <t>Street</t>
  </si>
  <si>
    <t>Line2</t>
  </si>
  <si>
    <t>Zip</t>
  </si>
  <si>
    <t>Phone</t>
  </si>
  <si>
    <t>Fax</t>
  </si>
  <si>
    <t>EMail</t>
  </si>
  <si>
    <t>Id/Club</t>
  </si>
  <si>
    <t>Rented</t>
  </si>
  <si>
    <t>Start fee</t>
  </si>
  <si>
    <t>Paid</t>
  </si>
  <si>
    <t>Course no.</t>
  </si>
  <si>
    <t>Course</t>
  </si>
  <si>
    <t>Course controls</t>
  </si>
  <si>
    <t>Pl</t>
  </si>
  <si>
    <t>Start punch</t>
  </si>
  <si>
    <t>Finish punch</t>
  </si>
  <si>
    <t>Control1</t>
  </si>
  <si>
    <t>Punch1</t>
  </si>
  <si>
    <t>Control2</t>
  </si>
  <si>
    <t>Punch2</t>
  </si>
  <si>
    <t>Control3</t>
  </si>
  <si>
    <t>Punch3</t>
  </si>
  <si>
    <t>Control4</t>
  </si>
  <si>
    <t>Punch4</t>
  </si>
  <si>
    <t>Control5</t>
  </si>
  <si>
    <t>Punch5</t>
  </si>
  <si>
    <t>Control6</t>
  </si>
  <si>
    <t>Punch6</t>
  </si>
  <si>
    <t>Control7</t>
  </si>
  <si>
    <t>Punch7</t>
  </si>
  <si>
    <t>Control8</t>
  </si>
  <si>
    <t>Punch8</t>
  </si>
  <si>
    <t>Control9</t>
  </si>
  <si>
    <t>Punch9</t>
  </si>
  <si>
    <t>Control10</t>
  </si>
  <si>
    <t>Punch10</t>
  </si>
  <si>
    <t>(may be more) ...</t>
  </si>
  <si>
    <t>2442558</t>
  </si>
  <si>
    <t>210</t>
  </si>
  <si>
    <t>Pinjušić</t>
  </si>
  <si>
    <t>Lovro</t>
  </si>
  <si>
    <t>M</t>
  </si>
  <si>
    <t>0</t>
  </si>
  <si>
    <t>61:00</t>
  </si>
  <si>
    <t>92:38</t>
  </si>
  <si>
    <t>31:38</t>
  </si>
  <si>
    <t>3</t>
  </si>
  <si>
    <t>JAP</t>
  </si>
  <si>
    <t>OK Japetic</t>
  </si>
  <si>
    <t>CRO</t>
  </si>
  <si>
    <t>11</t>
  </si>
  <si>
    <t>M12</t>
  </si>
  <si>
    <t>0,0</t>
  </si>
  <si>
    <t>26</t>
  </si>
  <si>
    <t>1.93</t>
  </si>
  <si>
    <t>30</t>
  </si>
  <si>
    <t>7</t>
  </si>
  <si>
    <t>1</t>
  </si>
  <si>
    <t>35</t>
  </si>
  <si>
    <t>08:59</t>
  </si>
  <si>
    <t>59</t>
  </si>
  <si>
    <t>11:23</t>
  </si>
  <si>
    <t>60</t>
  </si>
  <si>
    <t>15:48</t>
  </si>
  <si>
    <t>66</t>
  </si>
  <si>
    <t>18:55</t>
  </si>
  <si>
    <t>34</t>
  </si>
  <si>
    <t>21:27</t>
  </si>
  <si>
    <t>38</t>
  </si>
  <si>
    <t>27:55</t>
  </si>
  <si>
    <t>100</t>
  </si>
  <si>
    <t>31:01</t>
  </si>
  <si>
    <t>219393</t>
  </si>
  <si>
    <t>225</t>
  </si>
  <si>
    <t>Tanković</t>
  </si>
  <si>
    <t>Marin</t>
  </si>
  <si>
    <t>65:00</t>
  </si>
  <si>
    <t>98:21</t>
  </si>
  <si>
    <t>33:21</t>
  </si>
  <si>
    <t>6</t>
  </si>
  <si>
    <t>OK Jelen</t>
  </si>
  <si>
    <t>2</t>
  </si>
  <si>
    <t>05:20</t>
  </si>
  <si>
    <t>07:35</t>
  </si>
  <si>
    <t>12:33</t>
  </si>
  <si>
    <t>16:38</t>
  </si>
  <si>
    <t>19:15</t>
  </si>
  <si>
    <t>28:02</t>
  </si>
  <si>
    <t>32:44</t>
  </si>
  <si>
    <t>2117408</t>
  </si>
  <si>
    <t>142</t>
  </si>
  <si>
    <t>Lah</t>
  </si>
  <si>
    <t>Mario</t>
  </si>
  <si>
    <t>57:00</t>
  </si>
  <si>
    <t>98:54</t>
  </si>
  <si>
    <t>41:54</t>
  </si>
  <si>
    <t>8</t>
  </si>
  <si>
    <t>OK Varaždin</t>
  </si>
  <si>
    <t>09:08</t>
  </si>
  <si>
    <t>14:03</t>
  </si>
  <si>
    <t>20:27</t>
  </si>
  <si>
    <t>24:41</t>
  </si>
  <si>
    <t>27:57</t>
  </si>
  <si>
    <t>36:24</t>
  </si>
  <si>
    <t>40:47</t>
  </si>
  <si>
    <t>2221141</t>
  </si>
  <si>
    <t>157</t>
  </si>
  <si>
    <t>Mance</t>
  </si>
  <si>
    <t>Teo</t>
  </si>
  <si>
    <t>93:00</t>
  </si>
  <si>
    <t>138:37</t>
  </si>
  <si>
    <t>45:37</t>
  </si>
  <si>
    <t>Vihor</t>
  </si>
  <si>
    <t>OK Vihor</t>
  </si>
  <si>
    <t>4</t>
  </si>
  <si>
    <t>07:29</t>
  </si>
  <si>
    <t>09:54</t>
  </si>
  <si>
    <t>20:39</t>
  </si>
  <si>
    <t>24:55</t>
  </si>
  <si>
    <t>31:03</t>
  </si>
  <si>
    <t>41:59</t>
  </si>
  <si>
    <t>44:52</t>
  </si>
  <si>
    <t>237595</t>
  </si>
  <si>
    <t>199</t>
  </si>
  <si>
    <t>Petravić</t>
  </si>
  <si>
    <t>Ivan</t>
  </si>
  <si>
    <t>77:00</t>
  </si>
  <si>
    <t>150:16</t>
  </si>
  <si>
    <t>73:16</t>
  </si>
  <si>
    <t>5</t>
  </si>
  <si>
    <t>16:37</t>
  </si>
  <si>
    <t>23:41</t>
  </si>
  <si>
    <t>28:20</t>
  </si>
  <si>
    <t>32:05</t>
  </si>
  <si>
    <t>35:43</t>
  </si>
  <si>
    <t>62:59</t>
  </si>
  <si>
    <t>72:21</t>
  </si>
  <si>
    <t>245249</t>
  </si>
  <si>
    <t>179</t>
  </si>
  <si>
    <t>Kaniški</t>
  </si>
  <si>
    <t>Petar</t>
  </si>
  <si>
    <t>81:00</t>
  </si>
  <si>
    <t>Maksimir</t>
  </si>
  <si>
    <t>OK Maksimir</t>
  </si>
  <si>
    <t>428003</t>
  </si>
  <si>
    <t>116</t>
  </si>
  <si>
    <t>Berečki</t>
  </si>
  <si>
    <t>53:00</t>
  </si>
  <si>
    <t>8007766</t>
  </si>
  <si>
    <t>276</t>
  </si>
  <si>
    <t>Rako</t>
  </si>
  <si>
    <t>Jure</t>
  </si>
  <si>
    <t>85:00</t>
  </si>
  <si>
    <t>328</t>
  </si>
  <si>
    <t>Vacant</t>
  </si>
  <si>
    <t>73:00</t>
  </si>
  <si>
    <t>2136724</t>
  </si>
  <si>
    <t>261</t>
  </si>
  <si>
    <t>Anadolac</t>
  </si>
  <si>
    <t>Filip</t>
  </si>
  <si>
    <t>89:00</t>
  </si>
  <si>
    <t>329</t>
  </si>
  <si>
    <t>Boban</t>
  </si>
  <si>
    <t>Jakov</t>
  </si>
  <si>
    <t>69:00</t>
  </si>
  <si>
    <t>OK MERZ CRO</t>
  </si>
  <si>
    <t>OK Ivan Merz</t>
  </si>
  <si>
    <t>8017369</t>
  </si>
  <si>
    <t>266</t>
  </si>
  <si>
    <t>Mahović</t>
  </si>
  <si>
    <t>24:00</t>
  </si>
  <si>
    <t>52:31</t>
  </si>
  <si>
    <t>28:31</t>
  </si>
  <si>
    <t>10</t>
  </si>
  <si>
    <t>M14</t>
  </si>
  <si>
    <t>27</t>
  </si>
  <si>
    <t>2.77</t>
  </si>
  <si>
    <t>65</t>
  </si>
  <si>
    <t>9</t>
  </si>
  <si>
    <t>00:55</t>
  </si>
  <si>
    <t>06:12</t>
  </si>
  <si>
    <t>72</t>
  </si>
  <si>
    <t>09:52</t>
  </si>
  <si>
    <t>69</t>
  </si>
  <si>
    <t>15:43</t>
  </si>
  <si>
    <t>67</t>
  </si>
  <si>
    <t>18:03</t>
  </si>
  <si>
    <t>68</t>
  </si>
  <si>
    <t>22:40</t>
  </si>
  <si>
    <t>70</t>
  </si>
  <si>
    <t>24:53</t>
  </si>
  <si>
    <t>26:45</t>
  </si>
  <si>
    <t>27:59</t>
  </si>
  <si>
    <t>236873</t>
  </si>
  <si>
    <t>23</t>
  </si>
  <si>
    <t>Gojmerac</t>
  </si>
  <si>
    <t>Luka</t>
  </si>
  <si>
    <t>15:00</t>
  </si>
  <si>
    <t>49:54</t>
  </si>
  <si>
    <t>34:54</t>
  </si>
  <si>
    <t>01:02</t>
  </si>
  <si>
    <t>04:47</t>
  </si>
  <si>
    <t>09:32</t>
  </si>
  <si>
    <t>14:17</t>
  </si>
  <si>
    <t>16:11</t>
  </si>
  <si>
    <t>26:56</t>
  </si>
  <si>
    <t>29:42</t>
  </si>
  <si>
    <t>32:25</t>
  </si>
  <si>
    <t>34:33</t>
  </si>
  <si>
    <t>2128477</t>
  </si>
  <si>
    <t>176</t>
  </si>
  <si>
    <t>Meštrović</t>
  </si>
  <si>
    <t>Martin</t>
  </si>
  <si>
    <t>33:00</t>
  </si>
  <si>
    <t>87:04</t>
  </si>
  <si>
    <t>54:04</t>
  </si>
  <si>
    <t>KAP</t>
  </si>
  <si>
    <t>OK Kapela</t>
  </si>
  <si>
    <t>00:57</t>
  </si>
  <si>
    <t>08:39</t>
  </si>
  <si>
    <t>18:17</t>
  </si>
  <si>
    <t>23:04</t>
  </si>
  <si>
    <t>25:01</t>
  </si>
  <si>
    <t>38:59</t>
  </si>
  <si>
    <t>48:46</t>
  </si>
  <si>
    <t>51:40</t>
  </si>
  <si>
    <t>53:28</t>
  </si>
  <si>
    <t>893832</t>
  </si>
  <si>
    <t>147</t>
  </si>
  <si>
    <t>Mazić</t>
  </si>
  <si>
    <t>Mikula</t>
  </si>
  <si>
    <t>03:00</t>
  </si>
  <si>
    <t>71:39</t>
  </si>
  <si>
    <t>68:39</t>
  </si>
  <si>
    <t>01:35</t>
  </si>
  <si>
    <t>06:09</t>
  </si>
  <si>
    <t>23:19</t>
  </si>
  <si>
    <t>30:17</t>
  </si>
  <si>
    <t>34:15</t>
  </si>
  <si>
    <t>58:19</t>
  </si>
  <si>
    <t>62:13</t>
  </si>
  <si>
    <t>65:37</t>
  </si>
  <si>
    <t>67:57</t>
  </si>
  <si>
    <t>2138242</t>
  </si>
  <si>
    <t>262</t>
  </si>
  <si>
    <t>Adam</t>
  </si>
  <si>
    <t>39:00</t>
  </si>
  <si>
    <t>111:05</t>
  </si>
  <si>
    <t>72:05</t>
  </si>
  <si>
    <t>01:43</t>
  </si>
  <si>
    <t>06:55</t>
  </si>
  <si>
    <t>24:12</t>
  </si>
  <si>
    <t>34:09</t>
  </si>
  <si>
    <t>37:55</t>
  </si>
  <si>
    <t>54:17</t>
  </si>
  <si>
    <t>58:09</t>
  </si>
  <si>
    <t>69:20</t>
  </si>
  <si>
    <t>71:21</t>
  </si>
  <si>
    <t>406741</t>
  </si>
  <si>
    <t>48</t>
  </si>
  <si>
    <t>Nikolić</t>
  </si>
  <si>
    <t>Matko</t>
  </si>
  <si>
    <t>36:00</t>
  </si>
  <si>
    <t>111:06</t>
  </si>
  <si>
    <t>75:06</t>
  </si>
  <si>
    <t>01:47</t>
  </si>
  <si>
    <t>07:25</t>
  </si>
  <si>
    <t>27:07</t>
  </si>
  <si>
    <t>37:00</t>
  </si>
  <si>
    <t>40:52</t>
  </si>
  <si>
    <t>56:23</t>
  </si>
  <si>
    <t>60:58</t>
  </si>
  <si>
    <t>71:56</t>
  </si>
  <si>
    <t>74:15</t>
  </si>
  <si>
    <t>410651</t>
  </si>
  <si>
    <t>122</t>
  </si>
  <si>
    <t>Lesjak</t>
  </si>
  <si>
    <t>Karlo</t>
  </si>
  <si>
    <t>30:00</t>
  </si>
  <si>
    <t>110:20</t>
  </si>
  <si>
    <t>80:20</t>
  </si>
  <si>
    <t>02:05</t>
  </si>
  <si>
    <t>13:33</t>
  </si>
  <si>
    <t>33:01</t>
  </si>
  <si>
    <t>43:03</t>
  </si>
  <si>
    <t>46:54</t>
  </si>
  <si>
    <t>62:30</t>
  </si>
  <si>
    <t>66:54</t>
  </si>
  <si>
    <t>77:51</t>
  </si>
  <si>
    <t>79:47</t>
  </si>
  <si>
    <t>219392</t>
  </si>
  <si>
    <t>224</t>
  </si>
  <si>
    <t>Marko</t>
  </si>
  <si>
    <t>12:00</t>
  </si>
  <si>
    <t>107:20</t>
  </si>
  <si>
    <t>95:20</t>
  </si>
  <si>
    <t>01:38</t>
  </si>
  <si>
    <t>08:58</t>
  </si>
  <si>
    <t>42:10</t>
  </si>
  <si>
    <t>51:46</t>
  </si>
  <si>
    <t>54:24</t>
  </si>
  <si>
    <t>67:23</t>
  </si>
  <si>
    <t>88:49</t>
  </si>
  <si>
    <t>92:17</t>
  </si>
  <si>
    <t>94:13</t>
  </si>
  <si>
    <t>2115772</t>
  </si>
  <si>
    <t>156</t>
  </si>
  <si>
    <t>Sučić</t>
  </si>
  <si>
    <t>09:00</t>
  </si>
  <si>
    <t>111:00</t>
  </si>
  <si>
    <t>102:00</t>
  </si>
  <si>
    <t>06:21</t>
  </si>
  <si>
    <t>12:54</t>
  </si>
  <si>
    <t>57:04</t>
  </si>
  <si>
    <t>64:25</t>
  </si>
  <si>
    <t>68:01</t>
  </si>
  <si>
    <t>84:05</t>
  </si>
  <si>
    <t>88:07</t>
  </si>
  <si>
    <t>99:18</t>
  </si>
  <si>
    <t>101:19</t>
  </si>
  <si>
    <t>2115776</t>
  </si>
  <si>
    <t>104</t>
  </si>
  <si>
    <t>Ilić</t>
  </si>
  <si>
    <t>Tristan</t>
  </si>
  <si>
    <t>21:00</t>
  </si>
  <si>
    <t>327</t>
  </si>
  <si>
    <t>18:00</t>
  </si>
  <si>
    <t>326</t>
  </si>
  <si>
    <t>06:00</t>
  </si>
  <si>
    <t>1020030</t>
  </si>
  <si>
    <t>167</t>
  </si>
  <si>
    <t>Hodak</t>
  </si>
  <si>
    <t>Janko</t>
  </si>
  <si>
    <t>27:00</t>
  </si>
  <si>
    <t>237558</t>
  </si>
  <si>
    <t>124</t>
  </si>
  <si>
    <t>17:00</t>
  </si>
  <si>
    <t>54:06</t>
  </si>
  <si>
    <t>37:06</t>
  </si>
  <si>
    <t>M16</t>
  </si>
  <si>
    <t>28</t>
  </si>
  <si>
    <t>3.91</t>
  </si>
  <si>
    <t>125</t>
  </si>
  <si>
    <t>61</t>
  </si>
  <si>
    <t>09:42</t>
  </si>
  <si>
    <t>64</t>
  </si>
  <si>
    <t>12:42</t>
  </si>
  <si>
    <t>39</t>
  </si>
  <si>
    <t>21:53</t>
  </si>
  <si>
    <t>63</t>
  </si>
  <si>
    <t>25:57</t>
  </si>
  <si>
    <t>31:21</t>
  </si>
  <si>
    <t>34:03</t>
  </si>
  <si>
    <t>35:29</t>
  </si>
  <si>
    <t>36:41</t>
  </si>
  <si>
    <t>1422007</t>
  </si>
  <si>
    <t>185</t>
  </si>
  <si>
    <t>Strmečki</t>
  </si>
  <si>
    <t>Vibor</t>
  </si>
  <si>
    <t>02:00</t>
  </si>
  <si>
    <t>42:04</t>
  </si>
  <si>
    <t>40:04</t>
  </si>
  <si>
    <t>09:38</t>
  </si>
  <si>
    <t>13:17</t>
  </si>
  <si>
    <t>19:07</t>
  </si>
  <si>
    <t>24:57</t>
  </si>
  <si>
    <t>33:28</t>
  </si>
  <si>
    <t>36:10</t>
  </si>
  <si>
    <t>38:06</t>
  </si>
  <si>
    <t>39:26</t>
  </si>
  <si>
    <t>2141169</t>
  </si>
  <si>
    <t>280</t>
  </si>
  <si>
    <t>Milković</t>
  </si>
  <si>
    <t>Patrick</t>
  </si>
  <si>
    <t>11:00</t>
  </si>
  <si>
    <t>61:15</t>
  </si>
  <si>
    <t>50:15</t>
  </si>
  <si>
    <t>07:21</t>
  </si>
  <si>
    <t>12:41</t>
  </si>
  <si>
    <t>19:05</t>
  </si>
  <si>
    <t>28:30</t>
  </si>
  <si>
    <t>37:25</t>
  </si>
  <si>
    <t>46:11</t>
  </si>
  <si>
    <t>47:55</t>
  </si>
  <si>
    <t>49:43</t>
  </si>
  <si>
    <t>2115762</t>
  </si>
  <si>
    <t>254</t>
  </si>
  <si>
    <t>Jurač</t>
  </si>
  <si>
    <t>26:00</t>
  </si>
  <si>
    <t>99:05</t>
  </si>
  <si>
    <t>73:05</t>
  </si>
  <si>
    <t>20:56</t>
  </si>
  <si>
    <t>32:31</t>
  </si>
  <si>
    <t>40:09</t>
  </si>
  <si>
    <t>48:06</t>
  </si>
  <si>
    <t>63:31</t>
  </si>
  <si>
    <t>66:46</t>
  </si>
  <si>
    <t>71:05</t>
  </si>
  <si>
    <t>72:29</t>
  </si>
  <si>
    <t>237592</t>
  </si>
  <si>
    <t>238</t>
  </si>
  <si>
    <t>Kuzmanić</t>
  </si>
  <si>
    <t>Borna</t>
  </si>
  <si>
    <t>23:00</t>
  </si>
  <si>
    <t>98:35</t>
  </si>
  <si>
    <t>75:35</t>
  </si>
  <si>
    <t>25:24</t>
  </si>
  <si>
    <t>31:41</t>
  </si>
  <si>
    <t>40:55</t>
  </si>
  <si>
    <t>50:21</t>
  </si>
  <si>
    <t>66:36</t>
  </si>
  <si>
    <t>69:52</t>
  </si>
  <si>
    <t>72:48</t>
  </si>
  <si>
    <t>74:58</t>
  </si>
  <si>
    <t>406735</t>
  </si>
  <si>
    <t>Vukelić</t>
  </si>
  <si>
    <t>Juraj</t>
  </si>
  <si>
    <t>14:00</t>
  </si>
  <si>
    <t>237599</t>
  </si>
  <si>
    <t>268</t>
  </si>
  <si>
    <t>Jelinić</t>
  </si>
  <si>
    <t>Mark</t>
  </si>
  <si>
    <t>29:00</t>
  </si>
  <si>
    <t>325</t>
  </si>
  <si>
    <t>32:00</t>
  </si>
  <si>
    <t>237608</t>
  </si>
  <si>
    <t>102</t>
  </si>
  <si>
    <t>Jandras</t>
  </si>
  <si>
    <t>Goran</t>
  </si>
  <si>
    <t>20:00</t>
  </si>
  <si>
    <t>71:32</t>
  </si>
  <si>
    <t>51:32</t>
  </si>
  <si>
    <t>08:20</t>
  </si>
  <si>
    <t>20:59</t>
  </si>
  <si>
    <t>27:51</t>
  </si>
  <si>
    <t>42:34</t>
  </si>
  <si>
    <t>46:13</t>
  </si>
  <si>
    <t>49:33</t>
  </si>
  <si>
    <t>51:00</t>
  </si>
  <si>
    <t>893801</t>
  </si>
  <si>
    <t>Yelen</t>
  </si>
  <si>
    <t>Kaan</t>
  </si>
  <si>
    <t>08:00</t>
  </si>
  <si>
    <t>123:18</t>
  </si>
  <si>
    <t>115:18</t>
  </si>
  <si>
    <t>77:52</t>
  </si>
  <si>
    <t>81:35</t>
  </si>
  <si>
    <t>114:36</t>
  </si>
  <si>
    <t>324</t>
  </si>
  <si>
    <t>05:00</t>
  </si>
  <si>
    <t>8135002</t>
  </si>
  <si>
    <t>58</t>
  </si>
  <si>
    <t>Gobec</t>
  </si>
  <si>
    <t>Jan</t>
  </si>
  <si>
    <t>59:38</t>
  </si>
  <si>
    <t>51:38</t>
  </si>
  <si>
    <t>M20</t>
  </si>
  <si>
    <t>29</t>
  </si>
  <si>
    <t>5.91</t>
  </si>
  <si>
    <t>290</t>
  </si>
  <si>
    <t>41</t>
  </si>
  <si>
    <t>09:51</t>
  </si>
  <si>
    <t>71</t>
  </si>
  <si>
    <t>14:39</t>
  </si>
  <si>
    <t>47</t>
  </si>
  <si>
    <t>19:28</t>
  </si>
  <si>
    <t>45</t>
  </si>
  <si>
    <t>50</t>
  </si>
  <si>
    <t>26:20</t>
  </si>
  <si>
    <t>46</t>
  </si>
  <si>
    <t>28:17</t>
  </si>
  <si>
    <t>49</t>
  </si>
  <si>
    <t>30:07</t>
  </si>
  <si>
    <t>62</t>
  </si>
  <si>
    <t>48:31</t>
  </si>
  <si>
    <t>55</t>
  </si>
  <si>
    <t>50:48</t>
  </si>
  <si>
    <t>51:11</t>
  </si>
  <si>
    <t>1289347</t>
  </si>
  <si>
    <t>202</t>
  </si>
  <si>
    <t>Kukec</t>
  </si>
  <si>
    <t>Jura</t>
  </si>
  <si>
    <t>101:33</t>
  </si>
  <si>
    <t>65:33</t>
  </si>
  <si>
    <t>11:27</t>
  </si>
  <si>
    <t>19:21</t>
  </si>
  <si>
    <t>23:38</t>
  </si>
  <si>
    <t>26:58</t>
  </si>
  <si>
    <t>37:03</t>
  </si>
  <si>
    <t>61:48</t>
  </si>
  <si>
    <t>64:30</t>
  </si>
  <si>
    <t>65:10</t>
  </si>
  <si>
    <t>585858</t>
  </si>
  <si>
    <t>255</t>
  </si>
  <si>
    <t>28:00</t>
  </si>
  <si>
    <t>101:48</t>
  </si>
  <si>
    <t>73:48</t>
  </si>
  <si>
    <t>10:29</t>
  </si>
  <si>
    <t>18:49</t>
  </si>
  <si>
    <t>23:25</t>
  </si>
  <si>
    <t>26:27</t>
  </si>
  <si>
    <t>33:19</t>
  </si>
  <si>
    <t>35:40</t>
  </si>
  <si>
    <t>42:06</t>
  </si>
  <si>
    <t>70:01</t>
  </si>
  <si>
    <t>72:40</t>
  </si>
  <si>
    <t>7000638</t>
  </si>
  <si>
    <t>Kolarek</t>
  </si>
  <si>
    <t>Noa</t>
  </si>
  <si>
    <t>101:41</t>
  </si>
  <si>
    <t>81:41</t>
  </si>
  <si>
    <t>13:45</t>
  </si>
  <si>
    <t>23:24</t>
  </si>
  <si>
    <t>30:06</t>
  </si>
  <si>
    <t>34:43</t>
  </si>
  <si>
    <t>41:15</t>
  </si>
  <si>
    <t>43:34</t>
  </si>
  <si>
    <t>50:04</t>
  </si>
  <si>
    <t>77:53</t>
  </si>
  <si>
    <t>80:34</t>
  </si>
  <si>
    <t>81:12</t>
  </si>
  <si>
    <t>2113338</t>
  </si>
  <si>
    <t>188</t>
  </si>
  <si>
    <t>Kocijan</t>
  </si>
  <si>
    <t>121:46</t>
  </si>
  <si>
    <t>97:46</t>
  </si>
  <si>
    <t>25:05</t>
  </si>
  <si>
    <t>41:36</t>
  </si>
  <si>
    <t>45:54</t>
  </si>
  <si>
    <t>53:52</t>
  </si>
  <si>
    <t>56:38</t>
  </si>
  <si>
    <t>60:24</t>
  </si>
  <si>
    <t>93:15</t>
  </si>
  <si>
    <t>96:42</t>
  </si>
  <si>
    <t>97:12</t>
  </si>
  <si>
    <t>8656792</t>
  </si>
  <si>
    <t>115</t>
  </si>
  <si>
    <t>Pevec</t>
  </si>
  <si>
    <t>Ozren</t>
  </si>
  <si>
    <t>16:00</t>
  </si>
  <si>
    <t>173:07</t>
  </si>
  <si>
    <t>157:07</t>
  </si>
  <si>
    <t>19:52</t>
  </si>
  <si>
    <t>43:00</t>
  </si>
  <si>
    <t>49:28</t>
  </si>
  <si>
    <t>54:16</t>
  </si>
  <si>
    <t>78:09</t>
  </si>
  <si>
    <t>83:24</t>
  </si>
  <si>
    <t>90:36</t>
  </si>
  <si>
    <t>150:32</t>
  </si>
  <si>
    <t>155:40</t>
  </si>
  <si>
    <t>156:36</t>
  </si>
  <si>
    <t>322</t>
  </si>
  <si>
    <t>04:00</t>
  </si>
  <si>
    <t>446317</t>
  </si>
  <si>
    <t>191</t>
  </si>
  <si>
    <t>Cindrić</t>
  </si>
  <si>
    <t>Antonio</t>
  </si>
  <si>
    <t>323</t>
  </si>
  <si>
    <t>40:00</t>
  </si>
  <si>
    <t>2113340</t>
  </si>
  <si>
    <t>184</t>
  </si>
  <si>
    <t>Pasquino</t>
  </si>
  <si>
    <t>104:22</t>
  </si>
  <si>
    <t>72:22</t>
  </si>
  <si>
    <t>43:39</t>
  </si>
  <si>
    <t>71:00</t>
  </si>
  <si>
    <t>887794</t>
  </si>
  <si>
    <t>Hribar</t>
  </si>
  <si>
    <t>Andraž</t>
  </si>
  <si>
    <t>60:00</t>
  </si>
  <si>
    <t>123:39</t>
  </si>
  <si>
    <t>63:39</t>
  </si>
  <si>
    <t>M21A</t>
  </si>
  <si>
    <t>24</t>
  </si>
  <si>
    <t>9.14</t>
  </si>
  <si>
    <t>460</t>
  </si>
  <si>
    <t>17</t>
  </si>
  <si>
    <t>43</t>
  </si>
  <si>
    <t>07:28</t>
  </si>
  <si>
    <t>56</t>
  </si>
  <si>
    <t>10:25</t>
  </si>
  <si>
    <t>11:38</t>
  </si>
  <si>
    <t>15:06</t>
  </si>
  <si>
    <t>18:36</t>
  </si>
  <si>
    <t>21:13</t>
  </si>
  <si>
    <t>22:15</t>
  </si>
  <si>
    <t>23:31</t>
  </si>
  <si>
    <t>31</t>
  </si>
  <si>
    <t>40:34</t>
  </si>
  <si>
    <t>51</t>
  </si>
  <si>
    <t>42:26</t>
  </si>
  <si>
    <t>32</t>
  </si>
  <si>
    <t>43:56</t>
  </si>
  <si>
    <t>33</t>
  </si>
  <si>
    <t>47:29</t>
  </si>
  <si>
    <t>52</t>
  </si>
  <si>
    <t>53:17</t>
  </si>
  <si>
    <t>53</t>
  </si>
  <si>
    <t>55:32</t>
  </si>
  <si>
    <t>54</t>
  </si>
  <si>
    <t>61:40</t>
  </si>
  <si>
    <t>62:45</t>
  </si>
  <si>
    <t>63:11</t>
  </si>
  <si>
    <t>8221221</t>
  </si>
  <si>
    <t>291</t>
  </si>
  <si>
    <t>Razum</t>
  </si>
  <si>
    <t>Matija</t>
  </si>
  <si>
    <t>34:00</t>
  </si>
  <si>
    <t>98:05</t>
  </si>
  <si>
    <t>64:05</t>
  </si>
  <si>
    <t>08:47</t>
  </si>
  <si>
    <t>11:30</t>
  </si>
  <si>
    <t>12:43</t>
  </si>
  <si>
    <t>15:49</t>
  </si>
  <si>
    <t>22:14</t>
  </si>
  <si>
    <t>23:47</t>
  </si>
  <si>
    <t>26:44</t>
  </si>
  <si>
    <t>42:52</t>
  </si>
  <si>
    <t>44:35</t>
  </si>
  <si>
    <t>48:15</t>
  </si>
  <si>
    <t>54:46</t>
  </si>
  <si>
    <t>56:44</t>
  </si>
  <si>
    <t>62:17</t>
  </si>
  <si>
    <t>63:18</t>
  </si>
  <si>
    <t>63:40</t>
  </si>
  <si>
    <t>7910421</t>
  </si>
  <si>
    <t>Horvat</t>
  </si>
  <si>
    <t>Lobel</t>
  </si>
  <si>
    <t>96:16</t>
  </si>
  <si>
    <t>70:16</t>
  </si>
  <si>
    <t>09:16</t>
  </si>
  <si>
    <t>12:05</t>
  </si>
  <si>
    <t>13:19</t>
  </si>
  <si>
    <t>17:42</t>
  </si>
  <si>
    <t>21:50</t>
  </si>
  <si>
    <t>24:36</t>
  </si>
  <si>
    <t>26:01</t>
  </si>
  <si>
    <t>27:41</t>
  </si>
  <si>
    <t>46:55</t>
  </si>
  <si>
    <t>48:44</t>
  </si>
  <si>
    <t>50:12</t>
  </si>
  <si>
    <t>53:16</t>
  </si>
  <si>
    <t>59:25</t>
  </si>
  <si>
    <t>68:12</t>
  </si>
  <si>
    <t>69:26</t>
  </si>
  <si>
    <t>69:51</t>
  </si>
  <si>
    <t>7210949</t>
  </si>
  <si>
    <t>244</t>
  </si>
  <si>
    <t>Gadžić</t>
  </si>
  <si>
    <t>Dražen</t>
  </si>
  <si>
    <t>46:00</t>
  </si>
  <si>
    <t>122:29</t>
  </si>
  <si>
    <t>76:29</t>
  </si>
  <si>
    <t>08:48</t>
  </si>
  <si>
    <t>11:26</t>
  </si>
  <si>
    <t>17:03</t>
  </si>
  <si>
    <t>20:58</t>
  </si>
  <si>
    <t>23:02</t>
  </si>
  <si>
    <t>24:13</t>
  </si>
  <si>
    <t>25:58</t>
  </si>
  <si>
    <t>47:19</t>
  </si>
  <si>
    <t>49:07</t>
  </si>
  <si>
    <t>50:52</t>
  </si>
  <si>
    <t>54:11</t>
  </si>
  <si>
    <t>63:16</t>
  </si>
  <si>
    <t>66:03</t>
  </si>
  <si>
    <t>74:28</t>
  </si>
  <si>
    <t>75:43</t>
  </si>
  <si>
    <t>76:05</t>
  </si>
  <si>
    <t>222940</t>
  </si>
  <si>
    <t>250</t>
  </si>
  <si>
    <t>Vujanić</t>
  </si>
  <si>
    <t>109:45</t>
  </si>
  <si>
    <t>91:45</t>
  </si>
  <si>
    <t>11:21</t>
  </si>
  <si>
    <t>16:06</t>
  </si>
  <si>
    <t>17:34</t>
  </si>
  <si>
    <t>27:32</t>
  </si>
  <si>
    <t>29:56</t>
  </si>
  <si>
    <t>31:25</t>
  </si>
  <si>
    <t>33:40</t>
  </si>
  <si>
    <t>57:27</t>
  </si>
  <si>
    <t>60:51</t>
  </si>
  <si>
    <t>62:42</t>
  </si>
  <si>
    <t>68:21</t>
  </si>
  <si>
    <t>78:01</t>
  </si>
  <si>
    <t>80:35</t>
  </si>
  <si>
    <t>89:14</t>
  </si>
  <si>
    <t>90:50</t>
  </si>
  <si>
    <t>91:16</t>
  </si>
  <si>
    <t>2442560</t>
  </si>
  <si>
    <t>249</t>
  </si>
  <si>
    <t>Josip</t>
  </si>
  <si>
    <t>10:00</t>
  </si>
  <si>
    <t>102:46</t>
  </si>
  <si>
    <t>92:46</t>
  </si>
  <si>
    <t>10:46</t>
  </si>
  <si>
    <t>17:35</t>
  </si>
  <si>
    <t>22:13</t>
  </si>
  <si>
    <t>28:09</t>
  </si>
  <si>
    <t>30:24</t>
  </si>
  <si>
    <t>32:04</t>
  </si>
  <si>
    <t>34:47</t>
  </si>
  <si>
    <t>56:31</t>
  </si>
  <si>
    <t>58:58</t>
  </si>
  <si>
    <t>60:52</t>
  </si>
  <si>
    <t>67:03</t>
  </si>
  <si>
    <t>75:31</t>
  </si>
  <si>
    <t>78:20</t>
  </si>
  <si>
    <t>89:50</t>
  </si>
  <si>
    <t>91:43</t>
  </si>
  <si>
    <t>92:11</t>
  </si>
  <si>
    <t>893831</t>
  </si>
  <si>
    <t>145</t>
  </si>
  <si>
    <t>Varnica</t>
  </si>
  <si>
    <t>Tomislav</t>
  </si>
  <si>
    <t>22:00</t>
  </si>
  <si>
    <t>121:28</t>
  </si>
  <si>
    <t>99:28</t>
  </si>
  <si>
    <t>15:01</t>
  </si>
  <si>
    <t>19:11</t>
  </si>
  <si>
    <t>21:16</t>
  </si>
  <si>
    <t>27:13</t>
  </si>
  <si>
    <t>33:17</t>
  </si>
  <si>
    <t>36:07</t>
  </si>
  <si>
    <t>37:37</t>
  </si>
  <si>
    <t>40:19</t>
  </si>
  <si>
    <t>65:53</t>
  </si>
  <si>
    <t>68:40</t>
  </si>
  <si>
    <t>70:45</t>
  </si>
  <si>
    <t>75:08</t>
  </si>
  <si>
    <t>84:27</t>
  </si>
  <si>
    <t>87:33</t>
  </si>
  <si>
    <t>96:52</t>
  </si>
  <si>
    <t>98:29</t>
  </si>
  <si>
    <t>99:00</t>
  </si>
  <si>
    <t>7777733</t>
  </si>
  <si>
    <t>206</t>
  </si>
  <si>
    <t>Marković</t>
  </si>
  <si>
    <t>Frane</t>
  </si>
  <si>
    <t>103:54</t>
  </si>
  <si>
    <t>101:54</t>
  </si>
  <si>
    <t>19:49</t>
  </si>
  <si>
    <t>25:44</t>
  </si>
  <si>
    <t>31:13</t>
  </si>
  <si>
    <t>33:53</t>
  </si>
  <si>
    <t>35:49</t>
  </si>
  <si>
    <t>38:49</t>
  </si>
  <si>
    <t>64:27</t>
  </si>
  <si>
    <t>67:08</t>
  </si>
  <si>
    <t>69:07</t>
  </si>
  <si>
    <t>75:01</t>
  </si>
  <si>
    <t>84:41</t>
  </si>
  <si>
    <t>88:17</t>
  </si>
  <si>
    <t>98:37</t>
  </si>
  <si>
    <t>100:25</t>
  </si>
  <si>
    <t>101:15</t>
  </si>
  <si>
    <t>899007</t>
  </si>
  <si>
    <t>110</t>
  </si>
  <si>
    <t>Berković</t>
  </si>
  <si>
    <t>Vedran</t>
  </si>
  <si>
    <t>155:48</t>
  </si>
  <si>
    <t>125:48</t>
  </si>
  <si>
    <t>14:35</t>
  </si>
  <si>
    <t>19:36</t>
  </si>
  <si>
    <t>26:12</t>
  </si>
  <si>
    <t>32:57</t>
  </si>
  <si>
    <t>38:36</t>
  </si>
  <si>
    <t>44:54</t>
  </si>
  <si>
    <t>47:57</t>
  </si>
  <si>
    <t>78:50</t>
  </si>
  <si>
    <t>81:57</t>
  </si>
  <si>
    <t>84:25</t>
  </si>
  <si>
    <t>89:37</t>
  </si>
  <si>
    <t>103:57</t>
  </si>
  <si>
    <t>108:34</t>
  </si>
  <si>
    <t>119:44</t>
  </si>
  <si>
    <t>124:18</t>
  </si>
  <si>
    <t>125:08</t>
  </si>
  <si>
    <t>446318</t>
  </si>
  <si>
    <t>248</t>
  </si>
  <si>
    <t>Košćica</t>
  </si>
  <si>
    <t>Miran</t>
  </si>
  <si>
    <t>42:00</t>
  </si>
  <si>
    <t>171:16</t>
  </si>
  <si>
    <t>129:16</t>
  </si>
  <si>
    <t>18:09</t>
  </si>
  <si>
    <t>22:43</t>
  </si>
  <si>
    <t>24:29</t>
  </si>
  <si>
    <t>30:04</t>
  </si>
  <si>
    <t>35:10</t>
  </si>
  <si>
    <t>39:19</t>
  </si>
  <si>
    <t>40:41</t>
  </si>
  <si>
    <t>42:59</t>
  </si>
  <si>
    <t>85:19</t>
  </si>
  <si>
    <t>91:01</t>
  </si>
  <si>
    <t>93:11</t>
  </si>
  <si>
    <t>97:14</t>
  </si>
  <si>
    <t>111:29</t>
  </si>
  <si>
    <t>115:07</t>
  </si>
  <si>
    <t>126:23</t>
  </si>
  <si>
    <t>128:01</t>
  </si>
  <si>
    <t>128:38</t>
  </si>
  <si>
    <t>308</t>
  </si>
  <si>
    <t>38:00</t>
  </si>
  <si>
    <t>309</t>
  </si>
  <si>
    <t>8009715</t>
  </si>
  <si>
    <t>80</t>
  </si>
  <si>
    <t>Filetin</t>
  </si>
  <si>
    <t>500739</t>
  </si>
  <si>
    <t>120</t>
  </si>
  <si>
    <t>Jelić</t>
  </si>
  <si>
    <t>Ivor</t>
  </si>
  <si>
    <t>80:00</t>
  </si>
  <si>
    <t>122:32</t>
  </si>
  <si>
    <t>42:32</t>
  </si>
  <si>
    <t>M21B</t>
  </si>
  <si>
    <t>12:59</t>
  </si>
  <si>
    <t>16:53</t>
  </si>
  <si>
    <t>22:35</t>
  </si>
  <si>
    <t>35:34</t>
  </si>
  <si>
    <t>38:02</t>
  </si>
  <si>
    <t>41:58</t>
  </si>
  <si>
    <t>7209461</t>
  </si>
  <si>
    <t>88</t>
  </si>
  <si>
    <t>Pleše</t>
  </si>
  <si>
    <t>Danko</t>
  </si>
  <si>
    <t>35:00</t>
  </si>
  <si>
    <t>78:55</t>
  </si>
  <si>
    <t>43:55</t>
  </si>
  <si>
    <t>11:11</t>
  </si>
  <si>
    <t>14:33</t>
  </si>
  <si>
    <t>27:03</t>
  </si>
  <si>
    <t>31:40</t>
  </si>
  <si>
    <t>37:18</t>
  </si>
  <si>
    <t>42:15</t>
  </si>
  <si>
    <t>43:27</t>
  </si>
  <si>
    <t>7212119</t>
  </si>
  <si>
    <t>271</t>
  </si>
  <si>
    <t>Timo Vilim</t>
  </si>
  <si>
    <t>107:00</t>
  </si>
  <si>
    <t>152:03</t>
  </si>
  <si>
    <t>45:03</t>
  </si>
  <si>
    <t>10:14</t>
  </si>
  <si>
    <t>14:34</t>
  </si>
  <si>
    <t>21:26</t>
  </si>
  <si>
    <t>27:38</t>
  </si>
  <si>
    <t>35:58</t>
  </si>
  <si>
    <t>42:38</t>
  </si>
  <si>
    <t>44:30</t>
  </si>
  <si>
    <t>2115766</t>
  </si>
  <si>
    <t>234</t>
  </si>
  <si>
    <t>Kučinac</t>
  </si>
  <si>
    <t>116:00</t>
  </si>
  <si>
    <t>161:11</t>
  </si>
  <si>
    <t>45:11</t>
  </si>
  <si>
    <t>11:37</t>
  </si>
  <si>
    <t>15:50</t>
  </si>
  <si>
    <t>24:18</t>
  </si>
  <si>
    <t>29:24</t>
  </si>
  <si>
    <t>37:15</t>
  </si>
  <si>
    <t>43:07</t>
  </si>
  <si>
    <t>44:41</t>
  </si>
  <si>
    <t>236862</t>
  </si>
  <si>
    <t>133</t>
  </si>
  <si>
    <t>Klasić</t>
  </si>
  <si>
    <t>Dominik</t>
  </si>
  <si>
    <t>137:00</t>
  </si>
  <si>
    <t>185:04</t>
  </si>
  <si>
    <t>48:04</t>
  </si>
  <si>
    <t>11:14</t>
  </si>
  <si>
    <t>15:26</t>
  </si>
  <si>
    <t>21:23</t>
  </si>
  <si>
    <t>27:06</t>
  </si>
  <si>
    <t>38:05</t>
  </si>
  <si>
    <t>42:24</t>
  </si>
  <si>
    <t>46:06</t>
  </si>
  <si>
    <t>47:31</t>
  </si>
  <si>
    <t>2030936</t>
  </si>
  <si>
    <t>138</t>
  </si>
  <si>
    <t>Mađarić</t>
  </si>
  <si>
    <t>Predrag</t>
  </si>
  <si>
    <t>131:00</t>
  </si>
  <si>
    <t>181:25</t>
  </si>
  <si>
    <t>50:25</t>
  </si>
  <si>
    <t>14:13</t>
  </si>
  <si>
    <t>18:12</t>
  </si>
  <si>
    <t>23:52</t>
  </si>
  <si>
    <t>29:40</t>
  </si>
  <si>
    <t>45:36</t>
  </si>
  <si>
    <t>48:02</t>
  </si>
  <si>
    <t>49:41</t>
  </si>
  <si>
    <t>337656</t>
  </si>
  <si>
    <t>297</t>
  </si>
  <si>
    <t>Putniković</t>
  </si>
  <si>
    <t>Branimir</t>
  </si>
  <si>
    <t>104:00</t>
  </si>
  <si>
    <t>155:30</t>
  </si>
  <si>
    <t>51:30</t>
  </si>
  <si>
    <t>18:25</t>
  </si>
  <si>
    <t>22:25</t>
  </si>
  <si>
    <t>27:16</t>
  </si>
  <si>
    <t>33:25</t>
  </si>
  <si>
    <t>47:11</t>
  </si>
  <si>
    <t>49:25</t>
  </si>
  <si>
    <t>222408</t>
  </si>
  <si>
    <t>79</t>
  </si>
  <si>
    <t>Kos</t>
  </si>
  <si>
    <t>Zlatan</t>
  </si>
  <si>
    <t>124:23</t>
  </si>
  <si>
    <t>53:23</t>
  </si>
  <si>
    <t>14:14</t>
  </si>
  <si>
    <t>19:30</t>
  </si>
  <si>
    <t>26:40</t>
  </si>
  <si>
    <t>34:55</t>
  </si>
  <si>
    <t>43:59</t>
  </si>
  <si>
    <t>47:18</t>
  </si>
  <si>
    <t>52:33</t>
  </si>
  <si>
    <t>7207151</t>
  </si>
  <si>
    <t>307</t>
  </si>
  <si>
    <t>Malović</t>
  </si>
  <si>
    <t>62:00</t>
  </si>
  <si>
    <t>123:09</t>
  </si>
  <si>
    <t>61:09</t>
  </si>
  <si>
    <t>10:21</t>
  </si>
  <si>
    <t>17:22</t>
  </si>
  <si>
    <t>31:10</t>
  </si>
  <si>
    <t>38:13</t>
  </si>
  <si>
    <t>51:27</t>
  </si>
  <si>
    <t>54:51</t>
  </si>
  <si>
    <t>58:17</t>
  </si>
  <si>
    <t>60:26</t>
  </si>
  <si>
    <t>2300279</t>
  </si>
  <si>
    <t>180</t>
  </si>
  <si>
    <t>Tonković</t>
  </si>
  <si>
    <t>Zdravko</t>
  </si>
  <si>
    <t>99:21</t>
  </si>
  <si>
    <t>61:21</t>
  </si>
  <si>
    <t>15:52</t>
  </si>
  <si>
    <t>20:45</t>
  </si>
  <si>
    <t>28:01</t>
  </si>
  <si>
    <t>36:19</t>
  </si>
  <si>
    <t>51:18</t>
  </si>
  <si>
    <t>55:08</t>
  </si>
  <si>
    <t>58:35</t>
  </si>
  <si>
    <t>60:32</t>
  </si>
  <si>
    <t>237556</t>
  </si>
  <si>
    <t>265</t>
  </si>
  <si>
    <t>Verović</t>
  </si>
  <si>
    <t>Kristijan</t>
  </si>
  <si>
    <t>95:00</t>
  </si>
  <si>
    <t>164:26</t>
  </si>
  <si>
    <t>10:44</t>
  </si>
  <si>
    <t>16:07</t>
  </si>
  <si>
    <t>32:28</t>
  </si>
  <si>
    <t>44:56</t>
  </si>
  <si>
    <t>56:17</t>
  </si>
  <si>
    <t>60:44</t>
  </si>
  <si>
    <t>66:12</t>
  </si>
  <si>
    <t>68:59</t>
  </si>
  <si>
    <t>893849</t>
  </si>
  <si>
    <t>107</t>
  </si>
  <si>
    <t>Burgund</t>
  </si>
  <si>
    <t>134:00</t>
  </si>
  <si>
    <t>205:34</t>
  </si>
  <si>
    <t>71:34</t>
  </si>
  <si>
    <t>12</t>
  </si>
  <si>
    <t>14:22</t>
  </si>
  <si>
    <t>20:55</t>
  </si>
  <si>
    <t>35:50</t>
  </si>
  <si>
    <t>43:52</t>
  </si>
  <si>
    <t>57:08</t>
  </si>
  <si>
    <t>61:20</t>
  </si>
  <si>
    <t>67:35</t>
  </si>
  <si>
    <t>70:39</t>
  </si>
  <si>
    <t>2113388</t>
  </si>
  <si>
    <t>141</t>
  </si>
  <si>
    <t>Siniša</t>
  </si>
  <si>
    <t>56:00</t>
  </si>
  <si>
    <t>131:28</t>
  </si>
  <si>
    <t>75:28</t>
  </si>
  <si>
    <t>13</t>
  </si>
  <si>
    <t>28:25</t>
  </si>
  <si>
    <t>34:19</t>
  </si>
  <si>
    <t>41:27</t>
  </si>
  <si>
    <t>50:23</t>
  </si>
  <si>
    <t>62:16</t>
  </si>
  <si>
    <t>67:14</t>
  </si>
  <si>
    <t>71:51</t>
  </si>
  <si>
    <t>74:42</t>
  </si>
  <si>
    <t>222417</t>
  </si>
  <si>
    <t>Klement</t>
  </si>
  <si>
    <t>Tihomir</t>
  </si>
  <si>
    <t>138:50</t>
  </si>
  <si>
    <t>85:50</t>
  </si>
  <si>
    <t>14</t>
  </si>
  <si>
    <t>33:06</t>
  </si>
  <si>
    <t>39:08</t>
  </si>
  <si>
    <t>47:34</t>
  </si>
  <si>
    <t>56:59</t>
  </si>
  <si>
    <t>69:59</t>
  </si>
  <si>
    <t>76:56</t>
  </si>
  <si>
    <t>82:03</t>
  </si>
  <si>
    <t>84:55</t>
  </si>
  <si>
    <t>222402</t>
  </si>
  <si>
    <t>83</t>
  </si>
  <si>
    <t>Valjak</t>
  </si>
  <si>
    <t>Željko</t>
  </si>
  <si>
    <t>83:00</t>
  </si>
  <si>
    <t>169:08</t>
  </si>
  <si>
    <t>86:08</t>
  </si>
  <si>
    <t>15</t>
  </si>
  <si>
    <t>10:41</t>
  </si>
  <si>
    <t>25:50</t>
  </si>
  <si>
    <t>60:21</t>
  </si>
  <si>
    <t>72:52</t>
  </si>
  <si>
    <t>78:11</t>
  </si>
  <si>
    <t>82:42</t>
  </si>
  <si>
    <t>85:16</t>
  </si>
  <si>
    <t>2118094</t>
  </si>
  <si>
    <t>235</t>
  </si>
  <si>
    <t>Vodopija</t>
  </si>
  <si>
    <t>Dario</t>
  </si>
  <si>
    <t>47:00</t>
  </si>
  <si>
    <t>138:02</t>
  </si>
  <si>
    <t>91:02</t>
  </si>
  <si>
    <t>16</t>
  </si>
  <si>
    <t>38:44</t>
  </si>
  <si>
    <t>44:57</t>
  </si>
  <si>
    <t>53:21</t>
  </si>
  <si>
    <t>62:51</t>
  </si>
  <si>
    <t>75:45</t>
  </si>
  <si>
    <t>82:47</t>
  </si>
  <si>
    <t>87:55</t>
  </si>
  <si>
    <t>90:33</t>
  </si>
  <si>
    <t>2030934</t>
  </si>
  <si>
    <t>139</t>
  </si>
  <si>
    <t>Šantek</t>
  </si>
  <si>
    <t>74:00</t>
  </si>
  <si>
    <t>166:27</t>
  </si>
  <si>
    <t>92:27</t>
  </si>
  <si>
    <t>44:38</t>
  </si>
  <si>
    <t>49:53</t>
  </si>
  <si>
    <t>60:03</t>
  </si>
  <si>
    <t>69:40</t>
  </si>
  <si>
    <t>82:57</t>
  </si>
  <si>
    <t>86:38</t>
  </si>
  <si>
    <t>89:26</t>
  </si>
  <si>
    <t>222415</t>
  </si>
  <si>
    <t>Kavečić</t>
  </si>
  <si>
    <t>Domagoj</t>
  </si>
  <si>
    <t>92:00</t>
  </si>
  <si>
    <t>185:45</t>
  </si>
  <si>
    <t>93:45</t>
  </si>
  <si>
    <t>18</t>
  </si>
  <si>
    <t>38:03</t>
  </si>
  <si>
    <t>53:13</t>
  </si>
  <si>
    <t>62:24</t>
  </si>
  <si>
    <t>69:33</t>
  </si>
  <si>
    <t>83:20</t>
  </si>
  <si>
    <t>87:12</t>
  </si>
  <si>
    <t>91:24</t>
  </si>
  <si>
    <t>93:02</t>
  </si>
  <si>
    <t>893830</t>
  </si>
  <si>
    <t>152</t>
  </si>
  <si>
    <t>Težak</t>
  </si>
  <si>
    <t>187:29</t>
  </si>
  <si>
    <t>19</t>
  </si>
  <si>
    <t>18:28</t>
  </si>
  <si>
    <t>22:53</t>
  </si>
  <si>
    <t>67:24</t>
  </si>
  <si>
    <t>74:52</t>
  </si>
  <si>
    <t>87:42</t>
  </si>
  <si>
    <t>92:05</t>
  </si>
  <si>
    <t>96:14</t>
  </si>
  <si>
    <t>98:02</t>
  </si>
  <si>
    <t>8190186</t>
  </si>
  <si>
    <t>193</t>
  </si>
  <si>
    <t>Klarić</t>
  </si>
  <si>
    <t>Vjekoslav</t>
  </si>
  <si>
    <t>86:00</t>
  </si>
  <si>
    <t>185:32</t>
  </si>
  <si>
    <t>99:32</t>
  </si>
  <si>
    <t>20</t>
  </si>
  <si>
    <t>26:33</t>
  </si>
  <si>
    <t>33:38</t>
  </si>
  <si>
    <t>60:47</t>
  </si>
  <si>
    <t>71:54</t>
  </si>
  <si>
    <t>90:01</t>
  </si>
  <si>
    <t>93:17</t>
  </si>
  <si>
    <t>97:10</t>
  </si>
  <si>
    <t>98:51</t>
  </si>
  <si>
    <t>406866</t>
  </si>
  <si>
    <t>91</t>
  </si>
  <si>
    <t>50:00</t>
  </si>
  <si>
    <t>149:52</t>
  </si>
  <si>
    <t>99:52</t>
  </si>
  <si>
    <t>21</t>
  </si>
  <si>
    <t>19:25</t>
  </si>
  <si>
    <t>26:38</t>
  </si>
  <si>
    <t>35:32</t>
  </si>
  <si>
    <t>46:02</t>
  </si>
  <si>
    <t>82:00</t>
  </si>
  <si>
    <t>88:51</t>
  </si>
  <si>
    <t>96:05</t>
  </si>
  <si>
    <t>99:08</t>
  </si>
  <si>
    <t>222409</t>
  </si>
  <si>
    <t>78</t>
  </si>
  <si>
    <t>Martinović</t>
  </si>
  <si>
    <t>Dino</t>
  </si>
  <si>
    <t>101:00</t>
  </si>
  <si>
    <t>207:29</t>
  </si>
  <si>
    <t>106:29</t>
  </si>
  <si>
    <t>22</t>
  </si>
  <si>
    <t>35:24</t>
  </si>
  <si>
    <t>41:05</t>
  </si>
  <si>
    <t>63:02</t>
  </si>
  <si>
    <t>73:55</t>
  </si>
  <si>
    <t>86:51</t>
  </si>
  <si>
    <t>96:32</t>
  </si>
  <si>
    <t>103:07</t>
  </si>
  <si>
    <t>105:45</t>
  </si>
  <si>
    <t>222410</t>
  </si>
  <si>
    <t>75</t>
  </si>
  <si>
    <t>Cimperšak Žigrović</t>
  </si>
  <si>
    <t>Jurica</t>
  </si>
  <si>
    <t>113:00</t>
  </si>
  <si>
    <t>220:35</t>
  </si>
  <si>
    <t>107:35</t>
  </si>
  <si>
    <t>43:20</t>
  </si>
  <si>
    <t>53:44</t>
  </si>
  <si>
    <t>62:44</t>
  </si>
  <si>
    <t>69:38</t>
  </si>
  <si>
    <t>96:34</t>
  </si>
  <si>
    <t>99:56</t>
  </si>
  <si>
    <t>104:23</t>
  </si>
  <si>
    <t>106:46</t>
  </si>
  <si>
    <t>418498</t>
  </si>
  <si>
    <t>94</t>
  </si>
  <si>
    <t>Lozančić</t>
  </si>
  <si>
    <t>Franjo</t>
  </si>
  <si>
    <t>128:00</t>
  </si>
  <si>
    <t>235:41</t>
  </si>
  <si>
    <t>107:41</t>
  </si>
  <si>
    <t>28:54</t>
  </si>
  <si>
    <t>34:46</t>
  </si>
  <si>
    <t>43:50</t>
  </si>
  <si>
    <t>82:35</t>
  </si>
  <si>
    <t>93:06</t>
  </si>
  <si>
    <t>97:03</t>
  </si>
  <si>
    <t>105:22</t>
  </si>
  <si>
    <t>107:03</t>
  </si>
  <si>
    <t>232289</t>
  </si>
  <si>
    <t>Trčak</t>
  </si>
  <si>
    <t>Emil</t>
  </si>
  <si>
    <t>125:00</t>
  </si>
  <si>
    <t>236:44</t>
  </si>
  <si>
    <t>111:44</t>
  </si>
  <si>
    <t>25</t>
  </si>
  <si>
    <t>32:35</t>
  </si>
  <si>
    <t>42:44</t>
  </si>
  <si>
    <t>50:22</t>
  </si>
  <si>
    <t>58:03</t>
  </si>
  <si>
    <t>82:58</t>
  </si>
  <si>
    <t>100:47</t>
  </si>
  <si>
    <t>108:46</t>
  </si>
  <si>
    <t>110:27</t>
  </si>
  <si>
    <t>345974</t>
  </si>
  <si>
    <t>101</t>
  </si>
  <si>
    <t>Hrvoje</t>
  </si>
  <si>
    <t>98:00</t>
  </si>
  <si>
    <t>220:34</t>
  </si>
  <si>
    <t>122:34</t>
  </si>
  <si>
    <t>59:03</t>
  </si>
  <si>
    <t>77:48</t>
  </si>
  <si>
    <t>84:22</t>
  </si>
  <si>
    <t>111:38</t>
  </si>
  <si>
    <t>115:09</t>
  </si>
  <si>
    <t>119:20</t>
  </si>
  <si>
    <t>121:39</t>
  </si>
  <si>
    <t>439280</t>
  </si>
  <si>
    <t>93</t>
  </si>
  <si>
    <t>Lucić</t>
  </si>
  <si>
    <t>Nikola</t>
  </si>
  <si>
    <t>207:30</t>
  </si>
  <si>
    <t>142:30</t>
  </si>
  <si>
    <t>71:22</t>
  </si>
  <si>
    <t>77:03</t>
  </si>
  <si>
    <t>109:42</t>
  </si>
  <si>
    <t>122:54</t>
  </si>
  <si>
    <t>132:38</t>
  </si>
  <si>
    <t>139:08</t>
  </si>
  <si>
    <t>141:47</t>
  </si>
  <si>
    <t>2115778</t>
  </si>
  <si>
    <t>106</t>
  </si>
  <si>
    <t>Ćorić</t>
  </si>
  <si>
    <t>Zoran</t>
  </si>
  <si>
    <t>59:00</t>
  </si>
  <si>
    <t>205:33</t>
  </si>
  <si>
    <t>146:33</t>
  </si>
  <si>
    <t>60:37</t>
  </si>
  <si>
    <t>67:32</t>
  </si>
  <si>
    <t>103:43</t>
  </si>
  <si>
    <t>115:48</t>
  </si>
  <si>
    <t>131:10</t>
  </si>
  <si>
    <t>136:14</t>
  </si>
  <si>
    <t>142:13</t>
  </si>
  <si>
    <t>145:34</t>
  </si>
  <si>
    <t>364421</t>
  </si>
  <si>
    <t>Prekrat</t>
  </si>
  <si>
    <t>Mladen</t>
  </si>
  <si>
    <t>235:37</t>
  </si>
  <si>
    <t>158:37</t>
  </si>
  <si>
    <t>81:56</t>
  </si>
  <si>
    <t>93:05</t>
  </si>
  <si>
    <t>102:55</t>
  </si>
  <si>
    <t>127:03</t>
  </si>
  <si>
    <t>145:35</t>
  </si>
  <si>
    <t>149:28</t>
  </si>
  <si>
    <t>154:37</t>
  </si>
  <si>
    <t>157:46</t>
  </si>
  <si>
    <t>893843</t>
  </si>
  <si>
    <t>109</t>
  </si>
  <si>
    <t>Barišić</t>
  </si>
  <si>
    <t>110:00</t>
  </si>
  <si>
    <t>321</t>
  </si>
  <si>
    <t>143:00</t>
  </si>
  <si>
    <t>222412</t>
  </si>
  <si>
    <t>73</t>
  </si>
  <si>
    <t>Juratović</t>
  </si>
  <si>
    <t>44:00</t>
  </si>
  <si>
    <t>439114</t>
  </si>
  <si>
    <t>Balić</t>
  </si>
  <si>
    <t>Ante</t>
  </si>
  <si>
    <t>119:00</t>
  </si>
  <si>
    <t>2115777</t>
  </si>
  <si>
    <t>154</t>
  </si>
  <si>
    <t>Valter</t>
  </si>
  <si>
    <t>122:00</t>
  </si>
  <si>
    <t>218966</t>
  </si>
  <si>
    <t>304</t>
  </si>
  <si>
    <t>Golubić</t>
  </si>
  <si>
    <t>Andrija</t>
  </si>
  <si>
    <t>68:00</t>
  </si>
  <si>
    <t>OKM</t>
  </si>
  <si>
    <t>OK Medjimurje</t>
  </si>
  <si>
    <t>320</t>
  </si>
  <si>
    <t>146:00</t>
  </si>
  <si>
    <t>2115763</t>
  </si>
  <si>
    <t>253</t>
  </si>
  <si>
    <t>41:00</t>
  </si>
  <si>
    <t>222419</t>
  </si>
  <si>
    <t>85</t>
  </si>
  <si>
    <t>Stipeljković</t>
  </si>
  <si>
    <t>140:00</t>
  </si>
  <si>
    <t>8080678</t>
  </si>
  <si>
    <t>205</t>
  </si>
  <si>
    <t>Legac</t>
  </si>
  <si>
    <t>Lino</t>
  </si>
  <si>
    <t>135:53</t>
  </si>
  <si>
    <t>50:53</t>
  </si>
  <si>
    <t>M35</t>
  </si>
  <si>
    <t>6.38</t>
  </si>
  <si>
    <t>03:46</t>
  </si>
  <si>
    <t>42</t>
  </si>
  <si>
    <t>05:15</t>
  </si>
  <si>
    <t>10:47</t>
  </si>
  <si>
    <t>13:51</t>
  </si>
  <si>
    <t>17:51</t>
  </si>
  <si>
    <t>20:17</t>
  </si>
  <si>
    <t>24:11</t>
  </si>
  <si>
    <t>27:22</t>
  </si>
  <si>
    <t>29:15</t>
  </si>
  <si>
    <t>57</t>
  </si>
  <si>
    <t>46:34</t>
  </si>
  <si>
    <t>48:42</t>
  </si>
  <si>
    <t>49:52</t>
  </si>
  <si>
    <t>7820618</t>
  </si>
  <si>
    <t>Delić</t>
  </si>
  <si>
    <t>136:00</t>
  </si>
  <si>
    <t>193:59</t>
  </si>
  <si>
    <t>57:59</t>
  </si>
  <si>
    <t>04:05</t>
  </si>
  <si>
    <t>05:53</t>
  </si>
  <si>
    <t>12:08</t>
  </si>
  <si>
    <t>15:34</t>
  </si>
  <si>
    <t>20:31</t>
  </si>
  <si>
    <t>23:22</t>
  </si>
  <si>
    <t>27:43</t>
  </si>
  <si>
    <t>31:22</t>
  </si>
  <si>
    <t>33:15</t>
  </si>
  <si>
    <t>53:08</t>
  </si>
  <si>
    <t>55:30</t>
  </si>
  <si>
    <t>56:49</t>
  </si>
  <si>
    <t>7032222</t>
  </si>
  <si>
    <t>237</t>
  </si>
  <si>
    <t>Pongrac</t>
  </si>
  <si>
    <t>115:00</t>
  </si>
  <si>
    <t>174:57</t>
  </si>
  <si>
    <t>59:57</t>
  </si>
  <si>
    <t>07:45</t>
  </si>
  <si>
    <t>09:34</t>
  </si>
  <si>
    <t>14:38</t>
  </si>
  <si>
    <t>17:39</t>
  </si>
  <si>
    <t>22:26</t>
  </si>
  <si>
    <t>29:54</t>
  </si>
  <si>
    <t>34:07</t>
  </si>
  <si>
    <t>35:54</t>
  </si>
  <si>
    <t>57:23</t>
  </si>
  <si>
    <t>58:57</t>
  </si>
  <si>
    <t>59:29</t>
  </si>
  <si>
    <t>8291983</t>
  </si>
  <si>
    <t>319</t>
  </si>
  <si>
    <t>Bijelić</t>
  </si>
  <si>
    <t>118:00</t>
  </si>
  <si>
    <t>178:35</t>
  </si>
  <si>
    <t>60:35</t>
  </si>
  <si>
    <t>BJE</t>
  </si>
  <si>
    <t>OK Bjelovar</t>
  </si>
  <si>
    <t>03:54</t>
  </si>
  <si>
    <t>05:59</t>
  </si>
  <si>
    <t>11:34</t>
  </si>
  <si>
    <t>14:48</t>
  </si>
  <si>
    <t>21:18</t>
  </si>
  <si>
    <t>34:38</t>
  </si>
  <si>
    <t>36:47</t>
  </si>
  <si>
    <t>55:25</t>
  </si>
  <si>
    <t>58:07</t>
  </si>
  <si>
    <t>59:59</t>
  </si>
  <si>
    <t>8232323</t>
  </si>
  <si>
    <t>231</t>
  </si>
  <si>
    <t>Budi</t>
  </si>
  <si>
    <t>109:00</t>
  </si>
  <si>
    <t>170:54</t>
  </si>
  <si>
    <t>61:54</t>
  </si>
  <si>
    <t>04:31</t>
  </si>
  <si>
    <t>06:40</t>
  </si>
  <si>
    <t>12:53</t>
  </si>
  <si>
    <t>23:42</t>
  </si>
  <si>
    <t>31:05</t>
  </si>
  <si>
    <t>34:24</t>
  </si>
  <si>
    <t>36:16</t>
  </si>
  <si>
    <t>57:03</t>
  </si>
  <si>
    <t>59:32</t>
  </si>
  <si>
    <t>60:56</t>
  </si>
  <si>
    <t>61:26</t>
  </si>
  <si>
    <t>1151981</t>
  </si>
  <si>
    <t>165</t>
  </si>
  <si>
    <t>Canjuga</t>
  </si>
  <si>
    <t>Krunoslav</t>
  </si>
  <si>
    <t>97:00</t>
  </si>
  <si>
    <t>163:09</t>
  </si>
  <si>
    <t>66:09</t>
  </si>
  <si>
    <t>04:03</t>
  </si>
  <si>
    <t>05:44</t>
  </si>
  <si>
    <t>11:58</t>
  </si>
  <si>
    <t>15:42</t>
  </si>
  <si>
    <t>23:51</t>
  </si>
  <si>
    <t>39:04</t>
  </si>
  <si>
    <t>40:42</t>
  </si>
  <si>
    <t>60:16</t>
  </si>
  <si>
    <t>62:47</t>
  </si>
  <si>
    <t>65:20</t>
  </si>
  <si>
    <t>65:45</t>
  </si>
  <si>
    <t>7211185</t>
  </si>
  <si>
    <t>295</t>
  </si>
  <si>
    <t>Bublić</t>
  </si>
  <si>
    <t>94:00</t>
  </si>
  <si>
    <t>163:07</t>
  </si>
  <si>
    <t>08:32</t>
  </si>
  <si>
    <t>10:30</t>
  </si>
  <si>
    <t>16:40</t>
  </si>
  <si>
    <t>20:30</t>
  </si>
  <si>
    <t>25:36</t>
  </si>
  <si>
    <t>28:51</t>
  </si>
  <si>
    <t>33:12</t>
  </si>
  <si>
    <t>41:55</t>
  </si>
  <si>
    <t>43:36</t>
  </si>
  <si>
    <t>63:14</t>
  </si>
  <si>
    <t>65:44</t>
  </si>
  <si>
    <t>68:19</t>
  </si>
  <si>
    <t>68:44</t>
  </si>
  <si>
    <t>7207785</t>
  </si>
  <si>
    <t>279</t>
  </si>
  <si>
    <t>Gverić</t>
  </si>
  <si>
    <t>139:00</t>
  </si>
  <si>
    <t>208:22</t>
  </si>
  <si>
    <t>69:22</t>
  </si>
  <si>
    <t>05:02</t>
  </si>
  <si>
    <t>07:17</t>
  </si>
  <si>
    <t>14:40</t>
  </si>
  <si>
    <t>24:19</t>
  </si>
  <si>
    <t>33:09</t>
  </si>
  <si>
    <t>37:36</t>
  </si>
  <si>
    <t>39:59</t>
  </si>
  <si>
    <t>63:10</t>
  </si>
  <si>
    <t>7207153</t>
  </si>
  <si>
    <t>288</t>
  </si>
  <si>
    <t>Suhina</t>
  </si>
  <si>
    <t>Vanja</t>
  </si>
  <si>
    <t>106:00</t>
  </si>
  <si>
    <t>175:24</t>
  </si>
  <si>
    <t>69:24</t>
  </si>
  <si>
    <t>05:05</t>
  </si>
  <si>
    <t>07:40</t>
  </si>
  <si>
    <t>16:49</t>
  </si>
  <si>
    <t>30:40</t>
  </si>
  <si>
    <t>35:45</t>
  </si>
  <si>
    <t>40:20</t>
  </si>
  <si>
    <t>42:19</t>
  </si>
  <si>
    <t>66:43</t>
  </si>
  <si>
    <t>68:17</t>
  </si>
  <si>
    <t>68:48</t>
  </si>
  <si>
    <t>7005141</t>
  </si>
  <si>
    <t>277</t>
  </si>
  <si>
    <t>Duje</t>
  </si>
  <si>
    <t>130:00</t>
  </si>
  <si>
    <t>199:30</t>
  </si>
  <si>
    <t>69:30</t>
  </si>
  <si>
    <t>05:22</t>
  </si>
  <si>
    <t>14:52</t>
  </si>
  <si>
    <t>18:29</t>
  </si>
  <si>
    <t>32:02</t>
  </si>
  <si>
    <t>37:10</t>
  </si>
  <si>
    <t>39:38</t>
  </si>
  <si>
    <t>64:22</t>
  </si>
  <si>
    <t>66:50</t>
  </si>
  <si>
    <t>68:26</t>
  </si>
  <si>
    <t>68:57</t>
  </si>
  <si>
    <t>7778899</t>
  </si>
  <si>
    <t>246</t>
  </si>
  <si>
    <t>Vuk</t>
  </si>
  <si>
    <t>124:00</t>
  </si>
  <si>
    <t>199:11</t>
  </si>
  <si>
    <t>75:11</t>
  </si>
  <si>
    <t>11:08</t>
  </si>
  <si>
    <t>12:56</t>
  </si>
  <si>
    <t>20:44</t>
  </si>
  <si>
    <t>29:49</t>
  </si>
  <si>
    <t>33:11</t>
  </si>
  <si>
    <t>40:11</t>
  </si>
  <si>
    <t>43:44</t>
  </si>
  <si>
    <t>45:29</t>
  </si>
  <si>
    <t>69:46</t>
  </si>
  <si>
    <t>72:34</t>
  </si>
  <si>
    <t>74:37</t>
  </si>
  <si>
    <t>1782000</t>
  </si>
  <si>
    <t>113</t>
  </si>
  <si>
    <t>Hainž</t>
  </si>
  <si>
    <t>Miroslav</t>
  </si>
  <si>
    <t>121:00</t>
  </si>
  <si>
    <t>199:12</t>
  </si>
  <si>
    <t>78:12</t>
  </si>
  <si>
    <t>05:50</t>
  </si>
  <si>
    <t>08:37</t>
  </si>
  <si>
    <t>16:20</t>
  </si>
  <si>
    <t>20:22</t>
  </si>
  <si>
    <t>29:16</t>
  </si>
  <si>
    <t>32:20</t>
  </si>
  <si>
    <t>42:45</t>
  </si>
  <si>
    <t>45:39</t>
  </si>
  <si>
    <t>70:46</t>
  </si>
  <si>
    <t>75:03</t>
  </si>
  <si>
    <t>76:55</t>
  </si>
  <si>
    <t>77:49</t>
  </si>
  <si>
    <t>2088246</t>
  </si>
  <si>
    <t>175</t>
  </si>
  <si>
    <t>100:00</t>
  </si>
  <si>
    <t>179:32</t>
  </si>
  <si>
    <t>79:32</t>
  </si>
  <si>
    <t>05:37</t>
  </si>
  <si>
    <t>07:51</t>
  </si>
  <si>
    <t>21:10</t>
  </si>
  <si>
    <t>29:18</t>
  </si>
  <si>
    <t>33:32</t>
  </si>
  <si>
    <t>38:52</t>
  </si>
  <si>
    <t>43:18</t>
  </si>
  <si>
    <t>45:47</t>
  </si>
  <si>
    <t>72:59</t>
  </si>
  <si>
    <t>76:24</t>
  </si>
  <si>
    <t>78:07</t>
  </si>
  <si>
    <t>78:52</t>
  </si>
  <si>
    <t>2143685</t>
  </si>
  <si>
    <t>Bunčić</t>
  </si>
  <si>
    <t>127:00</t>
  </si>
  <si>
    <t>208:36</t>
  </si>
  <si>
    <t>81:36</t>
  </si>
  <si>
    <t>05:49</t>
  </si>
  <si>
    <t>08:52</t>
  </si>
  <si>
    <t>17:48</t>
  </si>
  <si>
    <t>21:46</t>
  </si>
  <si>
    <t>28:55</t>
  </si>
  <si>
    <t>34:14</t>
  </si>
  <si>
    <t>48:26</t>
  </si>
  <si>
    <t>75:19</t>
  </si>
  <si>
    <t>78:47</t>
  </si>
  <si>
    <t>80:30</t>
  </si>
  <si>
    <t>81:05</t>
  </si>
  <si>
    <t>2113424</t>
  </si>
  <si>
    <t>Kosić</t>
  </si>
  <si>
    <t>103:00</t>
  </si>
  <si>
    <t>186:11</t>
  </si>
  <si>
    <t>83:11</t>
  </si>
  <si>
    <t>06:30</t>
  </si>
  <si>
    <t>09:44</t>
  </si>
  <si>
    <t>19:17</t>
  </si>
  <si>
    <t>24:21</t>
  </si>
  <si>
    <t>31:15</t>
  </si>
  <si>
    <t>35:11</t>
  </si>
  <si>
    <t>41:51</t>
  </si>
  <si>
    <t>47:15</t>
  </si>
  <si>
    <t>50:45</t>
  </si>
  <si>
    <t>76:35</t>
  </si>
  <si>
    <t>80:04</t>
  </si>
  <si>
    <t>81:37</t>
  </si>
  <si>
    <t>82:28</t>
  </si>
  <si>
    <t>219397</t>
  </si>
  <si>
    <t>Mulig</t>
  </si>
  <si>
    <t>Dragutin</t>
  </si>
  <si>
    <t>91:00</t>
  </si>
  <si>
    <t>179:20</t>
  </si>
  <si>
    <t>88:20</t>
  </si>
  <si>
    <t>05:27</t>
  </si>
  <si>
    <t>08:08</t>
  </si>
  <si>
    <t>25:35</t>
  </si>
  <si>
    <t>38:25</t>
  </si>
  <si>
    <t>42:25</t>
  </si>
  <si>
    <t>48:01</t>
  </si>
  <si>
    <t>52:11</t>
  </si>
  <si>
    <t>54:29</t>
  </si>
  <si>
    <t>85:03</t>
  </si>
  <si>
    <t>86:54</t>
  </si>
  <si>
    <t>87:30</t>
  </si>
  <si>
    <t>259763</t>
  </si>
  <si>
    <t>112</t>
  </si>
  <si>
    <t>Ferreira</t>
  </si>
  <si>
    <t>Fausto</t>
  </si>
  <si>
    <t>88:00</t>
  </si>
  <si>
    <t>178:38</t>
  </si>
  <si>
    <t>90:38</t>
  </si>
  <si>
    <t>20:12</t>
  </si>
  <si>
    <t>28:32</t>
  </si>
  <si>
    <t>32:32</t>
  </si>
  <si>
    <t>41:39</t>
  </si>
  <si>
    <t>45:08</t>
  </si>
  <si>
    <t>50:41</t>
  </si>
  <si>
    <t>57:14</t>
  </si>
  <si>
    <t>84:36</t>
  </si>
  <si>
    <t>87:51</t>
  </si>
  <si>
    <t>90:04</t>
  </si>
  <si>
    <t>2054888</t>
  </si>
  <si>
    <t>264</t>
  </si>
  <si>
    <t>Tubin</t>
  </si>
  <si>
    <t>Damir</t>
  </si>
  <si>
    <t>112:00</t>
  </si>
  <si>
    <t>221:27</t>
  </si>
  <si>
    <t>109:27</t>
  </si>
  <si>
    <t>17:12</t>
  </si>
  <si>
    <t>20:07</t>
  </si>
  <si>
    <t>28:37</t>
  </si>
  <si>
    <t>34:13</t>
  </si>
  <si>
    <t>41:21</t>
  </si>
  <si>
    <t>51:29</t>
  </si>
  <si>
    <t>101:27</t>
  </si>
  <si>
    <t>105:35</t>
  </si>
  <si>
    <t>108:00</t>
  </si>
  <si>
    <t>108:43</t>
  </si>
  <si>
    <t>7112111</t>
  </si>
  <si>
    <t>44</t>
  </si>
  <si>
    <t>Novosel</t>
  </si>
  <si>
    <t>133:00</t>
  </si>
  <si>
    <t>245:39</t>
  </si>
  <si>
    <t>112:39</t>
  </si>
  <si>
    <t>06:25</t>
  </si>
  <si>
    <t>09:02</t>
  </si>
  <si>
    <t>16:48</t>
  </si>
  <si>
    <t>21:34</t>
  </si>
  <si>
    <t>37:39</t>
  </si>
  <si>
    <t>41:43</t>
  </si>
  <si>
    <t>50:14</t>
  </si>
  <si>
    <t>58:04</t>
  </si>
  <si>
    <t>60:43</t>
  </si>
  <si>
    <t>104:17</t>
  </si>
  <si>
    <t>108:24</t>
  </si>
  <si>
    <t>110:56</t>
  </si>
  <si>
    <t>318</t>
  </si>
  <si>
    <t>142:00</t>
  </si>
  <si>
    <t>7211121</t>
  </si>
  <si>
    <t>143</t>
  </si>
  <si>
    <t>Stankovski</t>
  </si>
  <si>
    <t>Dalibor</t>
  </si>
  <si>
    <t>8411972</t>
  </si>
  <si>
    <t>75:00</t>
  </si>
  <si>
    <t>115:43</t>
  </si>
  <si>
    <t>40:43</t>
  </si>
  <si>
    <t>M45</t>
  </si>
  <si>
    <t>4.77</t>
  </si>
  <si>
    <t>240</t>
  </si>
  <si>
    <t>06:02</t>
  </si>
  <si>
    <t>13:44</t>
  </si>
  <si>
    <t>15:17</t>
  </si>
  <si>
    <t>18:35</t>
  </si>
  <si>
    <t>21:59</t>
  </si>
  <si>
    <t>39:14</t>
  </si>
  <si>
    <t>40:16</t>
  </si>
  <si>
    <t>8077277</t>
  </si>
  <si>
    <t>281</t>
  </si>
  <si>
    <t>Salopek</t>
  </si>
  <si>
    <t>140:08</t>
  </si>
  <si>
    <t>41:08</t>
  </si>
  <si>
    <t>RIS</t>
  </si>
  <si>
    <t>OK Ris</t>
  </si>
  <si>
    <t>13:16</t>
  </si>
  <si>
    <t>14:46</t>
  </si>
  <si>
    <t>18:43</t>
  </si>
  <si>
    <t>26:32</t>
  </si>
  <si>
    <t>2126436</t>
  </si>
  <si>
    <t>303</t>
  </si>
  <si>
    <t>Markulinčić</t>
  </si>
  <si>
    <t>117:39</t>
  </si>
  <si>
    <t>48:39</t>
  </si>
  <si>
    <t>09:26</t>
  </si>
  <si>
    <t>18:11</t>
  </si>
  <si>
    <t>20:13</t>
  </si>
  <si>
    <t>24:51</t>
  </si>
  <si>
    <t>27:45</t>
  </si>
  <si>
    <t>32:50</t>
  </si>
  <si>
    <t>48:08</t>
  </si>
  <si>
    <t>8250869</t>
  </si>
  <si>
    <t>Orehoci</t>
  </si>
  <si>
    <t>Robert</t>
  </si>
  <si>
    <t>84:00</t>
  </si>
  <si>
    <t>134:14</t>
  </si>
  <si>
    <t>07:44</t>
  </si>
  <si>
    <t>17:21</t>
  </si>
  <si>
    <t>26:23</t>
  </si>
  <si>
    <t>32:14</t>
  </si>
  <si>
    <t>48:13</t>
  </si>
  <si>
    <t>49:35</t>
  </si>
  <si>
    <t>1401011</t>
  </si>
  <si>
    <t>Trivunović</t>
  </si>
  <si>
    <t>Vladimir</t>
  </si>
  <si>
    <t>90:00</t>
  </si>
  <si>
    <t>141:39</t>
  </si>
  <si>
    <t>51:39</t>
  </si>
  <si>
    <t>06:31</t>
  </si>
  <si>
    <t>15:39</t>
  </si>
  <si>
    <t>23:59</t>
  </si>
  <si>
    <t>27:35</t>
  </si>
  <si>
    <t>33:27</t>
  </si>
  <si>
    <t>50:02</t>
  </si>
  <si>
    <t>51:05</t>
  </si>
  <si>
    <t>300743</t>
  </si>
  <si>
    <t>37</t>
  </si>
  <si>
    <t>Bojan</t>
  </si>
  <si>
    <t>162:16</t>
  </si>
  <si>
    <t>07:52</t>
  </si>
  <si>
    <t>18:02</t>
  </si>
  <si>
    <t>20:29</t>
  </si>
  <si>
    <t>25:12</t>
  </si>
  <si>
    <t>35:17</t>
  </si>
  <si>
    <t>52:21</t>
  </si>
  <si>
    <t>53:42</t>
  </si>
  <si>
    <t>7891004</t>
  </si>
  <si>
    <t>283</t>
  </si>
  <si>
    <t>Bogović</t>
  </si>
  <si>
    <t>Marijan</t>
  </si>
  <si>
    <t>45:00</t>
  </si>
  <si>
    <t>99:33</t>
  </si>
  <si>
    <t>54:33</t>
  </si>
  <si>
    <t>08:07</t>
  </si>
  <si>
    <t>18:56</t>
  </si>
  <si>
    <t>27:29</t>
  </si>
  <si>
    <t>30:30</t>
  </si>
  <si>
    <t>37:08</t>
  </si>
  <si>
    <t>52:48</t>
  </si>
  <si>
    <t>53:58</t>
  </si>
  <si>
    <t>2126440</t>
  </si>
  <si>
    <t>118</t>
  </si>
  <si>
    <t>Hercigonja</t>
  </si>
  <si>
    <t>72:00</t>
  </si>
  <si>
    <t>128:25</t>
  </si>
  <si>
    <t>56:25</t>
  </si>
  <si>
    <t>07:53</t>
  </si>
  <si>
    <t>20:40</t>
  </si>
  <si>
    <t>22:49</t>
  </si>
  <si>
    <t>27:56</t>
  </si>
  <si>
    <t>31:04</t>
  </si>
  <si>
    <t>37:31</t>
  </si>
  <si>
    <t>54:54</t>
  </si>
  <si>
    <t>893833</t>
  </si>
  <si>
    <t>207</t>
  </si>
  <si>
    <t>Horjan</t>
  </si>
  <si>
    <t>Zdenko</t>
  </si>
  <si>
    <t>120:00</t>
  </si>
  <si>
    <t>178:21</t>
  </si>
  <si>
    <t>58:21</t>
  </si>
  <si>
    <t>15:53</t>
  </si>
  <si>
    <t>21:54</t>
  </si>
  <si>
    <t>30:23</t>
  </si>
  <si>
    <t>33:07</t>
  </si>
  <si>
    <t>41:57</t>
  </si>
  <si>
    <t>55:59</t>
  </si>
  <si>
    <t>57:51</t>
  </si>
  <si>
    <t>8314625</t>
  </si>
  <si>
    <t>135</t>
  </si>
  <si>
    <t>Tišljar</t>
  </si>
  <si>
    <t>Ivo</t>
  </si>
  <si>
    <t>163:06</t>
  </si>
  <si>
    <t>61:06</t>
  </si>
  <si>
    <t>ORI</t>
  </si>
  <si>
    <t>OK Orion</t>
  </si>
  <si>
    <t>08:41</t>
  </si>
  <si>
    <t>20:37</t>
  </si>
  <si>
    <t>22:52</t>
  </si>
  <si>
    <t>27:47</t>
  </si>
  <si>
    <t>31:54</t>
  </si>
  <si>
    <t>38:50</t>
  </si>
  <si>
    <t>58:47</t>
  </si>
  <si>
    <t>60:17</t>
  </si>
  <si>
    <t>2144743</t>
  </si>
  <si>
    <t>212</t>
  </si>
  <si>
    <t>Posinjak</t>
  </si>
  <si>
    <t>122:11</t>
  </si>
  <si>
    <t>62:11</t>
  </si>
  <si>
    <t>08:19</t>
  </si>
  <si>
    <t>30:54</t>
  </si>
  <si>
    <t>35:15</t>
  </si>
  <si>
    <t>41:48</t>
  </si>
  <si>
    <t>60:15</t>
  </si>
  <si>
    <t>61:33</t>
  </si>
  <si>
    <t>7777600</t>
  </si>
  <si>
    <t>183</t>
  </si>
  <si>
    <t>Penić</t>
  </si>
  <si>
    <t>Ivan Ivo</t>
  </si>
  <si>
    <t>66:00</t>
  </si>
  <si>
    <t>128:29</t>
  </si>
  <si>
    <t>62:29</t>
  </si>
  <si>
    <t>06:50</t>
  </si>
  <si>
    <t>33:47</t>
  </si>
  <si>
    <t>37:17</t>
  </si>
  <si>
    <t>43:24</t>
  </si>
  <si>
    <t>60:36</t>
  </si>
  <si>
    <t>61:56</t>
  </si>
  <si>
    <t>1420752</t>
  </si>
  <si>
    <t>Šantić</t>
  </si>
  <si>
    <t>78:00</t>
  </si>
  <si>
    <t>143:04</t>
  </si>
  <si>
    <t>65:04</t>
  </si>
  <si>
    <t>23:03</t>
  </si>
  <si>
    <t>25:22</t>
  </si>
  <si>
    <t>33:35</t>
  </si>
  <si>
    <t>62:23</t>
  </si>
  <si>
    <t>64:01</t>
  </si>
  <si>
    <t>222420</t>
  </si>
  <si>
    <t>Paliska</t>
  </si>
  <si>
    <t>Alen</t>
  </si>
  <si>
    <t>105:00</t>
  </si>
  <si>
    <t>170:53</t>
  </si>
  <si>
    <t>14:44</t>
  </si>
  <si>
    <t>30:08</t>
  </si>
  <si>
    <t>31:42</t>
  </si>
  <si>
    <t>36:40</t>
  </si>
  <si>
    <t>40:21</t>
  </si>
  <si>
    <t>47:07</t>
  </si>
  <si>
    <t>62:50</t>
  </si>
  <si>
    <t>65:25</t>
  </si>
  <si>
    <t>2442603</t>
  </si>
  <si>
    <t>242</t>
  </si>
  <si>
    <t>Mareković</t>
  </si>
  <si>
    <t>147:59</t>
  </si>
  <si>
    <t>66:59</t>
  </si>
  <si>
    <t>07:38</t>
  </si>
  <si>
    <t>20:08</t>
  </si>
  <si>
    <t>22:28</t>
  </si>
  <si>
    <t>26:47</t>
  </si>
  <si>
    <t>30:18</t>
  </si>
  <si>
    <t>44:50</t>
  </si>
  <si>
    <t>63:23</t>
  </si>
  <si>
    <t>66:20</t>
  </si>
  <si>
    <t>2133029</t>
  </si>
  <si>
    <t>251</t>
  </si>
  <si>
    <t>Dasović</t>
  </si>
  <si>
    <t>96:00</t>
  </si>
  <si>
    <t>164:40</t>
  </si>
  <si>
    <t>09:01</t>
  </si>
  <si>
    <t>23:36</t>
  </si>
  <si>
    <t>33:36</t>
  </si>
  <si>
    <t>37:45</t>
  </si>
  <si>
    <t>45:13</t>
  </si>
  <si>
    <t>68:02</t>
  </si>
  <si>
    <t>2143690</t>
  </si>
  <si>
    <t>177</t>
  </si>
  <si>
    <t>Nimac</t>
  </si>
  <si>
    <t>113:50</t>
  </si>
  <si>
    <t>71:50</t>
  </si>
  <si>
    <t>11:35</t>
  </si>
  <si>
    <t>23:12</t>
  </si>
  <si>
    <t>25:07</t>
  </si>
  <si>
    <t>30:43</t>
  </si>
  <si>
    <t>34:02</t>
  </si>
  <si>
    <t>49:16</t>
  </si>
  <si>
    <t>69:08</t>
  </si>
  <si>
    <t>71:09</t>
  </si>
  <si>
    <t>7778000</t>
  </si>
  <si>
    <t>293</t>
  </si>
  <si>
    <t>Pavlin</t>
  </si>
  <si>
    <t>87:00</t>
  </si>
  <si>
    <t>162:42</t>
  </si>
  <si>
    <t>75:42</t>
  </si>
  <si>
    <t>10:01</t>
  </si>
  <si>
    <t>21:48</t>
  </si>
  <si>
    <t>31:11</t>
  </si>
  <si>
    <t>37:53</t>
  </si>
  <si>
    <t>42:16</t>
  </si>
  <si>
    <t>73:49</t>
  </si>
  <si>
    <t>206436</t>
  </si>
  <si>
    <t>189:59</t>
  </si>
  <si>
    <t>78:59</t>
  </si>
  <si>
    <t>18:54</t>
  </si>
  <si>
    <t>35:35</t>
  </si>
  <si>
    <t>40:24</t>
  </si>
  <si>
    <t>47:22</t>
  </si>
  <si>
    <t>54:21</t>
  </si>
  <si>
    <t>76:46</t>
  </si>
  <si>
    <t>78:28</t>
  </si>
  <si>
    <t>2221120</t>
  </si>
  <si>
    <t>148</t>
  </si>
  <si>
    <t>Boris</t>
  </si>
  <si>
    <t>114:00</t>
  </si>
  <si>
    <t>193:58</t>
  </si>
  <si>
    <t>79:58</t>
  </si>
  <si>
    <t>12:18</t>
  </si>
  <si>
    <t>24:58</t>
  </si>
  <si>
    <t>32:24</t>
  </si>
  <si>
    <t>37:42</t>
  </si>
  <si>
    <t>51:04</t>
  </si>
  <si>
    <t>77:50</t>
  </si>
  <si>
    <t>79:23</t>
  </si>
  <si>
    <t>893823</t>
  </si>
  <si>
    <t>74</t>
  </si>
  <si>
    <t>Ćetković</t>
  </si>
  <si>
    <t>Dinko</t>
  </si>
  <si>
    <t>148:15</t>
  </si>
  <si>
    <t>97:15</t>
  </si>
  <si>
    <t>17:25</t>
  </si>
  <si>
    <t>45:41</t>
  </si>
  <si>
    <t>50:11</t>
  </si>
  <si>
    <t>56:26</t>
  </si>
  <si>
    <t>60:42</t>
  </si>
  <si>
    <t>74:55</t>
  </si>
  <si>
    <t>93:36</t>
  </si>
  <si>
    <t>237596</t>
  </si>
  <si>
    <t>198</t>
  </si>
  <si>
    <t>446316</t>
  </si>
  <si>
    <t>270</t>
  </si>
  <si>
    <t>Šaflin</t>
  </si>
  <si>
    <t>54:00</t>
  </si>
  <si>
    <t>2039993</t>
  </si>
  <si>
    <t>298</t>
  </si>
  <si>
    <t>Tounec</t>
  </si>
  <si>
    <t>Vlatko</t>
  </si>
  <si>
    <t>117:00</t>
  </si>
  <si>
    <t>316</t>
  </si>
  <si>
    <t>701122</t>
  </si>
  <si>
    <t>178</t>
  </si>
  <si>
    <t>48:00</t>
  </si>
  <si>
    <t>10:18</t>
  </si>
  <si>
    <t>39:46</t>
  </si>
  <si>
    <t>41:32</t>
  </si>
  <si>
    <t>46:08</t>
  </si>
  <si>
    <t>51:44</t>
  </si>
  <si>
    <t>68:49</t>
  </si>
  <si>
    <t>317</t>
  </si>
  <si>
    <t>63:00</t>
  </si>
  <si>
    <t>7111959</t>
  </si>
  <si>
    <t>287</t>
  </si>
  <si>
    <t>Štambuk</t>
  </si>
  <si>
    <t>58:00</t>
  </si>
  <si>
    <t>90:40</t>
  </si>
  <si>
    <t>32:40</t>
  </si>
  <si>
    <t>M55</t>
  </si>
  <si>
    <t>3.63</t>
  </si>
  <si>
    <t>150</t>
  </si>
  <si>
    <t>03:30</t>
  </si>
  <si>
    <t>09:49</t>
  </si>
  <si>
    <t>13:25</t>
  </si>
  <si>
    <t>17:59</t>
  </si>
  <si>
    <t>27:23</t>
  </si>
  <si>
    <t>32:12</t>
  </si>
  <si>
    <t>7140363</t>
  </si>
  <si>
    <t>136</t>
  </si>
  <si>
    <t>Merunka</t>
  </si>
  <si>
    <t>Darko</t>
  </si>
  <si>
    <t>49:00</t>
  </si>
  <si>
    <t>85:52</t>
  </si>
  <si>
    <t>36:52</t>
  </si>
  <si>
    <t>03:39</t>
  </si>
  <si>
    <t>14:50</t>
  </si>
  <si>
    <t>19:39</t>
  </si>
  <si>
    <t>31:52</t>
  </si>
  <si>
    <t>34:36</t>
  </si>
  <si>
    <t>36:18</t>
  </si>
  <si>
    <t>7889999</t>
  </si>
  <si>
    <t>186</t>
  </si>
  <si>
    <t>67:40</t>
  </si>
  <si>
    <t>39:40</t>
  </si>
  <si>
    <t>04:20</t>
  </si>
  <si>
    <t>11:03</t>
  </si>
  <si>
    <t>15:08</t>
  </si>
  <si>
    <t>7040662</t>
  </si>
  <si>
    <t>284</t>
  </si>
  <si>
    <t>Saša</t>
  </si>
  <si>
    <t>41:12</t>
  </si>
  <si>
    <t>04:49</t>
  </si>
  <si>
    <t>35:37</t>
  </si>
  <si>
    <t>38:58</t>
  </si>
  <si>
    <t>40:35</t>
  </si>
  <si>
    <t>7212123</t>
  </si>
  <si>
    <t>273</t>
  </si>
  <si>
    <t>67:00</t>
  </si>
  <si>
    <t>108:31</t>
  </si>
  <si>
    <t>41:31</t>
  </si>
  <si>
    <t>04:21</t>
  </si>
  <si>
    <t>12:21</t>
  </si>
  <si>
    <t>17:10</t>
  </si>
  <si>
    <t>23:01</t>
  </si>
  <si>
    <t>39:05</t>
  </si>
  <si>
    <t>2300241</t>
  </si>
  <si>
    <t>170</t>
  </si>
  <si>
    <t>Mioković</t>
  </si>
  <si>
    <t>Mile</t>
  </si>
  <si>
    <t>79:00</t>
  </si>
  <si>
    <t>121:22</t>
  </si>
  <si>
    <t>42:22</t>
  </si>
  <si>
    <t>04:37</t>
  </si>
  <si>
    <t>11:28</t>
  </si>
  <si>
    <t>17:47</t>
  </si>
  <si>
    <t>40:10</t>
  </si>
  <si>
    <t>41:49</t>
  </si>
  <si>
    <t>2123970</t>
  </si>
  <si>
    <t>243</t>
  </si>
  <si>
    <t>Špoljar</t>
  </si>
  <si>
    <t>Krešo</t>
  </si>
  <si>
    <t>79:13</t>
  </si>
  <si>
    <t>05:43</t>
  </si>
  <si>
    <t>16:05</t>
  </si>
  <si>
    <t>21:01</t>
  </si>
  <si>
    <t>26:55</t>
  </si>
  <si>
    <t>42:28</t>
  </si>
  <si>
    <t>44:40</t>
  </si>
  <si>
    <t>232281</t>
  </si>
  <si>
    <t>Radočaj</t>
  </si>
  <si>
    <t>Milan</t>
  </si>
  <si>
    <t>31:00</t>
  </si>
  <si>
    <t>79:26</t>
  </si>
  <si>
    <t>05:48</t>
  </si>
  <si>
    <t>15:59</t>
  </si>
  <si>
    <t>24:43</t>
  </si>
  <si>
    <t>30:09</t>
  </si>
  <si>
    <t>42:17</t>
  </si>
  <si>
    <t>47:43</t>
  </si>
  <si>
    <t>893828</t>
  </si>
  <si>
    <t>267</t>
  </si>
  <si>
    <t>Raškaj</t>
  </si>
  <si>
    <t>121:41</t>
  </si>
  <si>
    <t>48:41</t>
  </si>
  <si>
    <t>04:23</t>
  </si>
  <si>
    <t>46:15</t>
  </si>
  <si>
    <t>505905</t>
  </si>
  <si>
    <t>119</t>
  </si>
  <si>
    <t>118:17</t>
  </si>
  <si>
    <t>57:17</t>
  </si>
  <si>
    <t>05:34</t>
  </si>
  <si>
    <t>16:17</t>
  </si>
  <si>
    <t>24:42</t>
  </si>
  <si>
    <t>49:38</t>
  </si>
  <si>
    <t>56:43</t>
  </si>
  <si>
    <t>247099</t>
  </si>
  <si>
    <t>214</t>
  </si>
  <si>
    <t>55:00</t>
  </si>
  <si>
    <t>119:26</t>
  </si>
  <si>
    <t>64:26</t>
  </si>
  <si>
    <t>06:52</t>
  </si>
  <si>
    <t>19:33</t>
  </si>
  <si>
    <t>36:03</t>
  </si>
  <si>
    <t>60:22</t>
  </si>
  <si>
    <t>63:32</t>
  </si>
  <si>
    <t>893825</t>
  </si>
  <si>
    <t>222</t>
  </si>
  <si>
    <t>Mihaljević</t>
  </si>
  <si>
    <t>Nenad</t>
  </si>
  <si>
    <t>52:00</t>
  </si>
  <si>
    <t>119:35</t>
  </si>
  <si>
    <t>07:50</t>
  </si>
  <si>
    <t>21:07</t>
  </si>
  <si>
    <t>35:18</t>
  </si>
  <si>
    <t>58:49</t>
  </si>
  <si>
    <t>546169</t>
  </si>
  <si>
    <t>173</t>
  </si>
  <si>
    <t>Matijašić</t>
  </si>
  <si>
    <t>110:40</t>
  </si>
  <si>
    <t>70:40</t>
  </si>
  <si>
    <t>06:26</t>
  </si>
  <si>
    <t>29:21</t>
  </si>
  <si>
    <t>36:13</t>
  </si>
  <si>
    <t>63:08</t>
  </si>
  <si>
    <t>67:46</t>
  </si>
  <si>
    <t>69:56</t>
  </si>
  <si>
    <t>236865</t>
  </si>
  <si>
    <t>129</t>
  </si>
  <si>
    <t>Lukačić</t>
  </si>
  <si>
    <t>64:00</t>
  </si>
  <si>
    <t>142:18</t>
  </si>
  <si>
    <t>78:18</t>
  </si>
  <si>
    <t>09:13</t>
  </si>
  <si>
    <t>24:10</t>
  </si>
  <si>
    <t>31:57</t>
  </si>
  <si>
    <t>43:47</t>
  </si>
  <si>
    <t>74:07</t>
  </si>
  <si>
    <t>77:11</t>
  </si>
  <si>
    <t>410650</t>
  </si>
  <si>
    <t>Ćurić</t>
  </si>
  <si>
    <t>135:48</t>
  </si>
  <si>
    <t>89:48</t>
  </si>
  <si>
    <t>26:37</t>
  </si>
  <si>
    <t>36:46</t>
  </si>
  <si>
    <t>45:45</t>
  </si>
  <si>
    <t>55:52</t>
  </si>
  <si>
    <t>78:43</t>
  </si>
  <si>
    <t>86:20</t>
  </si>
  <si>
    <t>88:52</t>
  </si>
  <si>
    <t>1968521</t>
  </si>
  <si>
    <t>217</t>
  </si>
  <si>
    <t>Labaš</t>
  </si>
  <si>
    <t>215:23</t>
  </si>
  <si>
    <t>172:23</t>
  </si>
  <si>
    <t>09:50</t>
  </si>
  <si>
    <t>27:12</t>
  </si>
  <si>
    <t>34:44</t>
  </si>
  <si>
    <t>136:52</t>
  </si>
  <si>
    <t>162:44</t>
  </si>
  <si>
    <t>170:10</t>
  </si>
  <si>
    <t>171:44</t>
  </si>
  <si>
    <t>315</t>
  </si>
  <si>
    <t>76:00</t>
  </si>
  <si>
    <t>314</t>
  </si>
  <si>
    <t>70:00</t>
  </si>
  <si>
    <t>406701</t>
  </si>
  <si>
    <t>236</t>
  </si>
  <si>
    <t>19:00</t>
  </si>
  <si>
    <t>63:33</t>
  </si>
  <si>
    <t>44:33</t>
  </si>
  <si>
    <t>M65</t>
  </si>
  <si>
    <t>3.17</t>
  </si>
  <si>
    <t>95</t>
  </si>
  <si>
    <t>14:15</t>
  </si>
  <si>
    <t>22:10</t>
  </si>
  <si>
    <t>28:53</t>
  </si>
  <si>
    <t>43:54</t>
  </si>
  <si>
    <t>2132997</t>
  </si>
  <si>
    <t>Mesić</t>
  </si>
  <si>
    <t>Ivica</t>
  </si>
  <si>
    <t>58:12</t>
  </si>
  <si>
    <t>55:12</t>
  </si>
  <si>
    <t>06:47</t>
  </si>
  <si>
    <t>13:59</t>
  </si>
  <si>
    <t>19:57</t>
  </si>
  <si>
    <t>26:53</t>
  </si>
  <si>
    <t>52:55</t>
  </si>
  <si>
    <t>54:34</t>
  </si>
  <si>
    <t>2115780</t>
  </si>
  <si>
    <t>149</t>
  </si>
  <si>
    <t>Pavić</t>
  </si>
  <si>
    <t>105:04</t>
  </si>
  <si>
    <t>94:04</t>
  </si>
  <si>
    <t>10:55</t>
  </si>
  <si>
    <t>25:47</t>
  </si>
  <si>
    <t>34:40</t>
  </si>
  <si>
    <t>89:54</t>
  </si>
  <si>
    <t>93:09</t>
  </si>
  <si>
    <t>313</t>
  </si>
  <si>
    <t>07:00</t>
  </si>
  <si>
    <t>312</t>
  </si>
  <si>
    <t>1946000</t>
  </si>
  <si>
    <t>216</t>
  </si>
  <si>
    <t>Turkalj</t>
  </si>
  <si>
    <t>143:33</t>
  </si>
  <si>
    <t>112:33</t>
  </si>
  <si>
    <t>M70</t>
  </si>
  <si>
    <t>13:13</t>
  </si>
  <si>
    <t>37:35</t>
  </si>
  <si>
    <t>48:52</t>
  </si>
  <si>
    <t>62:41</t>
  </si>
  <si>
    <t>106:16</t>
  </si>
  <si>
    <t>110:34</t>
  </si>
  <si>
    <t>236882</t>
  </si>
  <si>
    <t>209</t>
  </si>
  <si>
    <t>Čepelak</t>
  </si>
  <si>
    <t>Radovan</t>
  </si>
  <si>
    <t>143:30</t>
  </si>
  <si>
    <t>120:30</t>
  </si>
  <si>
    <t>56:56</t>
  </si>
  <si>
    <t>71:07</t>
  </si>
  <si>
    <t>114:55</t>
  </si>
  <si>
    <t>118:35</t>
  </si>
  <si>
    <t>353</t>
  </si>
  <si>
    <t>352</t>
  </si>
  <si>
    <t>8440330</t>
  </si>
  <si>
    <t>300</t>
  </si>
  <si>
    <t>Arbanas</t>
  </si>
  <si>
    <t>Barbara</t>
  </si>
  <si>
    <t>119:23</t>
  </si>
  <si>
    <t>OPEN</t>
  </si>
  <si>
    <t>3.31</t>
  </si>
  <si>
    <t>01:27</t>
  </si>
  <si>
    <t>05:58</t>
  </si>
  <si>
    <t>24:50</t>
  </si>
  <si>
    <t>48:35</t>
  </si>
  <si>
    <t>52:02</t>
  </si>
  <si>
    <t>52:50</t>
  </si>
  <si>
    <t>219313</t>
  </si>
  <si>
    <t>Šiprak Stastny</t>
  </si>
  <si>
    <t>Ana</t>
  </si>
  <si>
    <t>157:35</t>
  </si>
  <si>
    <t>79:35</t>
  </si>
  <si>
    <t>03:03</t>
  </si>
  <si>
    <t>17:41</t>
  </si>
  <si>
    <t>33:59</t>
  </si>
  <si>
    <t>59:45</t>
  </si>
  <si>
    <t>77:09</t>
  </si>
  <si>
    <t>78:41</t>
  </si>
  <si>
    <t>337657</t>
  </si>
  <si>
    <t>Žitnik</t>
  </si>
  <si>
    <t>Ivana</t>
  </si>
  <si>
    <t>191:29</t>
  </si>
  <si>
    <t>80:29</t>
  </si>
  <si>
    <t>02:55</t>
  </si>
  <si>
    <t>43:21</t>
  </si>
  <si>
    <t>51:34</t>
  </si>
  <si>
    <t>71:57</t>
  </si>
  <si>
    <t>79:42</t>
  </si>
  <si>
    <t>888974</t>
  </si>
  <si>
    <t>Šimatić</t>
  </si>
  <si>
    <t>123:00</t>
  </si>
  <si>
    <t>207:10</t>
  </si>
  <si>
    <t>84:10</t>
  </si>
  <si>
    <t>02:10</t>
  </si>
  <si>
    <t>19:58</t>
  </si>
  <si>
    <t>30:10</t>
  </si>
  <si>
    <t>48:55</t>
  </si>
  <si>
    <t>79:08</t>
  </si>
  <si>
    <t>82:44</t>
  </si>
  <si>
    <t>83:28</t>
  </si>
  <si>
    <t>8240883</t>
  </si>
  <si>
    <t>194</t>
  </si>
  <si>
    <t>Crvenković</t>
  </si>
  <si>
    <t>Karmela</t>
  </si>
  <si>
    <t>157:29</t>
  </si>
  <si>
    <t>85:29</t>
  </si>
  <si>
    <t>03:50</t>
  </si>
  <si>
    <t>22:07</t>
  </si>
  <si>
    <t>39:56</t>
  </si>
  <si>
    <t>49:19</t>
  </si>
  <si>
    <t>55:20</t>
  </si>
  <si>
    <t>65:40</t>
  </si>
  <si>
    <t>75:56</t>
  </si>
  <si>
    <t>82:59</t>
  </si>
  <si>
    <t>83:58</t>
  </si>
  <si>
    <t>2118091</t>
  </si>
  <si>
    <t>Pintur</t>
  </si>
  <si>
    <t>Iva</t>
  </si>
  <si>
    <t>147:15</t>
  </si>
  <si>
    <t>87:15</t>
  </si>
  <si>
    <t>02:43</t>
  </si>
  <si>
    <t>10:33</t>
  </si>
  <si>
    <t>36:43</t>
  </si>
  <si>
    <t>43:38</t>
  </si>
  <si>
    <t>50:19</t>
  </si>
  <si>
    <t>56:15</t>
  </si>
  <si>
    <t>85:45</t>
  </si>
  <si>
    <t>86:33</t>
  </si>
  <si>
    <t>411389</t>
  </si>
  <si>
    <t>87</t>
  </si>
  <si>
    <t>Skočić</t>
  </si>
  <si>
    <t>Oliver</t>
  </si>
  <si>
    <t>212:36</t>
  </si>
  <si>
    <t>92:36</t>
  </si>
  <si>
    <t>02:26</t>
  </si>
  <si>
    <t>27:28</t>
  </si>
  <si>
    <t>48:49</t>
  </si>
  <si>
    <t>65:16</t>
  </si>
  <si>
    <t>84:52</t>
  </si>
  <si>
    <t>90:19</t>
  </si>
  <si>
    <t>91:44</t>
  </si>
  <si>
    <t>2115768</t>
  </si>
  <si>
    <t>168</t>
  </si>
  <si>
    <t>Antonija</t>
  </si>
  <si>
    <t>159:06</t>
  </si>
  <si>
    <t>102:06</t>
  </si>
  <si>
    <t>05:29</t>
  </si>
  <si>
    <t>43:31</t>
  </si>
  <si>
    <t>55:33</t>
  </si>
  <si>
    <t>64:29</t>
  </si>
  <si>
    <t>73:42</t>
  </si>
  <si>
    <t>90:24</t>
  </si>
  <si>
    <t>99:14</t>
  </si>
  <si>
    <t>101:03</t>
  </si>
  <si>
    <t>439279</t>
  </si>
  <si>
    <t>99</t>
  </si>
  <si>
    <t>Jurić</t>
  </si>
  <si>
    <t>Nika</t>
  </si>
  <si>
    <t>129:00</t>
  </si>
  <si>
    <t>231:19</t>
  </si>
  <si>
    <t>102:19</t>
  </si>
  <si>
    <t>02:54</t>
  </si>
  <si>
    <t>40:53</t>
  </si>
  <si>
    <t>72:01</t>
  </si>
  <si>
    <t>89:34</t>
  </si>
  <si>
    <t>96:59</t>
  </si>
  <si>
    <t>98:19</t>
  </si>
  <si>
    <t>421655</t>
  </si>
  <si>
    <t>Gerber</t>
  </si>
  <si>
    <t>Sandra</t>
  </si>
  <si>
    <t>231:55</t>
  </si>
  <si>
    <t>126:55</t>
  </si>
  <si>
    <t>05:03</t>
  </si>
  <si>
    <t>39:28</t>
  </si>
  <si>
    <t>63:26</t>
  </si>
  <si>
    <t>73:13</t>
  </si>
  <si>
    <t>84:33</t>
  </si>
  <si>
    <t>92:23</t>
  </si>
  <si>
    <t>114:52</t>
  </si>
  <si>
    <t>121:16</t>
  </si>
  <si>
    <t>122:49</t>
  </si>
  <si>
    <t>893847</t>
  </si>
  <si>
    <t>108</t>
  </si>
  <si>
    <t>Bjeliš</t>
  </si>
  <si>
    <t>213:27</t>
  </si>
  <si>
    <t>144:27</t>
  </si>
  <si>
    <t>02:27</t>
  </si>
  <si>
    <t>77:55</t>
  </si>
  <si>
    <t>95:05</t>
  </si>
  <si>
    <t>110:13</t>
  </si>
  <si>
    <t>116:27</t>
  </si>
  <si>
    <t>124:21</t>
  </si>
  <si>
    <t>136:30</t>
  </si>
  <si>
    <t>142:32</t>
  </si>
  <si>
    <t>143:41</t>
  </si>
  <si>
    <t>2030933</t>
  </si>
  <si>
    <t>134</t>
  </si>
  <si>
    <t>Lucija</t>
  </si>
  <si>
    <t>208:43</t>
  </si>
  <si>
    <t>145:43</t>
  </si>
  <si>
    <t>03:08</t>
  </si>
  <si>
    <t>31:37</t>
  </si>
  <si>
    <t>50:31</t>
  </si>
  <si>
    <t>60:45</t>
  </si>
  <si>
    <t>69:42</t>
  </si>
  <si>
    <t>81:15</t>
  </si>
  <si>
    <t>134:23</t>
  </si>
  <si>
    <t>143:48</t>
  </si>
  <si>
    <t>144:48</t>
  </si>
  <si>
    <t>410619</t>
  </si>
  <si>
    <t>Miletić</t>
  </si>
  <si>
    <t>237553</t>
  </si>
  <si>
    <t>Sandalj</t>
  </si>
  <si>
    <t>Rafael</t>
  </si>
  <si>
    <t>191:32</t>
  </si>
  <si>
    <t>95:32</t>
  </si>
  <si>
    <t>47:05</t>
  </si>
  <si>
    <t>53:20</t>
  </si>
  <si>
    <t>66:27</t>
  </si>
  <si>
    <t>93:31</t>
  </si>
  <si>
    <t>94:48</t>
  </si>
  <si>
    <t>720210</t>
  </si>
  <si>
    <t>196</t>
  </si>
  <si>
    <t>Vukmanović</t>
  </si>
  <si>
    <t>361852</t>
  </si>
  <si>
    <t>97</t>
  </si>
  <si>
    <t>Katušić</t>
  </si>
  <si>
    <t>Maja</t>
  </si>
  <si>
    <t>232:32</t>
  </si>
  <si>
    <t>148:32</t>
  </si>
  <si>
    <t>02:23</t>
  </si>
  <si>
    <t>146:59</t>
  </si>
  <si>
    <t>236042</t>
  </si>
  <si>
    <t>98</t>
  </si>
  <si>
    <t>Petra</t>
  </si>
  <si>
    <t>147:49</t>
  </si>
  <si>
    <t>72:49</t>
  </si>
  <si>
    <t>02:58</t>
  </si>
  <si>
    <t>27:36</t>
  </si>
  <si>
    <t>63:52</t>
  </si>
  <si>
    <t>70:34</t>
  </si>
  <si>
    <t>406870</t>
  </si>
  <si>
    <t>89</t>
  </si>
  <si>
    <t>Miščević</t>
  </si>
  <si>
    <t>Maša</t>
  </si>
  <si>
    <t>406861</t>
  </si>
  <si>
    <t>92</t>
  </si>
  <si>
    <t>Majnarić</t>
  </si>
  <si>
    <t>118:32</t>
  </si>
  <si>
    <t>02:12</t>
  </si>
  <si>
    <t>348</t>
  </si>
  <si>
    <t>Hajnić</t>
  </si>
  <si>
    <t>2030938</t>
  </si>
  <si>
    <t>349</t>
  </si>
  <si>
    <t>893836</t>
  </si>
  <si>
    <t>Mirjana</t>
  </si>
  <si>
    <t>2113448</t>
  </si>
  <si>
    <t>189</t>
  </si>
  <si>
    <t>Juričan</t>
  </si>
  <si>
    <t>02:29</t>
  </si>
  <si>
    <t>Janković</t>
  </si>
  <si>
    <t>126:00</t>
  </si>
  <si>
    <t>2113447</t>
  </si>
  <si>
    <t>137</t>
  </si>
  <si>
    <t>Barulek</t>
  </si>
  <si>
    <t>7055033</t>
  </si>
  <si>
    <t>Sara</t>
  </si>
  <si>
    <t>42:20</t>
  </si>
  <si>
    <t>21:20</t>
  </si>
  <si>
    <t>Ž12</t>
  </si>
  <si>
    <t>36</t>
  </si>
  <si>
    <t>04:53</t>
  </si>
  <si>
    <t>06:41</t>
  </si>
  <si>
    <t>09:43</t>
  </si>
  <si>
    <t>12:06</t>
  </si>
  <si>
    <t>14:10</t>
  </si>
  <si>
    <t>18:59</t>
  </si>
  <si>
    <t>20:46</t>
  </si>
  <si>
    <t>7551552</t>
  </si>
  <si>
    <t>Dora</t>
  </si>
  <si>
    <t>34:12</t>
  </si>
  <si>
    <t>07:59</t>
  </si>
  <si>
    <t>12:52</t>
  </si>
  <si>
    <t>14:30</t>
  </si>
  <si>
    <t>17:53</t>
  </si>
  <si>
    <t>232216</t>
  </si>
  <si>
    <t>Veronika</t>
  </si>
  <si>
    <t>42:18</t>
  </si>
  <si>
    <t>25:18</t>
  </si>
  <si>
    <t>08:56</t>
  </si>
  <si>
    <t>10:37</t>
  </si>
  <si>
    <t>13:46</t>
  </si>
  <si>
    <t>16:13</t>
  </si>
  <si>
    <t>24:44</t>
  </si>
  <si>
    <t>411359</t>
  </si>
  <si>
    <t>40</t>
  </si>
  <si>
    <t>Viktoria</t>
  </si>
  <si>
    <t>34:30</t>
  </si>
  <si>
    <t>29:30</t>
  </si>
  <si>
    <t>07:36</t>
  </si>
  <si>
    <t>10:15</t>
  </si>
  <si>
    <t>14:47</t>
  </si>
  <si>
    <t>17:28</t>
  </si>
  <si>
    <t>19:09</t>
  </si>
  <si>
    <t>893821</t>
  </si>
  <si>
    <t>223</t>
  </si>
  <si>
    <t>Bajrektarević</t>
  </si>
  <si>
    <t>Luna</t>
  </si>
  <si>
    <t>72:18</t>
  </si>
  <si>
    <t>31:18</t>
  </si>
  <si>
    <t>03:24</t>
  </si>
  <si>
    <t>14:36</t>
  </si>
  <si>
    <t>21:28</t>
  </si>
  <si>
    <t>30:48</t>
  </si>
  <si>
    <t>232287</t>
  </si>
  <si>
    <t>346</t>
  </si>
  <si>
    <t>Gloria</t>
  </si>
  <si>
    <t>65:23</t>
  </si>
  <si>
    <t>36:23</t>
  </si>
  <si>
    <t>15:21</t>
  </si>
  <si>
    <t>25:40</t>
  </si>
  <si>
    <t>27:49</t>
  </si>
  <si>
    <t>34:04</t>
  </si>
  <si>
    <t>35:47</t>
  </si>
  <si>
    <t>2030932</t>
  </si>
  <si>
    <t>25:00</t>
  </si>
  <si>
    <t>72:44</t>
  </si>
  <si>
    <t>47:44</t>
  </si>
  <si>
    <t>19:19</t>
  </si>
  <si>
    <t>20:51</t>
  </si>
  <si>
    <t>27:05</t>
  </si>
  <si>
    <t>31:50</t>
  </si>
  <si>
    <t>34:28</t>
  </si>
  <si>
    <t>46:53</t>
  </si>
  <si>
    <t>2113449</t>
  </si>
  <si>
    <t>190</t>
  </si>
  <si>
    <t>Ema</t>
  </si>
  <si>
    <t>89:40</t>
  </si>
  <si>
    <t>56:40</t>
  </si>
  <si>
    <t>32:26</t>
  </si>
  <si>
    <t>41:14</t>
  </si>
  <si>
    <t>44:28</t>
  </si>
  <si>
    <t>52:35</t>
  </si>
  <si>
    <t>55:58</t>
  </si>
  <si>
    <t>2030935</t>
  </si>
  <si>
    <t>140</t>
  </si>
  <si>
    <t>Eva</t>
  </si>
  <si>
    <t>131:29</t>
  </si>
  <si>
    <t>82:29</t>
  </si>
  <si>
    <t>51:25</t>
  </si>
  <si>
    <t>54:28</t>
  </si>
  <si>
    <t>63:45</t>
  </si>
  <si>
    <t>74:22</t>
  </si>
  <si>
    <t>78:53</t>
  </si>
  <si>
    <t>410649</t>
  </si>
  <si>
    <t>232</t>
  </si>
  <si>
    <t>2115765</t>
  </si>
  <si>
    <t>257</t>
  </si>
  <si>
    <t>13:00</t>
  </si>
  <si>
    <t>347</t>
  </si>
  <si>
    <t>8300220</t>
  </si>
  <si>
    <t>275</t>
  </si>
  <si>
    <t>Paola</t>
  </si>
  <si>
    <t>72:24</t>
  </si>
  <si>
    <t>Ž14</t>
  </si>
  <si>
    <t>01:05</t>
  </si>
  <si>
    <t>03:44</t>
  </si>
  <si>
    <t>11:57</t>
  </si>
  <si>
    <t>15:20</t>
  </si>
  <si>
    <t>21:56</t>
  </si>
  <si>
    <t>25:25</t>
  </si>
  <si>
    <t>28:12</t>
  </si>
  <si>
    <t>30:01</t>
  </si>
  <si>
    <t>7000818</t>
  </si>
  <si>
    <t>Monika</t>
  </si>
  <si>
    <t>100:42</t>
  </si>
  <si>
    <t>46:42</t>
  </si>
  <si>
    <t>01:00</t>
  </si>
  <si>
    <t>17:15</t>
  </si>
  <si>
    <t>26:17</t>
  </si>
  <si>
    <t>37:41</t>
  </si>
  <si>
    <t>40:59</t>
  </si>
  <si>
    <t>44:11</t>
  </si>
  <si>
    <t>46:14</t>
  </si>
  <si>
    <t>2133024</t>
  </si>
  <si>
    <t>117</t>
  </si>
  <si>
    <t>101:09</t>
  </si>
  <si>
    <t>53:09</t>
  </si>
  <si>
    <t>00:59</t>
  </si>
  <si>
    <t>23:18</t>
  </si>
  <si>
    <t>32:19</t>
  </si>
  <si>
    <t>43:51</t>
  </si>
  <si>
    <t>47:10</t>
  </si>
  <si>
    <t>52:38</t>
  </si>
  <si>
    <t>345</t>
  </si>
  <si>
    <t>344</t>
  </si>
  <si>
    <t>2061276</t>
  </si>
  <si>
    <t>91:27</t>
  </si>
  <si>
    <t>Ž16</t>
  </si>
  <si>
    <t>16:33</t>
  </si>
  <si>
    <t>33:02</t>
  </si>
  <si>
    <t>40:29</t>
  </si>
  <si>
    <t>40:57</t>
  </si>
  <si>
    <t>2115782</t>
  </si>
  <si>
    <t>166</t>
  </si>
  <si>
    <t>Mirta</t>
  </si>
  <si>
    <t>101:53</t>
  </si>
  <si>
    <t>48:53</t>
  </si>
  <si>
    <t>14:45</t>
  </si>
  <si>
    <t>29:33</t>
  </si>
  <si>
    <t>33:08</t>
  </si>
  <si>
    <t>44:20</t>
  </si>
  <si>
    <t>47:50</t>
  </si>
  <si>
    <t>48:21</t>
  </si>
  <si>
    <t>2113332</t>
  </si>
  <si>
    <t>228</t>
  </si>
  <si>
    <t>Kovač</t>
  </si>
  <si>
    <t>Wanda</t>
  </si>
  <si>
    <t>59:56</t>
  </si>
  <si>
    <t>48:56</t>
  </si>
  <si>
    <t>07:58</t>
  </si>
  <si>
    <t>15:07</t>
  </si>
  <si>
    <t>20:52</t>
  </si>
  <si>
    <t>26:34</t>
  </si>
  <si>
    <t>39:11</t>
  </si>
  <si>
    <t>44:13</t>
  </si>
  <si>
    <t>47:59</t>
  </si>
  <si>
    <t>48:29</t>
  </si>
  <si>
    <t>2133352</t>
  </si>
  <si>
    <t>52:05</t>
  </si>
  <si>
    <t>08:31</t>
  </si>
  <si>
    <t>17:06</t>
  </si>
  <si>
    <t>24:30</t>
  </si>
  <si>
    <t>46:47</t>
  </si>
  <si>
    <t>8431111</t>
  </si>
  <si>
    <t>272</t>
  </si>
  <si>
    <t>Kimi Maria</t>
  </si>
  <si>
    <t>91:31</t>
  </si>
  <si>
    <t>53:31</t>
  </si>
  <si>
    <t>27:25</t>
  </si>
  <si>
    <t>45:05</t>
  </si>
  <si>
    <t>49:17</t>
  </si>
  <si>
    <t>52:27</t>
  </si>
  <si>
    <t>52:59</t>
  </si>
  <si>
    <t>2113348</t>
  </si>
  <si>
    <t>203</t>
  </si>
  <si>
    <t>Vidaković</t>
  </si>
  <si>
    <t>Majda</t>
  </si>
  <si>
    <t>53:57</t>
  </si>
  <si>
    <t>08:53</t>
  </si>
  <si>
    <t>18:51</t>
  </si>
  <si>
    <t>28:27</t>
  </si>
  <si>
    <t>36:45</t>
  </si>
  <si>
    <t>45:06</t>
  </si>
  <si>
    <t>49:57</t>
  </si>
  <si>
    <t>53:25</t>
  </si>
  <si>
    <t>2127101</t>
  </si>
  <si>
    <t>Marta</t>
  </si>
  <si>
    <t>60:06</t>
  </si>
  <si>
    <t>58:06</t>
  </si>
  <si>
    <t>11:50</t>
  </si>
  <si>
    <t>31:29</t>
  </si>
  <si>
    <t>39:48</t>
  </si>
  <si>
    <t>53:18</t>
  </si>
  <si>
    <t>57:01</t>
  </si>
  <si>
    <t>57:34</t>
  </si>
  <si>
    <t>237598</t>
  </si>
  <si>
    <t>161</t>
  </si>
  <si>
    <t>Cvjetko</t>
  </si>
  <si>
    <t>Jana</t>
  </si>
  <si>
    <t>63:07</t>
  </si>
  <si>
    <t>10:56</t>
  </si>
  <si>
    <t>18:10</t>
  </si>
  <si>
    <t>22:36</t>
  </si>
  <si>
    <t>50:44</t>
  </si>
  <si>
    <t>56:07</t>
  </si>
  <si>
    <t>62:32</t>
  </si>
  <si>
    <t>2132926</t>
  </si>
  <si>
    <t>Drobić</t>
  </si>
  <si>
    <t>Melissa</t>
  </si>
  <si>
    <t>93:04</t>
  </si>
  <si>
    <t>70:04</t>
  </si>
  <si>
    <t>27:44</t>
  </si>
  <si>
    <t>35:04</t>
  </si>
  <si>
    <t>60:11</t>
  </si>
  <si>
    <t>64:45</t>
  </si>
  <si>
    <t>68:58</t>
  </si>
  <si>
    <t>69:32</t>
  </si>
  <si>
    <t>2144745</t>
  </si>
  <si>
    <t>172</t>
  </si>
  <si>
    <t>Gršković</t>
  </si>
  <si>
    <t>Mare</t>
  </si>
  <si>
    <t>93:07</t>
  </si>
  <si>
    <t>76:07</t>
  </si>
  <si>
    <t>28:40</t>
  </si>
  <si>
    <t>41:25</t>
  </si>
  <si>
    <t>48:33</t>
  </si>
  <si>
    <t>58:24</t>
  </si>
  <si>
    <t>66:18</t>
  </si>
  <si>
    <t>70:49</t>
  </si>
  <si>
    <t>75:07</t>
  </si>
  <si>
    <t>75:36</t>
  </si>
  <si>
    <t>2113339</t>
  </si>
  <si>
    <t>220</t>
  </si>
  <si>
    <t>Potrebica</t>
  </si>
  <si>
    <t>116:16</t>
  </si>
  <si>
    <t>81:16</t>
  </si>
  <si>
    <t>48:58</t>
  </si>
  <si>
    <t>56:06</t>
  </si>
  <si>
    <t>67:55</t>
  </si>
  <si>
    <t>74:53</t>
  </si>
  <si>
    <t>80:03</t>
  </si>
  <si>
    <t>80:43</t>
  </si>
  <si>
    <t>2100979</t>
  </si>
  <si>
    <t>Ira</t>
  </si>
  <si>
    <t>116:12</t>
  </si>
  <si>
    <t>84:12</t>
  </si>
  <si>
    <t>44:46</t>
  </si>
  <si>
    <t>59:11</t>
  </si>
  <si>
    <t>70:50</t>
  </si>
  <si>
    <t>78:08</t>
  </si>
  <si>
    <t>82:55</t>
  </si>
  <si>
    <t>83:40</t>
  </si>
  <si>
    <t>2148492</t>
  </si>
  <si>
    <t>169</t>
  </si>
  <si>
    <t>Nina</t>
  </si>
  <si>
    <t>116:18</t>
  </si>
  <si>
    <t>87:18</t>
  </si>
  <si>
    <t>55:03</t>
  </si>
  <si>
    <t>73:52</t>
  </si>
  <si>
    <t>86:12</t>
  </si>
  <si>
    <t>86:45</t>
  </si>
  <si>
    <t>5729</t>
  </si>
  <si>
    <t>Lucija Marijela</t>
  </si>
  <si>
    <t>143:01</t>
  </si>
  <si>
    <t>99:01</t>
  </si>
  <si>
    <t>59:37</t>
  </si>
  <si>
    <t>67:29</t>
  </si>
  <si>
    <t>75:44</t>
  </si>
  <si>
    <t>85:14</t>
  </si>
  <si>
    <t>91:13</t>
  </si>
  <si>
    <t>97:36</t>
  </si>
  <si>
    <t>98:18</t>
  </si>
  <si>
    <t>236860</t>
  </si>
  <si>
    <t>Jelena</t>
  </si>
  <si>
    <t>88:55</t>
  </si>
  <si>
    <t>62:55</t>
  </si>
  <si>
    <t>21:51</t>
  </si>
  <si>
    <t>36:57</t>
  </si>
  <si>
    <t>55:13</t>
  </si>
  <si>
    <t>62:14</t>
  </si>
  <si>
    <t>343</t>
  </si>
  <si>
    <t>222401</t>
  </si>
  <si>
    <t>84</t>
  </si>
  <si>
    <t>342</t>
  </si>
  <si>
    <t>8445444</t>
  </si>
  <si>
    <t>282</t>
  </si>
  <si>
    <t>Dorja</t>
  </si>
  <si>
    <t>37:26</t>
  </si>
  <si>
    <t>34:26</t>
  </si>
  <si>
    <t>Ž20</t>
  </si>
  <si>
    <t>4.33</t>
  </si>
  <si>
    <t>155</t>
  </si>
  <si>
    <t>11:02</t>
  </si>
  <si>
    <t>24:24</t>
  </si>
  <si>
    <t>25:59</t>
  </si>
  <si>
    <t>32:38</t>
  </si>
  <si>
    <t>33:55</t>
  </si>
  <si>
    <t>5768</t>
  </si>
  <si>
    <t>286</t>
  </si>
  <si>
    <t>Zdenka Petra</t>
  </si>
  <si>
    <t>63:50</t>
  </si>
  <si>
    <t>39:50</t>
  </si>
  <si>
    <t>06:23</t>
  </si>
  <si>
    <t>12:26</t>
  </si>
  <si>
    <t>27:52</t>
  </si>
  <si>
    <t>29:57</t>
  </si>
  <si>
    <t>33:34</t>
  </si>
  <si>
    <t>38:15</t>
  </si>
  <si>
    <t>39:18</t>
  </si>
  <si>
    <t>8231003</t>
  </si>
  <si>
    <t>292</t>
  </si>
  <si>
    <t>Paula</t>
  </si>
  <si>
    <t>59:34</t>
  </si>
  <si>
    <t>04:12</t>
  </si>
  <si>
    <t>12:50</t>
  </si>
  <si>
    <t>16:28</t>
  </si>
  <si>
    <t>33:30</t>
  </si>
  <si>
    <t>40:27</t>
  </si>
  <si>
    <t>45:53</t>
  </si>
  <si>
    <t>47:01</t>
  </si>
  <si>
    <t>770914</t>
  </si>
  <si>
    <t>160</t>
  </si>
  <si>
    <t>98:16</t>
  </si>
  <si>
    <t>89:16</t>
  </si>
  <si>
    <t>10:11</t>
  </si>
  <si>
    <t>28:38</t>
  </si>
  <si>
    <t>31:48</t>
  </si>
  <si>
    <t>64:08</t>
  </si>
  <si>
    <t>73:36</t>
  </si>
  <si>
    <t>79:34</t>
  </si>
  <si>
    <t>86:55</t>
  </si>
  <si>
    <t>88:41</t>
  </si>
  <si>
    <t>2113425</t>
  </si>
  <si>
    <t>123</t>
  </si>
  <si>
    <t>108:22</t>
  </si>
  <si>
    <t>93:22</t>
  </si>
  <si>
    <t>09:19</t>
  </si>
  <si>
    <t>13:43</t>
  </si>
  <si>
    <t>28:48</t>
  </si>
  <si>
    <t>36:44</t>
  </si>
  <si>
    <t>65:59</t>
  </si>
  <si>
    <t>70:20</t>
  </si>
  <si>
    <t>91:22</t>
  </si>
  <si>
    <t>92:50</t>
  </si>
  <si>
    <t>893841</t>
  </si>
  <si>
    <t>126</t>
  </si>
  <si>
    <t>126:37</t>
  </si>
  <si>
    <t>99:37</t>
  </si>
  <si>
    <t>16:57</t>
  </si>
  <si>
    <t>74:33</t>
  </si>
  <si>
    <t>86:57</t>
  </si>
  <si>
    <t>97:28</t>
  </si>
  <si>
    <t>1717177</t>
  </si>
  <si>
    <t>131</t>
  </si>
  <si>
    <t>Srebačić</t>
  </si>
  <si>
    <t>341</t>
  </si>
  <si>
    <t>340</t>
  </si>
  <si>
    <t>1403140</t>
  </si>
  <si>
    <t>252</t>
  </si>
  <si>
    <t>Mirja</t>
  </si>
  <si>
    <t>57:35</t>
  </si>
  <si>
    <t>55:35</t>
  </si>
  <si>
    <t>Ž21A</t>
  </si>
  <si>
    <t>03:22</t>
  </si>
  <si>
    <t>04:34</t>
  </si>
  <si>
    <t>12:32</t>
  </si>
  <si>
    <t>16:41</t>
  </si>
  <si>
    <t>25:52</t>
  </si>
  <si>
    <t>28:47</t>
  </si>
  <si>
    <t>31:08</t>
  </si>
  <si>
    <t>55:06</t>
  </si>
  <si>
    <t>552005</t>
  </si>
  <si>
    <t>195</t>
  </si>
  <si>
    <t>Vinka</t>
  </si>
  <si>
    <t>87:44</t>
  </si>
  <si>
    <t>57:44</t>
  </si>
  <si>
    <t>06:44</t>
  </si>
  <si>
    <t>15:09</t>
  </si>
  <si>
    <t>19:12</t>
  </si>
  <si>
    <t>28:22</t>
  </si>
  <si>
    <t>31:07</t>
  </si>
  <si>
    <t>51:42</t>
  </si>
  <si>
    <t>55:53</t>
  </si>
  <si>
    <t>2105108</t>
  </si>
  <si>
    <t>Jerković Perić</t>
  </si>
  <si>
    <t>Olga</t>
  </si>
  <si>
    <t>58:34</t>
  </si>
  <si>
    <t>03:58</t>
  </si>
  <si>
    <t>12:51</t>
  </si>
  <si>
    <t>16:56</t>
  </si>
  <si>
    <t>27:01</t>
  </si>
  <si>
    <t>29:25</t>
  </si>
  <si>
    <t>52:20</t>
  </si>
  <si>
    <t>55:24</t>
  </si>
  <si>
    <t>8061499</t>
  </si>
  <si>
    <t>105:28</t>
  </si>
  <si>
    <t>63:28</t>
  </si>
  <si>
    <t>06:38</t>
  </si>
  <si>
    <t>07:48</t>
  </si>
  <si>
    <t>16:58</t>
  </si>
  <si>
    <t>25:43</t>
  </si>
  <si>
    <t>30:59</t>
  </si>
  <si>
    <t>36:15</t>
  </si>
  <si>
    <t>57:45</t>
  </si>
  <si>
    <t>60:09</t>
  </si>
  <si>
    <t>61:47</t>
  </si>
  <si>
    <t>62:56</t>
  </si>
  <si>
    <t>8041177</t>
  </si>
  <si>
    <t>Orlić</t>
  </si>
  <si>
    <t>68:18</t>
  </si>
  <si>
    <t>04:40</t>
  </si>
  <si>
    <t>06:14</t>
  </si>
  <si>
    <t>26:10</t>
  </si>
  <si>
    <t>31:14</t>
  </si>
  <si>
    <t>36:51</t>
  </si>
  <si>
    <t>61:23</t>
  </si>
  <si>
    <t>64:51</t>
  </si>
  <si>
    <t>66:37</t>
  </si>
  <si>
    <t>67:45</t>
  </si>
  <si>
    <t>2128411</t>
  </si>
  <si>
    <t>200</t>
  </si>
  <si>
    <t>Ines</t>
  </si>
  <si>
    <t>85:04</t>
  </si>
  <si>
    <t>79:04</t>
  </si>
  <si>
    <t>06:45</t>
  </si>
  <si>
    <t>21:04</t>
  </si>
  <si>
    <t>25:27</t>
  </si>
  <si>
    <t>29:37</t>
  </si>
  <si>
    <t>35:12</t>
  </si>
  <si>
    <t>38:47</t>
  </si>
  <si>
    <t>73:06</t>
  </si>
  <si>
    <t>78:33</t>
  </si>
  <si>
    <t>893803</t>
  </si>
  <si>
    <t>302</t>
  </si>
  <si>
    <t>Lea Katarina</t>
  </si>
  <si>
    <t>120:34</t>
  </si>
  <si>
    <t>98:34</t>
  </si>
  <si>
    <t>05:13</t>
  </si>
  <si>
    <t>07:05</t>
  </si>
  <si>
    <t>47:51</t>
  </si>
  <si>
    <t>89:01</t>
  </si>
  <si>
    <t>96:19</t>
  </si>
  <si>
    <t>97:54</t>
  </si>
  <si>
    <t>7663976</t>
  </si>
  <si>
    <t>Beblek</t>
  </si>
  <si>
    <t>311</t>
  </si>
  <si>
    <t>310</t>
  </si>
  <si>
    <t>8339339</t>
  </si>
  <si>
    <t>Frajzman</t>
  </si>
  <si>
    <t>Nevija</t>
  </si>
  <si>
    <t>2088253</t>
  </si>
  <si>
    <t>339</t>
  </si>
  <si>
    <t>Plevnik</t>
  </si>
  <si>
    <t>140:40</t>
  </si>
  <si>
    <t>48:40</t>
  </si>
  <si>
    <t>Ž21B</t>
  </si>
  <si>
    <t>16:42</t>
  </si>
  <si>
    <t>38:20</t>
  </si>
  <si>
    <t>42:57</t>
  </si>
  <si>
    <t>47:28</t>
  </si>
  <si>
    <t>48:07</t>
  </si>
  <si>
    <t>2148497</t>
  </si>
  <si>
    <t>192</t>
  </si>
  <si>
    <t>Pajnić</t>
  </si>
  <si>
    <t>189:07</t>
  </si>
  <si>
    <t>61:07</t>
  </si>
  <si>
    <t>39:20</t>
  </si>
  <si>
    <t>43:25</t>
  </si>
  <si>
    <t>49:23</t>
  </si>
  <si>
    <t>55:50</t>
  </si>
  <si>
    <t>59:44</t>
  </si>
  <si>
    <t>60:30</t>
  </si>
  <si>
    <t>2221126</t>
  </si>
  <si>
    <t>158</t>
  </si>
  <si>
    <t>170:56</t>
  </si>
  <si>
    <t>63:56</t>
  </si>
  <si>
    <t>34:20</t>
  </si>
  <si>
    <t>49:11</t>
  </si>
  <si>
    <t>56:37</t>
  </si>
  <si>
    <t>63:05</t>
  </si>
  <si>
    <t>2144791</t>
  </si>
  <si>
    <t>Gerjević</t>
  </si>
  <si>
    <t>Lana</t>
  </si>
  <si>
    <t>147:18</t>
  </si>
  <si>
    <t>64:18</t>
  </si>
  <si>
    <t>19:02</t>
  </si>
  <si>
    <t>44:07</t>
  </si>
  <si>
    <t>51:16</t>
  </si>
  <si>
    <t>57:18</t>
  </si>
  <si>
    <t>7000644</t>
  </si>
  <si>
    <t>151</t>
  </si>
  <si>
    <t>Ana-Marija</t>
  </si>
  <si>
    <t>163:59</t>
  </si>
  <si>
    <t>13:29</t>
  </si>
  <si>
    <t>33:52</t>
  </si>
  <si>
    <t>50:29</t>
  </si>
  <si>
    <t>64:37</t>
  </si>
  <si>
    <t>65:21</t>
  </si>
  <si>
    <t>2143665</t>
  </si>
  <si>
    <t>245</t>
  </si>
  <si>
    <t>Dukić</t>
  </si>
  <si>
    <t>Višnja</t>
  </si>
  <si>
    <t>132:21</t>
  </si>
  <si>
    <t>67:21</t>
  </si>
  <si>
    <t>21:43</t>
  </si>
  <si>
    <t>32:49</t>
  </si>
  <si>
    <t>40:54</t>
  </si>
  <si>
    <t>50:03</t>
  </si>
  <si>
    <t>59:27</t>
  </si>
  <si>
    <t>66:40</t>
  </si>
  <si>
    <t>1110911</t>
  </si>
  <si>
    <t>215</t>
  </si>
  <si>
    <t>Stanić</t>
  </si>
  <si>
    <t>Suzana</t>
  </si>
  <si>
    <t>147:26</t>
  </si>
  <si>
    <t>76:26</t>
  </si>
  <si>
    <t>42:21</t>
  </si>
  <si>
    <t>56:13</t>
  </si>
  <si>
    <t>63:22</t>
  </si>
  <si>
    <t>69:31</t>
  </si>
  <si>
    <t>74:24</t>
  </si>
  <si>
    <t>75:48</t>
  </si>
  <si>
    <t>893804</t>
  </si>
  <si>
    <t>153</t>
  </si>
  <si>
    <t>Čaja</t>
  </si>
  <si>
    <t>Lovorka</t>
  </si>
  <si>
    <t>82:10</t>
  </si>
  <si>
    <t>18:34</t>
  </si>
  <si>
    <t>49:29</t>
  </si>
  <si>
    <t>58:45</t>
  </si>
  <si>
    <t>67:04</t>
  </si>
  <si>
    <t>80:38</t>
  </si>
  <si>
    <t>81:31</t>
  </si>
  <si>
    <t>2442601</t>
  </si>
  <si>
    <t>Andrea</t>
  </si>
  <si>
    <t>203:27</t>
  </si>
  <si>
    <t>25:21</t>
  </si>
  <si>
    <t>52:40</t>
  </si>
  <si>
    <t>77:46</t>
  </si>
  <si>
    <t>82:11</t>
  </si>
  <si>
    <t>83:35</t>
  </si>
  <si>
    <t>9201754</t>
  </si>
  <si>
    <t>128</t>
  </si>
  <si>
    <t>Glušica</t>
  </si>
  <si>
    <t>Hana</t>
  </si>
  <si>
    <t>175:18</t>
  </si>
  <si>
    <t>89:18</t>
  </si>
  <si>
    <t>57:31</t>
  </si>
  <si>
    <t>64:04</t>
  </si>
  <si>
    <t>83:04</t>
  </si>
  <si>
    <t>87:54</t>
  </si>
  <si>
    <t>88:40</t>
  </si>
  <si>
    <t>2126435</t>
  </si>
  <si>
    <t>Latinger</t>
  </si>
  <si>
    <t>203:28</t>
  </si>
  <si>
    <t>93:28</t>
  </si>
  <si>
    <t>46:18</t>
  </si>
  <si>
    <t>54:39</t>
  </si>
  <si>
    <t>61:51</t>
  </si>
  <si>
    <t>72:37</t>
  </si>
  <si>
    <t>87:01</t>
  </si>
  <si>
    <t>91:42</t>
  </si>
  <si>
    <t>92:43</t>
  </si>
  <si>
    <t>361853</t>
  </si>
  <si>
    <t>96</t>
  </si>
  <si>
    <t>155:01</t>
  </si>
  <si>
    <t>56:22</t>
  </si>
  <si>
    <t>64:58</t>
  </si>
  <si>
    <t>71:48</t>
  </si>
  <si>
    <t>79:33</t>
  </si>
  <si>
    <t>88:04</t>
  </si>
  <si>
    <t>96:39</t>
  </si>
  <si>
    <t>222404</t>
  </si>
  <si>
    <t>81</t>
  </si>
  <si>
    <t>Zaitseva</t>
  </si>
  <si>
    <t>233:09</t>
  </si>
  <si>
    <t>120:09</t>
  </si>
  <si>
    <t>62:05</t>
  </si>
  <si>
    <t>75:22</t>
  </si>
  <si>
    <t>81:38</t>
  </si>
  <si>
    <t>88:42</t>
  </si>
  <si>
    <t>103:41</t>
  </si>
  <si>
    <t>112:53</t>
  </si>
  <si>
    <t>118:22</t>
  </si>
  <si>
    <t>119:18</t>
  </si>
  <si>
    <t>235087</t>
  </si>
  <si>
    <t>103</t>
  </si>
  <si>
    <t>Ivošević</t>
  </si>
  <si>
    <t>Luana</t>
  </si>
  <si>
    <t>1234109</t>
  </si>
  <si>
    <t>82</t>
  </si>
  <si>
    <t>Miličević</t>
  </si>
  <si>
    <t>Aleksandra</t>
  </si>
  <si>
    <t>361855</t>
  </si>
  <si>
    <t>Kranjec</t>
  </si>
  <si>
    <t>Nikolina</t>
  </si>
  <si>
    <t>338</t>
  </si>
  <si>
    <t>411390</t>
  </si>
  <si>
    <t>86</t>
  </si>
  <si>
    <t>2143680</t>
  </si>
  <si>
    <t>Martina</t>
  </si>
  <si>
    <t>893810</t>
  </si>
  <si>
    <t>256</t>
  </si>
  <si>
    <t>222418</t>
  </si>
  <si>
    <t>Oršulić</t>
  </si>
  <si>
    <t>Ljiljana</t>
  </si>
  <si>
    <t>2115774</t>
  </si>
  <si>
    <t>Melita</t>
  </si>
  <si>
    <t>2115770</t>
  </si>
  <si>
    <t>Markulin</t>
  </si>
  <si>
    <t>2133013</t>
  </si>
  <si>
    <t>144</t>
  </si>
  <si>
    <t>409107</t>
  </si>
  <si>
    <t>Tomac-Rojčević</t>
  </si>
  <si>
    <t>Marina</t>
  </si>
  <si>
    <t>23:26</t>
  </si>
  <si>
    <t>38:55</t>
  </si>
  <si>
    <t>2115775</t>
  </si>
  <si>
    <t>105</t>
  </si>
  <si>
    <t>Funarić</t>
  </si>
  <si>
    <t>2144746</t>
  </si>
  <si>
    <t>182</t>
  </si>
  <si>
    <t>Fištrek</t>
  </si>
  <si>
    <t>Željka</t>
  </si>
  <si>
    <t>91:15</t>
  </si>
  <si>
    <t>39:15</t>
  </si>
  <si>
    <t>Ž35</t>
  </si>
  <si>
    <t>3.82</t>
  </si>
  <si>
    <t>04:29</t>
  </si>
  <si>
    <t>06:46</t>
  </si>
  <si>
    <t>12:12</t>
  </si>
  <si>
    <t>28:13</t>
  </si>
  <si>
    <t>37:27</t>
  </si>
  <si>
    <t>2121769</t>
  </si>
  <si>
    <t>121</t>
  </si>
  <si>
    <t>Sonja</t>
  </si>
  <si>
    <t>41:28</t>
  </si>
  <si>
    <t>31:16</t>
  </si>
  <si>
    <t>33:22</t>
  </si>
  <si>
    <t>39:44</t>
  </si>
  <si>
    <t>7009778</t>
  </si>
  <si>
    <t>226</t>
  </si>
  <si>
    <t>Bedeković Tanković</t>
  </si>
  <si>
    <t>94:20</t>
  </si>
  <si>
    <t>45:20</t>
  </si>
  <si>
    <t>16:02</t>
  </si>
  <si>
    <t>36:06</t>
  </si>
  <si>
    <t>39:03</t>
  </si>
  <si>
    <t>43:29</t>
  </si>
  <si>
    <t>2120666</t>
  </si>
  <si>
    <t>299</t>
  </si>
  <si>
    <t>Berženji</t>
  </si>
  <si>
    <t>Sanda</t>
  </si>
  <si>
    <t>105:41</t>
  </si>
  <si>
    <t>47:41</t>
  </si>
  <si>
    <t>12:45</t>
  </si>
  <si>
    <t>15:10</t>
  </si>
  <si>
    <t>20:43</t>
  </si>
  <si>
    <t>37:19</t>
  </si>
  <si>
    <t>2144786</t>
  </si>
  <si>
    <t>130</t>
  </si>
  <si>
    <t>Popović</t>
  </si>
  <si>
    <t>Antea</t>
  </si>
  <si>
    <t>127:11</t>
  </si>
  <si>
    <t>08:26</t>
  </si>
  <si>
    <t>40:40</t>
  </si>
  <si>
    <t>49:04</t>
  </si>
  <si>
    <t>50:36</t>
  </si>
  <si>
    <t>7061277</t>
  </si>
  <si>
    <t>247</t>
  </si>
  <si>
    <t>Cini</t>
  </si>
  <si>
    <t>Fabiana</t>
  </si>
  <si>
    <t>98:40</t>
  </si>
  <si>
    <t>05:40</t>
  </si>
  <si>
    <t>08:49</t>
  </si>
  <si>
    <t>18:21</t>
  </si>
  <si>
    <t>42:29</t>
  </si>
  <si>
    <t>45:31</t>
  </si>
  <si>
    <t>50:54</t>
  </si>
  <si>
    <t>1420813</t>
  </si>
  <si>
    <t>126:50</t>
  </si>
  <si>
    <t>56:50</t>
  </si>
  <si>
    <t>08:34</t>
  </si>
  <si>
    <t>11:39</t>
  </si>
  <si>
    <t>44:03</t>
  </si>
  <si>
    <t>49:18</t>
  </si>
  <si>
    <t>54:49</t>
  </si>
  <si>
    <t>46479</t>
  </si>
  <si>
    <t>Seražin Korper</t>
  </si>
  <si>
    <t>Sabina</t>
  </si>
  <si>
    <t>154:22</t>
  </si>
  <si>
    <t>22:17</t>
  </si>
  <si>
    <t>44:16</t>
  </si>
  <si>
    <t>47:09</t>
  </si>
  <si>
    <t>56:36</t>
  </si>
  <si>
    <t>59:36</t>
  </si>
  <si>
    <t>7207170</t>
  </si>
  <si>
    <t>289</t>
  </si>
  <si>
    <t>Kovaljesko</t>
  </si>
  <si>
    <t>142:50</t>
  </si>
  <si>
    <t>60:50</t>
  </si>
  <si>
    <t>08:35</t>
  </si>
  <si>
    <t>15:54</t>
  </si>
  <si>
    <t>48:48</t>
  </si>
  <si>
    <t>53:35</t>
  </si>
  <si>
    <t>60:14</t>
  </si>
  <si>
    <t>2084417</t>
  </si>
  <si>
    <t>294</t>
  </si>
  <si>
    <t>Stupalo</t>
  </si>
  <si>
    <t>Vlatka</t>
  </si>
  <si>
    <t>101:07</t>
  </si>
  <si>
    <t>64:07</t>
  </si>
  <si>
    <t>10:38</t>
  </si>
  <si>
    <t>14:21</t>
  </si>
  <si>
    <t>22:59</t>
  </si>
  <si>
    <t>49:20</t>
  </si>
  <si>
    <t>52:17</t>
  </si>
  <si>
    <t>56:20</t>
  </si>
  <si>
    <t>61:41</t>
  </si>
  <si>
    <t>63:21</t>
  </si>
  <si>
    <t>2067883</t>
  </si>
  <si>
    <t>263</t>
  </si>
  <si>
    <t>Stipić</t>
  </si>
  <si>
    <t>Bernardica</t>
  </si>
  <si>
    <t>119:51</t>
  </si>
  <si>
    <t>12:49</t>
  </si>
  <si>
    <t>25:26</t>
  </si>
  <si>
    <t>52:15</t>
  </si>
  <si>
    <t>62:01</t>
  </si>
  <si>
    <t>64:10</t>
  </si>
  <si>
    <t>1420785</t>
  </si>
  <si>
    <t>230</t>
  </si>
  <si>
    <t>Popović Budi</t>
  </si>
  <si>
    <t>Daniela</t>
  </si>
  <si>
    <t>101:08</t>
  </si>
  <si>
    <t>13:48</t>
  </si>
  <si>
    <t>26:11</t>
  </si>
  <si>
    <t>54:40</t>
  </si>
  <si>
    <t>59:13</t>
  </si>
  <si>
    <t>66:19</t>
  </si>
  <si>
    <t>2105097</t>
  </si>
  <si>
    <t>204</t>
  </si>
  <si>
    <t>Bergant Vidaković</t>
  </si>
  <si>
    <t>160:27</t>
  </si>
  <si>
    <t>72:27</t>
  </si>
  <si>
    <t>08:28</t>
  </si>
  <si>
    <t>11:51</t>
  </si>
  <si>
    <t>61:11</t>
  </si>
  <si>
    <t>65:02</t>
  </si>
  <si>
    <t>70:08</t>
  </si>
  <si>
    <t>2133012</t>
  </si>
  <si>
    <t>239</t>
  </si>
  <si>
    <t>Krkić Drobić</t>
  </si>
  <si>
    <t>Aida</t>
  </si>
  <si>
    <t>114:44</t>
  </si>
  <si>
    <t>74:44</t>
  </si>
  <si>
    <t>24:46</t>
  </si>
  <si>
    <t>57:24</t>
  </si>
  <si>
    <t>61:34</t>
  </si>
  <si>
    <t>74:04</t>
  </si>
  <si>
    <t>2115769</t>
  </si>
  <si>
    <t>241</t>
  </si>
  <si>
    <t>Tatić</t>
  </si>
  <si>
    <t>92:09</t>
  </si>
  <si>
    <t>34:16</t>
  </si>
  <si>
    <t>72:02</t>
  </si>
  <si>
    <t>76:21</t>
  </si>
  <si>
    <t>80:17</t>
  </si>
  <si>
    <t>88:19</t>
  </si>
  <si>
    <t>91:03</t>
  </si>
  <si>
    <t>2113460</t>
  </si>
  <si>
    <t>219</t>
  </si>
  <si>
    <t>Tanja</t>
  </si>
  <si>
    <t>186:44</t>
  </si>
  <si>
    <t>101:44</t>
  </si>
  <si>
    <t>15:19</t>
  </si>
  <si>
    <t>73:43</t>
  </si>
  <si>
    <t>82:08</t>
  </si>
  <si>
    <t>85:43</t>
  </si>
  <si>
    <t>98:03</t>
  </si>
  <si>
    <t>100:58</t>
  </si>
  <si>
    <t>2067893</t>
  </si>
  <si>
    <t>258</t>
  </si>
  <si>
    <t>Kušt</t>
  </si>
  <si>
    <t>149:38</t>
  </si>
  <si>
    <t>106:38</t>
  </si>
  <si>
    <t>22:38</t>
  </si>
  <si>
    <t>41:40</t>
  </si>
  <si>
    <t>77:45</t>
  </si>
  <si>
    <t>93:59</t>
  </si>
  <si>
    <t>101:43</t>
  </si>
  <si>
    <t>105:36</t>
  </si>
  <si>
    <t>7830625</t>
  </si>
  <si>
    <t>336</t>
  </si>
  <si>
    <t>337</t>
  </si>
  <si>
    <t>2140845</t>
  </si>
  <si>
    <t>269</t>
  </si>
  <si>
    <t>Čalić</t>
  </si>
  <si>
    <t>Violeta</t>
  </si>
  <si>
    <t>7003400</t>
  </si>
  <si>
    <t>274</t>
  </si>
  <si>
    <t>8082973</t>
  </si>
  <si>
    <t>107:48</t>
  </si>
  <si>
    <t>35:48</t>
  </si>
  <si>
    <t>Ž45</t>
  </si>
  <si>
    <t>3.39</t>
  </si>
  <si>
    <t>06:24</t>
  </si>
  <si>
    <t>15:40</t>
  </si>
  <si>
    <t>23:44</t>
  </si>
  <si>
    <t>35:14</t>
  </si>
  <si>
    <t>406740</t>
  </si>
  <si>
    <t>Bojana</t>
  </si>
  <si>
    <t>91:57</t>
  </si>
  <si>
    <t>39:57</t>
  </si>
  <si>
    <t>09:35</t>
  </si>
  <si>
    <t>18:48</t>
  </si>
  <si>
    <t>27:37</t>
  </si>
  <si>
    <t>33:20</t>
  </si>
  <si>
    <t>36:27</t>
  </si>
  <si>
    <t>39:24</t>
  </si>
  <si>
    <t>1261971</t>
  </si>
  <si>
    <t>187</t>
  </si>
  <si>
    <t>Jakšić</t>
  </si>
  <si>
    <t>Mirka</t>
  </si>
  <si>
    <t>66:42</t>
  </si>
  <si>
    <t>42:42</t>
  </si>
  <si>
    <t>04:41</t>
  </si>
  <si>
    <t>06:19</t>
  </si>
  <si>
    <t>19:01</t>
  </si>
  <si>
    <t>29:48</t>
  </si>
  <si>
    <t>32:15</t>
  </si>
  <si>
    <t>38:53</t>
  </si>
  <si>
    <t>42:02</t>
  </si>
  <si>
    <t>8667809</t>
  </si>
  <si>
    <t>259</t>
  </si>
  <si>
    <t>Neda</t>
  </si>
  <si>
    <t>123:29</t>
  </si>
  <si>
    <t>06:34</t>
  </si>
  <si>
    <t>19:41</t>
  </si>
  <si>
    <t>29:41</t>
  </si>
  <si>
    <t>35:22</t>
  </si>
  <si>
    <t>39:31</t>
  </si>
  <si>
    <t>42:48</t>
  </si>
  <si>
    <t>2121763</t>
  </si>
  <si>
    <t>213</t>
  </si>
  <si>
    <t>Srebrenka</t>
  </si>
  <si>
    <t>51:37</t>
  </si>
  <si>
    <t>43:37</t>
  </si>
  <si>
    <t>04:55</t>
  </si>
  <si>
    <t>06:39</t>
  </si>
  <si>
    <t>16:45</t>
  </si>
  <si>
    <t>30:42</t>
  </si>
  <si>
    <t>35:31</t>
  </si>
  <si>
    <t>39:49</t>
  </si>
  <si>
    <t>42:58</t>
  </si>
  <si>
    <t>237600</t>
  </si>
  <si>
    <t>159</t>
  </si>
  <si>
    <t>Perica Cvjetko</t>
  </si>
  <si>
    <t>109:24</t>
  </si>
  <si>
    <t>45:24</t>
  </si>
  <si>
    <t>04:08</t>
  </si>
  <si>
    <t>33:48</t>
  </si>
  <si>
    <t>41:35</t>
  </si>
  <si>
    <t>44:47</t>
  </si>
  <si>
    <t>237593</t>
  </si>
  <si>
    <t>211</t>
  </si>
  <si>
    <t>66:41</t>
  </si>
  <si>
    <t>46:41</t>
  </si>
  <si>
    <t>04:54</t>
  </si>
  <si>
    <t>20:35</t>
  </si>
  <si>
    <t>31:47</t>
  </si>
  <si>
    <t>39:16</t>
  </si>
  <si>
    <t>43:13</t>
  </si>
  <si>
    <t>888973</t>
  </si>
  <si>
    <t>285</t>
  </si>
  <si>
    <t>92:06</t>
  </si>
  <si>
    <t>06:03</t>
  </si>
  <si>
    <t>21:38</t>
  </si>
  <si>
    <t>31:28</t>
  </si>
  <si>
    <t>44:25</t>
  </si>
  <si>
    <t>47:30</t>
  </si>
  <si>
    <t>7000641</t>
  </si>
  <si>
    <t>127</t>
  </si>
  <si>
    <t>Nataša</t>
  </si>
  <si>
    <t>83:39</t>
  </si>
  <si>
    <t>06:59</t>
  </si>
  <si>
    <t>17:02</t>
  </si>
  <si>
    <t>27:46</t>
  </si>
  <si>
    <t>30:28</t>
  </si>
  <si>
    <t>33:14</t>
  </si>
  <si>
    <t>47:37</t>
  </si>
  <si>
    <t>7672905</t>
  </si>
  <si>
    <t>146</t>
  </si>
  <si>
    <t>Kraintz</t>
  </si>
  <si>
    <t>Evelyn</t>
  </si>
  <si>
    <t>68:15</t>
  </si>
  <si>
    <t>06:53</t>
  </si>
  <si>
    <t>09:12</t>
  </si>
  <si>
    <t>25:14</t>
  </si>
  <si>
    <t>37:30</t>
  </si>
  <si>
    <t>2442588</t>
  </si>
  <si>
    <t>163</t>
  </si>
  <si>
    <t>Baburek</t>
  </si>
  <si>
    <t>Gabrijela</t>
  </si>
  <si>
    <t>53:45</t>
  </si>
  <si>
    <t>14:23</t>
  </si>
  <si>
    <t>39:13</t>
  </si>
  <si>
    <t>45:16</t>
  </si>
  <si>
    <t>49:27</t>
  </si>
  <si>
    <t>2109710</t>
  </si>
  <si>
    <t>229</t>
  </si>
  <si>
    <t>Glinska</t>
  </si>
  <si>
    <t>Beata Adrianna</t>
  </si>
  <si>
    <t>90:07</t>
  </si>
  <si>
    <t>54:07</t>
  </si>
  <si>
    <t>04:30</t>
  </si>
  <si>
    <t>28:50</t>
  </si>
  <si>
    <t>42:39</t>
  </si>
  <si>
    <t>2148494</t>
  </si>
  <si>
    <t>171</t>
  </si>
  <si>
    <t>Jazvić Mioković</t>
  </si>
  <si>
    <t>Marija</t>
  </si>
  <si>
    <t>83:42</t>
  </si>
  <si>
    <t>55:42</t>
  </si>
  <si>
    <t>07:16</t>
  </si>
  <si>
    <t>22:41</t>
  </si>
  <si>
    <t>31:55</t>
  </si>
  <si>
    <t>34:41</t>
  </si>
  <si>
    <t>55:11</t>
  </si>
  <si>
    <t>2120027</t>
  </si>
  <si>
    <t>260</t>
  </si>
  <si>
    <t>Schubert</t>
  </si>
  <si>
    <t>63:41</t>
  </si>
  <si>
    <t>59:41</t>
  </si>
  <si>
    <t>20:20</t>
  </si>
  <si>
    <t>58:59</t>
  </si>
  <si>
    <t>2123976</t>
  </si>
  <si>
    <t>181</t>
  </si>
  <si>
    <t>Gradečak Galović</t>
  </si>
  <si>
    <t>133:32</t>
  </si>
  <si>
    <t>65:32</t>
  </si>
  <si>
    <t>09:10</t>
  </si>
  <si>
    <t>11:24</t>
  </si>
  <si>
    <t>26:06</t>
  </si>
  <si>
    <t>38:30</t>
  </si>
  <si>
    <t>53:27</t>
  </si>
  <si>
    <t>64:50</t>
  </si>
  <si>
    <t>2442590</t>
  </si>
  <si>
    <t>162</t>
  </si>
  <si>
    <t>Govedarica</t>
  </si>
  <si>
    <t>Zvjezdana</t>
  </si>
  <si>
    <t>136:13</t>
  </si>
  <si>
    <t>76:13</t>
  </si>
  <si>
    <t>17:27</t>
  </si>
  <si>
    <t>34:18</t>
  </si>
  <si>
    <t>54:55</t>
  </si>
  <si>
    <t>58:43</t>
  </si>
  <si>
    <t>70:03</t>
  </si>
  <si>
    <t>75:20</t>
  </si>
  <si>
    <t>2030931</t>
  </si>
  <si>
    <t>Ostroski</t>
  </si>
  <si>
    <t>Sanja</t>
  </si>
  <si>
    <t>135:55</t>
  </si>
  <si>
    <t>11:56</t>
  </si>
  <si>
    <t>13:47</t>
  </si>
  <si>
    <t>41:42</t>
  </si>
  <si>
    <t>66:17</t>
  </si>
  <si>
    <t>69:14</t>
  </si>
  <si>
    <t>72:14</t>
  </si>
  <si>
    <t>82:27</t>
  </si>
  <si>
    <t>87:14</t>
  </si>
  <si>
    <t>1919197</t>
  </si>
  <si>
    <t>132</t>
  </si>
  <si>
    <t>Davorka</t>
  </si>
  <si>
    <t>335</t>
  </si>
  <si>
    <t>334</t>
  </si>
  <si>
    <t>636977</t>
  </si>
  <si>
    <t>174</t>
  </si>
  <si>
    <t>Cvitković</t>
  </si>
  <si>
    <t>48:51</t>
  </si>
  <si>
    <t>Ž55</t>
  </si>
  <si>
    <t>2.81</t>
  </si>
  <si>
    <t>90</t>
  </si>
  <si>
    <t>07:39</t>
  </si>
  <si>
    <t>23:35</t>
  </si>
  <si>
    <t>27:09</t>
  </si>
  <si>
    <t>48:03</t>
  </si>
  <si>
    <t>2115767</t>
  </si>
  <si>
    <t>233</t>
  </si>
  <si>
    <t>Teodora</t>
  </si>
  <si>
    <t>62:48</t>
  </si>
  <si>
    <t>17:38</t>
  </si>
  <si>
    <t>30:39</t>
  </si>
  <si>
    <t>43:17</t>
  </si>
  <si>
    <t>52:01</t>
  </si>
  <si>
    <t>2442557</t>
  </si>
  <si>
    <t>197</t>
  </si>
  <si>
    <t>Fabek</t>
  </si>
  <si>
    <t>Branka</t>
  </si>
  <si>
    <t>75:38</t>
  </si>
  <si>
    <t>53:38</t>
  </si>
  <si>
    <t>05:28</t>
  </si>
  <si>
    <t>28:52</t>
  </si>
  <si>
    <t>32:06</t>
  </si>
  <si>
    <t>44:24</t>
  </si>
  <si>
    <t>50:50</t>
  </si>
  <si>
    <t>232282</t>
  </si>
  <si>
    <t>65:27</t>
  </si>
  <si>
    <t>58:27</t>
  </si>
  <si>
    <t>07:19</t>
  </si>
  <si>
    <t>22:54</t>
  </si>
  <si>
    <t>28:28</t>
  </si>
  <si>
    <t>54:57</t>
  </si>
  <si>
    <t>57:33</t>
  </si>
  <si>
    <t>2125773</t>
  </si>
  <si>
    <t>114</t>
  </si>
  <si>
    <t>Ebenspanger</t>
  </si>
  <si>
    <t>Emilija</t>
  </si>
  <si>
    <t>65:28</t>
  </si>
  <si>
    <t>61:28</t>
  </si>
  <si>
    <t>19:10</t>
  </si>
  <si>
    <t>58:11</t>
  </si>
  <si>
    <t>60:33</t>
  </si>
  <si>
    <t>1416414</t>
  </si>
  <si>
    <t>218</t>
  </si>
  <si>
    <t>Holenda</t>
  </si>
  <si>
    <t>Karmen</t>
  </si>
  <si>
    <t>173:02</t>
  </si>
  <si>
    <t>157:02</t>
  </si>
  <si>
    <t>74:34</t>
  </si>
  <si>
    <t>89:59</t>
  </si>
  <si>
    <t>133:53</t>
  </si>
  <si>
    <t>152:26</t>
  </si>
  <si>
    <t>155:22</t>
  </si>
  <si>
    <t>332</t>
  </si>
  <si>
    <t>333</t>
  </si>
  <si>
    <t>236886</t>
  </si>
  <si>
    <t>208</t>
  </si>
  <si>
    <t>Vendler Čepelak</t>
  </si>
  <si>
    <t>72:15</t>
  </si>
  <si>
    <t>53:15</t>
  </si>
  <si>
    <t>Ž65</t>
  </si>
  <si>
    <t>2.33</t>
  </si>
  <si>
    <t>14:02</t>
  </si>
  <si>
    <t>22:55</t>
  </si>
  <si>
    <t>37:16</t>
  </si>
  <si>
    <t>52:18</t>
  </si>
  <si>
    <t>2300277</t>
  </si>
  <si>
    <t>Horvat-Nikšić</t>
  </si>
  <si>
    <t>Biserka</t>
  </si>
  <si>
    <t>72:55</t>
  </si>
  <si>
    <t>61:55</t>
  </si>
  <si>
    <t>20:01</t>
  </si>
  <si>
    <t>55:46</t>
  </si>
  <si>
    <t>2109704</t>
  </si>
  <si>
    <t>296</t>
  </si>
  <si>
    <t>Franc</t>
  </si>
  <si>
    <t>Vera</t>
  </si>
  <si>
    <t>43:43</t>
  </si>
  <si>
    <t>54:12</t>
  </si>
  <si>
    <t>64:21</t>
  </si>
  <si>
    <t>68:36</t>
  </si>
  <si>
    <t>331</t>
  </si>
  <si>
    <t>330</t>
  </si>
  <si>
    <t>350</t>
  </si>
  <si>
    <t>Ž70</t>
  </si>
  <si>
    <t>351</t>
  </si>
  <si>
    <t>nastup</t>
  </si>
  <si>
    <t>slobodno</t>
  </si>
  <si>
    <t>Ž</t>
  </si>
  <si>
    <t>donja</t>
  </si>
  <si>
    <t>gornja</t>
  </si>
  <si>
    <t>Otvorena</t>
  </si>
  <si>
    <t>-</t>
  </si>
  <si>
    <t>Početnici</t>
  </si>
  <si>
    <t>ok/blank</t>
  </si>
  <si>
    <t>novih aliasa</t>
  </si>
  <si>
    <t>Ostroški</t>
  </si>
  <si>
    <t>Upisujem ime i prezime postojećeg natjecatelja kada su ime i prezime u rezultatima novi alias jer im npr. ne valja čžš. Osim toga upisujem točno ime i prezime kada se radi o novom natjecatelju kojem je u rezultatima pogrešno napisano ime i/ili prezime</t>
  </si>
  <si>
    <t>Hrvatska</t>
  </si>
  <si>
    <t>Cro</t>
  </si>
  <si>
    <t>Slovenija</t>
  </si>
  <si>
    <t>Slo</t>
  </si>
  <si>
    <t>Mađarska</t>
  </si>
  <si>
    <t>Hun</t>
  </si>
  <si>
    <t>Austrija</t>
  </si>
  <si>
    <t>Aut</t>
  </si>
  <si>
    <t>OK Azinut</t>
  </si>
  <si>
    <t>OK Brežice</t>
  </si>
  <si>
    <t>OK Japetić</t>
  </si>
  <si>
    <t>OK Lokve</t>
  </si>
  <si>
    <t>OK Međimurje</t>
  </si>
  <si>
    <t>OK Sova</t>
  </si>
  <si>
    <t>OK Torpedo</t>
  </si>
  <si>
    <t>OLC Graz</t>
  </si>
  <si>
    <t>Pécsi Vas. SK</t>
  </si>
  <si>
    <t>Filipcic</t>
  </si>
  <si>
    <t>Slavko</t>
  </si>
  <si>
    <t>Sopina</t>
  </si>
  <si>
    <t>Belaj</t>
  </si>
  <si>
    <t>Despetović</t>
  </si>
  <si>
    <t>Bože</t>
  </si>
  <si>
    <t>Đipalo</t>
  </si>
  <si>
    <t>Draušnik</t>
  </si>
  <si>
    <t>Matej</t>
  </si>
  <si>
    <t>Drmanović</t>
  </si>
  <si>
    <t>Mihael</t>
  </si>
  <si>
    <t>Grgić</t>
  </si>
  <si>
    <t>Kaučić Perković</t>
  </si>
  <si>
    <t>Klobučarić</t>
  </si>
  <si>
    <t>Krupka</t>
  </si>
  <si>
    <t>Muhtić</t>
  </si>
  <si>
    <t>Perica</t>
  </si>
  <si>
    <t>Eduard</t>
  </si>
  <si>
    <t>Perković</t>
  </si>
  <si>
    <t>Alida</t>
  </si>
  <si>
    <t>Sokolović</t>
  </si>
  <si>
    <t>Slobodan</t>
  </si>
  <si>
    <t>Miodrag</t>
  </si>
  <si>
    <t>Truhlaž</t>
  </si>
  <si>
    <t>Benjak</t>
  </si>
  <si>
    <t>Elizabeta</t>
  </si>
  <si>
    <t>Bilić</t>
  </si>
  <si>
    <t>Rea</t>
  </si>
  <si>
    <t>Irena</t>
  </si>
  <si>
    <t>Detić</t>
  </si>
  <si>
    <t>Leon</t>
  </si>
  <si>
    <t>Hlad</t>
  </si>
  <si>
    <t>Šimun</t>
  </si>
  <si>
    <t>Ilčić</t>
  </si>
  <si>
    <t>Jurak</t>
  </si>
  <si>
    <t>Kermek</t>
  </si>
  <si>
    <t>Kopjar</t>
  </si>
  <si>
    <t>Kovačić</t>
  </si>
  <si>
    <t>Mia</t>
  </si>
  <si>
    <t>David</t>
  </si>
  <si>
    <t>Lazar</t>
  </si>
  <si>
    <t>Bruno</t>
  </si>
  <si>
    <t>Marić</t>
  </si>
  <si>
    <t>Igor</t>
  </si>
  <si>
    <t>Milinković</t>
  </si>
  <si>
    <t>Omazić</t>
  </si>
  <si>
    <t>Petak</t>
  </si>
  <si>
    <t>Priher</t>
  </si>
  <si>
    <t>Mislav</t>
  </si>
  <si>
    <t>Radovanović</t>
  </si>
  <si>
    <t>Žarko</t>
  </si>
  <si>
    <t>Senija</t>
  </si>
  <si>
    <t>Zadravec-Kermek</t>
  </si>
  <si>
    <t>Tena</t>
  </si>
  <si>
    <t>Bartaković</t>
  </si>
  <si>
    <t>Lea</t>
  </si>
  <si>
    <t>Bošnjak</t>
  </si>
  <si>
    <t>Ivano</t>
  </si>
  <si>
    <t>Črep</t>
  </si>
  <si>
    <t>Cvetković</t>
  </si>
  <si>
    <t>Lara</t>
  </si>
  <si>
    <t>Anja</t>
  </si>
  <si>
    <t>Fatzek</t>
  </si>
  <si>
    <t>Katja</t>
  </si>
  <si>
    <t>Grga</t>
  </si>
  <si>
    <t>Fernežir</t>
  </si>
  <si>
    <t>Zvonimir</t>
  </si>
  <si>
    <t>Guliš</t>
  </si>
  <si>
    <t>Vid</t>
  </si>
  <si>
    <t>Hovorka</t>
  </si>
  <si>
    <t>Jagodić</t>
  </si>
  <si>
    <t>Jakopec</t>
  </si>
  <si>
    <t>Nola</t>
  </si>
  <si>
    <t>Jandrečić</t>
  </si>
  <si>
    <t>Una</t>
  </si>
  <si>
    <t>Fran</t>
  </si>
  <si>
    <t>Juriša</t>
  </si>
  <si>
    <t>Leovac</t>
  </si>
  <si>
    <t>Magdić Govedarica</t>
  </si>
  <si>
    <t>Mandić</t>
  </si>
  <si>
    <t>Markić</t>
  </si>
  <si>
    <t>Dunja</t>
  </si>
  <si>
    <t>Mogut</t>
  </si>
  <si>
    <t>Tonka</t>
  </si>
  <si>
    <t>Mirela</t>
  </si>
  <si>
    <t>Obranić</t>
  </si>
  <si>
    <t>Edi</t>
  </si>
  <si>
    <t>Ocvirk</t>
  </si>
  <si>
    <t>Pia</t>
  </si>
  <si>
    <t>Franka</t>
  </si>
  <si>
    <t>Paulić</t>
  </si>
  <si>
    <t>Karla</t>
  </si>
  <si>
    <t>Roko</t>
  </si>
  <si>
    <t>Puharić</t>
  </si>
  <si>
    <t>Skopljak</t>
  </si>
  <si>
    <t>Škugor</t>
  </si>
  <si>
    <t>Suban</t>
  </si>
  <si>
    <t>Eli</t>
  </si>
  <si>
    <t>Tadić</t>
  </si>
  <si>
    <t>Tkalčić Suban</t>
  </si>
  <si>
    <t>Erik</t>
  </si>
  <si>
    <t>Tot</t>
  </si>
  <si>
    <t>Tea</t>
  </si>
  <si>
    <t>Lidija</t>
  </si>
  <si>
    <t>Vrdoljak</t>
  </si>
  <si>
    <t>Acketa</t>
  </si>
  <si>
    <t>Besten</t>
  </si>
  <si>
    <t>Draženka</t>
  </si>
  <si>
    <t>Birkić</t>
  </si>
  <si>
    <t>Helena</t>
  </si>
  <si>
    <t>Ćubela</t>
  </si>
  <si>
    <t>Đanić</t>
  </si>
  <si>
    <t>Derdić</t>
  </si>
  <si>
    <t>Daniel</t>
  </si>
  <si>
    <t>Fabijanić</t>
  </si>
  <si>
    <t>Gajdek</t>
  </si>
  <si>
    <t>Herceg</t>
  </si>
  <si>
    <t>Kelc</t>
  </si>
  <si>
    <t>Dan</t>
  </si>
  <si>
    <t>Kobasić</t>
  </si>
  <si>
    <t>Košturić</t>
  </si>
  <si>
    <t>Milašinčić</t>
  </si>
  <si>
    <t>Miljković</t>
  </si>
  <si>
    <t>Miovec</t>
  </si>
  <si>
    <t>Mlinac</t>
  </si>
  <si>
    <t>Odžić</t>
  </si>
  <si>
    <t>Oslaković</t>
  </si>
  <si>
    <t>Papa</t>
  </si>
  <si>
    <t>Mijat</t>
  </si>
  <si>
    <t>Perić</t>
  </si>
  <si>
    <t>Drago</t>
  </si>
  <si>
    <t>Rusan</t>
  </si>
  <si>
    <t>Šalaj</t>
  </si>
  <si>
    <t>Davor</t>
  </si>
  <si>
    <t>Šćuric</t>
  </si>
  <si>
    <t>Šeperić-Grdiša</t>
  </si>
  <si>
    <t>Gabriel</t>
  </si>
  <si>
    <t>Šiljevinac</t>
  </si>
  <si>
    <t>Monika Martina</t>
  </si>
  <si>
    <t>Sipina Halper</t>
  </si>
  <si>
    <t>Gabrijel</t>
  </si>
  <si>
    <t>Solenički</t>
  </si>
  <si>
    <t>Samuel</t>
  </si>
  <si>
    <t>Spretnjak</t>
  </si>
  <si>
    <t>Stinčić Clarke</t>
  </si>
  <si>
    <t>Dorijan</t>
  </si>
  <si>
    <t>Vinšćak</t>
  </si>
  <si>
    <t>Vučinić</t>
  </si>
  <si>
    <t>Vukmirović</t>
  </si>
  <si>
    <t>Žalac</t>
  </si>
  <si>
    <t>Zdjelar</t>
  </si>
  <si>
    <t>Franko</t>
  </si>
  <si>
    <t>Bajlo</t>
  </si>
  <si>
    <t>Nada</t>
  </si>
  <si>
    <t>Baturina</t>
  </si>
  <si>
    <t>Branko</t>
  </si>
  <si>
    <t>Bernardić</t>
  </si>
  <si>
    <t>Bilobrk</t>
  </si>
  <si>
    <t>Bolešić</t>
  </si>
  <si>
    <t>Liliana</t>
  </si>
  <si>
    <t>Božić</t>
  </si>
  <si>
    <t>Brezak</t>
  </si>
  <si>
    <t>Čapeta</t>
  </si>
  <si>
    <t>Čorko Meštrović</t>
  </si>
  <si>
    <t>Mladenka</t>
  </si>
  <si>
    <t>Čuljak Gross</t>
  </si>
  <si>
    <t>Morana</t>
  </si>
  <si>
    <t>Ćuzela</t>
  </si>
  <si>
    <t>Delimar</t>
  </si>
  <si>
    <t>Sanjin</t>
  </si>
  <si>
    <t>Asja</t>
  </si>
  <si>
    <t>Dubravčić</t>
  </si>
  <si>
    <t>Dugi</t>
  </si>
  <si>
    <t>Džapo</t>
  </si>
  <si>
    <t>Fumić</t>
  </si>
  <si>
    <t>Glagolić</t>
  </si>
  <si>
    <t>Nela</t>
  </si>
  <si>
    <t>Gross</t>
  </si>
  <si>
    <t>Hruškar</t>
  </si>
  <si>
    <t>Ilijašev</t>
  </si>
  <si>
    <t>Ružica</t>
  </si>
  <si>
    <t>Juričić</t>
  </si>
  <si>
    <t>Kaldi</t>
  </si>
  <si>
    <t>Kasaš Spasić</t>
  </si>
  <si>
    <t>Tamara</t>
  </si>
  <si>
    <t>Kefeček</t>
  </si>
  <si>
    <t>Dragan</t>
  </si>
  <si>
    <t>Kovačević</t>
  </si>
  <si>
    <t>Dorotea</t>
  </si>
  <si>
    <t>Kutleša</t>
  </si>
  <si>
    <t>Slađana</t>
  </si>
  <si>
    <t>Lučić</t>
  </si>
  <si>
    <t>Mikulinjak</t>
  </si>
  <si>
    <t>Milas</t>
  </si>
  <si>
    <t>Silvije</t>
  </si>
  <si>
    <t>Nosić</t>
  </si>
  <si>
    <t>Anja Vita</t>
  </si>
  <si>
    <t>Ogorelec</t>
  </si>
  <si>
    <t>Ovčarić</t>
  </si>
  <si>
    <t>Peh</t>
  </si>
  <si>
    <t>Pirija</t>
  </si>
  <si>
    <t>Preis-Bedenik</t>
  </si>
  <si>
    <t>Rihter</t>
  </si>
  <si>
    <t>Rocco</t>
  </si>
  <si>
    <t>Sabljak</t>
  </si>
  <si>
    <t>Sabljić</t>
  </si>
  <si>
    <t>Sekušak</t>
  </si>
  <si>
    <t>Sertić</t>
  </si>
  <si>
    <t>Simon</t>
  </si>
  <si>
    <t>Škorić</t>
  </si>
  <si>
    <t>Šojat</t>
  </si>
  <si>
    <t>Spasić</t>
  </si>
  <si>
    <t>Stanković</t>
  </si>
  <si>
    <t>Surjan</t>
  </si>
  <si>
    <t>Ulrich Cvenić</t>
  </si>
  <si>
    <t>Fabijan</t>
  </si>
  <si>
    <t>Zvonko</t>
  </si>
  <si>
    <t>Bepo</t>
  </si>
  <si>
    <t>Željem</t>
  </si>
  <si>
    <t>Ževrnja</t>
  </si>
  <si>
    <t>Marijana</t>
  </si>
  <si>
    <t>Žgela Putniković</t>
  </si>
  <si>
    <t>Benaković</t>
  </si>
  <si>
    <t>Čović</t>
  </si>
  <si>
    <t>Debić</t>
  </si>
  <si>
    <t>Doroteja</t>
  </si>
  <si>
    <t>Držaić</t>
  </si>
  <si>
    <t>Hanna</t>
  </si>
  <si>
    <t>Fejzić</t>
  </si>
  <si>
    <t>Margaux Marthe Marie</t>
  </si>
  <si>
    <t>Grioche</t>
  </si>
  <si>
    <t>Tajana</t>
  </si>
  <si>
    <t>Holjevac-Gagulić</t>
  </si>
  <si>
    <t>Vjeran</t>
  </si>
  <si>
    <t>Kabalin Borenić</t>
  </si>
  <si>
    <t>Greta</t>
  </si>
  <si>
    <t>Laura</t>
  </si>
  <si>
    <t>Kirin</t>
  </si>
  <si>
    <t>Kyra</t>
  </si>
  <si>
    <t>Krahenbuhl</t>
  </si>
  <si>
    <t>Antun Zoran</t>
  </si>
  <si>
    <t>Krivokapić</t>
  </si>
  <si>
    <t>Marchiotti</t>
  </si>
  <si>
    <t>Asmir</t>
  </si>
  <si>
    <t>Mašić</t>
  </si>
  <si>
    <t>Alan</t>
  </si>
  <si>
    <t>Omerčić</t>
  </si>
  <si>
    <t>Lorena</t>
  </si>
  <si>
    <t>Orešković</t>
  </si>
  <si>
    <t>Florian</t>
  </si>
  <si>
    <t>Pigac</t>
  </si>
  <si>
    <t>Raguž</t>
  </si>
  <si>
    <t>Riet, van de</t>
  </si>
  <si>
    <t>Gerrit</t>
  </si>
  <si>
    <t>Radenko</t>
  </si>
  <si>
    <t>Romanović</t>
  </si>
  <si>
    <t>Sakar</t>
  </si>
  <si>
    <t>Sakar Vukić</t>
  </si>
  <si>
    <t>Andrej</t>
  </si>
  <si>
    <t>Smerke</t>
  </si>
  <si>
    <t>Andro Vladimir</t>
  </si>
  <si>
    <t>Ulip</t>
  </si>
  <si>
    <t>Milivoj</t>
  </si>
  <si>
    <t>Uroić</t>
  </si>
  <si>
    <t>Beatrice</t>
  </si>
  <si>
    <t>Velimirović</t>
  </si>
  <si>
    <t>Vittoria</t>
  </si>
  <si>
    <t>Vukić</t>
  </si>
  <si>
    <t>Antolić</t>
  </si>
  <si>
    <t>Bahun</t>
  </si>
  <si>
    <t>Belović</t>
  </si>
  <si>
    <t>Jasminka</t>
  </si>
  <si>
    <t>Cindrić Perković</t>
  </si>
  <si>
    <t>Crljenica</t>
  </si>
  <si>
    <t>Duhović</t>
  </si>
  <si>
    <t>Henc</t>
  </si>
  <si>
    <t>Janžek</t>
  </si>
  <si>
    <t>Gregor</t>
  </si>
  <si>
    <t>Smiljana</t>
  </si>
  <si>
    <t>Jović</t>
  </si>
  <si>
    <t>Kelemen</t>
  </si>
  <si>
    <t>Mihaela</t>
  </si>
  <si>
    <t>Kočila Petković</t>
  </si>
  <si>
    <t>Koščak</t>
  </si>
  <si>
    <t>Leljak</t>
  </si>
  <si>
    <t>Mlinarić</t>
  </si>
  <si>
    <t>Novak</t>
  </si>
  <si>
    <t>Ranko</t>
  </si>
  <si>
    <t>Orehovec</t>
  </si>
  <si>
    <t>Petković</t>
  </si>
  <si>
    <t>Polanec</t>
  </si>
  <si>
    <t>Tkalec</t>
  </si>
  <si>
    <t>Turk</t>
  </si>
  <si>
    <t>Emerik</t>
  </si>
  <si>
    <t>Večerić</t>
  </si>
  <si>
    <t>Vinko</t>
  </si>
  <si>
    <t>Zeljko</t>
  </si>
  <si>
    <t>Žnidarić</t>
  </si>
  <si>
    <t>Bašić</t>
  </si>
  <si>
    <t>Lucia Gianna</t>
  </si>
  <si>
    <t>Kralj</t>
  </si>
  <si>
    <t>Renić</t>
  </si>
  <si>
    <t>Niko</t>
  </si>
  <si>
    <t>Antun</t>
  </si>
  <si>
    <t>Mirko</t>
  </si>
  <si>
    <t>Grbac</t>
  </si>
  <si>
    <t>Toni</t>
  </si>
  <si>
    <t>Tihon</t>
  </si>
  <si>
    <t>Šubat</t>
  </si>
  <si>
    <t>Patricija</t>
  </si>
  <si>
    <t>Urbanc</t>
  </si>
  <si>
    <t>Balaban</t>
  </si>
  <si>
    <t>Silvija</t>
  </si>
  <si>
    <t>Balent</t>
  </si>
  <si>
    <t>Baržić</t>
  </si>
  <si>
    <t>Bićanić</t>
  </si>
  <si>
    <t>Bilandžija</t>
  </si>
  <si>
    <t>Biro</t>
  </si>
  <si>
    <t>Mateo</t>
  </si>
  <si>
    <t>Bojo</t>
  </si>
  <si>
    <t>Sven</t>
  </si>
  <si>
    <t>Brkanić</t>
  </si>
  <si>
    <t>Diana</t>
  </si>
  <si>
    <t>Buzov</t>
  </si>
  <si>
    <t>Čerkezović</t>
  </si>
  <si>
    <t>Manuela</t>
  </si>
  <si>
    <t>Crnković</t>
  </si>
  <si>
    <t>Nebojša</t>
  </si>
  <si>
    <t>Čubra</t>
  </si>
  <si>
    <t>Čulina</t>
  </si>
  <si>
    <t>Čurić</t>
  </si>
  <si>
    <t>Damjanović</t>
  </si>
  <si>
    <t>Filipović</t>
  </si>
  <si>
    <t>Gabrić</t>
  </si>
  <si>
    <t>Gotal</t>
  </si>
  <si>
    <t>Grginov</t>
  </si>
  <si>
    <t>Ivković</t>
  </si>
  <si>
    <t>Jukić</t>
  </si>
  <si>
    <t>Kamenicki</t>
  </si>
  <si>
    <t>Kelava</t>
  </si>
  <si>
    <t>Kobijak</t>
  </si>
  <si>
    <t>Kokoš</t>
  </si>
  <si>
    <t>Kostrić</t>
  </si>
  <si>
    <t>Luketić</t>
  </si>
  <si>
    <t>Magušić</t>
  </si>
  <si>
    <t>Stipan</t>
  </si>
  <si>
    <t>Marinčić</t>
  </si>
  <si>
    <t>Maršić</t>
  </si>
  <si>
    <t>Kristina</t>
  </si>
  <si>
    <t>Martinčević</t>
  </si>
  <si>
    <t>Despot</t>
  </si>
  <si>
    <t>Matijević</t>
  </si>
  <si>
    <t>Armin</t>
  </si>
  <si>
    <t>Mehinović</t>
  </si>
  <si>
    <t>Nastasia</t>
  </si>
  <si>
    <t>Melmajer</t>
  </si>
  <si>
    <t>Mirković</t>
  </si>
  <si>
    <t>Eni</t>
  </si>
  <si>
    <t>Dolores</t>
  </si>
  <si>
    <t>Pajčin</t>
  </si>
  <si>
    <t>Pavlović</t>
  </si>
  <si>
    <t>Peter</t>
  </si>
  <si>
    <t>Stela</t>
  </si>
  <si>
    <t>Plentaj</t>
  </si>
  <si>
    <t>Šime</t>
  </si>
  <si>
    <t>Šarić</t>
  </si>
  <si>
    <t>Sovilj</t>
  </si>
  <si>
    <t>Matjaž</t>
  </si>
  <si>
    <t>Štanfel</t>
  </si>
  <si>
    <t>Tipurić</t>
  </si>
  <si>
    <t>Topalović</t>
  </si>
  <si>
    <t>Vida</t>
  </si>
  <si>
    <t>Vrabec</t>
  </si>
  <si>
    <t>Doris</t>
  </si>
  <si>
    <t>Vunić</t>
  </si>
  <si>
    <t>Zadrović</t>
  </si>
  <si>
    <t>Antonela</t>
  </si>
  <si>
    <t>Žderić</t>
  </si>
  <si>
    <t>Župarić</t>
  </si>
  <si>
    <t>Hiba</t>
  </si>
  <si>
    <t>Amaneh</t>
  </si>
  <si>
    <t>Bartolić</t>
  </si>
  <si>
    <t>Miro</t>
  </si>
  <si>
    <t>Borček</t>
  </si>
  <si>
    <t>Stjepan</t>
  </si>
  <si>
    <t>Divjak</t>
  </si>
  <si>
    <t>Julijana</t>
  </si>
  <si>
    <t>Dolenc</t>
  </si>
  <si>
    <t>Friščić</t>
  </si>
  <si>
    <t>Grabar</t>
  </si>
  <si>
    <t>Grivić</t>
  </si>
  <si>
    <t>Habek</t>
  </si>
  <si>
    <t>Hofman</t>
  </si>
  <si>
    <t>Jertec</t>
  </si>
  <si>
    <t>Juraga</t>
  </si>
  <si>
    <t>Kadović</t>
  </si>
  <si>
    <t>Kirić</t>
  </si>
  <si>
    <t>Košćak</t>
  </si>
  <si>
    <t>Elena</t>
  </si>
  <si>
    <t>Nera</t>
  </si>
  <si>
    <t>Krečak</t>
  </si>
  <si>
    <t>Sven Ivor</t>
  </si>
  <si>
    <t>Lebinac</t>
  </si>
  <si>
    <t>Lešnjak</t>
  </si>
  <si>
    <t>Tadej</t>
  </si>
  <si>
    <t>Melanija</t>
  </si>
  <si>
    <t>Majer</t>
  </si>
  <si>
    <t>Marinka</t>
  </si>
  <si>
    <t>Mak</t>
  </si>
  <si>
    <t>Martak</t>
  </si>
  <si>
    <t>Janik</t>
  </si>
  <si>
    <t>Martinez</t>
  </si>
  <si>
    <t>Mihinjač</t>
  </si>
  <si>
    <t>Možanić</t>
  </si>
  <si>
    <t>Zlatko</t>
  </si>
  <si>
    <t>Pap</t>
  </si>
  <si>
    <t>Vesna</t>
  </si>
  <si>
    <t>Pascuttini-Juraga</t>
  </si>
  <si>
    <t>Roman</t>
  </si>
  <si>
    <t>Una Beata</t>
  </si>
  <si>
    <t>Nino</t>
  </si>
  <si>
    <t>Piskač</t>
  </si>
  <si>
    <t>Pravica</t>
  </si>
  <si>
    <t>Putarek</t>
  </si>
  <si>
    <t>Vita</t>
  </si>
  <si>
    <t>Srećko</t>
  </si>
  <si>
    <t>Radulović</t>
  </si>
  <si>
    <t>Rak</t>
  </si>
  <si>
    <t>Rodeš</t>
  </si>
  <si>
    <t>Emanuel</t>
  </si>
  <si>
    <t>Rožić</t>
  </si>
  <si>
    <t>Smuđ</t>
  </si>
  <si>
    <t>Stančić</t>
  </si>
  <si>
    <t>Turković</t>
  </si>
  <si>
    <t>Tony</t>
  </si>
  <si>
    <t>Udris</t>
  </si>
  <si>
    <t>Uranić</t>
  </si>
  <si>
    <t>Veseljak</t>
  </si>
  <si>
    <t>Vidović</t>
  </si>
  <si>
    <t>Neven</t>
  </si>
  <si>
    <t>Vugrek</t>
  </si>
  <si>
    <t>Vukovac</t>
  </si>
  <si>
    <t>Zagrajski</t>
  </si>
  <si>
    <t>Abramović</t>
  </si>
  <si>
    <t>Anamarija</t>
  </si>
  <si>
    <t>Artić</t>
  </si>
  <si>
    <t>Anna</t>
  </si>
  <si>
    <t>Artyushenko</t>
  </si>
  <si>
    <t>Irina</t>
  </si>
  <si>
    <t>Julia</t>
  </si>
  <si>
    <t>Babić</t>
  </si>
  <si>
    <t>Baće</t>
  </si>
  <si>
    <t>Balaž</t>
  </si>
  <si>
    <t>Banovic</t>
  </si>
  <si>
    <t>Batinović</t>
  </si>
  <si>
    <t>Beljan</t>
  </si>
  <si>
    <t>Filipa</t>
  </si>
  <si>
    <t>Beroš</t>
  </si>
  <si>
    <t>Bertol</t>
  </si>
  <si>
    <t>Anita</t>
  </si>
  <si>
    <t>Bilandžić</t>
  </si>
  <si>
    <t>Maks</t>
  </si>
  <si>
    <t>Bjelajac</t>
  </si>
  <si>
    <t>Blažinč</t>
  </si>
  <si>
    <t>Borisavljević</t>
  </si>
  <si>
    <t>Bako</t>
  </si>
  <si>
    <t>Botond</t>
  </si>
  <si>
    <t>Aleksandar</t>
  </si>
  <si>
    <t>Brborović</t>
  </si>
  <si>
    <t>Brezovečki Biđin</t>
  </si>
  <si>
    <t>Burton</t>
  </si>
  <si>
    <t>Alma</t>
  </si>
  <si>
    <t>Cacan</t>
  </si>
  <si>
    <t>Čavlina</t>
  </si>
  <si>
    <t>Magdalena</t>
  </si>
  <si>
    <t>Čečura</t>
  </si>
  <si>
    <t>Oleg</t>
  </si>
  <si>
    <t>Celić</t>
  </si>
  <si>
    <t>Cenčić</t>
  </si>
  <si>
    <t>Cesar</t>
  </si>
  <si>
    <t>Ciglar Kovač</t>
  </si>
  <si>
    <t>Čuka Husnjak</t>
  </si>
  <si>
    <t>Francisco</t>
  </si>
  <si>
    <t>Delgado</t>
  </si>
  <si>
    <t>Dervišević</t>
  </si>
  <si>
    <t>Alena</t>
  </si>
  <si>
    <t>Detan Karlović</t>
  </si>
  <si>
    <t>Đokić</t>
  </si>
  <si>
    <t>Dolenac</t>
  </si>
  <si>
    <t>Dorotić</t>
  </si>
  <si>
    <t>Drganc</t>
  </si>
  <si>
    <t>Đukić</t>
  </si>
  <si>
    <t>Đurek</t>
  </si>
  <si>
    <t>Duvnjak</t>
  </si>
  <si>
    <t>Ferić</t>
  </si>
  <si>
    <t>Filek</t>
  </si>
  <si>
    <t>Flajsig</t>
  </si>
  <si>
    <t>Fran Husnjak</t>
  </si>
  <si>
    <t>Gamberger</t>
  </si>
  <si>
    <t>Gašparević</t>
  </si>
  <si>
    <t>Adrian</t>
  </si>
  <si>
    <t>Gojević</t>
  </si>
  <si>
    <t>Timea</t>
  </si>
  <si>
    <t>Grgesina</t>
  </si>
  <si>
    <t>Mirna</t>
  </si>
  <si>
    <t>Grgurić</t>
  </si>
  <si>
    <t>Grguric</t>
  </si>
  <si>
    <t>Alex</t>
  </si>
  <si>
    <t>Gulta</t>
  </si>
  <si>
    <t>Habjanec</t>
  </si>
  <si>
    <t>Habuš</t>
  </si>
  <si>
    <t>Hajak</t>
  </si>
  <si>
    <t>Hiršl Barišec</t>
  </si>
  <si>
    <t>Horbec</t>
  </si>
  <si>
    <t>Mihej</t>
  </si>
  <si>
    <t>Ivančan</t>
  </si>
  <si>
    <t>Aleks</t>
  </si>
  <si>
    <t>Ivanov</t>
  </si>
  <si>
    <t>Bernard</t>
  </si>
  <si>
    <t>Ivezic</t>
  </si>
  <si>
    <t>Viktor Ignjat</t>
  </si>
  <si>
    <t>Ivezić</t>
  </si>
  <si>
    <t>Jambrosić Sakoman</t>
  </si>
  <si>
    <t>Jedrejčić</t>
  </si>
  <si>
    <t>Nikica</t>
  </si>
  <si>
    <t>Jokić</t>
  </si>
  <si>
    <t>Josipović</t>
  </si>
  <si>
    <t>Eugen</t>
  </si>
  <si>
    <t>Jurković</t>
  </si>
  <si>
    <t>Kale</t>
  </si>
  <si>
    <t>Kamenjarin</t>
  </si>
  <si>
    <t>Karavidović</t>
  </si>
  <si>
    <t>Karlović</t>
  </si>
  <si>
    <t>Tina</t>
  </si>
  <si>
    <t>Katić</t>
  </si>
  <si>
    <t>Bartol</t>
  </si>
  <si>
    <t>Kekić</t>
  </si>
  <si>
    <t>Kiš</t>
  </si>
  <si>
    <t>Kiš Kamenjarin</t>
  </si>
  <si>
    <t>Knezović</t>
  </si>
  <si>
    <t>Tin</t>
  </si>
  <si>
    <t>Kodba</t>
  </si>
  <si>
    <t>Kolar</t>
  </si>
  <si>
    <t>Korlaet</t>
  </si>
  <si>
    <t>Nediljko</t>
  </si>
  <si>
    <t>Kožul</t>
  </si>
  <si>
    <t>Krajnović</t>
  </si>
  <si>
    <t>Kristian</t>
  </si>
  <si>
    <t>Edo</t>
  </si>
  <si>
    <t>Krš</t>
  </si>
  <si>
    <t>Karolina</t>
  </si>
  <si>
    <t>Matea</t>
  </si>
  <si>
    <t>Kulušić</t>
  </si>
  <si>
    <t>Laškarin</t>
  </si>
  <si>
    <t>Nevena</t>
  </si>
  <si>
    <t>Letica</t>
  </si>
  <si>
    <t>Levanić</t>
  </si>
  <si>
    <t>Lopandić</t>
  </si>
  <si>
    <t>Darinka</t>
  </si>
  <si>
    <t>Lovrec</t>
  </si>
  <si>
    <t>Malec</t>
  </si>
  <si>
    <t>Jasna</t>
  </si>
  <si>
    <t>Mandac</t>
  </si>
  <si>
    <t>Manzin Ištvanović</t>
  </si>
  <si>
    <t>Marendić</t>
  </si>
  <si>
    <t>Marjanović</t>
  </si>
  <si>
    <t>Marović</t>
  </si>
  <si>
    <t>Matešić</t>
  </si>
  <si>
    <t>Lovre</t>
  </si>
  <si>
    <t>Vjeko</t>
  </si>
  <si>
    <t>Medved</t>
  </si>
  <si>
    <t>Mikić</t>
  </si>
  <si>
    <t>Gordan</t>
  </si>
  <si>
    <t>Lucas</t>
  </si>
  <si>
    <t>Nežić</t>
  </si>
  <si>
    <t>Nikšić</t>
  </si>
  <si>
    <t>Danijel</t>
  </si>
  <si>
    <t>Odak</t>
  </si>
  <si>
    <t>Max</t>
  </si>
  <si>
    <t>Omerzu</t>
  </si>
  <si>
    <t>Boško</t>
  </si>
  <si>
    <t>Opalić</t>
  </si>
  <si>
    <t>Ostajmer</t>
  </si>
  <si>
    <t>Pajk</t>
  </si>
  <si>
    <t>Leonard</t>
  </si>
  <si>
    <t>Papak</t>
  </si>
  <si>
    <t>Margareta</t>
  </si>
  <si>
    <t>Viktor</t>
  </si>
  <si>
    <t>Pavin</t>
  </si>
  <si>
    <t>Daliborka</t>
  </si>
  <si>
    <t>Pavliša</t>
  </si>
  <si>
    <t>Penc</t>
  </si>
  <si>
    <t>Jelka</t>
  </si>
  <si>
    <t>Jerko</t>
  </si>
  <si>
    <t>Perak</t>
  </si>
  <si>
    <t>Mihaela Marija</t>
  </si>
  <si>
    <t>Požgaj</t>
  </si>
  <si>
    <t>Prpić</t>
  </si>
  <si>
    <t>Vedrana</t>
  </si>
  <si>
    <t>Radić</t>
  </si>
  <si>
    <t>Marijeta</t>
  </si>
  <si>
    <t>Radman</t>
  </si>
  <si>
    <t>Radoš</t>
  </si>
  <si>
    <t>Radošević</t>
  </si>
  <si>
    <t>Radulić Butorac</t>
  </si>
  <si>
    <t>Žana</t>
  </si>
  <si>
    <t>Rajić</t>
  </si>
  <si>
    <t>Relić</t>
  </si>
  <si>
    <t>Rigo</t>
  </si>
  <si>
    <t>Rogulj</t>
  </si>
  <si>
    <t>Rumiha</t>
  </si>
  <si>
    <t>Ružić</t>
  </si>
  <si>
    <t>Rok</t>
  </si>
  <si>
    <t>Jorge</t>
  </si>
  <si>
    <t>Salgado</t>
  </si>
  <si>
    <t>Salgado Vinter</t>
  </si>
  <si>
    <t>Savović</t>
  </si>
  <si>
    <t>Alberto</t>
  </si>
  <si>
    <t>Selandari</t>
  </si>
  <si>
    <t>Sem</t>
  </si>
  <si>
    <t>Šepić</t>
  </si>
  <si>
    <t>Šestan Krajnović</t>
  </si>
  <si>
    <t>Dejan</t>
  </si>
  <si>
    <t>Šimičević</t>
  </si>
  <si>
    <t>Sirovec</t>
  </si>
  <si>
    <t>Tara</t>
  </si>
  <si>
    <t>Donateo</t>
  </si>
  <si>
    <t>Sitarić-Knezić</t>
  </si>
  <si>
    <t>Šivak</t>
  </si>
  <si>
    <t>Paul</t>
  </si>
  <si>
    <t>Skobe</t>
  </si>
  <si>
    <t>Tymothy</t>
  </si>
  <si>
    <t>Valentina</t>
  </si>
  <si>
    <t>Slijepčević</t>
  </si>
  <si>
    <t>Mika</t>
  </si>
  <si>
    <t>Smital</t>
  </si>
  <si>
    <t>Tomo</t>
  </si>
  <si>
    <t>Nives</t>
  </si>
  <si>
    <t>Sršen</t>
  </si>
  <si>
    <t>Kira</t>
  </si>
  <si>
    <t>Sršen Delgado</t>
  </si>
  <si>
    <t>Leire</t>
  </si>
  <si>
    <t>Stančić Vidrač</t>
  </si>
  <si>
    <t>Anđelka</t>
  </si>
  <si>
    <t>Stih</t>
  </si>
  <si>
    <t>Valentino</t>
  </si>
  <si>
    <t>Stipčević</t>
  </si>
  <si>
    <t>Triplat Horvat</t>
  </si>
  <si>
    <t>Krešimir</t>
  </si>
  <si>
    <t>Tušek</t>
  </si>
  <si>
    <t>Tutić</t>
  </si>
  <si>
    <t>Roberta</t>
  </si>
  <si>
    <t>Valai</t>
  </si>
  <si>
    <t>Varga Horjan</t>
  </si>
  <si>
    <t>Romana</t>
  </si>
  <si>
    <t>Vilagoš</t>
  </si>
  <si>
    <t>Vlahović</t>
  </si>
  <si>
    <t>Vodopijevec</t>
  </si>
  <si>
    <t>Žabčić</t>
  </si>
  <si>
    <t>Žagar</t>
  </si>
  <si>
    <t>Žarak</t>
  </si>
  <si>
    <t>Zubin</t>
  </si>
  <si>
    <t>Žufić</t>
  </si>
  <si>
    <t>Žulić</t>
  </si>
  <si>
    <t>2021-04-18</t>
  </si>
  <si>
    <t>novi alias i/ili novi natjecatelj</t>
  </si>
  <si>
    <t>natjecatelj_alias</t>
  </si>
  <si>
    <t>natjecatelj_id</t>
  </si>
  <si>
    <t>natjecatelj_alias_id</t>
  </si>
  <si>
    <t>novi_natjecatelj_id</t>
  </si>
  <si>
    <t>imePreAlias_id</t>
  </si>
  <si>
    <t>imePreAlias_alias</t>
  </si>
  <si>
    <t>imePreAlias_imePreId</t>
  </si>
  <si>
    <t>max(natjecatelj_id)</t>
  </si>
  <si>
    <t>aliasa/novih</t>
  </si>
  <si>
    <t>aliasa natjecatelja</t>
  </si>
  <si>
    <t>novi alias natjecatelja i/ili novi natjecatelj</t>
  </si>
  <si>
    <t>SELECT max(id) FROM staza</t>
  </si>
  <si>
    <t>upareno ime i prezime natjecatelja, te id-ovi</t>
  </si>
  <si>
    <t>OK Lahor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</si>
</sst>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rgb="FF00B050"/>
      <name val="Calibri"/>
      <family val="2"/>
      <charset val="238"/>
      <scheme val="minor"/>
    </font>
    <font>
      <sz val="14"/>
      <name val="Calibri"/>
      <family val="2"/>
      <charset val="238"/>
      <scheme val="minor"/>
    </font>
    <font>
      <b/>
      <sz val="14"/>
      <color rgb="FF00B0F0"/>
      <name val="Calibri"/>
      <family val="2"/>
      <charset val="238"/>
      <scheme val="minor"/>
    </font>
    <font>
      <sz val="20"/>
      <color theme="1"/>
      <name val="Calibri"/>
      <family val="2"/>
      <charset val="238"/>
      <scheme val="minor"/>
    </font>
    <font>
      <b/>
      <sz val="11"/>
      <color rgb="FFFF0000"/>
      <name val="Calibri"/>
      <family val="2"/>
      <charset val="238"/>
      <scheme val="minor"/>
    </font>
    <font>
      <b/>
      <sz val="24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4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20"/>
      <color rgb="FFFF0000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CC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thin">
        <color auto="1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3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 indent="1"/>
    </xf>
    <xf numFmtId="0" fontId="0" fillId="0" borderId="0" xfId="0" applyAlignment="1">
      <alignment horizontal="right" indent="1"/>
    </xf>
    <xf numFmtId="0" fontId="0" fillId="0" borderId="0" xfId="0" applyBorder="1" applyAlignment="1">
      <alignment horizontal="left" indent="1"/>
    </xf>
    <xf numFmtId="0" fontId="0" fillId="0" borderId="0" xfId="0" applyAlignment="1">
      <alignment horizontal="left" wrapText="1" indent="1"/>
    </xf>
    <xf numFmtId="0" fontId="2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quotePrefix="1" applyFont="1" applyAlignment="1">
      <alignment horizontal="left" indent="1"/>
    </xf>
    <xf numFmtId="0" fontId="5" fillId="0" borderId="0" xfId="0" quotePrefix="1" applyFont="1" applyAlignment="1">
      <alignment horizontal="left" indent="1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 wrapText="1"/>
    </xf>
    <xf numFmtId="0" fontId="1" fillId="0" borderId="0" xfId="0" applyFont="1" applyAlignment="1">
      <alignment horizontal="right" indent="1"/>
    </xf>
    <xf numFmtId="0" fontId="6" fillId="0" borderId="0" xfId="0" quotePrefix="1" applyFont="1" applyAlignment="1">
      <alignment horizontal="center"/>
    </xf>
    <xf numFmtId="0" fontId="4" fillId="0" borderId="0" xfId="0" quotePrefix="1" applyFont="1" applyAlignment="1">
      <alignment horizontal="center"/>
    </xf>
    <xf numFmtId="0" fontId="2" fillId="0" borderId="0" xfId="0" quotePrefix="1" applyFont="1" applyAlignment="1">
      <alignment horizontal="center"/>
    </xf>
    <xf numFmtId="0" fontId="1" fillId="0" borderId="0" xfId="0" applyFont="1" applyBorder="1" applyAlignment="1">
      <alignment horizontal="left" indent="1"/>
    </xf>
    <xf numFmtId="0" fontId="8" fillId="0" borderId="0" xfId="0" applyFont="1" applyBorder="1" applyAlignment="1">
      <alignment horizontal="left" indent="1"/>
    </xf>
    <xf numFmtId="0" fontId="0" fillId="2" borderId="15" xfId="0" applyFill="1" applyBorder="1" applyAlignment="1">
      <alignment horizontal="left" indent="1"/>
    </xf>
    <xf numFmtId="0" fontId="0" fillId="2" borderId="16" xfId="0" applyFill="1" applyBorder="1" applyAlignment="1">
      <alignment horizontal="left" indent="1"/>
    </xf>
    <xf numFmtId="0" fontId="1" fillId="0" borderId="0" xfId="0" applyFont="1"/>
    <xf numFmtId="0" fontId="1" fillId="3" borderId="24" xfId="0" applyFont="1" applyFill="1" applyBorder="1" applyAlignment="1">
      <alignment horizontal="right" indent="1"/>
    </xf>
    <xf numFmtId="0" fontId="1" fillId="3" borderId="13" xfId="0" applyFont="1" applyFill="1" applyBorder="1" applyAlignment="1">
      <alignment horizontal="left" indent="1"/>
    </xf>
    <xf numFmtId="0" fontId="1" fillId="3" borderId="25" xfId="0" applyFont="1" applyFill="1" applyBorder="1" applyAlignment="1">
      <alignment horizontal="left" indent="1"/>
    </xf>
    <xf numFmtId="0" fontId="1" fillId="3" borderId="26" xfId="0" applyFont="1" applyFill="1" applyBorder="1" applyAlignment="1">
      <alignment horizontal="left" indent="1"/>
    </xf>
    <xf numFmtId="0" fontId="1" fillId="3" borderId="27" xfId="0" applyFont="1" applyFill="1" applyBorder="1" applyAlignment="1">
      <alignment horizontal="left" indent="1"/>
    </xf>
    <xf numFmtId="0" fontId="0" fillId="4" borderId="17" xfId="0" applyFill="1" applyBorder="1" applyAlignment="1">
      <alignment horizontal="right" indent="1"/>
    </xf>
    <xf numFmtId="0" fontId="0" fillId="4" borderId="12" xfId="0" applyFill="1" applyBorder="1" applyAlignment="1">
      <alignment horizontal="left" indent="1"/>
    </xf>
    <xf numFmtId="0" fontId="0" fillId="4" borderId="18" xfId="0" applyFill="1" applyBorder="1" applyAlignment="1">
      <alignment horizontal="right" indent="1"/>
    </xf>
    <xf numFmtId="0" fontId="0" fillId="4" borderId="19" xfId="0" applyFill="1" applyBorder="1" applyAlignment="1">
      <alignment horizontal="right" indent="1"/>
    </xf>
    <xf numFmtId="0" fontId="0" fillId="4" borderId="10" xfId="0" applyFill="1" applyBorder="1" applyAlignment="1">
      <alignment horizontal="left" indent="1"/>
    </xf>
    <xf numFmtId="0" fontId="0" fillId="4" borderId="20" xfId="0" applyFill="1" applyBorder="1" applyAlignment="1">
      <alignment horizontal="right" indent="1"/>
    </xf>
    <xf numFmtId="0" fontId="0" fillId="4" borderId="21" xfId="0" applyFill="1" applyBorder="1" applyAlignment="1">
      <alignment horizontal="right" indent="1"/>
    </xf>
    <xf numFmtId="0" fontId="0" fillId="4" borderId="11" xfId="0" applyFill="1" applyBorder="1" applyAlignment="1">
      <alignment horizontal="left" indent="1"/>
    </xf>
    <xf numFmtId="0" fontId="0" fillId="4" borderId="22" xfId="0" applyFill="1" applyBorder="1" applyAlignment="1">
      <alignment horizontal="right" indent="1"/>
    </xf>
    <xf numFmtId="0" fontId="12" fillId="0" borderId="0" xfId="0" applyFont="1" applyAlignment="1">
      <alignment vertical="top"/>
    </xf>
    <xf numFmtId="0" fontId="0" fillId="4" borderId="28" xfId="0" applyFill="1" applyBorder="1" applyAlignment="1">
      <alignment horizontal="right" indent="1"/>
    </xf>
    <xf numFmtId="0" fontId="0" fillId="4" borderId="29" xfId="0" applyFill="1" applyBorder="1" applyAlignment="1">
      <alignment horizontal="right" indent="1"/>
    </xf>
    <xf numFmtId="0" fontId="0" fillId="4" borderId="30" xfId="0" applyFill="1" applyBorder="1" applyAlignment="1">
      <alignment horizontal="right" indent="1"/>
    </xf>
    <xf numFmtId="0" fontId="1" fillId="3" borderId="23" xfId="0" applyFont="1" applyFill="1" applyBorder="1" applyAlignment="1">
      <alignment horizontal="left" indent="1"/>
    </xf>
    <xf numFmtId="0" fontId="1" fillId="3" borderId="24" xfId="0" applyFont="1" applyFill="1" applyBorder="1" applyAlignment="1">
      <alignment horizontal="left" indent="1"/>
    </xf>
    <xf numFmtId="0" fontId="13" fillId="2" borderId="23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left" indent="1"/>
    </xf>
    <xf numFmtId="0" fontId="0" fillId="4" borderId="2" xfId="0" applyFill="1" applyBorder="1" applyAlignment="1">
      <alignment horizontal="left" indent="1"/>
    </xf>
    <xf numFmtId="0" fontId="0" fillId="4" borderId="3" xfId="0" applyFill="1" applyBorder="1" applyAlignment="1">
      <alignment horizontal="left" indent="1"/>
    </xf>
    <xf numFmtId="0" fontId="0" fillId="4" borderId="4" xfId="0" applyFill="1" applyBorder="1" applyAlignment="1">
      <alignment horizontal="left" indent="1"/>
    </xf>
    <xf numFmtId="0" fontId="0" fillId="0" borderId="0" xfId="0" applyBorder="1"/>
    <xf numFmtId="0" fontId="14" fillId="0" borderId="0" xfId="0" applyFont="1" applyBorder="1" applyAlignment="1">
      <alignment horizontal="center" vertical="top"/>
    </xf>
    <xf numFmtId="0" fontId="0" fillId="0" borderId="0" xfId="0" applyFill="1" applyBorder="1"/>
    <xf numFmtId="0" fontId="0" fillId="4" borderId="17" xfId="0" applyFill="1" applyBorder="1" applyAlignment="1">
      <alignment horizontal="left" indent="1"/>
    </xf>
    <xf numFmtId="0" fontId="0" fillId="4" borderId="18" xfId="0" applyFill="1" applyBorder="1" applyAlignment="1">
      <alignment horizontal="center"/>
    </xf>
    <xf numFmtId="0" fontId="0" fillId="4" borderId="19" xfId="0" applyFill="1" applyBorder="1" applyAlignment="1">
      <alignment horizontal="left" indent="1"/>
    </xf>
    <xf numFmtId="0" fontId="0" fillId="4" borderId="20" xfId="0" applyFill="1" applyBorder="1" applyAlignment="1">
      <alignment horizontal="center"/>
    </xf>
    <xf numFmtId="0" fontId="0" fillId="4" borderId="21" xfId="0" applyFill="1" applyBorder="1" applyAlignment="1">
      <alignment horizontal="left" indent="1"/>
    </xf>
    <xf numFmtId="0" fontId="0" fillId="4" borderId="22" xfId="0" applyFill="1" applyBorder="1" applyAlignment="1">
      <alignment horizontal="center"/>
    </xf>
    <xf numFmtId="0" fontId="0" fillId="4" borderId="26" xfId="0" applyFill="1" applyBorder="1" applyAlignment="1">
      <alignment horizontal="left" indent="1"/>
    </xf>
    <xf numFmtId="0" fontId="0" fillId="4" borderId="17" xfId="0" applyFill="1" applyBorder="1" applyAlignment="1">
      <alignment horizontal="center"/>
    </xf>
    <xf numFmtId="0" fontId="0" fillId="4" borderId="19" xfId="0" applyFill="1" applyBorder="1" applyAlignment="1">
      <alignment horizontal="center"/>
    </xf>
    <xf numFmtId="0" fontId="0" fillId="4" borderId="21" xfId="0" applyFill="1" applyBorder="1" applyAlignment="1">
      <alignment horizontal="center"/>
    </xf>
    <xf numFmtId="0" fontId="0" fillId="2" borderId="2" xfId="0" applyFill="1" applyBorder="1" applyAlignment="1">
      <alignment horizontal="left" indent="1"/>
    </xf>
    <xf numFmtId="0" fontId="3" fillId="4" borderId="5" xfId="0" applyFont="1" applyFill="1" applyBorder="1" applyAlignment="1">
      <alignment horizontal="center"/>
    </xf>
    <xf numFmtId="0" fontId="1" fillId="3" borderId="23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left" indent="1"/>
    </xf>
    <xf numFmtId="0" fontId="1" fillId="4" borderId="27" xfId="0" applyFont="1" applyFill="1" applyBorder="1" applyAlignment="1">
      <alignment horizontal="left" indent="1"/>
    </xf>
    <xf numFmtId="0" fontId="0" fillId="4" borderId="18" xfId="0" applyFill="1" applyBorder="1" applyAlignment="1">
      <alignment horizontal="left" indent="1"/>
    </xf>
    <xf numFmtId="0" fontId="0" fillId="4" borderId="20" xfId="0" applyFill="1" applyBorder="1" applyAlignment="1">
      <alignment horizontal="left" indent="1"/>
    </xf>
    <xf numFmtId="0" fontId="0" fillId="4" borderId="22" xfId="0" applyFill="1" applyBorder="1" applyAlignment="1">
      <alignment horizontal="left" indent="1"/>
    </xf>
    <xf numFmtId="0" fontId="1" fillId="4" borderId="32" xfId="0" applyFont="1" applyFill="1" applyBorder="1" applyAlignment="1">
      <alignment horizontal="center"/>
    </xf>
    <xf numFmtId="0" fontId="0" fillId="4" borderId="32" xfId="0" applyFill="1" applyBorder="1" applyAlignment="1">
      <alignment horizontal="left" indent="1"/>
    </xf>
    <xf numFmtId="0" fontId="0" fillId="4" borderId="32" xfId="0" applyFill="1" applyBorder="1" applyAlignment="1">
      <alignment horizontal="center"/>
    </xf>
    <xf numFmtId="0" fontId="1" fillId="4" borderId="32" xfId="0" applyFont="1" applyFill="1" applyBorder="1" applyAlignment="1">
      <alignment horizontal="left" indent="1"/>
    </xf>
    <xf numFmtId="0" fontId="0" fillId="4" borderId="12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0" borderId="0" xfId="0" applyFont="1" applyBorder="1"/>
    <xf numFmtId="0" fontId="1" fillId="4" borderId="27" xfId="0" applyFont="1" applyFill="1" applyBorder="1" applyAlignment="1">
      <alignment horizontal="center"/>
    </xf>
    <xf numFmtId="0" fontId="1" fillId="4" borderId="23" xfId="0" applyFont="1" applyFill="1" applyBorder="1" applyAlignment="1">
      <alignment horizontal="center"/>
    </xf>
    <xf numFmtId="0" fontId="0" fillId="4" borderId="26" xfId="0" applyFont="1" applyFill="1" applyBorder="1" applyAlignment="1">
      <alignment horizontal="left" indent="1"/>
    </xf>
    <xf numFmtId="0" fontId="0" fillId="4" borderId="32" xfId="0" applyFont="1" applyFill="1" applyBorder="1" applyAlignment="1">
      <alignment horizontal="center"/>
    </xf>
    <xf numFmtId="0" fontId="0" fillId="4" borderId="32" xfId="0" applyFont="1" applyFill="1" applyBorder="1" applyAlignment="1">
      <alignment horizontal="left" indent="1"/>
    </xf>
    <xf numFmtId="0" fontId="0" fillId="4" borderId="14" xfId="0" applyFill="1" applyBorder="1" applyAlignment="1">
      <alignment horizontal="left" indent="1"/>
    </xf>
    <xf numFmtId="0" fontId="0" fillId="4" borderId="15" xfId="0" applyFill="1" applyBorder="1" applyAlignment="1">
      <alignment horizontal="left" indent="1"/>
    </xf>
    <xf numFmtId="0" fontId="0" fillId="4" borderId="16" xfId="0" applyFill="1" applyBorder="1" applyAlignment="1">
      <alignment horizontal="left" indent="1"/>
    </xf>
    <xf numFmtId="0" fontId="1" fillId="0" borderId="1" xfId="0" applyFont="1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11" fillId="0" borderId="0" xfId="0" applyFont="1" applyAlignment="1">
      <alignment horizontal="left"/>
    </xf>
    <xf numFmtId="0" fontId="7" fillId="0" borderId="0" xfId="0" applyFont="1" applyBorder="1" applyAlignment="1">
      <alignment horizontal="left" vertical="top" indent="1"/>
    </xf>
    <xf numFmtId="0" fontId="8" fillId="4" borderId="10" xfId="0" applyFont="1" applyFill="1" applyBorder="1" applyAlignment="1">
      <alignment horizontal="center"/>
    </xf>
    <xf numFmtId="0" fontId="8" fillId="4" borderId="11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1" fillId="4" borderId="26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top"/>
    </xf>
    <xf numFmtId="0" fontId="1" fillId="3" borderId="32" xfId="0" applyFont="1" applyFill="1" applyBorder="1" applyAlignment="1">
      <alignment horizontal="left" indent="1"/>
    </xf>
    <xf numFmtId="0" fontId="3" fillId="0" borderId="1" xfId="0" applyFont="1" applyBorder="1" applyAlignment="1">
      <alignment horizontal="center"/>
    </xf>
    <xf numFmtId="0" fontId="3" fillId="0" borderId="0" xfId="0" applyFont="1" applyAlignment="1"/>
    <xf numFmtId="0" fontId="3" fillId="3" borderId="5" xfId="0" applyFont="1" applyFill="1" applyBorder="1" applyAlignment="1">
      <alignment horizontal="center"/>
    </xf>
    <xf numFmtId="0" fontId="0" fillId="0" borderId="34" xfId="0" applyFill="1" applyBorder="1"/>
    <xf numFmtId="0" fontId="3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 vertical="top" indent="1"/>
    </xf>
    <xf numFmtId="0" fontId="0" fillId="3" borderId="17" xfId="0" applyFill="1" applyBorder="1" applyAlignment="1" applyProtection="1">
      <alignment horizontal="left" indent="1"/>
      <protection locked="0"/>
    </xf>
    <xf numFmtId="0" fontId="0" fillId="3" borderId="12" xfId="0" applyFill="1" applyBorder="1" applyAlignment="1" applyProtection="1">
      <alignment horizontal="left" indent="1"/>
      <protection locked="0"/>
    </xf>
    <xf numFmtId="0" fontId="0" fillId="3" borderId="18" xfId="0" applyFill="1" applyBorder="1" applyAlignment="1" applyProtection="1">
      <alignment horizontal="left" indent="1"/>
      <protection locked="0"/>
    </xf>
    <xf numFmtId="0" fontId="0" fillId="3" borderId="19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indent="1"/>
      <protection locked="0"/>
    </xf>
    <xf numFmtId="0" fontId="0" fillId="3" borderId="20" xfId="0" applyFill="1" applyBorder="1" applyAlignment="1" applyProtection="1">
      <alignment horizontal="left" indent="1"/>
      <protection locked="0"/>
    </xf>
    <xf numFmtId="0" fontId="0" fillId="3" borderId="21" xfId="0" applyFill="1" applyBorder="1" applyAlignment="1" applyProtection="1">
      <alignment horizontal="left" indent="1"/>
      <protection locked="0"/>
    </xf>
    <xf numFmtId="0" fontId="0" fillId="3" borderId="11" xfId="0" applyFill="1" applyBorder="1" applyAlignment="1" applyProtection="1">
      <alignment horizontal="left" indent="1"/>
      <protection locked="0"/>
    </xf>
    <xf numFmtId="0" fontId="0" fillId="3" borderId="22" xfId="0" applyFill="1" applyBorder="1" applyAlignment="1" applyProtection="1">
      <alignment horizontal="left" indent="1"/>
      <protection locked="0"/>
    </xf>
    <xf numFmtId="0" fontId="0" fillId="3" borderId="10" xfId="0" applyFill="1" applyBorder="1" applyAlignment="1" applyProtection="1">
      <alignment horizontal="left" vertical="top" indent="1"/>
      <protection locked="0"/>
    </xf>
    <xf numFmtId="0" fontId="0" fillId="3" borderId="17" xfId="0" applyFill="1" applyBorder="1" applyAlignment="1" applyProtection="1">
      <alignment horizontal="right" indent="1"/>
      <protection locked="0"/>
    </xf>
    <xf numFmtId="0" fontId="0" fillId="3" borderId="19" xfId="0" applyFill="1" applyBorder="1" applyAlignment="1" applyProtection="1">
      <alignment horizontal="right" indent="1"/>
      <protection locked="0"/>
    </xf>
    <xf numFmtId="0" fontId="0" fillId="3" borderId="21" xfId="0" applyFill="1" applyBorder="1" applyAlignment="1" applyProtection="1">
      <alignment horizontal="right" indent="1"/>
      <protection locked="0"/>
    </xf>
    <xf numFmtId="0" fontId="0" fillId="3" borderId="12" xfId="0" applyFill="1" applyBorder="1" applyAlignment="1" applyProtection="1">
      <alignment horizontal="center"/>
      <protection locked="0"/>
    </xf>
    <xf numFmtId="0" fontId="0" fillId="3" borderId="12" xfId="0" applyFill="1" applyBorder="1" applyAlignment="1" applyProtection="1">
      <alignment horizontal="right" indent="1"/>
      <protection locked="0"/>
    </xf>
    <xf numFmtId="0" fontId="0" fillId="3" borderId="18" xfId="0" applyFill="1" applyBorder="1" applyAlignment="1" applyProtection="1">
      <alignment horizontal="right" indent="1"/>
      <protection locked="0"/>
    </xf>
    <xf numFmtId="0" fontId="0" fillId="3" borderId="10" xfId="0" applyFill="1" applyBorder="1" applyAlignment="1" applyProtection="1">
      <alignment horizontal="center"/>
      <protection locked="0"/>
    </xf>
    <xf numFmtId="0" fontId="0" fillId="3" borderId="10" xfId="0" applyFill="1" applyBorder="1" applyAlignment="1" applyProtection="1">
      <alignment horizontal="right" indent="1"/>
      <protection locked="0"/>
    </xf>
    <xf numFmtId="0" fontId="0" fillId="3" borderId="20" xfId="0" applyFill="1" applyBorder="1" applyAlignment="1" applyProtection="1">
      <alignment horizontal="right" indent="1"/>
      <protection locked="0"/>
    </xf>
    <xf numFmtId="0" fontId="0" fillId="3" borderId="11" xfId="0" applyFill="1" applyBorder="1" applyAlignment="1" applyProtection="1">
      <alignment horizontal="center"/>
      <protection locked="0"/>
    </xf>
    <xf numFmtId="0" fontId="0" fillId="3" borderId="11" xfId="0" applyFill="1" applyBorder="1" applyAlignment="1" applyProtection="1">
      <alignment horizontal="right" indent="1"/>
      <protection locked="0"/>
    </xf>
    <xf numFmtId="0" fontId="0" fillId="3" borderId="22" xfId="0" applyFill="1" applyBorder="1" applyAlignment="1" applyProtection="1">
      <alignment horizontal="right" indent="1"/>
      <protection locked="0"/>
    </xf>
    <xf numFmtId="0" fontId="8" fillId="3" borderId="5" xfId="0" applyFont="1" applyFill="1" applyBorder="1" applyAlignment="1" applyProtection="1">
      <alignment horizontal="left" indent="1"/>
      <protection locked="0"/>
    </xf>
    <xf numFmtId="0" fontId="8" fillId="3" borderId="5" xfId="0" quotePrefix="1" applyFont="1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left" indent="1"/>
      <protection locked="0"/>
    </xf>
    <xf numFmtId="0" fontId="0" fillId="3" borderId="15" xfId="0" applyFill="1" applyBorder="1" applyAlignment="1" applyProtection="1">
      <alignment horizontal="left" indent="1"/>
      <protection locked="0"/>
    </xf>
    <xf numFmtId="0" fontId="0" fillId="3" borderId="16" xfId="0" applyFill="1" applyBorder="1" applyAlignment="1" applyProtection="1">
      <alignment horizontal="left" indent="1"/>
      <protection locked="0"/>
    </xf>
    <xf numFmtId="0" fontId="0" fillId="3" borderId="14" xfId="0" applyFill="1" applyBorder="1" applyAlignment="1" applyProtection="1">
      <alignment horizontal="center"/>
      <protection locked="0"/>
    </xf>
    <xf numFmtId="0" fontId="0" fillId="3" borderId="15" xfId="0" applyFill="1" applyBorder="1" applyAlignment="1" applyProtection="1">
      <alignment horizontal="center"/>
      <protection locked="0"/>
    </xf>
    <xf numFmtId="0" fontId="0" fillId="3" borderId="16" xfId="0" applyFill="1" applyBorder="1" applyAlignment="1" applyProtection="1">
      <alignment horizontal="center"/>
      <protection locked="0"/>
    </xf>
    <xf numFmtId="0" fontId="2" fillId="0" borderId="0" xfId="0" applyFont="1" applyBorder="1" applyAlignment="1">
      <alignment wrapText="1"/>
    </xf>
    <xf numFmtId="0" fontId="1" fillId="4" borderId="26" xfId="0" applyFont="1" applyFill="1" applyBorder="1" applyAlignment="1">
      <alignment horizontal="right" wrapText="1" indent="1"/>
    </xf>
    <xf numFmtId="0" fontId="1" fillId="4" borderId="32" xfId="0" applyFont="1" applyFill="1" applyBorder="1" applyAlignment="1">
      <alignment horizontal="right" wrapText="1" indent="1"/>
    </xf>
    <xf numFmtId="0" fontId="1" fillId="4" borderId="27" xfId="0" applyFont="1" applyFill="1" applyBorder="1" applyAlignment="1">
      <alignment horizontal="right" wrapText="1" indent="1"/>
    </xf>
    <xf numFmtId="0" fontId="1" fillId="3" borderId="26" xfId="0" applyFont="1" applyFill="1" applyBorder="1" applyAlignment="1">
      <alignment horizontal="right" indent="1"/>
    </xf>
    <xf numFmtId="0" fontId="1" fillId="3" borderId="32" xfId="0" applyFont="1" applyFill="1" applyBorder="1" applyAlignment="1">
      <alignment horizontal="center"/>
    </xf>
    <xf numFmtId="0" fontId="1" fillId="3" borderId="32" xfId="0" applyFont="1" applyFill="1" applyBorder="1" applyAlignment="1">
      <alignment horizontal="right" indent="1"/>
    </xf>
    <xf numFmtId="0" fontId="1" fillId="3" borderId="27" xfId="0" applyFont="1" applyFill="1" applyBorder="1" applyAlignment="1">
      <alignment horizontal="right" indent="1"/>
    </xf>
    <xf numFmtId="0" fontId="11" fillId="0" borderId="0" xfId="0" quotePrefix="1" applyFont="1" applyAlignment="1">
      <alignment horizontal="left"/>
    </xf>
    <xf numFmtId="49" fontId="0" fillId="0" borderId="0" xfId="0" applyNumberFormat="1" applyAlignment="1">
      <alignment horizontal="left" indent="1"/>
    </xf>
    <xf numFmtId="49" fontId="0" fillId="0" borderId="38" xfId="0" applyNumberFormat="1" applyBorder="1" applyAlignment="1">
      <alignment horizontal="left" indent="1"/>
    </xf>
    <xf numFmtId="49" fontId="0" fillId="0" borderId="0" xfId="0" applyNumberFormat="1" applyBorder="1" applyAlignment="1">
      <alignment horizontal="left" indent="1"/>
    </xf>
    <xf numFmtId="0" fontId="0" fillId="9" borderId="14" xfId="0" applyFill="1" applyBorder="1" applyAlignment="1">
      <alignment horizontal="left" indent="1"/>
    </xf>
    <xf numFmtId="0" fontId="0" fillId="9" borderId="15" xfId="0" applyFill="1" applyBorder="1" applyAlignment="1">
      <alignment horizontal="left" indent="1"/>
    </xf>
    <xf numFmtId="0" fontId="0" fillId="9" borderId="16" xfId="0" applyFill="1" applyBorder="1" applyAlignment="1">
      <alignment horizontal="left" indent="1"/>
    </xf>
    <xf numFmtId="0" fontId="1" fillId="9" borderId="23" xfId="0" applyFont="1" applyFill="1" applyBorder="1" applyAlignment="1">
      <alignment horizontal="left" indent="1"/>
    </xf>
    <xf numFmtId="0" fontId="1" fillId="8" borderId="5" xfId="0" applyFont="1" applyFill="1" applyBorder="1" applyAlignment="1">
      <alignment horizontal="center"/>
    </xf>
    <xf numFmtId="0" fontId="0" fillId="0" borderId="0" xfId="0" applyProtection="1"/>
    <xf numFmtId="0" fontId="0" fillId="0" borderId="0" xfId="0" applyAlignment="1" applyProtection="1">
      <alignment horizontal="left" indent="1"/>
    </xf>
    <xf numFmtId="0" fontId="0" fillId="0" borderId="0" xfId="0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left" indent="1"/>
    </xf>
    <xf numFmtId="0" fontId="1" fillId="2" borderId="23" xfId="0" applyFont="1" applyFill="1" applyBorder="1" applyAlignment="1" applyProtection="1">
      <alignment horizontal="left" indent="1"/>
    </xf>
    <xf numFmtId="0" fontId="0" fillId="4" borderId="12" xfId="0" applyFill="1" applyBorder="1" applyAlignment="1" applyProtection="1">
      <alignment horizontal="left" indent="1"/>
    </xf>
    <xf numFmtId="0" fontId="0" fillId="2" borderId="14" xfId="0" applyFill="1" applyBorder="1" applyAlignment="1" applyProtection="1">
      <alignment horizontal="left" indent="1"/>
    </xf>
    <xf numFmtId="0" fontId="0" fillId="4" borderId="10" xfId="0" applyFill="1" applyBorder="1" applyAlignment="1" applyProtection="1">
      <alignment horizontal="left" indent="1"/>
    </xf>
    <xf numFmtId="0" fontId="0" fillId="2" borderId="15" xfId="0" applyFill="1" applyBorder="1" applyAlignment="1" applyProtection="1">
      <alignment horizontal="left" indent="1"/>
    </xf>
    <xf numFmtId="0" fontId="0" fillId="4" borderId="11" xfId="0" applyFill="1" applyBorder="1" applyAlignment="1" applyProtection="1">
      <alignment horizontal="left" indent="1"/>
    </xf>
    <xf numFmtId="0" fontId="0" fillId="2" borderId="16" xfId="0" applyFill="1" applyBorder="1" applyAlignment="1" applyProtection="1">
      <alignment horizontal="left" indent="1"/>
    </xf>
    <xf numFmtId="0" fontId="0" fillId="0" borderId="0" xfId="0" applyAlignment="1"/>
    <xf numFmtId="0" fontId="1" fillId="9" borderId="23" xfId="0" applyFont="1" applyFill="1" applyBorder="1" applyAlignment="1">
      <alignment horizontal="center"/>
    </xf>
    <xf numFmtId="0" fontId="1" fillId="9" borderId="27" xfId="0" applyFont="1" applyFill="1" applyBorder="1" applyAlignment="1">
      <alignment horizontal="center"/>
    </xf>
    <xf numFmtId="0" fontId="1" fillId="9" borderId="26" xfId="0" applyFont="1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20" xfId="0" applyFill="1" applyBorder="1" applyAlignment="1">
      <alignment horizontal="center"/>
    </xf>
    <xf numFmtId="0" fontId="0" fillId="9" borderId="22" xfId="0" applyFill="1" applyBorder="1" applyAlignment="1">
      <alignment horizontal="center"/>
    </xf>
    <xf numFmtId="0" fontId="0" fillId="4" borderId="27" xfId="0" applyFill="1" applyBorder="1" applyAlignment="1">
      <alignment horizontal="left" indent="1"/>
    </xf>
    <xf numFmtId="0" fontId="0" fillId="4" borderId="27" xfId="0" applyFont="1" applyFill="1" applyBorder="1" applyAlignment="1">
      <alignment horizontal="left" indent="1"/>
    </xf>
    <xf numFmtId="49" fontId="0" fillId="4" borderId="39" xfId="0" applyNumberFormat="1" applyFill="1" applyBorder="1" applyAlignment="1">
      <alignment horizontal="left" indent="1"/>
    </xf>
    <xf numFmtId="49" fontId="0" fillId="4" borderId="40" xfId="0" applyNumberFormat="1" applyFill="1" applyBorder="1" applyAlignment="1">
      <alignment horizontal="left" indent="1"/>
    </xf>
    <xf numFmtId="49" fontId="0" fillId="4" borderId="41" xfId="0" applyNumberFormat="1" applyFill="1" applyBorder="1" applyAlignment="1">
      <alignment horizontal="left" indent="1"/>
    </xf>
    <xf numFmtId="49" fontId="0" fillId="0" borderId="42" xfId="0" applyNumberFormat="1" applyBorder="1" applyAlignment="1">
      <alignment horizontal="left" indent="1"/>
    </xf>
    <xf numFmtId="49" fontId="0" fillId="0" borderId="43" xfId="0" applyNumberFormat="1" applyBorder="1" applyAlignment="1">
      <alignment horizontal="left" indent="1"/>
    </xf>
    <xf numFmtId="49" fontId="0" fillId="0" borderId="44" xfId="0" applyNumberFormat="1" applyBorder="1" applyAlignment="1">
      <alignment horizontal="left" indent="1"/>
    </xf>
    <xf numFmtId="49" fontId="0" fillId="0" borderId="45" xfId="0" applyNumberFormat="1" applyBorder="1" applyAlignment="1">
      <alignment horizontal="left" indent="1"/>
    </xf>
    <xf numFmtId="49" fontId="0" fillId="0" borderId="46" xfId="0" applyNumberFormat="1" applyBorder="1" applyAlignment="1">
      <alignment horizontal="left" indent="1"/>
    </xf>
    <xf numFmtId="49" fontId="0" fillId="0" borderId="1" xfId="0" applyNumberFormat="1" applyBorder="1" applyAlignment="1">
      <alignment horizontal="left" indent="1"/>
    </xf>
    <xf numFmtId="49" fontId="0" fillId="0" borderId="47" xfId="0" applyNumberFormat="1" applyBorder="1" applyAlignment="1">
      <alignment horizontal="left" indent="1"/>
    </xf>
    <xf numFmtId="0" fontId="16" fillId="0" borderId="0" xfId="0" applyFont="1" applyBorder="1" applyAlignment="1">
      <alignment horizontal="center"/>
    </xf>
    <xf numFmtId="0" fontId="3" fillId="10" borderId="5" xfId="0" applyFont="1" applyFill="1" applyBorder="1" applyAlignment="1">
      <alignment horizontal="center"/>
    </xf>
    <xf numFmtId="0" fontId="0" fillId="2" borderId="50" xfId="0" applyFill="1" applyBorder="1"/>
    <xf numFmtId="0" fontId="0" fillId="2" borderId="50" xfId="0" applyFill="1" applyBorder="1" applyAlignment="1">
      <alignment horizontal="left" indent="1"/>
    </xf>
    <xf numFmtId="0" fontId="0" fillId="2" borderId="51" xfId="0" applyFill="1" applyBorder="1" applyAlignment="1">
      <alignment horizontal="left" indent="1"/>
    </xf>
    <xf numFmtId="0" fontId="0" fillId="11" borderId="48" xfId="0" applyFill="1" applyBorder="1" applyAlignment="1" applyProtection="1">
      <alignment horizontal="left" indent="1"/>
    </xf>
    <xf numFmtId="0" fontId="0" fillId="2" borderId="49" xfId="0" applyFill="1" applyBorder="1" applyAlignment="1">
      <alignment horizontal="left" indent="1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4" fillId="0" borderId="0" xfId="0" quotePrefix="1" applyFont="1" applyAlignment="1">
      <alignment horizontal="center" vertical="center"/>
    </xf>
    <xf numFmtId="0" fontId="2" fillId="7" borderId="33" xfId="0" applyFont="1" applyFill="1" applyBorder="1" applyAlignment="1">
      <alignment horizontal="center" vertical="center"/>
    </xf>
    <xf numFmtId="0" fontId="5" fillId="0" borderId="0" xfId="0" quotePrefix="1" applyFont="1" applyAlignment="1">
      <alignment horizontal="left" vertical="center"/>
    </xf>
    <xf numFmtId="0" fontId="0" fillId="0" borderId="0" xfId="0" applyAlignment="1" applyProtection="1">
      <alignment horizontal="center"/>
    </xf>
    <xf numFmtId="0" fontId="0" fillId="4" borderId="5" xfId="0" applyFill="1" applyBorder="1" applyProtection="1"/>
    <xf numFmtId="0" fontId="1" fillId="0" borderId="0" xfId="0" applyFont="1" applyFill="1" applyBorder="1" applyAlignment="1" applyProtection="1">
      <alignment horizontal="center"/>
    </xf>
    <xf numFmtId="0" fontId="1" fillId="4" borderId="23" xfId="0" applyFont="1" applyFill="1" applyBorder="1" applyAlignment="1" applyProtection="1">
      <alignment horizontal="right" indent="1"/>
    </xf>
    <xf numFmtId="0" fontId="1" fillId="4" borderId="26" xfId="0" applyFont="1" applyFill="1" applyBorder="1" applyAlignment="1" applyProtection="1">
      <alignment horizontal="right" indent="1"/>
    </xf>
    <xf numFmtId="0" fontId="1" fillId="4" borderId="27" xfId="0" applyFont="1" applyFill="1" applyBorder="1" applyAlignment="1" applyProtection="1">
      <alignment horizontal="center"/>
    </xf>
    <xf numFmtId="0" fontId="1" fillId="3" borderId="23" xfId="0" applyFont="1" applyFill="1" applyBorder="1" applyAlignment="1" applyProtection="1">
      <alignment horizontal="left" indent="1"/>
    </xf>
    <xf numFmtId="0" fontId="1" fillId="4" borderId="23" xfId="0" applyFont="1" applyFill="1" applyBorder="1" applyAlignment="1" applyProtection="1">
      <alignment horizontal="center"/>
    </xf>
    <xf numFmtId="0" fontId="12" fillId="0" borderId="0" xfId="0" applyFont="1" applyAlignment="1" applyProtection="1">
      <alignment horizontal="center" vertical="top"/>
    </xf>
    <xf numFmtId="0" fontId="0" fillId="4" borderId="35" xfId="0" applyFill="1" applyBorder="1" applyAlignment="1" applyProtection="1">
      <alignment horizontal="right" indent="1"/>
    </xf>
    <xf numFmtId="0" fontId="0" fillId="4" borderId="17" xfId="0" applyFill="1" applyBorder="1" applyAlignment="1" applyProtection="1">
      <alignment horizontal="right" indent="1"/>
    </xf>
    <xf numFmtId="0" fontId="0" fillId="4" borderId="12" xfId="0" applyFill="1" applyBorder="1" applyAlignment="1" applyProtection="1">
      <alignment horizontal="center"/>
    </xf>
    <xf numFmtId="0" fontId="0" fillId="4" borderId="18" xfId="0" applyFill="1" applyBorder="1" applyAlignment="1" applyProtection="1">
      <alignment horizontal="center"/>
    </xf>
    <xf numFmtId="0" fontId="0" fillId="4" borderId="17" xfId="0" applyFill="1" applyBorder="1" applyAlignment="1" applyProtection="1">
      <alignment horizontal="center"/>
    </xf>
    <xf numFmtId="0" fontId="0" fillId="2" borderId="2" xfId="0" applyFill="1" applyBorder="1" applyAlignment="1" applyProtection="1">
      <alignment horizontal="left" indent="1"/>
    </xf>
    <xf numFmtId="0" fontId="0" fillId="4" borderId="36" xfId="0" applyFill="1" applyBorder="1" applyAlignment="1" applyProtection="1">
      <alignment horizontal="right" indent="1"/>
    </xf>
    <xf numFmtId="0" fontId="0" fillId="4" borderId="19" xfId="0" applyFill="1" applyBorder="1" applyAlignment="1" applyProtection="1">
      <alignment horizontal="right" indent="1"/>
    </xf>
    <xf numFmtId="0" fontId="0" fillId="4" borderId="10" xfId="0" applyFill="1" applyBorder="1" applyAlignment="1" applyProtection="1">
      <alignment horizontal="center"/>
    </xf>
    <xf numFmtId="0" fontId="0" fillId="4" borderId="20" xfId="0" applyFill="1" applyBorder="1" applyAlignment="1" applyProtection="1">
      <alignment horizontal="center"/>
    </xf>
    <xf numFmtId="0" fontId="0" fillId="4" borderId="19" xfId="0" applyFill="1" applyBorder="1" applyAlignment="1" applyProtection="1">
      <alignment horizontal="center"/>
    </xf>
    <xf numFmtId="0" fontId="0" fillId="2" borderId="3" xfId="0" applyFill="1" applyBorder="1" applyAlignment="1" applyProtection="1">
      <alignment horizontal="left" indent="1"/>
    </xf>
    <xf numFmtId="0" fontId="0" fillId="4" borderId="37" xfId="0" applyFill="1" applyBorder="1" applyAlignment="1" applyProtection="1">
      <alignment horizontal="right" indent="1"/>
    </xf>
    <xf numFmtId="0" fontId="0" fillId="4" borderId="21" xfId="0" applyFill="1" applyBorder="1" applyAlignment="1" applyProtection="1">
      <alignment horizontal="right" indent="1"/>
    </xf>
    <xf numFmtId="0" fontId="0" fillId="4" borderId="11" xfId="0" applyFill="1" applyBorder="1" applyAlignment="1" applyProtection="1">
      <alignment horizontal="center"/>
    </xf>
    <xf numFmtId="0" fontId="0" fillId="4" borderId="22" xfId="0" applyFill="1" applyBorder="1" applyAlignment="1" applyProtection="1">
      <alignment horizontal="center"/>
    </xf>
    <xf numFmtId="0" fontId="0" fillId="4" borderId="21" xfId="0" applyFill="1" applyBorder="1" applyAlignment="1" applyProtection="1">
      <alignment horizontal="center"/>
    </xf>
    <xf numFmtId="0" fontId="0" fillId="2" borderId="4" xfId="0" applyFill="1" applyBorder="1" applyAlignment="1" applyProtection="1">
      <alignment horizontal="left" indent="1"/>
    </xf>
    <xf numFmtId="0" fontId="1" fillId="4" borderId="27" xfId="0" applyFont="1" applyFill="1" applyBorder="1" applyAlignment="1">
      <alignment horizontal="right" indent="1"/>
    </xf>
    <xf numFmtId="0" fontId="1" fillId="9" borderId="26" xfId="0" applyFont="1" applyFill="1" applyBorder="1" applyAlignment="1">
      <alignment horizontal="left" indent="1"/>
    </xf>
    <xf numFmtId="0" fontId="1" fillId="9" borderId="27" xfId="0" applyFont="1" applyFill="1" applyBorder="1" applyAlignment="1">
      <alignment horizontal="left" indent="1"/>
    </xf>
    <xf numFmtId="0" fontId="0" fillId="9" borderId="17" xfId="0" applyFill="1" applyBorder="1" applyAlignment="1">
      <alignment horizontal="left" indent="1"/>
    </xf>
    <xf numFmtId="0" fontId="0" fillId="9" borderId="18" xfId="0" applyFill="1" applyBorder="1" applyAlignment="1">
      <alignment horizontal="left" indent="1"/>
    </xf>
    <xf numFmtId="0" fontId="0" fillId="9" borderId="19" xfId="0" applyFill="1" applyBorder="1" applyAlignment="1">
      <alignment horizontal="left" indent="1"/>
    </xf>
    <xf numFmtId="0" fontId="0" fillId="9" borderId="20" xfId="0" applyFill="1" applyBorder="1" applyAlignment="1">
      <alignment horizontal="left" indent="1"/>
    </xf>
    <xf numFmtId="0" fontId="0" fillId="9" borderId="21" xfId="0" applyFill="1" applyBorder="1" applyAlignment="1">
      <alignment horizontal="left" indent="1"/>
    </xf>
    <xf numFmtId="0" fontId="0" fillId="9" borderId="22" xfId="0" applyFill="1" applyBorder="1" applyAlignment="1">
      <alignment horizontal="left" indent="1"/>
    </xf>
    <xf numFmtId="0" fontId="3" fillId="0" borderId="0" xfId="0" applyFont="1" applyAlignment="1">
      <alignment horizontal="center"/>
    </xf>
    <xf numFmtId="0" fontId="8" fillId="4" borderId="18" xfId="0" applyFont="1" applyFill="1" applyBorder="1" applyAlignment="1">
      <alignment horizontal="center"/>
    </xf>
    <xf numFmtId="0" fontId="0" fillId="9" borderId="55" xfId="0" applyFill="1" applyBorder="1" applyAlignment="1">
      <alignment horizontal="center"/>
    </xf>
    <xf numFmtId="0" fontId="8" fillId="4" borderId="20" xfId="0" applyFont="1" applyFill="1" applyBorder="1" applyAlignment="1">
      <alignment horizontal="center"/>
    </xf>
    <xf numFmtId="0" fontId="0" fillId="9" borderId="56" xfId="0" applyFill="1" applyBorder="1" applyAlignment="1">
      <alignment horizontal="center"/>
    </xf>
    <xf numFmtId="0" fontId="8" fillId="4" borderId="22" xfId="0" applyFont="1" applyFill="1" applyBorder="1" applyAlignment="1">
      <alignment horizontal="center"/>
    </xf>
    <xf numFmtId="0" fontId="0" fillId="9" borderId="57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0" fillId="2" borderId="0" xfId="0" applyFill="1" applyAlignment="1">
      <alignment horizontal="right" indent="1"/>
    </xf>
    <xf numFmtId="0" fontId="18" fillId="2" borderId="48" xfId="0" applyFont="1" applyFill="1" applyBorder="1" applyAlignment="1">
      <alignment horizontal="center"/>
    </xf>
    <xf numFmtId="0" fontId="0" fillId="0" borderId="0" xfId="0" applyFont="1" applyAlignment="1">
      <alignment horizontal="left" indent="1"/>
    </xf>
    <xf numFmtId="0" fontId="0" fillId="0" borderId="0" xfId="0" quotePrefix="1"/>
    <xf numFmtId="0" fontId="8" fillId="0" borderId="0" xfId="0" applyFont="1" applyAlignment="1">
      <alignment horizontal="left" inden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4" borderId="58" xfId="0" applyFill="1" applyBorder="1" applyAlignment="1">
      <alignment horizontal="left" indent="1"/>
    </xf>
    <xf numFmtId="0" fontId="0" fillId="9" borderId="14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1" fillId="8" borderId="7" xfId="0" applyFont="1" applyFill="1" applyBorder="1" applyAlignment="1"/>
    <xf numFmtId="0" fontId="1" fillId="4" borderId="32" xfId="0" applyFont="1" applyFill="1" applyBorder="1" applyAlignment="1">
      <alignment horizontal="right" indent="1"/>
    </xf>
    <xf numFmtId="0" fontId="1" fillId="2" borderId="23" xfId="0" applyFont="1" applyFill="1" applyBorder="1" applyAlignment="1">
      <alignment horizontal="left" indent="1"/>
    </xf>
    <xf numFmtId="0" fontId="0" fillId="6" borderId="9" xfId="0" applyFill="1" applyBorder="1" applyAlignment="1">
      <alignment horizontal="left" indent="1"/>
    </xf>
    <xf numFmtId="0" fontId="7" fillId="0" borderId="0" xfId="0" applyFont="1" applyAlignment="1">
      <alignment horizontal="center" vertical="top"/>
    </xf>
    <xf numFmtId="0" fontId="7" fillId="0" borderId="0" xfId="0" applyFont="1" applyAlignment="1">
      <alignment horizontal="right" vertical="top" indent="1"/>
    </xf>
    <xf numFmtId="0" fontId="0" fillId="6" borderId="34" xfId="0" applyFill="1" applyBorder="1" applyAlignment="1">
      <alignment horizontal="left" indent="1"/>
    </xf>
    <xf numFmtId="0" fontId="0" fillId="4" borderId="14" xfId="0" applyFill="1" applyBorder="1" applyAlignment="1">
      <alignment horizontal="center"/>
    </xf>
    <xf numFmtId="0" fontId="0" fillId="4" borderId="12" xfId="0" applyFill="1" applyBorder="1" applyAlignment="1">
      <alignment horizontal="right" indent="1"/>
    </xf>
    <xf numFmtId="0" fontId="0" fillId="2" borderId="14" xfId="0" applyFill="1" applyBorder="1" applyAlignment="1">
      <alignment horizontal="left" indent="1"/>
    </xf>
    <xf numFmtId="0" fontId="0" fillId="11" borderId="48" xfId="0" applyFill="1" applyBorder="1" applyAlignment="1">
      <alignment horizontal="left" indent="1"/>
    </xf>
    <xf numFmtId="0" fontId="0" fillId="4" borderId="15" xfId="0" applyFill="1" applyBorder="1" applyAlignment="1">
      <alignment horizontal="center"/>
    </xf>
    <xf numFmtId="0" fontId="0" fillId="4" borderId="10" xfId="0" applyFill="1" applyBorder="1" applyAlignment="1">
      <alignment horizontal="right" indent="1"/>
    </xf>
    <xf numFmtId="0" fontId="0" fillId="2" borderId="31" xfId="0" applyFill="1" applyBorder="1" applyAlignment="1">
      <alignment horizontal="left" indent="1"/>
    </xf>
    <xf numFmtId="0" fontId="0" fillId="4" borderId="16" xfId="0" applyFill="1" applyBorder="1" applyAlignment="1">
      <alignment horizontal="center"/>
    </xf>
    <xf numFmtId="0" fontId="0" fillId="4" borderId="11" xfId="0" applyFill="1" applyBorder="1" applyAlignment="1">
      <alignment horizontal="right" indent="1"/>
    </xf>
    <xf numFmtId="0" fontId="1" fillId="8" borderId="8" xfId="0" applyFont="1" applyFill="1" applyBorder="1" applyAlignment="1"/>
    <xf numFmtId="0" fontId="0" fillId="0" borderId="0" xfId="0" applyFont="1" applyFill="1" applyBorder="1" applyAlignment="1">
      <alignment vertical="center" wrapText="1"/>
    </xf>
    <xf numFmtId="0" fontId="0" fillId="4" borderId="36" xfId="0" applyFill="1" applyBorder="1" applyAlignment="1">
      <alignment horizontal="left" indent="1"/>
    </xf>
    <xf numFmtId="0" fontId="0" fillId="4" borderId="56" xfId="0" applyFill="1" applyBorder="1" applyAlignment="1">
      <alignment horizontal="center"/>
    </xf>
    <xf numFmtId="0" fontId="0" fillId="4" borderId="61" xfId="0" applyFill="1" applyBorder="1" applyAlignment="1">
      <alignment horizontal="left" indent="1"/>
    </xf>
    <xf numFmtId="0" fontId="0" fillId="4" borderId="62" xfId="0" applyFill="1" applyBorder="1" applyAlignment="1">
      <alignment horizontal="left" indent="1"/>
    </xf>
    <xf numFmtId="0" fontId="0" fillId="4" borderId="63" xfId="0" applyFill="1" applyBorder="1" applyAlignment="1">
      <alignment horizontal="center"/>
    </xf>
    <xf numFmtId="0" fontId="0" fillId="4" borderId="64" xfId="0" applyFill="1" applyBorder="1" applyAlignment="1">
      <alignment horizontal="center"/>
    </xf>
    <xf numFmtId="0" fontId="0" fillId="4" borderId="65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4" borderId="12" xfId="0" applyFont="1" applyFill="1" applyBorder="1" applyAlignment="1">
      <alignment horizontal="center"/>
    </xf>
    <xf numFmtId="0" fontId="0" fillId="4" borderId="5" xfId="0" applyFill="1" applyBorder="1" applyAlignment="1">
      <alignment horizontal="left" indent="1"/>
    </xf>
    <xf numFmtId="0" fontId="0" fillId="4" borderId="34" xfId="0" applyFill="1" applyBorder="1" applyAlignment="1">
      <alignment horizontal="left" indent="1"/>
    </xf>
    <xf numFmtId="0" fontId="1" fillId="0" borderId="1" xfId="0" applyFont="1" applyBorder="1" applyAlignment="1">
      <alignment horizontal="center"/>
    </xf>
    <xf numFmtId="0" fontId="10" fillId="2" borderId="6" xfId="0" applyFont="1" applyFill="1" applyBorder="1" applyAlignment="1">
      <alignment horizontal="left" vertical="center" indent="1"/>
    </xf>
    <xf numFmtId="0" fontId="10" fillId="2" borderId="7" xfId="0" applyFont="1" applyFill="1" applyBorder="1" applyAlignment="1">
      <alignment horizontal="left" vertical="center" indent="1"/>
    </xf>
    <xf numFmtId="0" fontId="10" fillId="2" borderId="8" xfId="0" applyFont="1" applyFill="1" applyBorder="1" applyAlignment="1">
      <alignment horizontal="left" vertical="center" indent="1"/>
    </xf>
    <xf numFmtId="0" fontId="3" fillId="0" borderId="0" xfId="0" applyFont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3" fillId="4" borderId="8" xfId="0" applyFont="1" applyFill="1" applyBorder="1" applyAlignment="1">
      <alignment horizontal="center"/>
    </xf>
    <xf numFmtId="0" fontId="1" fillId="8" borderId="6" xfId="0" applyFont="1" applyFill="1" applyBorder="1" applyAlignment="1">
      <alignment horizontal="center"/>
    </xf>
    <xf numFmtId="0" fontId="1" fillId="8" borderId="7" xfId="0" applyFont="1" applyFill="1" applyBorder="1" applyAlignment="1">
      <alignment horizontal="center"/>
    </xf>
    <xf numFmtId="0" fontId="1" fillId="8" borderId="8" xfId="0" applyFont="1" applyFill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0" fontId="3" fillId="10" borderId="6" xfId="0" applyFont="1" applyFill="1" applyBorder="1" applyAlignment="1">
      <alignment horizontal="center"/>
    </xf>
    <xf numFmtId="0" fontId="3" fillId="10" borderId="8" xfId="0" applyFont="1" applyFill="1" applyBorder="1" applyAlignment="1">
      <alignment horizontal="center"/>
    </xf>
    <xf numFmtId="0" fontId="8" fillId="0" borderId="6" xfId="0" applyFont="1" applyBorder="1" applyAlignment="1">
      <alignment horizontal="left" indent="1"/>
    </xf>
    <xf numFmtId="0" fontId="8" fillId="0" borderId="7" xfId="0" applyFont="1" applyBorder="1" applyAlignment="1">
      <alignment horizontal="left" indent="1"/>
    </xf>
    <xf numFmtId="0" fontId="8" fillId="0" borderId="8" xfId="0" applyFont="1" applyBorder="1" applyAlignment="1">
      <alignment horizontal="left" indent="1"/>
    </xf>
    <xf numFmtId="0" fontId="2" fillId="0" borderId="52" xfId="0" applyFont="1" applyBorder="1" applyAlignment="1">
      <alignment horizontal="center" vertical="center" wrapText="1"/>
    </xf>
    <xf numFmtId="0" fontId="2" fillId="0" borderId="53" xfId="0" applyFont="1" applyBorder="1" applyAlignment="1">
      <alignment horizontal="center" vertical="center" wrapText="1"/>
    </xf>
    <xf numFmtId="0" fontId="2" fillId="0" borderId="54" xfId="0" applyFont="1" applyBorder="1" applyAlignment="1">
      <alignment horizontal="center" vertical="center" wrapText="1"/>
    </xf>
    <xf numFmtId="0" fontId="17" fillId="0" borderId="6" xfId="0" applyFont="1" applyBorder="1" applyAlignment="1">
      <alignment horizontal="left" wrapText="1" indent="1"/>
    </xf>
    <xf numFmtId="0" fontId="17" fillId="0" borderId="7" xfId="0" applyFont="1" applyBorder="1" applyAlignment="1">
      <alignment horizontal="left" wrapText="1" indent="1"/>
    </xf>
    <xf numFmtId="0" fontId="17" fillId="0" borderId="8" xfId="0" applyFont="1" applyBorder="1" applyAlignment="1">
      <alignment horizontal="left" wrapText="1" indent="1"/>
    </xf>
    <xf numFmtId="0" fontId="17" fillId="0" borderId="6" xfId="0" applyFont="1" applyBorder="1" applyAlignment="1">
      <alignment horizontal="left" indent="1"/>
    </xf>
    <xf numFmtId="0" fontId="17" fillId="0" borderId="7" xfId="0" applyFont="1" applyBorder="1" applyAlignment="1">
      <alignment horizontal="left" indent="1"/>
    </xf>
    <xf numFmtId="0" fontId="17" fillId="0" borderId="8" xfId="0" applyFont="1" applyBorder="1" applyAlignment="1">
      <alignment horizontal="left" indent="1"/>
    </xf>
    <xf numFmtId="0" fontId="8" fillId="0" borderId="6" xfId="0" applyFont="1" applyBorder="1" applyAlignment="1">
      <alignment horizontal="left" wrapText="1" indent="1"/>
    </xf>
    <xf numFmtId="0" fontId="8" fillId="0" borderId="7" xfId="0" applyFont="1" applyBorder="1" applyAlignment="1">
      <alignment horizontal="left" wrapText="1" indent="1"/>
    </xf>
    <xf numFmtId="0" fontId="8" fillId="0" borderId="8" xfId="0" applyFont="1" applyBorder="1" applyAlignment="1">
      <alignment horizontal="left" wrapText="1" indent="1"/>
    </xf>
    <xf numFmtId="0" fontId="0" fillId="12" borderId="24" xfId="0" applyFill="1" applyBorder="1" applyAlignment="1">
      <alignment horizontal="center" vertical="center" wrapText="1"/>
    </xf>
    <xf numFmtId="0" fontId="0" fillId="12" borderId="25" xfId="0" applyFill="1" applyBorder="1" applyAlignment="1">
      <alignment horizontal="center" vertical="center" wrapText="1"/>
    </xf>
    <xf numFmtId="0" fontId="2" fillId="7" borderId="59" xfId="0" applyFont="1" applyFill="1" applyBorder="1" applyAlignment="1">
      <alignment horizontal="center" vertical="center"/>
    </xf>
    <xf numFmtId="0" fontId="2" fillId="7" borderId="60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/>
    </xf>
    <xf numFmtId="0" fontId="9" fillId="4" borderId="7" xfId="0" applyFont="1" applyFill="1" applyBorder="1" applyAlignment="1">
      <alignment horizontal="center"/>
    </xf>
    <xf numFmtId="0" fontId="9" fillId="4" borderId="8" xfId="0" applyFont="1" applyFill="1" applyBorder="1" applyAlignment="1">
      <alignment horizontal="center"/>
    </xf>
    <xf numFmtId="0" fontId="10" fillId="4" borderId="6" xfId="0" applyFont="1" applyFill="1" applyBorder="1" applyAlignment="1">
      <alignment horizontal="center"/>
    </xf>
    <xf numFmtId="0" fontId="10" fillId="4" borderId="7" xfId="0" applyFont="1" applyFill="1" applyBorder="1" applyAlignment="1">
      <alignment horizontal="center"/>
    </xf>
    <xf numFmtId="0" fontId="10" fillId="4" borderId="8" xfId="0" applyFont="1" applyFill="1" applyBorder="1" applyAlignment="1">
      <alignment horizontal="center"/>
    </xf>
    <xf numFmtId="0" fontId="10" fillId="2" borderId="6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8" xfId="0" applyFont="1" applyFill="1" applyBorder="1" applyAlignment="1">
      <alignment horizontal="center"/>
    </xf>
    <xf numFmtId="0" fontId="10" fillId="3" borderId="6" xfId="0" applyFont="1" applyFill="1" applyBorder="1" applyAlignment="1">
      <alignment horizontal="center"/>
    </xf>
    <xf numFmtId="0" fontId="10" fillId="3" borderId="8" xfId="0" applyFont="1" applyFill="1" applyBorder="1" applyAlignment="1">
      <alignment horizontal="center"/>
    </xf>
    <xf numFmtId="0" fontId="9" fillId="4" borderId="6" xfId="0" applyFont="1" applyFill="1" applyBorder="1" applyAlignment="1" applyProtection="1">
      <alignment horizontal="center"/>
    </xf>
    <xf numFmtId="0" fontId="9" fillId="4" borderId="7" xfId="0" applyFont="1" applyFill="1" applyBorder="1" applyAlignment="1" applyProtection="1">
      <alignment horizontal="center"/>
    </xf>
    <xf numFmtId="0" fontId="9" fillId="4" borderId="8" xfId="0" applyFont="1" applyFill="1" applyBorder="1" applyAlignment="1" applyProtection="1">
      <alignment horizontal="center"/>
    </xf>
    <xf numFmtId="0" fontId="10" fillId="4" borderId="6" xfId="0" applyFont="1" applyFill="1" applyBorder="1" applyAlignment="1" applyProtection="1">
      <alignment horizontal="center"/>
    </xf>
    <xf numFmtId="0" fontId="10" fillId="4" borderId="7" xfId="0" applyFont="1" applyFill="1" applyBorder="1" applyAlignment="1" applyProtection="1">
      <alignment horizontal="center"/>
    </xf>
    <xf numFmtId="0" fontId="10" fillId="4" borderId="8" xfId="0" applyFont="1" applyFill="1" applyBorder="1" applyAlignment="1" applyProtection="1">
      <alignment horizontal="center"/>
    </xf>
    <xf numFmtId="0" fontId="0" fillId="5" borderId="6" xfId="0" applyFill="1" applyBorder="1" applyAlignment="1">
      <alignment horizontal="left" vertical="top" wrapText="1" indent="1"/>
    </xf>
    <xf numFmtId="0" fontId="0" fillId="5" borderId="7" xfId="0" applyFill="1" applyBorder="1" applyAlignment="1">
      <alignment horizontal="left" vertical="top" wrapText="1" indent="1"/>
    </xf>
    <xf numFmtId="0" fontId="0" fillId="5" borderId="8" xfId="0" applyFill="1" applyBorder="1" applyAlignment="1">
      <alignment horizontal="left" vertical="top" wrapText="1" indent="1"/>
    </xf>
    <xf numFmtId="0" fontId="10" fillId="3" borderId="7" xfId="0" applyFont="1" applyFill="1" applyBorder="1" applyAlignment="1">
      <alignment horizontal="center"/>
    </xf>
    <xf numFmtId="0" fontId="0" fillId="5" borderId="6" xfId="0" applyFill="1" applyBorder="1" applyAlignment="1">
      <alignment horizontal="left" vertical="top" wrapText="1"/>
    </xf>
    <xf numFmtId="0" fontId="0" fillId="5" borderId="8" xfId="0" applyFill="1" applyBorder="1" applyAlignment="1">
      <alignment horizontal="left" vertical="top" wrapText="1"/>
    </xf>
    <xf numFmtId="0" fontId="0" fillId="5" borderId="7" xfId="0" applyFill="1" applyBorder="1" applyAlignment="1">
      <alignment horizontal="left" vertical="top" wrapText="1"/>
    </xf>
    <xf numFmtId="0" fontId="0" fillId="5" borderId="6" xfId="0" applyFill="1" applyBorder="1" applyAlignment="1">
      <alignment horizontal="left" vertical="center" wrapText="1" indent="1"/>
    </xf>
    <xf numFmtId="0" fontId="0" fillId="5" borderId="8" xfId="0" applyFill="1" applyBorder="1" applyAlignment="1">
      <alignment horizontal="left" vertical="center" wrapText="1" indent="1"/>
    </xf>
    <xf numFmtId="0" fontId="0" fillId="5" borderId="7" xfId="0" applyFill="1" applyBorder="1" applyAlignment="1">
      <alignment horizontal="left" vertical="center" wrapText="1" indent="1"/>
    </xf>
  </cellXfs>
  <cellStyles count="1">
    <cellStyle name="Normalno" xfId="0" builtinId="0"/>
  </cellStyles>
  <dxfs count="93"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DDDDDD"/>
      <color rgb="FFFFDD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sustav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08F4C-CC65-49DC-9B40-83A8CBE943E6}">
  <dimension ref="B1:G46"/>
  <sheetViews>
    <sheetView workbookViewId="0">
      <selection activeCell="B25" sqref="B25"/>
    </sheetView>
  </sheetViews>
  <sheetFormatPr defaultRowHeight="15" x14ac:dyDescent="0.25"/>
  <cols>
    <col min="1" max="1" width="2.85546875" customWidth="1"/>
    <col min="2" max="2" width="45.42578125" style="4" bestFit="1" customWidth="1"/>
    <col min="3" max="3" width="14.28515625" customWidth="1"/>
    <col min="4" max="4" width="5.7109375" customWidth="1"/>
    <col min="5" max="5" width="114.28515625" style="3" customWidth="1"/>
    <col min="6" max="6" width="5.7109375" customWidth="1"/>
    <col min="7" max="7" width="73.140625" customWidth="1"/>
  </cols>
  <sheetData>
    <row r="1" spans="2:7" ht="15.75" thickBot="1" x14ac:dyDescent="0.3"/>
    <row r="2" spans="2:7" ht="27.75" thickTop="1" thickBot="1" x14ac:dyDescent="0.45">
      <c r="B2" s="234"/>
      <c r="C2" s="235" t="s">
        <v>240</v>
      </c>
      <c r="E2" s="277" t="s">
        <v>241</v>
      </c>
      <c r="F2" s="278"/>
      <c r="G2" s="279"/>
    </row>
    <row r="3" spans="2:7" ht="15.75" thickTop="1" x14ac:dyDescent="0.25"/>
    <row r="4" spans="2:7" ht="15.75" thickBot="1" x14ac:dyDescent="0.3">
      <c r="B4" s="276" t="s">
        <v>32</v>
      </c>
      <c r="C4" s="276"/>
      <c r="E4" s="84" t="s">
        <v>55</v>
      </c>
      <c r="G4" s="84" t="s">
        <v>243</v>
      </c>
    </row>
    <row r="5" spans="2:7" ht="15.75" thickBot="1" x14ac:dyDescent="0.3"/>
    <row r="6" spans="2:7" ht="15.75" thickBot="1" x14ac:dyDescent="0.3">
      <c r="B6" s="13" t="s">
        <v>31</v>
      </c>
      <c r="C6" s="123" t="s">
        <v>4398</v>
      </c>
      <c r="E6" s="85" t="s">
        <v>242</v>
      </c>
      <c r="G6" s="85" t="s">
        <v>244</v>
      </c>
    </row>
    <row r="7" spans="2:7" x14ac:dyDescent="0.25">
      <c r="E7" s="85" t="s">
        <v>246</v>
      </c>
      <c r="G7" s="237" t="s">
        <v>245</v>
      </c>
    </row>
    <row r="8" spans="2:7" x14ac:dyDescent="0.25">
      <c r="E8" s="85" t="s">
        <v>247</v>
      </c>
      <c r="G8" s="237" t="s">
        <v>259</v>
      </c>
    </row>
    <row r="9" spans="2:7" ht="15.75" thickBot="1" x14ac:dyDescent="0.3">
      <c r="B9" s="276" t="s">
        <v>33</v>
      </c>
      <c r="C9" s="276"/>
      <c r="E9" s="85" t="s">
        <v>248</v>
      </c>
      <c r="G9" s="237" t="s">
        <v>260</v>
      </c>
    </row>
    <row r="10" spans="2:7" ht="15.75" thickBot="1" x14ac:dyDescent="0.3">
      <c r="E10" s="85" t="s">
        <v>249</v>
      </c>
      <c r="G10" s="237" t="s">
        <v>274</v>
      </c>
    </row>
    <row r="11" spans="2:7" ht="15.75" thickBot="1" x14ac:dyDescent="0.3">
      <c r="B11" s="13" t="s">
        <v>23</v>
      </c>
      <c r="C11" s="122">
        <v>1</v>
      </c>
      <c r="E11" s="85" t="s">
        <v>250</v>
      </c>
    </row>
    <row r="12" spans="2:7" ht="15.75" thickBot="1" x14ac:dyDescent="0.3">
      <c r="E12" s="85" t="s">
        <v>251</v>
      </c>
    </row>
    <row r="13" spans="2:7" ht="15.75" thickBot="1" x14ac:dyDescent="0.3">
      <c r="B13" s="13" t="s">
        <v>22</v>
      </c>
      <c r="C13" s="122">
        <v>101</v>
      </c>
      <c r="E13" s="85" t="s">
        <v>252</v>
      </c>
    </row>
    <row r="14" spans="2:7" ht="15.75" thickBot="1" x14ac:dyDescent="0.3">
      <c r="B14" s="13"/>
      <c r="C14" s="17"/>
      <c r="E14" s="85" t="s">
        <v>253</v>
      </c>
    </row>
    <row r="15" spans="2:7" ht="15.75" thickBot="1" x14ac:dyDescent="0.3">
      <c r="B15" s="13" t="s">
        <v>41</v>
      </c>
      <c r="C15" s="122">
        <v>1002</v>
      </c>
      <c r="E15" s="85" t="s">
        <v>267</v>
      </c>
    </row>
    <row r="16" spans="2:7" ht="15.75" thickBot="1" x14ac:dyDescent="0.3">
      <c r="B16" s="13"/>
      <c r="C16" s="17"/>
      <c r="E16" s="85" t="s">
        <v>268</v>
      </c>
    </row>
    <row r="17" spans="2:7" ht="15.75" thickBot="1" x14ac:dyDescent="0.3">
      <c r="B17" s="13" t="s">
        <v>211</v>
      </c>
      <c r="C17" s="122">
        <v>1</v>
      </c>
      <c r="E17" s="85" t="s">
        <v>254</v>
      </c>
    </row>
    <row r="18" spans="2:7" ht="15.75" thickBot="1" x14ac:dyDescent="0.3">
      <c r="B18" s="13"/>
      <c r="C18" s="17"/>
      <c r="E18" s="85" t="s">
        <v>269</v>
      </c>
    </row>
    <row r="19" spans="2:7" ht="15.75" thickBot="1" x14ac:dyDescent="0.3">
      <c r="B19" s="13" t="s">
        <v>43</v>
      </c>
      <c r="C19" s="122">
        <v>882</v>
      </c>
      <c r="E19" s="236" t="s">
        <v>255</v>
      </c>
    </row>
    <row r="20" spans="2:7" ht="15.75" thickBot="1" x14ac:dyDescent="0.3">
      <c r="B20" s="13"/>
      <c r="C20" s="18"/>
      <c r="E20" s="236" t="s">
        <v>256</v>
      </c>
    </row>
    <row r="21" spans="2:7" ht="15.75" thickBot="1" x14ac:dyDescent="0.3">
      <c r="B21" s="13" t="s">
        <v>44</v>
      </c>
      <c r="C21" s="122">
        <v>1966</v>
      </c>
      <c r="E21" s="85" t="s">
        <v>257</v>
      </c>
    </row>
    <row r="22" spans="2:7" ht="15.75" thickBot="1" x14ac:dyDescent="0.3">
      <c r="B22" s="13"/>
      <c r="C22" s="18"/>
      <c r="E22" s="85" t="s">
        <v>270</v>
      </c>
      <c r="G22" s="13" t="s">
        <v>4407</v>
      </c>
    </row>
    <row r="23" spans="2:7" ht="15.75" thickBot="1" x14ac:dyDescent="0.3">
      <c r="B23" s="13" t="s">
        <v>45</v>
      </c>
      <c r="C23" s="122">
        <v>1966</v>
      </c>
      <c r="E23" s="85" t="s">
        <v>258</v>
      </c>
    </row>
    <row r="24" spans="2:7" ht="15.75" thickBot="1" x14ac:dyDescent="0.3">
      <c r="B24" s="13"/>
      <c r="C24" s="18"/>
      <c r="E24" s="3" t="s">
        <v>261</v>
      </c>
    </row>
    <row r="25" spans="2:7" ht="15.75" thickBot="1" x14ac:dyDescent="0.3">
      <c r="B25" s="13" t="s">
        <v>4407</v>
      </c>
      <c r="C25" s="122">
        <f>MAX(data_max_osoba_id,data_max_imePrezime_id)</f>
        <v>1966</v>
      </c>
      <c r="E25" s="85" t="s">
        <v>262</v>
      </c>
    </row>
    <row r="26" spans="2:7" ht="15.75" thickBot="1" x14ac:dyDescent="0.3">
      <c r="E26" s="3" t="s">
        <v>263</v>
      </c>
    </row>
    <row r="27" spans="2:7" ht="15.75" thickBot="1" x14ac:dyDescent="0.3">
      <c r="B27" s="13" t="s">
        <v>4411</v>
      </c>
      <c r="C27" s="122">
        <v>12</v>
      </c>
      <c r="E27" s="85" t="s">
        <v>264</v>
      </c>
    </row>
    <row r="28" spans="2:7" ht="15.75" thickBot="1" x14ac:dyDescent="0.3">
      <c r="B28" s="13"/>
      <c r="E28" s="3" t="s">
        <v>265</v>
      </c>
    </row>
    <row r="29" spans="2:7" ht="15.75" thickBot="1" x14ac:dyDescent="0.3">
      <c r="B29" s="13" t="s">
        <v>150</v>
      </c>
      <c r="C29" s="122">
        <v>1</v>
      </c>
      <c r="E29" s="85" t="s">
        <v>266</v>
      </c>
    </row>
    <row r="30" spans="2:7" ht="15.75" thickBot="1" x14ac:dyDescent="0.3">
      <c r="B30" s="13"/>
      <c r="C30" s="17"/>
      <c r="E30" s="85" t="s">
        <v>271</v>
      </c>
    </row>
    <row r="31" spans="2:7" ht="15.75" thickBot="1" x14ac:dyDescent="0.3">
      <c r="B31" s="13" t="s">
        <v>42</v>
      </c>
      <c r="C31" s="122">
        <v>22</v>
      </c>
      <c r="E31" s="85" t="s">
        <v>272</v>
      </c>
    </row>
    <row r="32" spans="2:7" ht="15.75" thickBot="1" x14ac:dyDescent="0.3">
      <c r="E32" s="85" t="s">
        <v>273</v>
      </c>
    </row>
    <row r="33" spans="2:5" ht="15.75" thickBot="1" x14ac:dyDescent="0.3">
      <c r="B33" s="13" t="s">
        <v>67</v>
      </c>
      <c r="C33" s="122">
        <v>191</v>
      </c>
      <c r="E33" s="85" t="s">
        <v>275</v>
      </c>
    </row>
    <row r="34" spans="2:5" ht="15.75" thickBot="1" x14ac:dyDescent="0.3">
      <c r="E34" s="85" t="s">
        <v>276</v>
      </c>
    </row>
    <row r="35" spans="2:5" ht="15.75" thickBot="1" x14ac:dyDescent="0.3">
      <c r="B35" s="13" t="str">
        <f>"SELECT max_minuta FROM trka WHERE id = "&amp;data_trka_id</f>
        <v>SELECT max_minuta FROM trka WHERE id = 1002</v>
      </c>
      <c r="C35" s="122">
        <v>180</v>
      </c>
      <c r="E35" s="85" t="s">
        <v>277</v>
      </c>
    </row>
    <row r="36" spans="2:5" x14ac:dyDescent="0.25">
      <c r="E36" s="3" t="s">
        <v>278</v>
      </c>
    </row>
    <row r="37" spans="2:5" x14ac:dyDescent="0.25">
      <c r="E37" s="85" t="s">
        <v>279</v>
      </c>
    </row>
    <row r="39" spans="2:5" x14ac:dyDescent="0.25">
      <c r="E39" s="238" t="s">
        <v>280</v>
      </c>
    </row>
    <row r="43" spans="2:5" x14ac:dyDescent="0.25">
      <c r="E43" s="3" t="s">
        <v>56</v>
      </c>
    </row>
    <row r="44" spans="2:5" x14ac:dyDescent="0.25">
      <c r="E44" s="85" t="s">
        <v>57</v>
      </c>
    </row>
    <row r="45" spans="2:5" x14ac:dyDescent="0.25">
      <c r="E45" s="85" t="s">
        <v>58</v>
      </c>
    </row>
    <row r="46" spans="2:5" x14ac:dyDescent="0.25">
      <c r="E46" s="85" t="s">
        <v>59</v>
      </c>
    </row>
  </sheetData>
  <mergeCells count="3">
    <mergeCell ref="B4:C4"/>
    <mergeCell ref="B9:C9"/>
    <mergeCell ref="E2:G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756E-FC63-40EF-A3E4-8683FD4A64AF}">
  <dimension ref="A2:FM413"/>
  <sheetViews>
    <sheetView tabSelected="1" topLeftCell="BL1" zoomScaleNormal="100" workbookViewId="0">
      <pane ySplit="12" topLeftCell="A13" activePane="bottomLeft" state="frozen"/>
      <selection activeCell="G8" sqref="G8"/>
      <selection pane="bottomLeft" activeCell="BT13" sqref="BT13"/>
    </sheetView>
  </sheetViews>
  <sheetFormatPr defaultRowHeight="15" outlineLevelRow="1" outlineLevelCol="1" x14ac:dyDescent="0.25"/>
  <cols>
    <col min="1" max="1" width="2.85546875" customWidth="1"/>
    <col min="2" max="2" width="8.5703125" style="3" customWidth="1" outlineLevel="1"/>
    <col min="3" max="3" width="1.42578125" style="3" customWidth="1" outlineLevel="1"/>
    <col min="4" max="4" width="13.7109375" style="3" customWidth="1" outlineLevel="1"/>
    <col min="5" max="5" width="14.28515625" style="3" customWidth="1" outlineLevel="1"/>
    <col min="6" max="6" width="1.42578125" style="3" customWidth="1" outlineLevel="1"/>
    <col min="7" max="7" width="8.42578125" style="1" customWidth="1" outlineLevel="1"/>
    <col min="8" max="8" width="9.140625" style="1" customWidth="1" outlineLevel="1"/>
    <col min="9" max="9" width="1.42578125" style="3" customWidth="1" outlineLevel="1"/>
    <col min="10" max="10" width="12.5703125" style="3" customWidth="1" outlineLevel="1"/>
    <col min="11" max="11" width="13.7109375" style="3" customWidth="1" outlineLevel="1"/>
    <col min="12" max="12" width="1.42578125" style="3" customWidth="1" outlineLevel="1"/>
    <col min="13" max="13" width="8" style="3" customWidth="1" outlineLevel="1"/>
    <col min="14" max="14" width="2.85546875" customWidth="1"/>
    <col min="15" max="15" width="10.28515625" style="1" customWidth="1"/>
    <col min="16" max="16" width="2.85546875" customWidth="1"/>
    <col min="17" max="17" width="13.7109375" style="3" customWidth="1" outlineLevel="1"/>
    <col min="18" max="20" width="11.42578125" style="1" customWidth="1" outlineLevel="1"/>
    <col min="21" max="21" width="17.140625" style="3" customWidth="1" outlineLevel="1"/>
    <col min="22" max="22" width="2.85546875" customWidth="1"/>
    <col min="23" max="23" width="13.7109375" style="3" customWidth="1"/>
    <col min="24" max="24" width="19.42578125" style="3" customWidth="1"/>
    <col min="25" max="25" width="2.85546875" customWidth="1"/>
    <col min="26" max="26" width="8" style="3" customWidth="1" outlineLevel="1"/>
    <col min="27" max="27" width="6.85546875" style="1" customWidth="1" outlineLevel="1"/>
    <col min="28" max="29" width="14.28515625" style="3" customWidth="1" outlineLevel="1"/>
    <col min="30" max="30" width="2.85546875" customWidth="1" outlineLevel="1"/>
    <col min="31" max="31" width="14.28515625" style="3" customWidth="1" outlineLevel="1"/>
    <col min="32" max="32" width="2.85546875" customWidth="1" outlineLevel="1"/>
    <col min="33" max="33" width="14.28515625" customWidth="1" outlineLevel="1"/>
    <col min="34" max="34" width="2.85546875" customWidth="1"/>
    <col min="35" max="35" width="11.42578125" style="3" customWidth="1" collapsed="1"/>
    <col min="36" max="36" width="2.85546875" customWidth="1"/>
    <col min="37" max="37" width="13.7109375" style="3" customWidth="1" outlineLevel="1"/>
    <col min="38" max="38" width="14.28515625" style="3" customWidth="1" outlineLevel="1"/>
    <col min="39" max="40" width="9.140625" style="1" customWidth="1" outlineLevel="1"/>
    <col min="41" max="41" width="13.7109375" style="3" customWidth="1" outlineLevel="1"/>
    <col min="42" max="42" width="14.28515625" style="3" customWidth="1" outlineLevel="1"/>
    <col min="43" max="43" width="2.85546875" customWidth="1"/>
    <col min="44" max="44" width="22.85546875" style="3" customWidth="1" outlineLevel="1"/>
    <col min="45" max="45" width="2.85546875" customWidth="1" outlineLevel="1"/>
    <col min="46" max="46" width="16" style="1" customWidth="1" outlineLevel="1"/>
    <col min="47" max="47" width="2.85546875" customWidth="1" outlineLevel="1"/>
    <col min="48" max="48" width="16" style="3" customWidth="1" outlineLevel="1"/>
    <col min="49" max="49" width="18.28515625" style="3" customWidth="1" outlineLevel="1"/>
    <col min="50" max="50" width="2.85546875" customWidth="1" outlineLevel="1"/>
    <col min="51" max="51" width="18" style="1" customWidth="1" outlineLevel="1"/>
    <col min="52" max="52" width="2.85546875" customWidth="1"/>
    <col min="53" max="53" width="23" style="3" customWidth="1" outlineLevel="1"/>
    <col min="54" max="54" width="19.42578125" style="1" customWidth="1" outlineLevel="1"/>
    <col min="55" max="55" width="16" style="1" customWidth="1" outlineLevel="1"/>
    <col min="56" max="56" width="19.42578125" style="1" customWidth="1" outlineLevel="1"/>
    <col min="57" max="57" width="2.85546875" customWidth="1"/>
    <col min="58" max="58" width="13.7109375" style="3" customWidth="1"/>
    <col min="59" max="59" width="14.28515625" style="3" customWidth="1"/>
    <col min="60" max="60" width="10.28515625" style="1" customWidth="1"/>
    <col min="61" max="61" width="14.85546875" style="1" customWidth="1"/>
    <col min="62" max="62" width="2.85546875" customWidth="1"/>
    <col min="63" max="63" width="12.5703125" style="3" customWidth="1" outlineLevel="1"/>
    <col min="64" max="64" width="13.7109375" style="3" customWidth="1" outlineLevel="1"/>
    <col min="65" max="66" width="9.140625" style="1" customWidth="1" outlineLevel="1"/>
    <col min="67" max="68" width="13.7109375" style="3" customWidth="1" outlineLevel="1"/>
    <col min="69" max="69" width="5.5703125" style="1" customWidth="1" outlineLevel="1"/>
    <col min="70" max="70" width="13.7109375" style="3" customWidth="1" outlineLevel="1"/>
    <col min="71" max="71" width="2.85546875" customWidth="1"/>
    <col min="72" max="72" width="14.28515625" style="3" customWidth="1" outlineLevel="1"/>
    <col min="73" max="73" width="2.85546875" customWidth="1" outlineLevel="1"/>
    <col min="74" max="74" width="14.28515625" style="3" customWidth="1" outlineLevel="1"/>
    <col min="75" max="75" width="2.85546875" customWidth="1" outlineLevel="1"/>
    <col min="76" max="76" width="9.140625" style="1" customWidth="1" outlineLevel="1"/>
    <col min="77" max="78" width="14.28515625" style="3" customWidth="1" outlineLevel="1"/>
    <col min="79" max="79" width="11.42578125" style="3" customWidth="1" outlineLevel="1"/>
    <col min="80" max="80" width="10.28515625" style="3" customWidth="1" outlineLevel="1"/>
    <col min="81" max="81" width="14.28515625" style="3" customWidth="1" outlineLevel="1"/>
    <col min="82" max="83" width="10.28515625" style="3" customWidth="1" outlineLevel="1"/>
    <col min="84" max="84" width="2.85546875" customWidth="1" outlineLevel="1"/>
    <col min="85" max="85" width="13.7109375" style="1" customWidth="1" outlineLevel="1"/>
    <col min="86" max="86" width="2.85546875" customWidth="1" outlineLevel="1"/>
    <col min="87" max="87" width="14.28515625" customWidth="1" outlineLevel="1"/>
    <col min="88" max="88" width="2.85546875" customWidth="1"/>
    <col min="89" max="89" width="14.28515625" style="3" customWidth="1" outlineLevel="1"/>
    <col min="90" max="90" width="13.7109375" style="1" customWidth="1" outlineLevel="1"/>
    <col min="91" max="91" width="14.28515625" style="3" customWidth="1" outlineLevel="1"/>
    <col min="92" max="92" width="10.28515625" style="3" customWidth="1" outlineLevel="1"/>
    <col min="93" max="93" width="2.85546875" customWidth="1" outlineLevel="1"/>
    <col min="94" max="94" width="14.28515625" customWidth="1" outlineLevel="1"/>
    <col min="95" max="95" width="2.85546875" customWidth="1"/>
    <col min="96" max="96" width="14.28515625" style="3" customWidth="1"/>
    <col min="97" max="97" width="2.85546875" customWidth="1"/>
    <col min="98" max="98" width="8.42578125" style="1" customWidth="1" outlineLevel="1"/>
    <col min="99" max="99" width="6.85546875" style="1" customWidth="1" outlineLevel="1"/>
    <col min="100" max="100" width="10.28515625" style="1" customWidth="1" outlineLevel="1"/>
    <col min="101" max="101" width="8.42578125" style="1" customWidth="1" outlineLevel="1"/>
    <col min="102" max="102" width="13.7109375" style="1" customWidth="1" outlineLevel="1"/>
    <col min="103" max="103" width="2.85546875" customWidth="1"/>
    <col min="104" max="105" width="9.140625" style="1" customWidth="1" outlineLevel="1"/>
    <col min="106" max="110" width="2.85546875" customWidth="1"/>
    <col min="111" max="111" width="18.28515625" style="1" customWidth="1" outlineLevel="1"/>
    <col min="112" max="112" width="2.85546875" customWidth="1" outlineLevel="1" collapsed="1"/>
    <col min="113" max="113" width="11.42578125" style="1" customWidth="1" outlineLevel="1"/>
    <col min="114" max="114" width="2.85546875" customWidth="1" outlineLevel="1" collapsed="1"/>
    <col min="115" max="116" width="5.140625" customWidth="1" outlineLevel="1"/>
    <col min="117" max="117" width="2.85546875" customWidth="1" outlineLevel="1" collapsed="1"/>
    <col min="118" max="118" width="14.28515625" customWidth="1" outlineLevel="1"/>
    <col min="119" max="119" width="2.85546875" customWidth="1"/>
    <col min="120" max="120" width="14.28515625" customWidth="1" outlineLevel="1"/>
    <col min="121" max="121" width="2.85546875" customWidth="1"/>
    <col min="122" max="122" width="40" style="3" customWidth="1" outlineLevel="1"/>
    <col min="123" max="123" width="9.140625" style="1" customWidth="1" outlineLevel="1"/>
    <col min="124" max="124" width="2.85546875" customWidth="1" outlineLevel="1"/>
    <col min="125" max="125" width="31.42578125" style="3" customWidth="1" outlineLevel="1"/>
    <col min="126" max="126" width="9.140625" style="1" customWidth="1" outlineLevel="1"/>
    <col min="127" max="127" width="2.85546875" customWidth="1"/>
    <col min="128" max="128" width="25.7109375" style="3" customWidth="1"/>
    <col min="129" max="129" width="9.140625" style="1"/>
    <col min="130" max="130" width="2.85546875" customWidth="1"/>
    <col min="131" max="131" width="14.42578125" style="1" customWidth="1"/>
    <col min="132" max="132" width="16" style="1" customWidth="1"/>
    <col min="133" max="133" width="2.85546875" customWidth="1"/>
    <col min="134" max="134" width="12.5703125" style="1" customWidth="1" outlineLevel="1"/>
    <col min="135" max="137" width="9.140625" style="1" customWidth="1" outlineLevel="1"/>
    <col min="138" max="138" width="28.5703125" style="3" customWidth="1" outlineLevel="1"/>
    <col min="139" max="139" width="2.85546875" customWidth="1"/>
    <col min="140" max="140" width="12.5703125" style="1" customWidth="1" outlineLevel="1"/>
    <col min="141" max="141" width="19.42578125" style="1" customWidth="1" outlineLevel="1"/>
    <col min="142" max="142" width="17.140625" style="1" customWidth="1" outlineLevel="1"/>
    <col min="143" max="143" width="13.7109375" style="1" customWidth="1" outlineLevel="1"/>
    <col min="144" max="144" width="11.42578125" style="1" customWidth="1" outlineLevel="1"/>
    <col min="145" max="145" width="10.28515625" style="1" customWidth="1" outlineLevel="1"/>
    <col min="146" max="146" width="14.85546875" style="1" customWidth="1" outlineLevel="1"/>
    <col min="147" max="147" width="18.28515625" style="1" customWidth="1" outlineLevel="1"/>
    <col min="148" max="148" width="20.5703125" style="1" customWidth="1" outlineLevel="1"/>
    <col min="149" max="149" width="13.7109375" style="1" customWidth="1" outlineLevel="1"/>
    <col min="150" max="150" width="19.42578125" style="1" customWidth="1" outlineLevel="1"/>
    <col min="151" max="151" width="2.85546875" customWidth="1"/>
    <col min="152" max="152" width="34.28515625" style="1" customWidth="1" outlineLevel="1"/>
    <col min="153" max="153" width="2.85546875" customWidth="1"/>
    <col min="154" max="154" width="34.28515625" style="1" customWidth="1" outlineLevel="1"/>
    <col min="155" max="155" width="2.85546875" customWidth="1"/>
    <col min="156" max="156" width="57.140625" style="1" customWidth="1" outlineLevel="1"/>
    <col min="157" max="157" width="2.85546875" customWidth="1"/>
  </cols>
  <sheetData>
    <row r="2" spans="1:169" ht="152.25" hidden="1" customHeight="1" outlineLevel="1" x14ac:dyDescent="0.25">
      <c r="AV2" s="305" t="s">
        <v>3716</v>
      </c>
      <c r="AW2" s="306"/>
    </row>
    <row r="3" spans="1:169" ht="15.75" collapsed="1" thickBot="1" x14ac:dyDescent="0.3">
      <c r="CG3" s="3"/>
    </row>
    <row r="4" spans="1:169" s="184" customFormat="1" ht="43.5" customHeight="1" thickTop="1" thickBot="1" x14ac:dyDescent="0.3">
      <c r="B4" s="185"/>
      <c r="C4" s="185"/>
      <c r="D4" s="185"/>
      <c r="E4" s="185"/>
      <c r="F4" s="185"/>
      <c r="G4" s="186"/>
      <c r="H4" s="186"/>
      <c r="I4" s="185"/>
      <c r="J4" s="185"/>
      <c r="K4" s="185"/>
      <c r="L4" s="185"/>
      <c r="M4" s="185"/>
      <c r="O4" s="186"/>
      <c r="Q4" s="185"/>
      <c r="R4" s="186"/>
      <c r="S4" s="186"/>
      <c r="T4" s="187"/>
      <c r="U4" s="185"/>
      <c r="W4" s="185"/>
      <c r="X4" s="185"/>
      <c r="Z4" s="187"/>
      <c r="AA4" s="187"/>
      <c r="AB4" s="185"/>
      <c r="AC4" s="185"/>
      <c r="AE4" s="188" t="s">
        <v>54</v>
      </c>
      <c r="AI4" s="185"/>
      <c r="AK4" s="185"/>
      <c r="AL4" s="185"/>
      <c r="AM4" s="186"/>
      <c r="AN4" s="185"/>
      <c r="AO4" s="185"/>
      <c r="AP4" s="185"/>
      <c r="AR4" s="185"/>
      <c r="AT4" s="186"/>
      <c r="AV4" s="307" t="s">
        <v>54</v>
      </c>
      <c r="AW4" s="308"/>
      <c r="AY4" s="186"/>
      <c r="BA4" s="185"/>
      <c r="BB4" s="186"/>
      <c r="BC4" s="186"/>
      <c r="BD4" s="186"/>
      <c r="BF4" s="185"/>
      <c r="BG4" s="185"/>
      <c r="BH4" s="186"/>
      <c r="BI4" s="186"/>
      <c r="BK4" s="185"/>
      <c r="BL4" s="185"/>
      <c r="BM4" s="186"/>
      <c r="BN4" s="186"/>
      <c r="BO4" s="185"/>
      <c r="BP4" s="185"/>
      <c r="BQ4" s="186"/>
      <c r="BR4" s="185"/>
      <c r="BT4" s="185"/>
      <c r="BV4" s="188" t="s">
        <v>54</v>
      </c>
      <c r="BX4" s="186"/>
      <c r="BY4" s="185"/>
      <c r="BZ4" s="185"/>
      <c r="CA4" s="185"/>
      <c r="CB4" s="185"/>
      <c r="CC4" s="185"/>
      <c r="CD4" s="185"/>
      <c r="CE4" s="185"/>
      <c r="CG4" s="185"/>
      <c r="CK4" s="185"/>
      <c r="CL4" s="186"/>
      <c r="CM4" s="185"/>
      <c r="CN4" s="185"/>
      <c r="CR4" s="185"/>
      <c r="CT4" s="186"/>
      <c r="CU4" s="186"/>
      <c r="CV4" s="186"/>
      <c r="CW4" s="186"/>
      <c r="CX4" s="186"/>
      <c r="CZ4" s="286"/>
      <c r="DA4" s="287"/>
      <c r="DG4" s="186"/>
      <c r="DI4" s="188" t="s">
        <v>54</v>
      </c>
      <c r="DR4" s="189"/>
      <c r="DS4" s="189"/>
      <c r="DU4" s="185"/>
      <c r="DV4" s="186"/>
      <c r="DX4" s="185"/>
      <c r="DY4" s="186"/>
      <c r="EA4" s="186"/>
      <c r="EB4" s="186"/>
      <c r="ED4" s="186"/>
      <c r="EE4" s="186"/>
      <c r="EF4" s="186"/>
      <c r="EG4" s="186"/>
      <c r="EH4" s="185"/>
      <c r="EJ4" s="186"/>
      <c r="EK4" s="186"/>
      <c r="EL4" s="186"/>
      <c r="EM4" s="186"/>
      <c r="EN4" s="186"/>
      <c r="EO4" s="186"/>
      <c r="EP4" s="186"/>
      <c r="EQ4" s="186"/>
      <c r="ER4" s="186"/>
      <c r="ES4" s="186"/>
      <c r="ET4" s="186"/>
      <c r="EV4" s="293" t="s">
        <v>220</v>
      </c>
      <c r="EW4" s="294"/>
      <c r="EX4" s="294"/>
      <c r="EY4" s="294"/>
      <c r="EZ4" s="295"/>
    </row>
    <row r="5" spans="1:169" ht="18.75" x14ac:dyDescent="0.3">
      <c r="T5" s="15"/>
      <c r="AB5" s="8" t="s">
        <v>13</v>
      </c>
      <c r="AC5" s="95"/>
      <c r="AG5" s="8" t="s">
        <v>160</v>
      </c>
      <c r="AN5" s="10"/>
      <c r="AR5" s="95"/>
      <c r="AT5" s="7"/>
      <c r="AV5" s="262"/>
      <c r="AW5" s="262"/>
      <c r="AY5" s="270" t="s">
        <v>235</v>
      </c>
      <c r="BA5" s="271" t="s">
        <v>13</v>
      </c>
      <c r="BB5" s="8"/>
      <c r="BC5" s="8"/>
      <c r="BD5" s="271" t="s">
        <v>13</v>
      </c>
      <c r="BH5" s="272"/>
      <c r="BI5" s="272"/>
      <c r="BR5" s="8" t="s">
        <v>80</v>
      </c>
      <c r="BT5" s="240" t="s">
        <v>13</v>
      </c>
      <c r="BV5" s="240" t="s">
        <v>13</v>
      </c>
      <c r="BY5" s="240" t="s">
        <v>112</v>
      </c>
      <c r="BZ5" s="95"/>
      <c r="CA5" s="95"/>
      <c r="CB5" s="95"/>
      <c r="CC5" s="95"/>
      <c r="CD5" s="95"/>
      <c r="CE5" s="95"/>
      <c r="CG5" s="3"/>
      <c r="CI5" s="240" t="s">
        <v>158</v>
      </c>
      <c r="CK5" s="233" t="s">
        <v>238</v>
      </c>
      <c r="CM5" s="95"/>
      <c r="CN5" s="95"/>
      <c r="CP5" s="233" t="s">
        <v>158</v>
      </c>
      <c r="CR5" s="95"/>
      <c r="CV5" s="239" t="s">
        <v>235</v>
      </c>
      <c r="CX5" s="239" t="s">
        <v>160</v>
      </c>
      <c r="CZ5" s="280" t="s">
        <v>166</v>
      </c>
      <c r="DA5" s="280"/>
      <c r="DG5" s="177" t="s">
        <v>208</v>
      </c>
      <c r="DK5" s="280" t="s">
        <v>207</v>
      </c>
      <c r="DL5" s="280"/>
      <c r="DN5" s="8" t="s">
        <v>13</v>
      </c>
      <c r="DP5" s="8" t="s">
        <v>3714</v>
      </c>
      <c r="DR5" s="9"/>
      <c r="DS5" s="9"/>
      <c r="DU5" s="138"/>
      <c r="EA5" s="10"/>
      <c r="EH5" s="130"/>
      <c r="EO5" s="226" t="s">
        <v>233</v>
      </c>
      <c r="ER5"/>
      <c r="ES5"/>
      <c r="ET5"/>
      <c r="EX5" s="7"/>
      <c r="EZ5" s="7"/>
    </row>
    <row r="6" spans="1:169" ht="19.5" customHeight="1" thickBot="1" x14ac:dyDescent="0.35">
      <c r="B6" s="56">
        <v>19</v>
      </c>
      <c r="C6" s="69"/>
      <c r="D6" s="69">
        <v>5</v>
      </c>
      <c r="E6" s="69">
        <v>4</v>
      </c>
      <c r="F6" s="69"/>
      <c r="G6" s="70">
        <v>12</v>
      </c>
      <c r="H6" s="70">
        <v>13</v>
      </c>
      <c r="I6" s="69"/>
      <c r="J6" s="69">
        <v>15</v>
      </c>
      <c r="K6" s="69">
        <v>16</v>
      </c>
      <c r="L6" s="69"/>
      <c r="M6" s="165">
        <v>17</v>
      </c>
      <c r="T6" s="16"/>
      <c r="AB6" s="94" t="s">
        <v>120</v>
      </c>
      <c r="AG6" s="94" t="s">
        <v>159</v>
      </c>
      <c r="AN6" s="10"/>
      <c r="AT6" s="8" t="s">
        <v>21</v>
      </c>
      <c r="AV6" s="262"/>
      <c r="AW6" s="262"/>
      <c r="AY6" s="271" t="s">
        <v>4408</v>
      </c>
      <c r="BA6" s="271" t="s">
        <v>4409</v>
      </c>
      <c r="BB6" s="3"/>
      <c r="BC6" s="3"/>
      <c r="BD6" s="271" t="s">
        <v>18</v>
      </c>
      <c r="BH6" s="272"/>
      <c r="BI6" s="272"/>
      <c r="BR6" s="8" t="s">
        <v>14</v>
      </c>
      <c r="BT6" s="94" t="s">
        <v>103</v>
      </c>
      <c r="BV6" s="94" t="s">
        <v>104</v>
      </c>
      <c r="BY6" s="94" t="s">
        <v>14</v>
      </c>
      <c r="CG6" s="3"/>
      <c r="CI6" s="94" t="s">
        <v>159</v>
      </c>
      <c r="CK6" s="94" t="s">
        <v>14</v>
      </c>
      <c r="CP6" s="94" t="s">
        <v>159</v>
      </c>
      <c r="CV6" s="94" t="s">
        <v>234</v>
      </c>
      <c r="CX6" s="239" t="s">
        <v>281</v>
      </c>
      <c r="CZ6" s="280" t="s">
        <v>282</v>
      </c>
      <c r="DA6" s="280"/>
      <c r="DG6" s="177" t="s">
        <v>209</v>
      </c>
      <c r="DK6" s="280" t="s">
        <v>10</v>
      </c>
      <c r="DL6" s="280"/>
      <c r="DN6" s="8" t="s">
        <v>18</v>
      </c>
      <c r="DP6" s="8" t="s">
        <v>18</v>
      </c>
      <c r="DU6" s="138"/>
      <c r="EH6" s="8"/>
      <c r="EO6" s="226" t="s">
        <v>234</v>
      </c>
      <c r="ER6"/>
      <c r="ES6"/>
      <c r="ET6"/>
      <c r="EV6" s="8" t="s">
        <v>214</v>
      </c>
      <c r="EX6" s="8" t="s">
        <v>215</v>
      </c>
      <c r="EZ6" s="8" t="s">
        <v>217</v>
      </c>
    </row>
    <row r="7" spans="1:169" ht="19.5" thickBot="1" x14ac:dyDescent="0.35">
      <c r="B7" s="78" t="str">
        <f>IF(csv!F2="","",csv!T2)</f>
        <v>Short</v>
      </c>
      <c r="C7" s="80"/>
      <c r="D7" s="69" t="str">
        <f>IF(csv!F2="","",csv!F2)</f>
        <v>First name</v>
      </c>
      <c r="E7" s="80" t="str">
        <f>IF(csv!F2="","",csv!E2)</f>
        <v>Surname</v>
      </c>
      <c r="F7" s="80"/>
      <c r="G7" s="79" t="str">
        <f>IF(csv!F2="","",csv!M2)</f>
        <v>Time</v>
      </c>
      <c r="H7" s="79" t="str">
        <f>IF(csv!F2="","",csv!N2)</f>
        <v>Classifier</v>
      </c>
      <c r="I7" s="80"/>
      <c r="J7" s="80" t="str">
        <f>IF(csv!F2="","",csv!P2)</f>
        <v>Cl.name</v>
      </c>
      <c r="K7" s="80" t="str">
        <f>IF(csv!F2="","",csv!Q2)</f>
        <v>City</v>
      </c>
      <c r="L7" s="80"/>
      <c r="M7" s="166" t="str">
        <f>IF(csv!F2="","",csv!R2)</f>
        <v>Nat</v>
      </c>
      <c r="T7" s="14"/>
      <c r="AB7" s="61">
        <f>COUNTA(AB13:AB412)-COUNTIF(AB13:AB412,"")</f>
        <v>0</v>
      </c>
      <c r="AC7" s="95"/>
      <c r="AG7" s="61">
        <f>COUNTA(AG13:AG412)-COUNTIF(AG13:AG412,"")</f>
        <v>0</v>
      </c>
      <c r="AN7" s="9"/>
      <c r="AR7" s="95"/>
      <c r="AT7" s="61">
        <f>COUNTA(AT13:AT412)-COUNTIF(AT13:AT412,"")</f>
        <v>5</v>
      </c>
      <c r="AV7" s="262"/>
      <c r="AW7" s="262"/>
      <c r="AY7" s="61">
        <f>COUNTA(AY13:AY412)-COUNTIF(AY13:AY412,"")</f>
        <v>0</v>
      </c>
      <c r="BA7" s="61">
        <f>COUNTA(BA13:BA412)-COUNTIF(BA13:BA412,"")</f>
        <v>1</v>
      </c>
      <c r="BB7" s="8"/>
      <c r="BC7" s="8"/>
      <c r="BD7" s="61">
        <f>COUNTA(BD13:BD412)-COUNTIF(BD13:BD412,"")</f>
        <v>4</v>
      </c>
      <c r="BH7" s="272"/>
      <c r="BI7" s="272"/>
      <c r="BR7" s="90">
        <f>SUM(BQ13:BQ412)</f>
        <v>3</v>
      </c>
      <c r="BT7" s="61">
        <f>COUNTA(BT13:BT412)-COUNTIF(BT13:BT412,"")</f>
        <v>2</v>
      </c>
      <c r="BV7" s="96">
        <f>COUNTA(BV13:BV412)</f>
        <v>0</v>
      </c>
      <c r="BY7" s="61">
        <f>COUNTA(BY13:BY412)-COUNTIF(BY13:BY412,"")</f>
        <v>2</v>
      </c>
      <c r="BZ7" s="95"/>
      <c r="CA7" s="95"/>
      <c r="CB7" s="95"/>
      <c r="CC7" s="95"/>
      <c r="CD7" s="95"/>
      <c r="CE7" s="95"/>
      <c r="CG7" s="3"/>
      <c r="CI7" s="61">
        <f>COUNTA(CI13:CI412)-COUNTIF(CI13:CI412,"")</f>
        <v>2</v>
      </c>
      <c r="CK7" s="61">
        <f>COUNTA(CK13:CK412)-COUNTIF(CK13:CK412,"")</f>
        <v>0</v>
      </c>
      <c r="CM7" s="95"/>
      <c r="CN7" s="95"/>
      <c r="CP7" s="61">
        <f>COUNTA(CP13:CP412)-COUNTIF(CP13:CP412,"")</f>
        <v>0</v>
      </c>
      <c r="CR7" s="95"/>
      <c r="CV7" s="178">
        <f>COUNTA(CV13:CV412)-COUNTIF(CV13:CV412,"")</f>
        <v>1</v>
      </c>
      <c r="CX7" s="178">
        <f>COUNTIF(CX13:CX412,5)</f>
        <v>2</v>
      </c>
      <c r="CZ7" s="288">
        <f ca="1">COUNTIF(DA13:DA412,5)</f>
        <v>14</v>
      </c>
      <c r="DA7" s="289"/>
      <c r="DG7" s="178">
        <f>COUNTA(DG13:DG412)-COUNTIF(DG13:DG412,"")</f>
        <v>3</v>
      </c>
      <c r="DH7" s="2"/>
      <c r="DJ7" s="2"/>
      <c r="DK7" s="281">
        <f>COUNTA(DK13:DK412)-COUNTIF(DK13:DK412,"")</f>
        <v>1</v>
      </c>
      <c r="DL7" s="282"/>
      <c r="DM7" s="2"/>
      <c r="DN7" s="61">
        <f ca="1">COUNTA(DN13:DN412)-COUNTIF(DN13:DN412,"")</f>
        <v>3</v>
      </c>
      <c r="DP7" s="61">
        <f>COUNTA(DP13:DP412)-COUNTIF(DP13:DP412,"")</f>
        <v>1</v>
      </c>
      <c r="DU7" s="86"/>
      <c r="EH7" s="61">
        <f>COUNTA(EH13:EH412)-COUNTIF(EH13:EH412,"")</f>
        <v>295</v>
      </c>
      <c r="EO7" s="61">
        <f ca="1">SUM(EO13:EO412)</f>
        <v>263</v>
      </c>
      <c r="ER7" s="2"/>
      <c r="ES7" s="2"/>
      <c r="ET7" s="2"/>
      <c r="EU7" s="2"/>
      <c r="EV7" s="61">
        <f ca="1">COUNTA(EV13:EV412)-COUNTIF(EV13:EV412,"")</f>
        <v>295</v>
      </c>
      <c r="EW7" s="2"/>
      <c r="EX7" s="61">
        <f ca="1">COUNTA(EX13:EX412)-COUNTIF(EX13:EX412,"")</f>
        <v>263</v>
      </c>
      <c r="EY7" s="2"/>
      <c r="EZ7" s="61">
        <f ca="1">COUNTA(EZ13:EZ412)-COUNTIF(EZ13:EZ412,"")</f>
        <v>295</v>
      </c>
      <c r="FB7" s="2"/>
      <c r="FC7" s="2"/>
      <c r="FD7" s="2"/>
      <c r="FE7" s="2"/>
      <c r="FF7" s="2"/>
      <c r="FG7" s="2"/>
      <c r="FH7" s="2"/>
    </row>
    <row r="8" spans="1:169" ht="19.5" thickBot="1" x14ac:dyDescent="0.35">
      <c r="AE8" s="98"/>
      <c r="AV8" s="262"/>
      <c r="AW8" s="262"/>
    </row>
    <row r="9" spans="1:169" ht="15.75" thickBot="1" x14ac:dyDescent="0.3">
      <c r="A9" s="75" t="s">
        <v>0</v>
      </c>
      <c r="B9" s="283" t="s">
        <v>155</v>
      </c>
      <c r="C9" s="284"/>
      <c r="D9" s="284"/>
      <c r="E9" s="284"/>
      <c r="F9" s="284"/>
      <c r="G9" s="284"/>
      <c r="H9" s="284"/>
      <c r="I9" s="284"/>
      <c r="J9" s="284"/>
      <c r="K9" s="284"/>
      <c r="L9" s="284"/>
      <c r="M9" s="285"/>
      <c r="N9" t="s">
        <v>0</v>
      </c>
      <c r="O9" s="146" t="s">
        <v>3705</v>
      </c>
      <c r="Q9" s="283" t="s">
        <v>162</v>
      </c>
      <c r="R9" s="284"/>
      <c r="S9" s="284"/>
      <c r="T9" s="284"/>
      <c r="U9" s="285"/>
      <c r="V9" t="s">
        <v>0</v>
      </c>
      <c r="W9" s="283" t="s">
        <v>4</v>
      </c>
      <c r="X9" s="285"/>
      <c r="Y9" t="s">
        <v>0</v>
      </c>
      <c r="Z9" s="283" t="s">
        <v>121</v>
      </c>
      <c r="AA9" s="284"/>
      <c r="AB9" s="284"/>
      <c r="AC9" s="284"/>
      <c r="AD9" s="284"/>
      <c r="AE9" s="284"/>
      <c r="AF9" s="284"/>
      <c r="AG9" s="285"/>
      <c r="AH9" t="s">
        <v>0</v>
      </c>
      <c r="AI9" s="146" t="s">
        <v>120</v>
      </c>
      <c r="AK9" s="283" t="s">
        <v>168</v>
      </c>
      <c r="AL9" s="284"/>
      <c r="AM9" s="284"/>
      <c r="AN9" s="284"/>
      <c r="AO9" s="284"/>
      <c r="AP9" s="285"/>
      <c r="AQ9" t="s">
        <v>0</v>
      </c>
      <c r="AR9" s="283" t="s">
        <v>4399</v>
      </c>
      <c r="AS9" s="284"/>
      <c r="AT9" s="284"/>
      <c r="AU9" s="284"/>
      <c r="AV9" s="284"/>
      <c r="AW9" s="284"/>
      <c r="AX9" s="284"/>
      <c r="AY9" s="285"/>
      <c r="BA9" s="283" t="s">
        <v>4410</v>
      </c>
      <c r="BB9" s="284"/>
      <c r="BC9" s="284"/>
      <c r="BD9" s="285"/>
      <c r="BE9" t="s">
        <v>0</v>
      </c>
      <c r="BF9" s="283" t="s">
        <v>4412</v>
      </c>
      <c r="BG9" s="284"/>
      <c r="BH9" s="284"/>
      <c r="BI9" s="285"/>
      <c r="BJ9" t="s">
        <v>0</v>
      </c>
      <c r="BK9" s="283" t="s">
        <v>164</v>
      </c>
      <c r="BL9" s="284"/>
      <c r="BM9" s="284"/>
      <c r="BN9" s="284"/>
      <c r="BO9" s="284"/>
      <c r="BP9" s="284"/>
      <c r="BQ9" s="284"/>
      <c r="BR9" s="285"/>
      <c r="BS9" t="s">
        <v>0</v>
      </c>
      <c r="BT9" s="283" t="s">
        <v>113</v>
      </c>
      <c r="BU9" s="284"/>
      <c r="BV9" s="284"/>
      <c r="BW9" s="284"/>
      <c r="BX9" s="284"/>
      <c r="BY9" s="284"/>
      <c r="BZ9" s="284"/>
      <c r="CA9" s="284"/>
      <c r="CB9" s="284"/>
      <c r="CC9" s="284"/>
      <c r="CD9" s="284"/>
      <c r="CE9" s="284"/>
      <c r="CF9" s="284"/>
      <c r="CG9" s="284"/>
      <c r="CH9" s="284"/>
      <c r="CI9" s="285"/>
      <c r="CJ9" t="s">
        <v>0</v>
      </c>
      <c r="CK9" s="283" t="s">
        <v>239</v>
      </c>
      <c r="CL9" s="284"/>
      <c r="CM9" s="284"/>
      <c r="CN9" s="284"/>
      <c r="CO9" s="284"/>
      <c r="CP9" s="285"/>
      <c r="CQ9" t="s">
        <v>0</v>
      </c>
      <c r="CR9" s="146" t="s">
        <v>165</v>
      </c>
      <c r="CS9" t="s">
        <v>0</v>
      </c>
      <c r="CT9" s="283" t="s">
        <v>166</v>
      </c>
      <c r="CU9" s="284"/>
      <c r="CV9" s="284"/>
      <c r="CW9" s="284"/>
      <c r="CX9" s="285"/>
      <c r="CY9" t="s">
        <v>0</v>
      </c>
      <c r="CZ9" s="283" t="s">
        <v>282</v>
      </c>
      <c r="DA9" s="285"/>
      <c r="DB9" t="s">
        <v>0</v>
      </c>
      <c r="DC9" s="245"/>
      <c r="DD9" s="245"/>
      <c r="DE9" s="245"/>
      <c r="DF9" t="s">
        <v>0</v>
      </c>
      <c r="DG9" s="283" t="s">
        <v>9</v>
      </c>
      <c r="DH9" s="284"/>
      <c r="DI9" s="284"/>
      <c r="DJ9" s="284"/>
      <c r="DK9" s="284"/>
      <c r="DL9" s="284"/>
      <c r="DM9" s="284"/>
      <c r="DN9" s="285"/>
      <c r="DO9" t="s">
        <v>0</v>
      </c>
      <c r="DP9" s="261"/>
      <c r="DQ9" t="s">
        <v>0</v>
      </c>
      <c r="DR9" s="283" t="s">
        <v>154</v>
      </c>
      <c r="DS9" s="284"/>
      <c r="DT9" s="284"/>
      <c r="DU9" s="284"/>
      <c r="DV9" s="284"/>
      <c r="DW9" s="284"/>
      <c r="DX9" s="284"/>
      <c r="DY9" s="284"/>
      <c r="DZ9" s="284"/>
      <c r="EA9" s="284"/>
      <c r="EB9" s="285"/>
      <c r="EC9" t="s">
        <v>0</v>
      </c>
      <c r="ED9" s="283" t="s">
        <v>60</v>
      </c>
      <c r="EE9" s="284"/>
      <c r="EF9" s="284"/>
      <c r="EG9" s="284"/>
      <c r="EH9" s="285"/>
      <c r="EI9" t="s">
        <v>0</v>
      </c>
      <c r="EJ9" s="283" t="s">
        <v>66</v>
      </c>
      <c r="EK9" s="284"/>
      <c r="EL9" s="284"/>
      <c r="EM9" s="284"/>
      <c r="EN9" s="284"/>
      <c r="EO9" s="284"/>
      <c r="EP9" s="284"/>
      <c r="EQ9" s="284"/>
      <c r="ER9" s="284"/>
      <c r="ES9" s="284"/>
      <c r="ET9" s="285"/>
      <c r="EU9" t="s">
        <v>0</v>
      </c>
      <c r="EV9" s="146" t="s">
        <v>212</v>
      </c>
      <c r="EW9" t="s">
        <v>0</v>
      </c>
      <c r="EX9" s="146" t="s">
        <v>213</v>
      </c>
      <c r="EY9" t="s">
        <v>0</v>
      </c>
      <c r="EZ9" s="146" t="s">
        <v>216</v>
      </c>
      <c r="FA9" t="s">
        <v>0</v>
      </c>
    </row>
    <row r="10" spans="1:169" ht="7.5" customHeight="1" thickBot="1" x14ac:dyDescent="0.3">
      <c r="AB10" s="1"/>
      <c r="AG10" s="97"/>
      <c r="AR10" s="1"/>
      <c r="BT10" s="1"/>
      <c r="CI10" s="97"/>
      <c r="CK10" s="1"/>
      <c r="CP10" s="97"/>
      <c r="CR10" s="158"/>
      <c r="DN10" s="97"/>
      <c r="DP10" s="97"/>
    </row>
    <row r="11" spans="1:169" s="75" customFormat="1" ht="15.75" thickTop="1" x14ac:dyDescent="0.25">
      <c r="B11" s="63" t="s">
        <v>75</v>
      </c>
      <c r="C11" s="71" t="s">
        <v>0</v>
      </c>
      <c r="D11" s="71" t="s">
        <v>1</v>
      </c>
      <c r="E11" s="71" t="s">
        <v>2</v>
      </c>
      <c r="F11" s="71" t="s">
        <v>0</v>
      </c>
      <c r="G11" s="68" t="s">
        <v>76</v>
      </c>
      <c r="H11" s="68" t="s">
        <v>77</v>
      </c>
      <c r="I11" s="71" t="s">
        <v>0</v>
      </c>
      <c r="J11" s="71" t="s">
        <v>151</v>
      </c>
      <c r="K11" s="71" t="s">
        <v>152</v>
      </c>
      <c r="L11" s="71" t="s">
        <v>0</v>
      </c>
      <c r="M11" s="64" t="s">
        <v>78</v>
      </c>
      <c r="N11" s="75" t="s">
        <v>0</v>
      </c>
      <c r="O11" s="159" t="s">
        <v>3713</v>
      </c>
      <c r="Q11" s="63" t="s">
        <v>156</v>
      </c>
      <c r="R11" s="68" t="s">
        <v>132</v>
      </c>
      <c r="S11" s="68" t="s">
        <v>133</v>
      </c>
      <c r="T11" s="68" t="s">
        <v>35</v>
      </c>
      <c r="U11" s="64" t="s">
        <v>34</v>
      </c>
      <c r="V11" s="75" t="s">
        <v>0</v>
      </c>
      <c r="W11" s="218" t="s">
        <v>157</v>
      </c>
      <c r="X11" s="219" t="s">
        <v>232</v>
      </c>
      <c r="Y11" s="75" t="s">
        <v>0</v>
      </c>
      <c r="Z11" s="63" t="s">
        <v>78</v>
      </c>
      <c r="AA11" s="68" t="s">
        <v>115</v>
      </c>
      <c r="AB11" s="71" t="s">
        <v>125</v>
      </c>
      <c r="AC11" s="64" t="s">
        <v>123</v>
      </c>
      <c r="AD11" s="75" t="s">
        <v>0</v>
      </c>
      <c r="AE11" s="40" t="s">
        <v>122</v>
      </c>
      <c r="AF11" s="75" t="s">
        <v>0</v>
      </c>
      <c r="AG11" s="42" t="s">
        <v>124</v>
      </c>
      <c r="AH11" s="75" t="s">
        <v>0</v>
      </c>
      <c r="AI11" s="145" t="s">
        <v>161</v>
      </c>
      <c r="AK11" s="63" t="s">
        <v>1</v>
      </c>
      <c r="AL11" s="71" t="s">
        <v>2</v>
      </c>
      <c r="AM11" s="68" t="s">
        <v>153</v>
      </c>
      <c r="AN11" s="68" t="s">
        <v>130</v>
      </c>
      <c r="AO11" s="71" t="s">
        <v>1</v>
      </c>
      <c r="AP11" s="64" t="s">
        <v>2</v>
      </c>
      <c r="AQ11" s="75" t="s">
        <v>0</v>
      </c>
      <c r="AR11" s="77" t="s">
        <v>169</v>
      </c>
      <c r="AS11" s="75" t="s">
        <v>0</v>
      </c>
      <c r="AT11" s="42" t="s">
        <v>20</v>
      </c>
      <c r="AU11" s="75" t="s">
        <v>0</v>
      </c>
      <c r="AV11" s="25" t="s">
        <v>1</v>
      </c>
      <c r="AW11" s="26" t="s">
        <v>2</v>
      </c>
      <c r="AX11" s="75" t="s">
        <v>0</v>
      </c>
      <c r="AY11" s="77" t="s">
        <v>236</v>
      </c>
      <c r="AZ11" s="75" t="s">
        <v>0</v>
      </c>
      <c r="BA11" s="63" t="s">
        <v>4400</v>
      </c>
      <c r="BB11" s="68" t="s">
        <v>4402</v>
      </c>
      <c r="BC11" s="76" t="s">
        <v>4401</v>
      </c>
      <c r="BD11" s="91" t="s">
        <v>4403</v>
      </c>
      <c r="BE11" s="75" t="s">
        <v>0</v>
      </c>
      <c r="BF11" s="63" t="s">
        <v>1</v>
      </c>
      <c r="BG11" s="71" t="s">
        <v>2</v>
      </c>
      <c r="BH11" s="68" t="s">
        <v>130</v>
      </c>
      <c r="BI11" s="76" t="s">
        <v>4401</v>
      </c>
      <c r="BJ11" s="75" t="s">
        <v>0</v>
      </c>
      <c r="BK11" s="63" t="s">
        <v>151</v>
      </c>
      <c r="BL11" s="71" t="s">
        <v>152</v>
      </c>
      <c r="BM11" s="68" t="s">
        <v>100</v>
      </c>
      <c r="BN11" s="68" t="s">
        <v>130</v>
      </c>
      <c r="BO11" s="71" t="s">
        <v>3</v>
      </c>
      <c r="BP11" s="71" t="s">
        <v>79</v>
      </c>
      <c r="BQ11" s="68" t="s">
        <v>81</v>
      </c>
      <c r="BR11" s="64" t="s">
        <v>3</v>
      </c>
      <c r="BS11" s="75" t="s">
        <v>0</v>
      </c>
      <c r="BT11" s="77" t="s">
        <v>105</v>
      </c>
      <c r="BU11" s="75" t="s">
        <v>0</v>
      </c>
      <c r="BV11" s="40" t="s">
        <v>102</v>
      </c>
      <c r="BW11" s="75" t="s">
        <v>0</v>
      </c>
      <c r="BX11" s="91" t="s">
        <v>100</v>
      </c>
      <c r="BY11" s="71" t="s">
        <v>107</v>
      </c>
      <c r="BZ11" s="71" t="s">
        <v>108</v>
      </c>
      <c r="CA11" s="71" t="s">
        <v>123</v>
      </c>
      <c r="CB11" s="71" t="s">
        <v>109</v>
      </c>
      <c r="CC11" s="71" t="s">
        <v>106</v>
      </c>
      <c r="CD11" s="71" t="s">
        <v>100</v>
      </c>
      <c r="CE11" s="64" t="s">
        <v>110</v>
      </c>
      <c r="CF11" s="75" t="s">
        <v>0</v>
      </c>
      <c r="CG11" s="68" t="s">
        <v>225</v>
      </c>
      <c r="CI11" s="42" t="s">
        <v>111</v>
      </c>
      <c r="CJ11" s="75" t="s">
        <v>0</v>
      </c>
      <c r="CK11" s="91" t="s">
        <v>237</v>
      </c>
      <c r="CL11" s="68" t="s">
        <v>106</v>
      </c>
      <c r="CM11" s="71" t="s">
        <v>106</v>
      </c>
      <c r="CN11" s="64" t="s">
        <v>100</v>
      </c>
      <c r="CO11" s="75" t="s">
        <v>0</v>
      </c>
      <c r="CP11" s="42" t="s">
        <v>111</v>
      </c>
      <c r="CQ11" s="75" t="s">
        <v>0</v>
      </c>
      <c r="CR11" s="159" t="s">
        <v>105</v>
      </c>
      <c r="CS11" s="75" t="s">
        <v>0</v>
      </c>
      <c r="CT11" s="91" t="s">
        <v>76</v>
      </c>
      <c r="CU11" s="68" t="s">
        <v>77</v>
      </c>
      <c r="CV11" s="76" t="s">
        <v>236</v>
      </c>
      <c r="CW11" s="161" t="s">
        <v>74</v>
      </c>
      <c r="CX11" s="160" t="s">
        <v>167</v>
      </c>
      <c r="CY11" s="75" t="s">
        <v>0</v>
      </c>
      <c r="CZ11" s="161" t="s">
        <v>283</v>
      </c>
      <c r="DA11" s="160" t="s">
        <v>284</v>
      </c>
      <c r="DB11" s="75" t="s">
        <v>0</v>
      </c>
      <c r="DF11" s="75" t="s">
        <v>0</v>
      </c>
      <c r="DG11" s="76" t="s">
        <v>210</v>
      </c>
      <c r="DI11" s="62" t="s">
        <v>8</v>
      </c>
      <c r="DK11" s="63" t="s">
        <v>10</v>
      </c>
      <c r="DL11" s="64" t="s">
        <v>11</v>
      </c>
      <c r="DM11" s="75" t="s">
        <v>0</v>
      </c>
      <c r="DN11" s="42" t="s">
        <v>19</v>
      </c>
      <c r="DO11" s="75" t="s">
        <v>0</v>
      </c>
      <c r="DP11" s="42" t="s">
        <v>19</v>
      </c>
      <c r="DQ11" s="75" t="s">
        <v>0</v>
      </c>
      <c r="DR11" s="63" t="s">
        <v>6</v>
      </c>
      <c r="DS11" s="76" t="s">
        <v>16</v>
      </c>
      <c r="DT11" s="75" t="s">
        <v>0</v>
      </c>
      <c r="DU11" s="63" t="s">
        <v>5</v>
      </c>
      <c r="DV11" s="76" t="s">
        <v>16</v>
      </c>
      <c r="DW11" s="75" t="s">
        <v>0</v>
      </c>
      <c r="DX11" s="63" t="s">
        <v>7</v>
      </c>
      <c r="DY11" s="76" t="s">
        <v>16</v>
      </c>
      <c r="DZ11" s="75" t="s">
        <v>0</v>
      </c>
      <c r="EA11" s="63" t="s">
        <v>17</v>
      </c>
      <c r="EB11" s="76" t="s">
        <v>15</v>
      </c>
      <c r="EC11" s="75" t="s">
        <v>0</v>
      </c>
      <c r="ED11" s="91" t="s">
        <v>70</v>
      </c>
      <c r="EE11" s="68" t="s">
        <v>3</v>
      </c>
      <c r="EF11" s="68" t="s">
        <v>170</v>
      </c>
      <c r="EG11" s="68" t="s">
        <v>89</v>
      </c>
      <c r="EH11" s="64" t="s">
        <v>61</v>
      </c>
      <c r="EI11" s="75" t="s">
        <v>0</v>
      </c>
      <c r="EJ11" s="91" t="s">
        <v>63</v>
      </c>
      <c r="EK11" s="68" t="s">
        <v>203</v>
      </c>
      <c r="EL11" s="68" t="s">
        <v>204</v>
      </c>
      <c r="EM11" s="68" t="s">
        <v>64</v>
      </c>
      <c r="EN11" s="68" t="s">
        <v>83</v>
      </c>
      <c r="EO11" s="68" t="s">
        <v>65</v>
      </c>
      <c r="EP11" s="68" t="s">
        <v>62</v>
      </c>
      <c r="EQ11" s="68" t="s">
        <v>231</v>
      </c>
      <c r="ER11" s="68" t="s">
        <v>205</v>
      </c>
      <c r="ES11" s="68" t="s">
        <v>106</v>
      </c>
      <c r="ET11" s="76" t="s">
        <v>206</v>
      </c>
      <c r="EU11" s="75" t="s">
        <v>0</v>
      </c>
      <c r="EV11" s="42" t="s">
        <v>222</v>
      </c>
      <c r="EW11" s="75" t="s">
        <v>0</v>
      </c>
      <c r="EX11" s="42" t="s">
        <v>222</v>
      </c>
      <c r="EY11" s="75" t="s">
        <v>0</v>
      </c>
      <c r="EZ11" s="183" t="str">
        <f>'natjecanje-staze'!Y8&amp;"
"&amp;'natjecanje-kategorije'!W8</f>
        <v xml:space="preserve"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
</v>
      </c>
      <c r="FA11" s="75" t="s">
        <v>0</v>
      </c>
    </row>
    <row r="12" spans="1:169" s="47" customFormat="1" ht="7.5" customHeight="1" thickBot="1" x14ac:dyDescent="0.3">
      <c r="B12" s="5"/>
      <c r="C12" s="5"/>
      <c r="D12" s="5"/>
      <c r="E12" s="5"/>
      <c r="F12" s="5"/>
      <c r="G12" s="11"/>
      <c r="H12" s="11"/>
      <c r="I12" s="5"/>
      <c r="J12" s="5"/>
      <c r="K12" s="5"/>
      <c r="L12" s="5"/>
      <c r="M12" s="5"/>
      <c r="O12" s="1"/>
      <c r="Q12" s="5"/>
      <c r="R12" s="11"/>
      <c r="S12" s="11"/>
      <c r="T12" s="11"/>
      <c r="U12" s="5"/>
      <c r="W12" s="3"/>
      <c r="X12" s="3"/>
      <c r="Z12" s="5"/>
      <c r="AA12" s="11"/>
      <c r="AB12" s="5"/>
      <c r="AC12" s="99">
        <f>MAX(regDrzava_id)</f>
        <v>4</v>
      </c>
      <c r="AE12" s="5"/>
      <c r="AG12" s="49"/>
      <c r="AI12" s="5"/>
      <c r="AK12" s="5"/>
      <c r="AL12" s="5"/>
      <c r="AM12" s="11"/>
      <c r="AN12" s="11"/>
      <c r="AO12" s="5"/>
      <c r="AP12" s="5"/>
      <c r="AR12" s="5"/>
      <c r="AT12" s="49"/>
      <c r="AV12" s="5"/>
      <c r="AW12" s="5"/>
      <c r="AY12" s="11"/>
      <c r="BA12" s="5"/>
      <c r="BB12" s="48">
        <f>MAX(regNatjecatelj_alias_id)</f>
        <v>0</v>
      </c>
      <c r="BC12" s="48">
        <f>MAX(BC6:BC7)</f>
        <v>0</v>
      </c>
      <c r="BD12" s="48" cm="1">
        <f t="array" ref="BD12">data_max_natjecatelj_id</f>
        <v>1966</v>
      </c>
      <c r="BF12" s="5"/>
      <c r="BG12" s="5"/>
      <c r="BH12" s="48"/>
      <c r="BI12" s="48"/>
      <c r="BK12" s="5"/>
      <c r="BL12" s="5"/>
      <c r="BM12" s="11"/>
      <c r="BN12" s="11"/>
      <c r="BO12" s="5"/>
      <c r="BP12" s="5"/>
      <c r="BQ12" s="11"/>
      <c r="BR12" s="5"/>
      <c r="BT12" s="5"/>
      <c r="BV12" s="5"/>
      <c r="BX12" s="11"/>
      <c r="BY12" s="5"/>
      <c r="BZ12" s="87">
        <f>MAX(regKlub_id)</f>
        <v>18</v>
      </c>
      <c r="CA12" s="87">
        <f>MAX(regKlub_id)</f>
        <v>18</v>
      </c>
      <c r="CB12" s="5"/>
      <c r="CC12" s="87">
        <f>MAX(CM12:CM412)</f>
        <v>1</v>
      </c>
      <c r="CD12" s="87"/>
      <c r="CE12" s="5"/>
      <c r="CG12" s="11"/>
      <c r="CI12" s="49"/>
      <c r="CK12" s="5"/>
      <c r="CL12" s="11"/>
      <c r="CM12" s="87">
        <f>MAX(regKlub_alias_id)</f>
        <v>1</v>
      </c>
      <c r="CN12" s="87"/>
      <c r="CP12" s="49"/>
      <c r="CR12" s="5"/>
      <c r="CT12" s="1"/>
      <c r="CU12" s="1"/>
      <c r="CV12" s="1"/>
      <c r="CW12" s="1"/>
      <c r="CX12" s="1"/>
      <c r="CZ12" s="1"/>
      <c r="DA12" s="1"/>
      <c r="DG12" s="48"/>
      <c r="DI12" s="11"/>
      <c r="DN12" s="49"/>
      <c r="DP12" s="49"/>
      <c r="DR12" s="5"/>
      <c r="DS12" s="11"/>
      <c r="DU12" s="5"/>
      <c r="DV12" s="11"/>
      <c r="DX12" s="5"/>
      <c r="DY12" s="11"/>
      <c r="EA12" s="11"/>
      <c r="EB12" s="11"/>
      <c r="ED12" s="11"/>
      <c r="EE12" s="11"/>
      <c r="EF12" s="11"/>
      <c r="EG12" s="11"/>
      <c r="EH12" s="5"/>
      <c r="EJ12" s="92">
        <f>data_max_rezultat_id</f>
        <v>191</v>
      </c>
      <c r="EK12" s="11"/>
      <c r="EL12" s="11"/>
      <c r="EM12" s="11"/>
      <c r="EN12" s="11"/>
      <c r="EO12" s="11"/>
      <c r="EP12" s="11"/>
      <c r="EQ12" s="11"/>
      <c r="ER12" s="11"/>
      <c r="ES12" s="11"/>
      <c r="ET12" s="11"/>
      <c r="EV12" s="49"/>
      <c r="EX12" s="49"/>
      <c r="EZ12" s="179"/>
    </row>
    <row r="13" spans="1:169" s="47" customFormat="1" ht="15.75" thickBot="1" x14ac:dyDescent="0.3">
      <c r="A13" s="47" t="s">
        <v>0</v>
      </c>
      <c r="B13" s="50" t="str">
        <f>IF(csv!F3="","",csv!T3)</f>
        <v>M12</v>
      </c>
      <c r="C13" s="28" t="s">
        <v>0</v>
      </c>
      <c r="D13" s="28" t="str">
        <f>IF(csv!F3="","",csv!F3)</f>
        <v>Lovro</v>
      </c>
      <c r="E13" s="28" t="str">
        <f>IF(csv!E3="","",csv!E3)</f>
        <v>Pinjušić</v>
      </c>
      <c r="F13" s="28" t="s">
        <v>0</v>
      </c>
      <c r="G13" s="72" t="str">
        <f>IF(csv!M3="","",csv!M3)</f>
        <v>31:38</v>
      </c>
      <c r="H13" s="72" t="str">
        <f>IF(csv!N3="","",csv!N3)</f>
        <v>0</v>
      </c>
      <c r="I13" s="28" t="s">
        <v>0</v>
      </c>
      <c r="J13" s="28" t="str">
        <f>IF(csv!P3="","",csv!P3)</f>
        <v>JAP</v>
      </c>
      <c r="K13" s="28" t="str">
        <f>IF(csv!Q3="","",csv!Q3)</f>
        <v>OK Japetic</v>
      </c>
      <c r="L13" s="28" t="s">
        <v>0</v>
      </c>
      <c r="M13" s="65" t="str">
        <f>IF(csv!R3="","",csv!R3)</f>
        <v>CRO</v>
      </c>
      <c r="N13" s="47" t="s">
        <v>0</v>
      </c>
      <c r="O13" s="242" t="str">
        <f>IF(E13="","","ok")</f>
        <v>ok</v>
      </c>
      <c r="Q13" s="50" t="str">
        <f>IF(B13="","",B13)</f>
        <v>M12</v>
      </c>
      <c r="R13" s="72">
        <f>IF(Q13="","",IF(COUNTIF(Q$12:Q12,Q13)=0,R12+1,R12))</f>
        <v>1</v>
      </c>
      <c r="S13" s="72">
        <f t="shared" ref="S13" si="0">IF(Q13="","",IFERROR(INDEX(regKategorija_id,MATCH(Q13,regKategorija_oznaka,0)),IFERROR(INDEX(regKategorija_alias_id,MATCH(Q13,regKategorija_alias_oznaka,0)),INDEX(natKategorija_katRegId,MATCH(Q13,natKategorija_kategorija,0)))))</f>
        <v>112</v>
      </c>
      <c r="T13" s="72">
        <f t="shared" ref="T13:T76" si="1">IF(Q13="","",IFERROR(INDEX(natStaza_id,MATCH(Q13,natStaza_kategorija,0)),""))</f>
        <v>22</v>
      </c>
      <c r="U13" s="65" t="str">
        <f t="shared" ref="U13:U76" si="2">IF(T13="","",INDEX(natStaza_naziv,MATCH(T13,natStaza_id,0)))</f>
        <v>M12 – Ž12</v>
      </c>
      <c r="V13" s="47" t="s">
        <v>0</v>
      </c>
      <c r="W13" s="220" t="str">
        <f t="shared" ref="W13:W76" si="3">IF(O13="","",INDEX(regKategorija_oznaka,MATCH(S13,regKategorija_id,0)))</f>
        <v>M12</v>
      </c>
      <c r="X13" s="221">
        <f t="shared" ref="X13:X76" si="4">IF(W13="","",INDEX(natKategorija_stazaKatId,MATCH(S13,natKategorija_katRegId,0)))</f>
        <v>23</v>
      </c>
      <c r="Y13" s="47" t="s">
        <v>0</v>
      </c>
      <c r="Z13" s="50" t="str">
        <f>IF(O13="","",M13)</f>
        <v>CRO</v>
      </c>
      <c r="AA13" s="72">
        <f t="shared" ref="AA13:AA76" si="5">IF(Z13="","",IFERROR(INDEX(regDrzava_id,MATCH(Z13,regDrzava_oznaka,0)),"NEMA"))</f>
        <v>1</v>
      </c>
      <c r="AB13" s="28" t="str">
        <f>IF(OR(AA13="",AA13&lt;&gt;"NEMA"),"",Z13)</f>
        <v/>
      </c>
      <c r="AC13" s="65" t="str">
        <f>IF(AB13="","",MAX(AC$12:AC12)+1)</f>
        <v/>
      </c>
      <c r="AD13" s="47" t="s">
        <v>0</v>
      </c>
      <c r="AE13" s="124"/>
      <c r="AF13" s="47" t="s">
        <v>0</v>
      </c>
      <c r="AG13" s="60" t="str">
        <f>IF(AB13="","","INSERT INTO drzava(id,naziv,oznaka) VALUES ("&amp;AC13&amp;",'"&amp;AE13&amp;"','"&amp;UPPER(LEFT(AB13,1))&amp;LOWER(RIGHT(AB13,2))&amp;"');")</f>
        <v/>
      </c>
      <c r="AH13" s="47" t="s">
        <v>0</v>
      </c>
      <c r="AI13" s="142" t="str">
        <f>IF(AA13="","",IF(AA13="NEMA",AB13,Z13))</f>
        <v>CRO</v>
      </c>
      <c r="AK13" s="50" t="str">
        <f>IF(O13="","",D13)</f>
        <v>Lovro</v>
      </c>
      <c r="AL13" s="28" t="str">
        <f>IF(O13="","",E13)</f>
        <v>Pinjušić</v>
      </c>
      <c r="AM13" s="72">
        <f t="shared" ref="AM13" si="6">IF(AL13="","",IFERROR(INDEX(regNatjecatelj_id,MATCH(AK13&amp;" – "&amp;AL13,regNatjecatelj_imePrezime,0)),"NEMA"))</f>
        <v>1315</v>
      </c>
      <c r="AN13" s="72" t="str">
        <f t="shared" ref="AN13" si="7">IF(AM13&lt;&gt;"NEMA","",IFERROR(INDEX(regNatjecatelj_alias_natjecateljId,MATCH(AK13&amp;" "&amp;AL13,regNatjecatelj_alias_alias,0)),"NEMA"))</f>
        <v/>
      </c>
      <c r="AO13" s="28" t="str">
        <f t="shared" ref="AO13:AO76" si="8">IF(O13="","",IF(OR(AN13="",AN13="NEMA"),AK13,INDEX(regNatjecatelj_ime,MATCH(AN13,regNatjecatelj_id,0))))</f>
        <v>Lovro</v>
      </c>
      <c r="AP13" s="65" t="str">
        <f t="shared" ref="AP13:AP76" si="9">IF(O13="","",IF(OR(AN13="",AN13="NEMA"),AL13,INDEX(regNatjecatelj_prezime,MATCH(AN13,regNatjecatelj_id,0))))</f>
        <v>Pinjušić</v>
      </c>
      <c r="AQ13" s="47" t="s">
        <v>0</v>
      </c>
      <c r="AR13" s="81" t="str">
        <f>IF(OR(O13="",AN13&lt;&gt;"NEMA"),"",AK13&amp;" "&amp;AL13)</f>
        <v/>
      </c>
      <c r="AS13" s="47" t="s">
        <v>0</v>
      </c>
      <c r="AT13" s="60" t="str">
        <f>IF(OR(AM13&lt;&gt;"NEMA",AN13&lt;&gt;"NEMA"),"","SELECT '"&amp;AO13&amp;" – "&amp;AP13&amp;"', ime, prezime FROM imeprezime WHERE ime LIKE '%"&amp;MID(AO13,2,LEN(AO13)-2)&amp;"%' Or prezime LIKE '%"&amp;MID(AP13,2,LEN(AP13)-2)&amp;"%' Or ime LIKE '%"&amp;MID(AP13,2,LEN(AP13)-2)&amp;"%' Or prezime LIKE '%"&amp;MID(AO13,2,LEN(AO13)-2)&amp;"%' ORDER BY ime, prezime;")</f>
        <v/>
      </c>
      <c r="AU13" s="47" t="s">
        <v>0</v>
      </c>
      <c r="AV13" s="100"/>
      <c r="AW13" s="102"/>
      <c r="AX13" s="47" t="s">
        <v>0</v>
      </c>
      <c r="AY13" s="252" t="str">
        <f t="shared" ref="AY13:AY19" si="10">IF(AND(AV13="",AW13&lt;&gt;""),"FALI IME",IF(AND(AV13&lt;&gt;"",AW13=""),"FALI PREZIME",IF(OR(AM13="",AND(AM13="NEMA",AN13="NEMA"),AV13&amp;AW13=""),"","GREŠKA")))</f>
        <v/>
      </c>
      <c r="AZ13" s="47" t="s">
        <v>0</v>
      </c>
      <c r="BA13" s="50" t="str">
        <f t="shared" ref="BA13:BA76" si="11">IF(AV13&amp;AW13="","",AR13)</f>
        <v/>
      </c>
      <c r="BB13" s="72" t="str">
        <f>IF(AV13&amp;AW13="","",MAX(BB$12:BB12)+1)</f>
        <v/>
      </c>
      <c r="BC13" s="267" t="str">
        <f t="shared" ref="BC13:BC76" si="12">IF(AV13&amp;AW13="","",IFERROR(INDEX(regNatjecatelj_id,MATCH(AV13&amp;" – "&amp;AW13,regNatjecatelj_imePrezime,0)),"NEMA"))</f>
        <v/>
      </c>
      <c r="BD13" s="51" t="str">
        <f>IF(AND(AM13="NEMA",AN13="NEMA",OR(AV13&amp;AW13="",BC13="NEMA")),MAX(BD$12:BD12)+1,"")</f>
        <v/>
      </c>
      <c r="BE13" s="47" t="s">
        <v>0</v>
      </c>
      <c r="BF13" s="50" t="str">
        <f t="shared" ref="BF13:BF76" si="13">IF(O13="","",IF(BC13="",AO13,IF(BC13="NEMA",AV13,INDEX(regNatjecatelj_ime,MATCH(BC13,regNatjecatelj_id,0)))))</f>
        <v>Lovro</v>
      </c>
      <c r="BG13" s="28" t="str">
        <f t="shared" ref="BG13:BG76" si="14">IF(O13="","",IF(BC13="",AP13,IF(BC13="NEMA",AW13,INDEX(regNatjecatelj_prezime,MATCH(BC13,regNatjecatelj_id,0)))))</f>
        <v>Pinjušić</v>
      </c>
      <c r="BH13" s="72" t="str">
        <f>IF(AND(AN13&lt;&gt;"",AN13&lt;&gt;"NEMA"),AN13,IF(BB13&lt;&gt;"",BB13,""))</f>
        <v/>
      </c>
      <c r="BI13" s="51">
        <f>IF(AND(AM13&lt;&gt;"",AM13&lt;&gt;"NEMA"),AM13,IF(BC13&lt;&gt;"",BC13,IF(BD13&lt;&gt;"",BD13,"")))</f>
        <v>1315</v>
      </c>
      <c r="BJ13" s="47" t="s">
        <v>0</v>
      </c>
      <c r="BK13" s="50" t="str">
        <f t="shared" ref="BK13:BK76" si="15">IF(O13="","",J13)</f>
        <v>JAP</v>
      </c>
      <c r="BL13" s="28" t="str">
        <f t="shared" ref="BL13:BL76" si="16">IF(O13="","",K13)</f>
        <v>OK Japetic</v>
      </c>
      <c r="BM13" s="72" t="str">
        <f t="shared" ref="BM13:BM76" si="17">IF(BL13="","",IFERROR(INDEX(regKlub_id,MATCH(BL13,regKlub_naziv,0)),"NEMA"))</f>
        <v>NEMA</v>
      </c>
      <c r="BN13" s="72">
        <f t="shared" ref="BN13:BN76" si="18">IF(BL13="","",IF(IFERROR(MATCH(BL13,regKlub_naziv,0),"")&lt;&gt;"","",IFERROR(MATCH(BL13,regKlub_alias_alias,0),"NEMA")))</f>
        <v>1</v>
      </c>
      <c r="BO13" s="28" t="str" cm="1">
        <f t="array" ref="BO13">IF(BN13="",""&amp;BL13,IF(BN13="NEMA",BL13,INDEX(regKlub_naziv,MATCH(INDEX(regKlub_alias_klubId,BN13),regKlub_id,0))))</f>
        <v>OK Japetić</v>
      </c>
      <c r="BP13" s="241" t="str" cm="1">
        <f t="array" ref="BP13">IFERROR(""&amp;INDEX(regNatjecatelj_klub,DY13),"")</f>
        <v>OK Japetić</v>
      </c>
      <c r="BQ13" s="273" t="str">
        <f>IF(BO13=BP13,"",IF(BP13="","",1))</f>
        <v/>
      </c>
      <c r="BR13" s="65" t="str">
        <f>IF(AND(BP13&lt;&gt;"",BP13&lt;&gt;BO13),BP13,""&amp;BO13)</f>
        <v>OK Japetić</v>
      </c>
      <c r="BS13" s="47" t="s">
        <v>0</v>
      </c>
      <c r="BT13" s="81" t="str">
        <f>IF(BN13&lt;&gt;"NEMA","",IF(IFERROR(MATCH(BL13,BL$12:BL12,0),0)&lt;&gt;0,"",BL13))</f>
        <v/>
      </c>
      <c r="BU13" s="47" t="s">
        <v>0</v>
      </c>
      <c r="BV13" s="124"/>
      <c r="BW13" s="47" t="s">
        <v>0</v>
      </c>
      <c r="BX13" s="57" t="str">
        <f t="shared" ref="BX13" si="19">IF(BV13="","",IFERROR(INDEX(regKlub_id,MATCH(BV13,regKlub_naziv,0)),"NEMA"))</f>
        <v/>
      </c>
      <c r="BY13" s="28" t="str">
        <f>IF(BT13="","",IF(BV13="",BT13,""))</f>
        <v/>
      </c>
      <c r="BZ13" s="28" t="str">
        <f>IF(BY13="","",MAX(BZ$12:BZ12)+1)</f>
        <v/>
      </c>
      <c r="CA13" s="28" t="str">
        <f>IF(BY13="","",IF(AA13="","",IF(AA13="NEMA",AC13,AA13)))</f>
        <v/>
      </c>
      <c r="CB13" s="28" t="str">
        <f>IF(BY13="","","INSERT INTO klub(id,naziv,drzava_id,aktivan) VALUES ("&amp;BZ13&amp;",'"&amp;BY13&amp;"',"&amp;CA13&amp;",1);")</f>
        <v/>
      </c>
      <c r="CC13" s="28" t="str">
        <f>IF(BV13="","",MAX(CC$12:CC12)+1)</f>
        <v/>
      </c>
      <c r="CD13" s="28" t="str">
        <f t="shared" ref="CD13" si="20">IF(BV13="","",IF(BZ13="",INDEX(regKlub_id,MATCH(BV13,regKlub_naziv,0)),BZ13))</f>
        <v/>
      </c>
      <c r="CE13" s="65" t="str">
        <f t="shared" ref="CE13" si="21">IF(BV13="","","INSERT INTO klub_alias(id,alias,klub_id) VALUES ("&amp;CC13&amp;",'"&amp;BT13&amp;"',"&amp;CD13&amp;");")</f>
        <v/>
      </c>
      <c r="CF13" s="47" t="s">
        <v>0</v>
      </c>
      <c r="CG13" s="72" t="str">
        <f>IF(BN13="","",IF(BN13&lt;&gt;"NEMA","",IFERROR(INDEX(nat_klubAliasId,MATCH(BL13,nat_noviKluboviAliasi,0)),"")))</f>
        <v/>
      </c>
      <c r="CI13" s="60" t="str">
        <f t="shared" ref="CI13" si="22">""&amp;CB13&amp;IF(AND(CB13&lt;&gt;"",CE13&lt;&gt;""),"
","")&amp;CE13</f>
        <v/>
      </c>
      <c r="CJ13" s="47" t="s">
        <v>0</v>
      </c>
      <c r="CK13" s="50" t="str">
        <f>IF(X13&lt;&gt;"NEMA","",IF(IFERROR(MATCH(W13,W$12:W12,0),0)&lt;&gt;0,"",W13))</f>
        <v/>
      </c>
      <c r="CL13" s="72" t="str">
        <f>IF(CK13="","",IFERROR(INDEX(regKlub_alias_id,MATCH(CK13,regKlub_alias_alias,0)),"NEMA"))</f>
        <v/>
      </c>
      <c r="CM13" s="28" t="str">
        <f>IF(OR(CL13="",CL13&lt;&gt;"NEMA"),"",MAX(CM$12:CM12)+1)</f>
        <v/>
      </c>
      <c r="CN13" s="65" t="str">
        <f>IF(OR(CL13="",CL13&lt;&gt;"NEMA"),"",INDEX(regKlub_id,MATCH(CK13,regKlub_naziv,0)))</f>
        <v/>
      </c>
      <c r="CO13" s="47" t="s">
        <v>0</v>
      </c>
      <c r="CP13" s="60" t="str">
        <f>IF(OR(CL13="",CL13&lt;&gt;"NEMA"),"","INSERT INTO klub_alias(id,alias,klub_id) VALUES ("&amp;CM13&amp;",'"&amp;CK13&amp;"',"&amp;CN13&amp;");")</f>
        <v/>
      </c>
      <c r="CQ13" s="47" t="s">
        <v>0</v>
      </c>
      <c r="CR13" s="142" t="str">
        <f>IF(BR13="","",IF(BV13="",IF(IFERROR(MATCH(BR13,nat_noviKluboviAliasi,0),0)&gt;0,INDEX(nat_kluboviAliasi,MATCH(BR13,nat_noviKluboviAliasi,0)),BR13),BV13))</f>
        <v>OK Japetić</v>
      </c>
      <c r="CS13" s="47" t="s">
        <v>0</v>
      </c>
      <c r="CT13" s="57" t="str">
        <f>IF(G13="","",G13)</f>
        <v>31:38</v>
      </c>
      <c r="CU13" s="72" t="str">
        <f>IF(H13="","",H13)</f>
        <v>0</v>
      </c>
      <c r="CV13" s="227" t="str">
        <f>IF(CT13="",IF(OR(AL13="",CU13&lt;&gt;"0"),"","GREŠKA"),IF(AND(65535&gt;=VALUE(LEFT(CT13,SEARCH(":",CT13)-1))*60+VALUE(RIGHT(CT13,2)),OR(CU13="0",CU13="1",CU13="2",CU13="3",CU13="4")),"","GREŠKA"))</f>
        <v/>
      </c>
      <c r="CW13" s="228">
        <f t="shared" ref="CW13:CW59" si="23">IF(CT13="","",VALUE(LEFT(CT13,SEARCH(":",CT13)-1))*60+VALUE(RIGHT(CT13,2)))</f>
        <v>1898</v>
      </c>
      <c r="CX13" s="162">
        <f t="shared" ref="CX13:CX76" si="24">IF(DX13="","",IF(AND(CU13="0",N(CW13)&gt;data_max_minuta*60),2,INDEX(regStatusRezultat_id,MATCH(VALUE(CU13),regStatusRezultat_oEvent,0))))</f>
        <v>1</v>
      </c>
      <c r="CY13" s="47" t="s">
        <v>0</v>
      </c>
      <c r="CZ13" s="220" t="str">
        <f>IF(CV13&lt;&gt;"GREŠKA","",AK13&amp;" "&amp;AL13&amp;" – Molim u OEventu provjeriti i ispraviti rezultat – vrijeme ("&amp;IF(CT13="","nije upisano",CT13)&amp;") i classifier ("&amp;CU13&amp;").")&amp;IF(OR(CV13&lt;&gt;"GREŠKA",CX13&lt;&gt;5),"
","")&amp;IF(CX13&lt;&gt;5,"",AK13&amp;" "&amp;AL13&amp;" – Molim u provjeriti je li natjecatelj zaista diskvalificiran. Ako je koje je obrazloženje, ako nije molim u OEventu ispraviti rezultat.")</f>
        <v xml:space="preserve">
</v>
      </c>
      <c r="DA13" s="221" t="str">
        <f>IF(CZ13="",""&amp;DA14,CZ13&amp;IF(DA14="","","
"&amp;DA14))</f>
        <v xml:space="preserve">
6</v>
      </c>
      <c r="DB13" s="47" t="s">
        <v>0</v>
      </c>
      <c r="DF13" s="47" t="s">
        <v>0</v>
      </c>
      <c r="DG13" s="51" t="str">
        <f>IF(BD13="","",IF(DI13="O",1,""))</f>
        <v/>
      </c>
      <c r="DH13" s="47" t="s">
        <v>0</v>
      </c>
      <c r="DI13" s="127" t="str">
        <f>IF(Q13="","",LEFT(INDEX(regKategorija_oznaka,MATCH(S13,regKategorija_id,0)),1))</f>
        <v>M</v>
      </c>
      <c r="DJ13" s="47" t="s">
        <v>0</v>
      </c>
      <c r="DK13" s="50" t="str">
        <f>IF(BD13="","",IF(M13&lt;&gt;"CRO","","INSERT INTO osoba (id,reg_broj,oib,spol_id,dat_rodjenja) VALUES ("&amp;BD13&amp;",(SELECT max(os.reg_broj)+1 FROM osoba AS os),Null,'"&amp;DI13&amp;"',Null); INSERT INTO osoba_log (id,reg_broj,oib,spol_id,dat_rodjenja,dnevnik_id) SELECT id,reg_broj,oib,spol_id,dat_rodjenja,"&amp;data_dnevnik_id&amp;" FROM osoba WHERE id = "&amp;BD13&amp;";"))</f>
        <v/>
      </c>
      <c r="DL13" s="65" t="str">
        <f>IF(BD13="","","INSERT INTO imeprezime (id,osoba_id,rbr,ime,prezime,klub_id,identitet_id,sintaksa_id,info,aktivno,dnevnik_id) VALUES ("&amp;BD13&amp;","&amp;IF(DK13="","Null",BD13)&amp;",1,'"&amp;IF(AV13&lt;&gt;"",AV13,AK13)&amp;"','"&amp;IF(AW13&lt;&gt;"",AW13,AL13)&amp;"',(SELECT id FROM klub WHERE naziv = '"&amp;CR13&amp;"'),Null,1,'',1,"&amp;data_dnevnik_id&amp;");")</f>
        <v/>
      </c>
      <c r="DM13" s="47" t="s">
        <v>0</v>
      </c>
      <c r="DN13" s="60" t="str">
        <f t="shared" ref="DN13:DN19" si="25">IF(DK13="",DL13,DK13&amp;" "&amp;DL13)</f>
        <v/>
      </c>
      <c r="DO13" s="47" t="s">
        <v>0</v>
      </c>
      <c r="DP13" s="60" t="str">
        <f>IF(BA13="","","INSERT INTO imeprezime_alias(id,alias,imeprezime_id) VALUES ("&amp;BB13&amp;",'"&amp;BA13&amp;"',"&amp;IF(BC13="NEMA",BD13,BC13)&amp;");")</f>
        <v/>
      </c>
      <c r="DQ13" s="47" t="s">
        <v>0</v>
      </c>
      <c r="DR13" s="50" t="str">
        <f>IF(AL13="","",DU13 &amp; IF(Q13="",""," – " &amp; Q13))</f>
        <v>Lovro – Pinjušić – OK Japetić – M12</v>
      </c>
      <c r="DS13" s="51">
        <f t="shared" ref="DS13:DS76" si="26">IF(DR13="","",IFERROR(MATCH(DR13,regNatjecatelj_imePrezimeKlubKategorija,0),"NEMA"))</f>
        <v>129</v>
      </c>
      <c r="DT13" s="47" t="s">
        <v>0</v>
      </c>
      <c r="DU13" s="50" t="str">
        <f>IF(AL13="","",DX13 &amp; IF(CR13="",""," – " &amp; CR13))</f>
        <v>Lovro – Pinjušić – OK Japetić</v>
      </c>
      <c r="DV13" s="51">
        <f t="shared" ref="DV13:DV76" si="27">IF(DU13="","",IFERROR(MATCH(DU13,regNatjecatelj_imePrezimeKlub,0),"NEMA"))</f>
        <v>129</v>
      </c>
      <c r="DW13" s="47" t="s">
        <v>0</v>
      </c>
      <c r="DX13" s="50" t="str">
        <f>IF(BG13="","",BF13&amp;" – "&amp;BG13)</f>
        <v>Lovro – Pinjušić</v>
      </c>
      <c r="DY13" s="51">
        <f t="shared" ref="DY13:DY76" si="28">IF(DX13="","",IFERROR(MATCH(DX13,regNatjecatelj_imePrezime,0),"NEMA"))</f>
        <v>129</v>
      </c>
      <c r="DZ13" s="47" t="s">
        <v>0</v>
      </c>
      <c r="EA13" s="57">
        <f>IF(DS13="","",IF(DS13&lt;&gt;"NEMA",DS13,IF(DV13&lt;&gt;"NEMA",DV13,IF(DY13&lt;&gt;"NEMA",DY13,""))))</f>
        <v>129</v>
      </c>
      <c r="EB13" s="51" cm="1">
        <f t="array" ref="EB13">IF(EA13&lt;&gt;"",INDEX(regNatjecatelj_id,EA13,0),IF(BD13&lt;&gt;"",BD13,""))</f>
        <v>1315</v>
      </c>
      <c r="EC13" s="47" t="s">
        <v>0</v>
      </c>
      <c r="ED13" s="57" t="str">
        <f>IF(AL13="","",IF(BD13&lt;&gt;"","novo",IF(AN13="","imepre","imepre(ali)")))</f>
        <v>imepre</v>
      </c>
      <c r="EE13" s="72" t="str">
        <f>IF(AL13="","",IF(BL13="",IF(IFERROR(INDEX(regNatjecatelj_klub,MATCH(EB13,regNatjecatelj_id,0)),"NEMA")="","klu",""),IF(OR(AND(BN13&lt;&gt;"",BN13&lt;&gt;"NEMA"),CD13&lt;&gt;""),"klu(ali)",IF(AND(BP13&lt;&gt;"",BP13&lt;&gt;BO13),"(raz-klu)","klu"))))</f>
        <v>klu(ali)</v>
      </c>
      <c r="EF13" s="72" t="str">
        <f>IF(AL13="","","kat"&amp;IF(AND(W13&lt;&gt;Q13,Q13&lt;&gt;"Open"),"(ali)",""))</f>
        <v>kat</v>
      </c>
      <c r="EG13" s="72" t="str">
        <f t="shared" ref="EG13:EG76" si="29">IF(OR(CV13&lt;&gt;"",CX13=2),"ot","")</f>
        <v/>
      </c>
      <c r="EH13" s="65" t="str">
        <f>IF(AL13="","",ED13&amp;IF(ED13="novo","","-"&amp;EE13&amp;"-"&amp;EF13)&amp;IF(EG13="","","-"&amp;EG13))</f>
        <v>imepre-klu(ali)-kat</v>
      </c>
      <c r="EI13" s="47" t="s">
        <v>0</v>
      </c>
      <c r="EJ13" s="57">
        <f>IF(AL13="","",MAX(EJ$12:EJ12)+1)</f>
        <v>192</v>
      </c>
      <c r="EK13" s="72">
        <f>IF(AO13="","",X13)</f>
        <v>23</v>
      </c>
      <c r="EL13" s="72">
        <f>IF(EB13="","",EB13)</f>
        <v>1315</v>
      </c>
      <c r="EM13" s="72">
        <f t="shared" ref="EM13:EM76" si="30">IF(CW13="","",CW13)</f>
        <v>1898</v>
      </c>
      <c r="EN13" s="72">
        <f t="shared" ref="EN13:EN76" si="31">IF(CX13="","",IF(AND(EM13="",CX13=1),6,CX13))</f>
        <v>1</v>
      </c>
      <c r="EO13" s="72">
        <f t="shared" ref="EO13" si="32">IF(DX13="","",IF(data_trka_je_rangirana=0,0,IF(OR(DS13="",DS13="NEMA"),0,1)))</f>
        <v>1</v>
      </c>
      <c r="EP13" s="72">
        <f t="shared" ref="EP13" si="33">IF(EJ13="","",INDEX(regUparivanje_id,MATCH(EH13,regUparivanje_oznaka,0)))</f>
        <v>3</v>
      </c>
      <c r="EQ13" s="72" t="str">
        <f t="shared" ref="EQ13:EQ76" si="34">IF(CX13="","",CU13)</f>
        <v>0</v>
      </c>
      <c r="ER13" s="72" t="str">
        <f>IF(OR(AN13="",AN13="NEMA"),BB13,AN13)</f>
        <v/>
      </c>
      <c r="ES13" s="72">
        <f>IF(AND(BN13&lt;&gt;"",BN13&lt;&gt;"NEMA"),BN13,IF(CG13&lt;&gt;"",CG13,IF(AND(CL13&lt;&gt;"",CL13&lt;&gt;"NEMA"),CL13,IF(CM13&lt;&gt;"",CM13,""))))</f>
        <v>1</v>
      </c>
      <c r="ET13" s="51" t="str">
        <f>IF(INDEX(natKategorija_alias_Id,MATCH(S13,natKategorija_katRegId,0))="","",INDEX(natKategorija_alias_Id,MATCH(S13,natKategorija_katRegId,0)))</f>
        <v/>
      </c>
      <c r="EU13" s="47" t="s">
        <v>0</v>
      </c>
      <c r="EV13" s="60" t="str">
        <f>IF(EK13="","","INSERT INTO rezultat(id,stazakategorija_id,imeprezime_id,vrijeme_sec,status_id,registracija,uparivanje_id,originalstatus_id,imeprezimealias_id,klubalias_id,kategorijaalias_id) VALUES ("&amp;EJ13&amp;","&amp;EK13&amp;","&amp;EL13&amp;","&amp;IF(EM13="","Null",EM13)&amp;","&amp;EN13&amp;","&amp;EO13&amp;","&amp;EP13&amp;","&amp;EQ13&amp;","&amp;IF(ER13="","Null",ER13)&amp;","&amp;IF(ES13="","Null",ES13)&amp;","&amp;IF(ET13="","Null",ET13)&amp;");")</f>
        <v>INSERT INTO rezultat(id,stazakategorija_id,imeprezime_id,vrijeme_sec,status_id,registracija,uparivanje_id,originalstatus_id,imeprezimealias_id,klubalias_id,kategorijaalias_id) VALUES (192,23,1315,1898,1,1,3,0,Null,1,Null);</v>
      </c>
      <c r="EW13" s="47" t="s">
        <v>0</v>
      </c>
      <c r="EX13" s="60" t="str">
        <f t="shared" ref="EX13" si="35">IF(EK13="","",IF(EO13=1,"UPDATE
	registar
SET
	potvrda = 1
WHERE
	imeprezime_id="&amp;EL13&amp;"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"&amp;EK13&amp;")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13" s="47" t="s">
        <v>0</v>
      </c>
      <c r="EZ13" s="180" t="str">
        <f>AG13&amp;IF(CP13="","","
")&amp;CP13&amp;IF(CI13="","","
")&amp;CI13&amp;IF(DN13="","","
")&amp;DN13&amp;IF(DP13="","","
")&amp;DP13&amp;IF(EV13="","","
")&amp;EV13&amp;IF(EX13="","","
")&amp;EX13</f>
        <v xml:space="preserve">
INSERT INTO rezultat(id,stazakategorija_id,imeprezime_id,vrijeme_sec,status_id,registracija,uparivanje_id,originalstatus_id,imeprezimealias_id,klubalias_id,kategorijaalias_id) VALUES (192,23,1315,1898,1,1,3,0,Null,1,Null);
UPDATE
	registar
SET
	potvrda = 1
WHERE
	imeprezime_id=1315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13" s="47" t="s">
        <v>0</v>
      </c>
    </row>
    <row r="14" spans="1:169" ht="15.75" thickBot="1" x14ac:dyDescent="0.3">
      <c r="A14" t="s">
        <v>0</v>
      </c>
      <c r="B14" s="52" t="str">
        <f>IF(csv!F4="","",csv!T4)</f>
        <v>M12</v>
      </c>
      <c r="C14" s="31" t="s">
        <v>0</v>
      </c>
      <c r="D14" s="31" t="str">
        <f>IF(csv!F4="","",csv!F4)</f>
        <v>Marin</v>
      </c>
      <c r="E14" s="31" t="str">
        <f>IF(csv!E4="","",csv!E4)</f>
        <v>Tanković</v>
      </c>
      <c r="F14" s="31" t="s">
        <v>0</v>
      </c>
      <c r="G14" s="73" t="str">
        <f>IF(csv!M4="","",csv!M4)</f>
        <v>33:21</v>
      </c>
      <c r="H14" s="73" t="str">
        <f>IF(csv!N4="","",csv!N4)</f>
        <v>0</v>
      </c>
      <c r="I14" s="31" t="s">
        <v>0</v>
      </c>
      <c r="J14" s="31" t="str">
        <f>IF(csv!P4="","",csv!P4)</f>
        <v>OK Jelen</v>
      </c>
      <c r="K14" s="31" t="str">
        <f>IF(csv!Q4="","",csv!Q4)</f>
        <v>OK Jelen</v>
      </c>
      <c r="L14" s="31" t="s">
        <v>0</v>
      </c>
      <c r="M14" s="66" t="str">
        <f>IF(csv!R4="","",csv!R4)</f>
        <v>CRO</v>
      </c>
      <c r="N14" s="47" t="s">
        <v>0</v>
      </c>
      <c r="O14" s="243" t="str">
        <f t="shared" ref="O14:O77" si="36">IF(E14="","","ok")</f>
        <v>ok</v>
      </c>
      <c r="P14" s="47"/>
      <c r="Q14" s="52" t="str">
        <f t="shared" ref="Q14:Q77" si="37">IF(B14="","",B14)</f>
        <v>M12</v>
      </c>
      <c r="R14" s="73">
        <f>IF(Q14="","",IF(COUNTIF(Q$12:Q13,Q14)=0,R13+1,R13))</f>
        <v>1</v>
      </c>
      <c r="S14" s="73">
        <f t="shared" ref="S14:S77" si="38">IF(Q14="","",IFERROR(INDEX(regKategorija_id,MATCH(Q14,regKategorija_oznaka,0)),IFERROR(INDEX(regKategorija_alias_id,MATCH(Q14,regKategorija_alias_oznaka,0)),INDEX(natKategorija_katRegId,MATCH(Q14,natKategorija_kategorija,0)))))</f>
        <v>112</v>
      </c>
      <c r="T14" s="73">
        <f t="shared" si="1"/>
        <v>22</v>
      </c>
      <c r="U14" s="66" t="str">
        <f t="shared" si="2"/>
        <v>M12 – Ž12</v>
      </c>
      <c r="V14" s="47" t="s">
        <v>0</v>
      </c>
      <c r="W14" s="222" t="str">
        <f t="shared" si="3"/>
        <v>M12</v>
      </c>
      <c r="X14" s="223">
        <f t="shared" si="4"/>
        <v>23</v>
      </c>
      <c r="Y14" s="47" t="s">
        <v>0</v>
      </c>
      <c r="Z14" s="52" t="str">
        <f t="shared" ref="Z14:Z77" si="39">IF(O14="","",M14)</f>
        <v>CRO</v>
      </c>
      <c r="AA14" s="73">
        <f t="shared" si="5"/>
        <v>1</v>
      </c>
      <c r="AB14" s="31" t="str">
        <f t="shared" ref="AB14:AB77" si="40">IF(OR(AA14="",AA14&lt;&gt;"NEMA"),"",Z14)</f>
        <v/>
      </c>
      <c r="AC14" s="66" t="str">
        <f>IF(AB14="","",MAX(AC$12:AC13)+1)</f>
        <v/>
      </c>
      <c r="AD14" s="47" t="s">
        <v>0</v>
      </c>
      <c r="AE14" s="125"/>
      <c r="AF14" s="47" t="s">
        <v>0</v>
      </c>
      <c r="AG14" s="19" t="str">
        <f t="shared" ref="AG14:AG77" si="41">IF(AB14="","","INSERT INTO drzava(id,naziv,oznaka) VALUES ("&amp;AC14&amp;",'"&amp;AE14&amp;"','"&amp;UPPER(LEFT(AB14,1))&amp;LOWER(RIGHT(AB14,2))&amp;"');")</f>
        <v/>
      </c>
      <c r="AH14" s="47" t="s">
        <v>0</v>
      </c>
      <c r="AI14" s="143" t="str">
        <f t="shared" ref="AI14:AI77" si="42">IF(AA14="","",IF(AA14="NEMA",AB14,Z14))</f>
        <v>CRO</v>
      </c>
      <c r="AJ14" s="47"/>
      <c r="AK14" s="52" t="str">
        <f t="shared" ref="AK14:AK77" si="43">IF(O14="","",D14)</f>
        <v>Marin</v>
      </c>
      <c r="AL14" s="31" t="str">
        <f t="shared" ref="AL14:AL77" si="44">IF(O14="","",E14)</f>
        <v>Tanković</v>
      </c>
      <c r="AM14" s="73">
        <f t="shared" ref="AM14:AM77" si="45">IF(AL14="","",IFERROR(INDEX(regNatjecatelj_id,MATCH(AK14&amp;" – "&amp;AL14,regNatjecatelj_imePrezime,0)),"NEMA"))</f>
        <v>1162</v>
      </c>
      <c r="AN14" s="73" t="str">
        <f t="shared" ref="AN14:AN77" si="46">IF(AM14&lt;&gt;"NEMA","",IFERROR(INDEX(regNatjecatelj_alias_natjecateljId,MATCH(AK14&amp;" "&amp;AL14,regNatjecatelj_alias_alias,0)),"NEMA"))</f>
        <v/>
      </c>
      <c r="AO14" s="31" t="str">
        <f t="shared" si="8"/>
        <v>Marin</v>
      </c>
      <c r="AP14" s="66" t="str">
        <f t="shared" si="9"/>
        <v>Tanković</v>
      </c>
      <c r="AQ14" s="47" t="s">
        <v>0</v>
      </c>
      <c r="AR14" s="82" t="str">
        <f t="shared" ref="AR14:AR77" si="47">IF(OR(O14="",AN14&lt;&gt;"NEMA"),"",AK14&amp;" "&amp;AL14)</f>
        <v/>
      </c>
      <c r="AS14" s="47" t="s">
        <v>0</v>
      </c>
      <c r="AT14" s="19" t="str">
        <f t="shared" ref="AT14:AT77" si="48">IF(OR(AM14&lt;&gt;"NEMA",AN14&lt;&gt;"NEMA"),"","SELECT '"&amp;AO14&amp;" – "&amp;AP14&amp;"', ime, prezime FROM imeprezime WHERE ime LIKE '%"&amp;MID(AO14,2,LEN(AO14)-2)&amp;"%' Or prezime LIKE '%"&amp;MID(AP14,2,LEN(AP14)-2)&amp;"%' Or ime LIKE '%"&amp;MID(AP14,2,LEN(AP14)-2)&amp;"%' Or prezime LIKE '%"&amp;MID(AO14,2,LEN(AO14)-2)&amp;"%' ORDER BY ime, prezime;")</f>
        <v/>
      </c>
      <c r="AU14" s="47" t="s">
        <v>0</v>
      </c>
      <c r="AV14" s="103"/>
      <c r="AW14" s="105"/>
      <c r="AX14" s="47" t="s">
        <v>0</v>
      </c>
      <c r="AY14" s="256" t="str">
        <f t="shared" si="10"/>
        <v/>
      </c>
      <c r="AZ14" s="47" t="s">
        <v>0</v>
      </c>
      <c r="BA14" s="52" t="str">
        <f t="shared" si="11"/>
        <v/>
      </c>
      <c r="BB14" s="73" t="str">
        <f>IF(AV14&amp;AW14="","",MAX(BB$12:BB13)+1)</f>
        <v/>
      </c>
      <c r="BC14" s="268" t="str">
        <f t="shared" si="12"/>
        <v/>
      </c>
      <c r="BD14" s="53" t="str">
        <f>IF(AND(AM14="NEMA",AN14="NEMA",OR(AV14&amp;AW14="",BC14="NEMA")),MAX(BD$12:BD13)+1,"")</f>
        <v/>
      </c>
      <c r="BE14" s="47" t="s">
        <v>0</v>
      </c>
      <c r="BF14" s="52" t="str">
        <f t="shared" si="13"/>
        <v>Marin</v>
      </c>
      <c r="BG14" s="31" t="str">
        <f t="shared" si="14"/>
        <v>Tanković</v>
      </c>
      <c r="BH14" s="73" t="str">
        <f t="shared" ref="BH14:BH77" si="49">IF(AND(AN14&lt;&gt;"",AN14&lt;&gt;"NEMA"),AN14,IF(BB14&lt;&gt;"",BB14,""))</f>
        <v/>
      </c>
      <c r="BI14" s="53">
        <f t="shared" ref="BI14:BI77" si="50">IF(AND(AM14&lt;&gt;"",AM14&lt;&gt;"NEMA"),AM14,IF(BC14&lt;&gt;"",BC14,IF(BD14&lt;&gt;"",BD14,"")))</f>
        <v>1162</v>
      </c>
      <c r="BJ14" s="47" t="s">
        <v>0</v>
      </c>
      <c r="BK14" s="52" t="str">
        <f t="shared" si="15"/>
        <v>OK Jelen</v>
      </c>
      <c r="BL14" s="31" t="str">
        <f t="shared" si="16"/>
        <v>OK Jelen</v>
      </c>
      <c r="BM14" s="73">
        <f t="shared" si="17"/>
        <v>4</v>
      </c>
      <c r="BN14" s="73" t="str">
        <f t="shared" si="18"/>
        <v/>
      </c>
      <c r="BO14" s="31" t="str" cm="1">
        <f t="array" ref="BO14">IF(BN14="",""&amp;BL14,IF(BN14="NEMA",BL14,INDEX(regKlub_naziv,MATCH(INDEX(regKlub_alias_klubId,BN14),regKlub_id,0))))</f>
        <v>OK Jelen</v>
      </c>
      <c r="BP14" s="31" t="str" cm="1">
        <f t="array" ref="BP14">IFERROR(""&amp;INDEX(regNatjecatelj_klub,DY14),"")</f>
        <v>OK Jelen</v>
      </c>
      <c r="BQ14" s="88" t="str">
        <f t="shared" ref="BQ14:BQ77" si="51">IF(BO14=BP14,"",IF(BP14="","",1))</f>
        <v/>
      </c>
      <c r="BR14" s="66" t="str">
        <f t="shared" ref="BR14:BR77" si="52">IF(AND(BP14&lt;&gt;"",BP14&lt;&gt;BO14),BP14,""&amp;BO14)</f>
        <v>OK Jelen</v>
      </c>
      <c r="BS14" s="47" t="s">
        <v>0</v>
      </c>
      <c r="BT14" s="82" t="str">
        <f>IF(BN14&lt;&gt;"NEMA","",IF(IFERROR(MATCH(BL14,BL$12:BL13,0),0)&lt;&gt;0,"",BL14))</f>
        <v/>
      </c>
      <c r="BU14" s="47" t="s">
        <v>0</v>
      </c>
      <c r="BV14" s="125"/>
      <c r="BW14" s="47" t="s">
        <v>0</v>
      </c>
      <c r="BX14" s="58" t="str">
        <f t="shared" ref="BX14:BX77" si="53">IF(BV14="","",IFERROR(INDEX(regKlub_id,MATCH(BV14,regKlub_naziv,0)),"NEMA"))</f>
        <v/>
      </c>
      <c r="BY14" s="31" t="str">
        <f t="shared" ref="BY14:BY77" si="54">IF(BT14="","",IF(BV14="",BT14,""))</f>
        <v/>
      </c>
      <c r="BZ14" s="31" t="str">
        <f>IF(BY14="","",MAX(BZ$12:BZ13)+1)</f>
        <v/>
      </c>
      <c r="CA14" s="31" t="str">
        <f>IF(BY14="","",IF(AA14="","",IF(AA14="NEMA",AC14,AA14)))</f>
        <v/>
      </c>
      <c r="CB14" s="31" t="str">
        <f t="shared" ref="CB14:CB77" si="55">IF(BY14="","","INSERT INTO klub(id,naziv,drzava_id,aktivan) VALUES ("&amp;BZ14&amp;",'"&amp;BY14&amp;"',"&amp;CA14&amp;",1);")</f>
        <v/>
      </c>
      <c r="CC14" s="31" t="str">
        <f>IF(BV14="","",MAX(CC$12:CC13)+1)</f>
        <v/>
      </c>
      <c r="CD14" s="31" t="str">
        <f t="shared" ref="CD14:CD77" si="56">IF(BV14="","",IF(BZ14="",INDEX(regKlub_id,MATCH(BV14,regKlub_naziv,0)),BZ14))</f>
        <v/>
      </c>
      <c r="CE14" s="66" t="str">
        <f t="shared" ref="CE14:CE77" si="57">IF(BV14="","","INSERT INTO klub_alias(id,alias,klub_id) VALUES ("&amp;CC14&amp;",'"&amp;BT14&amp;"',"&amp;CD14&amp;");")</f>
        <v/>
      </c>
      <c r="CF14" s="47" t="s">
        <v>0</v>
      </c>
      <c r="CG14" s="73" t="str">
        <f>IF(BN14="","",IF(BN14&lt;&gt;"NEMA","",IFERROR(INDEX(nat_klubAliasId,MATCH(BL14,nat_noviKluboviAliasi,0)),"")))</f>
        <v/>
      </c>
      <c r="CH14" s="47"/>
      <c r="CI14" s="19" t="str">
        <f t="shared" ref="CI14:CI77" si="58">""&amp;CB14&amp;IF(AND(CB14&lt;&gt;"",CE14&lt;&gt;""),"
","")&amp;CE14</f>
        <v/>
      </c>
      <c r="CJ14" s="47" t="s">
        <v>0</v>
      </c>
      <c r="CK14" s="52" t="str">
        <f>IF(X14&lt;&gt;"NEMA","",IF(IFERROR(MATCH(W14,W$12:W13,0),0)&lt;&gt;0,"",W14))</f>
        <v/>
      </c>
      <c r="CL14" s="73" t="str">
        <f>IF(CK14="","",IFERROR(INDEX(regKlub_alias_id,MATCH(CK14,regKlub_alias_alias,0)),"NEMA"))</f>
        <v/>
      </c>
      <c r="CM14" s="31" t="str">
        <f>IF(OR(CL14="",CL14&lt;&gt;"NEMA"),"",MAX(CM$12:CM13)+1)</f>
        <v/>
      </c>
      <c r="CN14" s="66" t="str">
        <f>IF(OR(CL14="",CL14&lt;&gt;"NEMA"),"",INDEX(regKlub_id,MATCH(CK14,regKlub_naziv,0)))</f>
        <v/>
      </c>
      <c r="CO14" s="47" t="s">
        <v>0</v>
      </c>
      <c r="CP14" s="19" t="str">
        <f>IF(OR(CL14="",CL14&lt;&gt;"NEMA"),"","INSERT INTO klub_alias(id,alias,klub_id) VALUES ("&amp;CM14&amp;",'"&amp;CK14&amp;"',"&amp;CN14&amp;");")</f>
        <v/>
      </c>
      <c r="CQ14" s="47" t="s">
        <v>0</v>
      </c>
      <c r="CR14" s="143" t="str">
        <f>IF(BR14="","",IF(BV14="",IF(IFERROR(MATCH(BR14,nat_noviKluboviAliasi,0),0)&gt;0,INDEX(nat_kluboviAliasi,MATCH(BR14,nat_noviKluboviAliasi,0)),BR14),BV14))</f>
        <v>OK Jelen</v>
      </c>
      <c r="CS14" s="47" t="s">
        <v>0</v>
      </c>
      <c r="CT14" s="58" t="str">
        <f>IF(G14="","",G14)</f>
        <v>33:21</v>
      </c>
      <c r="CU14" s="73" t="str">
        <f>IF(H14="","",H14)</f>
        <v>0</v>
      </c>
      <c r="CV14" s="229" t="str">
        <f>IF(CT14="",IF(OR(AL14="",CU14&lt;&gt;"0"),"","GREŠKA"),IF(AND(65535&gt;=VALUE(LEFT(CT14,SEARCH(":",CT14)-1))*60+VALUE(RIGHT(CT14,2)),OR(CU14="0",CU14="1",CU14="2",CU14="3",CU14="4")),"","GREŠKA"))</f>
        <v/>
      </c>
      <c r="CW14" s="230">
        <f t="shared" ref="CW14:CW38" si="59">IF(CT14="","",VALUE(LEFT(CT14,SEARCH(":",CT14)-1))*60+VALUE(RIGHT(CT14,2)))</f>
        <v>2001</v>
      </c>
      <c r="CX14" s="163">
        <f t="shared" si="24"/>
        <v>1</v>
      </c>
      <c r="CY14" s="47" t="s">
        <v>0</v>
      </c>
      <c r="CZ14" s="222" t="str">
        <f>IF(CV14&lt;&gt;"GREŠKA","",AK14&amp;" "&amp;AL14&amp;" – Molim u OEventu provjeriti i ispraviti rezultat – vrijeme ("&amp;IF(CT14="","nije upisano",CT14)&amp;") i classifier ("&amp;CU14&amp;").")&amp;IF(OR(CV14&lt;&gt;"GREŠKA",CX14&lt;&gt;5),"
","")&amp;IF(CX14&lt;&gt;5,"",AK14&amp;" "&amp;AL14&amp;" – Molim u provjeriti je li natjecatelj zaista diskvalificiran. Ako je koje je obrazloženje, ako nije molim u OEventu ispraviti rezultat")</f>
        <v xml:space="preserve">
</v>
      </c>
      <c r="DA14" s="223">
        <f t="shared" ref="DA14:DA77" si="60">IF(EA14="","",IF(AND(CX14="0",N(CZ14)&gt;data_max_minuta*60),2,INDEX(regStatusRezultat_id,MATCH(VALUE(CX14),regStatusRezultat_oEvent,0))))</f>
        <v>6</v>
      </c>
      <c r="DB14" s="47" t="s">
        <v>0</v>
      </c>
      <c r="DC14" s="47"/>
      <c r="DD14" s="47"/>
      <c r="DE14" s="47"/>
      <c r="DF14" s="47" t="s">
        <v>0</v>
      </c>
      <c r="DG14" s="53" t="str">
        <f>IF(BD14="","",IF(DI14="O",1,""))</f>
        <v/>
      </c>
      <c r="DH14" t="s">
        <v>0</v>
      </c>
      <c r="DI14" s="128" t="str">
        <f>IF(Q14="","",LEFT(INDEX(regKategorija_oznaka,MATCH(S14,regKategorija_id,0)),1))</f>
        <v>M</v>
      </c>
      <c r="DJ14" t="s">
        <v>0</v>
      </c>
      <c r="DK14" s="52" t="str">
        <f>IF(BD14="","",IF(M14&lt;&gt;"CRO","","INSERT INTO osoba (id,reg_broj,oib,spol_id,dat_rodjenja) VALUES ("&amp;BD14&amp;",(SELECT max(os.reg_broj)+1 FROM osoba AS os),Null,'"&amp;DI14&amp;"',Null); INSERT INTO osoba_log (id,reg_broj,oib,spol_id,dat_rodjenja,dnevnik_id) SELECT id,reg_broj,oib,spol_id,dat_rodjenja,"&amp;data_dnevnik_id&amp;" FROM osoba WHERE id = "&amp;BD14&amp;";"))</f>
        <v/>
      </c>
      <c r="DL14" s="66" t="str">
        <f>IF(BD14="","","INSERT INTO imeprezime (id,osoba_id,rbr,ime,prezime,klub_id,identitet_id,sintaksa_id,info,aktivno,dnevnik_id) VALUES ("&amp;BD14&amp;","&amp;IF(DK14="","Null",BD14)&amp;",1,'"&amp;IF(AV14&lt;&gt;"",AV14,AK14)&amp;"','"&amp;IF(AW14&lt;&gt;"",AW14,AL14)&amp;"',(SELECT id FROM klub WHERE naziv = '"&amp;CR14&amp;"'),Null,1,'',1,"&amp;data_dnevnik_id&amp;");")</f>
        <v/>
      </c>
      <c r="DM14" t="s">
        <v>0</v>
      </c>
      <c r="DN14" s="19" t="str">
        <f t="shared" si="25"/>
        <v/>
      </c>
      <c r="DO14" s="47" t="s">
        <v>0</v>
      </c>
      <c r="DP14" s="19" t="str">
        <f>IF(BA14="","","INSERT INTO imeprezime_alias(id,alias,imeprezime_id) VALUES ("&amp;BB14&amp;",'"&amp;BA14&amp;"',"&amp;IF(BC14="NEMA",BD14,BC14)&amp;");")</f>
        <v/>
      </c>
      <c r="DQ14" s="47" t="s">
        <v>0</v>
      </c>
      <c r="DR14" s="52" t="str">
        <f>IF(AL14="","",DU14 &amp; IF(Q14="",""," – " &amp; Q14))</f>
        <v>Marin – Tanković – OK Jelen – M12</v>
      </c>
      <c r="DS14" s="53">
        <f t="shared" si="26"/>
        <v>197</v>
      </c>
      <c r="DT14" s="47" t="s">
        <v>0</v>
      </c>
      <c r="DU14" s="52" t="str">
        <f>IF(AL14="","",DX14 &amp; IF(CR14="",""," – " &amp; CR14))</f>
        <v>Marin – Tanković – OK Jelen</v>
      </c>
      <c r="DV14" s="53">
        <f t="shared" si="27"/>
        <v>197</v>
      </c>
      <c r="DW14" s="47" t="s">
        <v>0</v>
      </c>
      <c r="DX14" s="52" t="str">
        <f>IF(BG14="","",BF14&amp;" – "&amp;BG14)</f>
        <v>Marin – Tanković</v>
      </c>
      <c r="DY14" s="53">
        <f t="shared" si="28"/>
        <v>197</v>
      </c>
      <c r="DZ14" s="47" t="s">
        <v>0</v>
      </c>
      <c r="EA14" s="58">
        <f t="shared" ref="EA14:EA77" si="61">IF(DS14="","",IF(DS14&lt;&gt;"NEMA",DS14,IF(DV14&lt;&gt;"NEMA",DV14,IF(DY14&lt;&gt;"NEMA",DY14,""))))</f>
        <v>197</v>
      </c>
      <c r="EB14" s="53" cm="1">
        <f t="array" ref="EB14">IF(EA14&lt;&gt;"",INDEX(regNatjecatelj_id,EA14,0),IF(BD14&lt;&gt;"",BD14,""))</f>
        <v>1162</v>
      </c>
      <c r="EC14" s="47" t="s">
        <v>0</v>
      </c>
      <c r="ED14" s="58" t="str">
        <f>IF(AL14="","",IF(BD14&lt;&gt;"","novo",IF(AN14="","imepre","imepre(ali)")))</f>
        <v>imepre</v>
      </c>
      <c r="EE14" s="73" t="str">
        <f>IF(AL14="","",IF(BL14="",IF(IFERROR(INDEX(regNatjecatelj_klub,MATCH(EB14,regNatjecatelj_id,0)),"NEMA")="","klu",""),IF(OR(AND(BN14&lt;&gt;"",BN14&lt;&gt;"NEMA"),CD14&lt;&gt;""),"klu(ali)",IF(AND(BP14&lt;&gt;"",BP14&lt;&gt;BO14),"(raz-klu)","klu"))))</f>
        <v>klu</v>
      </c>
      <c r="EF14" s="73" t="str">
        <f>IF(AL14="","","kat"&amp;IF(AND(W14&lt;&gt;Q14,Q14&lt;&gt;"Open"),"(ali)",""))</f>
        <v>kat</v>
      </c>
      <c r="EG14" s="73" t="str">
        <f t="shared" si="29"/>
        <v/>
      </c>
      <c r="EH14" s="66" t="str">
        <f>IF(AL14="","",ED14&amp;IF(ED14="novo","","-"&amp;EE14&amp;"-"&amp;EF14)&amp;IF(EG14="","","-"&amp;EG14))</f>
        <v>imepre-klu-kat</v>
      </c>
      <c r="EI14" s="47" t="s">
        <v>0</v>
      </c>
      <c r="EJ14" s="58">
        <f>IF(AL14="","",MAX(EJ$12:EJ13)+1)</f>
        <v>193</v>
      </c>
      <c r="EK14" s="73">
        <f>IF(AO14="","",X14)</f>
        <v>23</v>
      </c>
      <c r="EL14" s="73">
        <f t="shared" ref="EL14:EL77" si="62">IF(EB14="","",EB14)</f>
        <v>1162</v>
      </c>
      <c r="EM14" s="73">
        <f t="shared" si="30"/>
        <v>2001</v>
      </c>
      <c r="EN14" s="73">
        <f t="shared" si="31"/>
        <v>1</v>
      </c>
      <c r="EO14" s="73">
        <f t="shared" ref="EO14:EO77" si="63">IF(DX14="","",IF(data_trka_je_rangirana=0,0,IF(OR(DS14="",DS14="NEMA"),0,1)))</f>
        <v>1</v>
      </c>
      <c r="EP14" s="73">
        <f t="shared" ref="EP14:EP77" si="64">IF(EJ14="","",INDEX(regUparivanje_id,MATCH(EH14,regUparivanje_oznaka,0)))</f>
        <v>1</v>
      </c>
      <c r="EQ14" s="73" t="str">
        <f t="shared" si="34"/>
        <v>0</v>
      </c>
      <c r="ER14" s="73" t="str">
        <f>IF(OR(AN14="",AN14="NEMA"),BB14,AN14)</f>
        <v/>
      </c>
      <c r="ES14" s="73" t="str">
        <f>IF(AND(BN14&lt;&gt;"",BN14&lt;&gt;"NEMA"),BN14,IF(CG14&lt;&gt;"",CG14,IF(AND(CL14&lt;&gt;"",CL14&lt;&gt;"NEMA"),CL14,IF(CM14&lt;&gt;"",CM14,""))))</f>
        <v/>
      </c>
      <c r="ET14" s="53" t="str">
        <f>IF(INDEX(natKategorija_alias_Id,MATCH(S14,natKategorija_katRegId,0))="","",INDEX(natKategorija_alias_Id,MATCH(S14,natKategorija_katRegId,0)))</f>
        <v/>
      </c>
      <c r="EU14" s="47" t="s">
        <v>0</v>
      </c>
      <c r="EV14" s="19" t="str">
        <f t="shared" ref="EV14:EV77" si="65">IF(EK14="","","INSERT INTO rezultat(id,stazakategorija_id,imeprezime_id,vrijeme_sec,status_id,registracija,uparivanje_id,originalstatus_id,imeprezimealias_id,klubalias_id,kategorijaalias_id) VALUES ("&amp;EJ14&amp;","&amp;EK14&amp;","&amp;EL14&amp;","&amp;IF(EM14="","Null",EM14)&amp;","&amp;EN14&amp;","&amp;EO14&amp;","&amp;EP14&amp;","&amp;EQ14&amp;","&amp;IF(ER14="","Null",ER14)&amp;","&amp;IF(ES14="","Null",ES14)&amp;","&amp;IF(ET14="","Null",ET14)&amp;");")</f>
        <v>INSERT INTO rezultat(id,stazakategorija_id,imeprezime_id,vrijeme_sec,status_id,registracija,uparivanje_id,originalstatus_id,imeprezimealias_id,klubalias_id,kategorijaalias_id) VALUES (193,23,1162,2001,1,1,1,0,Null,Null,Null);</v>
      </c>
      <c r="EW14" s="47" t="s">
        <v>0</v>
      </c>
      <c r="EX14" s="19" t="str">
        <f t="shared" ref="EX14:EX77" si="66">IF(EK14="","",IF(EO14=1,"UPDATE
	registar
SET
	potvrda = 1
WHERE
	imeprezime_id="&amp;EL14&amp;"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"&amp;EK14&amp;")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14" s="47" t="s">
        <v>0</v>
      </c>
      <c r="EZ14" s="180" t="str">
        <f>AG14&amp;IF(CP14="","","
")&amp;CP14&amp;IF(CI14="","","
")&amp;CI14&amp;IF(DN14="","","
")&amp;DN14&amp;IF(DP14="","","
")&amp;DP14&amp;IF(EV14="","","
")&amp;EV14&amp;IF(EX14="","","
")&amp;EX14</f>
        <v xml:space="preserve">
INSERT INTO rezultat(id,stazakategorija_id,imeprezime_id,vrijeme_sec,status_id,registracija,uparivanje_id,originalstatus_id,imeprezimealias_id,klubalias_id,kategorijaalias_id) VALUES (193,23,1162,2001,1,1,1,0,Null,Null,Null);
UPDATE
	registar
SET
	potvrda = 1
WHERE
	imeprezime_id=1162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14" s="47" t="s">
        <v>0</v>
      </c>
      <c r="FB14" s="296" t="s">
        <v>73</v>
      </c>
      <c r="FC14" s="297"/>
      <c r="FD14" s="297"/>
      <c r="FE14" s="297"/>
      <c r="FF14" s="297"/>
      <c r="FG14" s="297"/>
      <c r="FH14" s="297"/>
      <c r="FI14" s="297"/>
      <c r="FJ14" s="297"/>
      <c r="FK14" s="297"/>
      <c r="FL14" s="297"/>
      <c r="FM14" s="298"/>
    </row>
    <row r="15" spans="1:169" ht="15.75" thickBot="1" x14ac:dyDescent="0.3">
      <c r="A15" t="s">
        <v>0</v>
      </c>
      <c r="B15" s="52" t="str">
        <f>IF(csv!F5="","",csv!T5)</f>
        <v>M12</v>
      </c>
      <c r="C15" s="31" t="s">
        <v>0</v>
      </c>
      <c r="D15" s="31" t="str">
        <f>IF(csv!F5="","",csv!F5)</f>
        <v>Mario</v>
      </c>
      <c r="E15" s="31" t="str">
        <f>IF(csv!E5="","",csv!E5)</f>
        <v>Lah</v>
      </c>
      <c r="F15" s="31" t="s">
        <v>0</v>
      </c>
      <c r="G15" s="73" t="str">
        <f>IF(csv!M5="","",csv!M5)</f>
        <v>41:54</v>
      </c>
      <c r="H15" s="73" t="str">
        <f>IF(csv!N5="","",csv!N5)</f>
        <v>0</v>
      </c>
      <c r="I15" s="31" t="s">
        <v>0</v>
      </c>
      <c r="J15" s="31" t="str">
        <f>IF(csv!P5="","",csv!P5)</f>
        <v>OK Varaždin</v>
      </c>
      <c r="K15" s="31" t="str">
        <f>IF(csv!Q5="","",csv!Q5)</f>
        <v>OK Varaždin</v>
      </c>
      <c r="L15" s="31" t="s">
        <v>0</v>
      </c>
      <c r="M15" s="66" t="str">
        <f>IF(csv!R5="","",csv!R5)</f>
        <v>CRO</v>
      </c>
      <c r="N15" s="47" t="s">
        <v>0</v>
      </c>
      <c r="O15" s="243" t="str">
        <f t="shared" si="36"/>
        <v>ok</v>
      </c>
      <c r="P15" s="47"/>
      <c r="Q15" s="52" t="str">
        <f t="shared" si="37"/>
        <v>M12</v>
      </c>
      <c r="R15" s="73">
        <f>IF(Q15="","",IF(COUNTIF(Q$12:Q14,Q15)=0,R14+1,R14))</f>
        <v>1</v>
      </c>
      <c r="S15" s="73">
        <f t="shared" si="38"/>
        <v>112</v>
      </c>
      <c r="T15" s="73">
        <f t="shared" si="1"/>
        <v>22</v>
      </c>
      <c r="U15" s="66" t="str">
        <f t="shared" si="2"/>
        <v>M12 – Ž12</v>
      </c>
      <c r="V15" s="47" t="s">
        <v>0</v>
      </c>
      <c r="W15" s="222" t="str">
        <f t="shared" si="3"/>
        <v>M12</v>
      </c>
      <c r="X15" s="223">
        <f t="shared" si="4"/>
        <v>23</v>
      </c>
      <c r="Y15" s="47" t="s">
        <v>0</v>
      </c>
      <c r="Z15" s="52" t="str">
        <f t="shared" si="39"/>
        <v>CRO</v>
      </c>
      <c r="AA15" s="73">
        <f t="shared" si="5"/>
        <v>1</v>
      </c>
      <c r="AB15" s="31" t="str">
        <f t="shared" si="40"/>
        <v/>
      </c>
      <c r="AC15" s="66" t="str">
        <f>IF(AB15="","",MAX(AC$12:AC14)+1)</f>
        <v/>
      </c>
      <c r="AD15" s="47" t="s">
        <v>0</v>
      </c>
      <c r="AE15" s="125"/>
      <c r="AF15" s="47" t="s">
        <v>0</v>
      </c>
      <c r="AG15" s="19" t="str">
        <f t="shared" si="41"/>
        <v/>
      </c>
      <c r="AH15" s="47" t="s">
        <v>0</v>
      </c>
      <c r="AI15" s="143" t="str">
        <f t="shared" si="42"/>
        <v>CRO</v>
      </c>
      <c r="AJ15" s="47"/>
      <c r="AK15" s="52" t="str">
        <f t="shared" si="43"/>
        <v>Mario</v>
      </c>
      <c r="AL15" s="31" t="str">
        <f t="shared" si="44"/>
        <v>Lah</v>
      </c>
      <c r="AM15" s="73">
        <f t="shared" si="45"/>
        <v>1174</v>
      </c>
      <c r="AN15" s="73" t="str">
        <f t="shared" si="46"/>
        <v/>
      </c>
      <c r="AO15" s="31" t="str">
        <f t="shared" si="8"/>
        <v>Mario</v>
      </c>
      <c r="AP15" s="66" t="str">
        <f t="shared" si="9"/>
        <v>Lah</v>
      </c>
      <c r="AQ15" s="47" t="s">
        <v>0</v>
      </c>
      <c r="AR15" s="82" t="str">
        <f t="shared" si="47"/>
        <v/>
      </c>
      <c r="AS15" s="47" t="s">
        <v>0</v>
      </c>
      <c r="AT15" s="19" t="str">
        <f t="shared" si="48"/>
        <v/>
      </c>
      <c r="AU15" s="47" t="s">
        <v>0</v>
      </c>
      <c r="AV15" s="103"/>
      <c r="AW15" s="105"/>
      <c r="AX15" s="47" t="s">
        <v>0</v>
      </c>
      <c r="AY15" s="256" t="str">
        <f t="shared" si="10"/>
        <v/>
      </c>
      <c r="AZ15" s="47" t="s">
        <v>0</v>
      </c>
      <c r="BA15" s="52" t="str">
        <f t="shared" si="11"/>
        <v/>
      </c>
      <c r="BB15" s="73" t="str">
        <f>IF(AV15&amp;AW15="","",MAX(BB$12:BB14)+1)</f>
        <v/>
      </c>
      <c r="BC15" s="268" t="str">
        <f t="shared" si="12"/>
        <v/>
      </c>
      <c r="BD15" s="53" t="str">
        <f>IF(AND(AM15="NEMA",AN15="NEMA",OR(AV15&amp;AW15="",BC15="NEMA")),MAX(BD$12:BD14)+1,"")</f>
        <v/>
      </c>
      <c r="BE15" s="47" t="s">
        <v>0</v>
      </c>
      <c r="BF15" s="52" t="str">
        <f t="shared" si="13"/>
        <v>Mario</v>
      </c>
      <c r="BG15" s="31" t="str">
        <f t="shared" si="14"/>
        <v>Lah</v>
      </c>
      <c r="BH15" s="73" t="str">
        <f t="shared" si="49"/>
        <v/>
      </c>
      <c r="BI15" s="53">
        <f t="shared" si="50"/>
        <v>1174</v>
      </c>
      <c r="BJ15" s="47" t="s">
        <v>0</v>
      </c>
      <c r="BK15" s="52" t="str">
        <f t="shared" si="15"/>
        <v>OK Varaždin</v>
      </c>
      <c r="BL15" s="31" t="str">
        <f t="shared" si="16"/>
        <v>OK Varaždin</v>
      </c>
      <c r="BM15" s="73">
        <f t="shared" si="17"/>
        <v>11</v>
      </c>
      <c r="BN15" s="73" t="str">
        <f t="shared" si="18"/>
        <v/>
      </c>
      <c r="BO15" s="31" t="str" cm="1">
        <f t="array" ref="BO15">IF(BN15="",""&amp;BL15,IF(BN15="NEMA",BL15,INDEX(regKlub_naziv,MATCH(INDEX(regKlub_alias_klubId,BN15),regKlub_id,0))))</f>
        <v>OK Varaždin</v>
      </c>
      <c r="BP15" s="31" t="str" cm="1">
        <f t="array" ref="BP15">IFERROR(""&amp;INDEX(regNatjecatelj_klub,DY15),"")</f>
        <v>OK Varaždin</v>
      </c>
      <c r="BQ15" s="88" t="str">
        <f t="shared" si="51"/>
        <v/>
      </c>
      <c r="BR15" s="66" t="str">
        <f t="shared" si="52"/>
        <v>OK Varaždin</v>
      </c>
      <c r="BS15" s="47" t="s">
        <v>0</v>
      </c>
      <c r="BT15" s="82" t="str">
        <f>IF(BN15&lt;&gt;"NEMA","",IF(IFERROR(MATCH(BL15,BL$12:BL14,0),0)&lt;&gt;0,"",BL15))</f>
        <v/>
      </c>
      <c r="BU15" s="47" t="s">
        <v>0</v>
      </c>
      <c r="BV15" s="125"/>
      <c r="BW15" s="47" t="s">
        <v>0</v>
      </c>
      <c r="BX15" s="58" t="str">
        <f t="shared" si="53"/>
        <v/>
      </c>
      <c r="BY15" s="31" t="str">
        <f t="shared" si="54"/>
        <v/>
      </c>
      <c r="BZ15" s="31" t="str">
        <f>IF(BY15="","",MAX(BZ$12:BZ14)+1)</f>
        <v/>
      </c>
      <c r="CA15" s="31" t="str">
        <f>IF(BY15="","",IF(AA15="","",IF(AA15="NEMA",AC15,AA15)))</f>
        <v/>
      </c>
      <c r="CB15" s="31" t="str">
        <f t="shared" si="55"/>
        <v/>
      </c>
      <c r="CC15" s="31" t="str">
        <f>IF(BV15="","",MAX(CC$12:CC14)+1)</f>
        <v/>
      </c>
      <c r="CD15" s="31" t="str">
        <f t="shared" si="56"/>
        <v/>
      </c>
      <c r="CE15" s="66" t="str">
        <f t="shared" si="57"/>
        <v/>
      </c>
      <c r="CF15" s="47" t="s">
        <v>0</v>
      </c>
      <c r="CG15" s="73" t="str">
        <f>IF(BN15="","",IF(BN15&lt;&gt;"NEMA","",IFERROR(INDEX(nat_klubAliasId,MATCH(BL15,nat_noviKluboviAliasi,0)),"")))</f>
        <v/>
      </c>
      <c r="CH15" s="47"/>
      <c r="CI15" s="19" t="str">
        <f t="shared" si="58"/>
        <v/>
      </c>
      <c r="CJ15" s="47" t="s">
        <v>0</v>
      </c>
      <c r="CK15" s="52" t="str">
        <f>IF(X15&lt;&gt;"NEMA","",IF(IFERROR(MATCH(W15,W$12:W14,0),0)&lt;&gt;0,"",W15))</f>
        <v/>
      </c>
      <c r="CL15" s="73" t="str">
        <f>IF(CK15="","",IFERROR(INDEX(regKlub_alias_id,MATCH(CK15,regKlub_alias_alias,0)),"NEMA"))</f>
        <v/>
      </c>
      <c r="CM15" s="31" t="str">
        <f>IF(OR(CL15="",CL15&lt;&gt;"NEMA"),"",MAX(CM$12:CM14)+1)</f>
        <v/>
      </c>
      <c r="CN15" s="66" t="str">
        <f>IF(OR(CL15="",CL15&lt;&gt;"NEMA"),"",INDEX(regKlub_id,MATCH(CK15,regKlub_naziv,0)))</f>
        <v/>
      </c>
      <c r="CO15" s="47" t="s">
        <v>0</v>
      </c>
      <c r="CP15" s="19" t="str">
        <f>IF(OR(CL15="",CL15&lt;&gt;"NEMA"),"","INSERT INTO klub_alias(id,alias,klub_id) VALUES ("&amp;CM15&amp;",'"&amp;CK15&amp;"',"&amp;CN15&amp;");")</f>
        <v/>
      </c>
      <c r="CQ15" s="47" t="s">
        <v>0</v>
      </c>
      <c r="CR15" s="143" t="str">
        <f>IF(BR15="","",IF(BV15="",IF(IFERROR(MATCH(BR15,nat_noviKluboviAliasi,0),0)&gt;0,INDEX(nat_kluboviAliasi,MATCH(BR15,nat_noviKluboviAliasi,0)),BR15),BV15))</f>
        <v>OK Varaždin</v>
      </c>
      <c r="CS15" s="47" t="s">
        <v>0</v>
      </c>
      <c r="CT15" s="58" t="str">
        <f>IF(G15="","",G15)</f>
        <v>41:54</v>
      </c>
      <c r="CU15" s="73" t="str">
        <f>IF(H15="","",H15)</f>
        <v>0</v>
      </c>
      <c r="CV15" s="229" t="str">
        <f>IF(CT15="",IF(OR(AL15="",CU15&lt;&gt;"0"),"","GREŠKA"),IF(AND(65535&gt;=VALUE(LEFT(CT15,SEARCH(":",CT15)-1))*60+VALUE(RIGHT(CT15,2)),OR(CU15="0",CU15="1",CU15="2",CU15="3",CU15="4")),"","GREŠKA"))</f>
        <v/>
      </c>
      <c r="CW15" s="230">
        <f t="shared" si="59"/>
        <v>2514</v>
      </c>
      <c r="CX15" s="163">
        <f t="shared" si="24"/>
        <v>1</v>
      </c>
      <c r="CY15" s="47" t="s">
        <v>0</v>
      </c>
      <c r="CZ15" s="222" t="str">
        <f>IF(CV15&lt;&gt;"GREŠKA","",AK15&amp;" "&amp;AL15&amp;" – Molim u OEventu provjeriti i ispraviti rezultat – vrijeme ("&amp;IF(CT15="","nije upisano",CT15)&amp;") i classifier ("&amp;CU15&amp;").")&amp;IF(OR(CV15&lt;&gt;"GREŠKA",CX15&lt;&gt;5),"
","")&amp;IF(CX15&lt;&gt;5,"",AK15&amp;" "&amp;AL15&amp;" – Molim u provjeriti je li natjecatelj zaista diskvalificiran. Ako je koje je obrazloženje, ako nije molim u OEventu ispraviti rezultat")</f>
        <v xml:space="preserve">
</v>
      </c>
      <c r="DA15" s="223">
        <f t="shared" si="60"/>
        <v>6</v>
      </c>
      <c r="DB15" s="47" t="s">
        <v>0</v>
      </c>
      <c r="DC15" s="47"/>
      <c r="DD15" s="47"/>
      <c r="DE15" s="47"/>
      <c r="DF15" s="47" t="s">
        <v>0</v>
      </c>
      <c r="DG15" s="53" t="str">
        <f>IF(BD15="","",IF(DI15="O",1,""))</f>
        <v/>
      </c>
      <c r="DH15" t="s">
        <v>0</v>
      </c>
      <c r="DI15" s="128" t="str">
        <f>IF(Q15="","",LEFT(INDEX(regKategorija_oznaka,MATCH(S15,regKategorija_id,0)),1))</f>
        <v>M</v>
      </c>
      <c r="DJ15" t="s">
        <v>0</v>
      </c>
      <c r="DK15" s="52" t="str">
        <f>IF(BD15="","",IF(M15&lt;&gt;"CRO","","INSERT INTO osoba (id,reg_broj,oib,spol_id,dat_rodjenja) VALUES ("&amp;BD15&amp;",(SELECT max(os.reg_broj)+1 FROM osoba AS os),Null,'"&amp;DI15&amp;"',Null); INSERT INTO osoba_log (id,reg_broj,oib,spol_id,dat_rodjenja,dnevnik_id) SELECT id,reg_broj,oib,spol_id,dat_rodjenja,"&amp;data_dnevnik_id&amp;" FROM osoba WHERE id = "&amp;BD15&amp;";"))</f>
        <v/>
      </c>
      <c r="DL15" s="66" t="str">
        <f>IF(BD15="","","INSERT INTO imeprezime (id,osoba_id,rbr,ime,prezime,klub_id,identitet_id,sintaksa_id,info,aktivno,dnevnik_id) VALUES ("&amp;BD15&amp;","&amp;IF(DK15="","Null",BD15)&amp;",1,'"&amp;IF(AV15&lt;&gt;"",AV15,AK15)&amp;"','"&amp;IF(AW15&lt;&gt;"",AW15,AL15)&amp;"',(SELECT id FROM klub WHERE naziv = '"&amp;CR15&amp;"'),Null,1,'',1,"&amp;data_dnevnik_id&amp;");")</f>
        <v/>
      </c>
      <c r="DM15" t="s">
        <v>0</v>
      </c>
      <c r="DN15" s="19" t="str">
        <f t="shared" si="25"/>
        <v/>
      </c>
      <c r="DO15" s="47" t="s">
        <v>0</v>
      </c>
      <c r="DP15" s="19" t="str">
        <f>IF(BA15="","","INSERT INTO imeprezime_alias(id,alias,imeprezime_id) VALUES ("&amp;BB15&amp;",'"&amp;BA15&amp;"',"&amp;IF(BC15="NEMA",BD15,BC15)&amp;");")</f>
        <v/>
      </c>
      <c r="DQ15" s="47" t="s">
        <v>0</v>
      </c>
      <c r="DR15" s="52" t="str">
        <f>IF(AL15="","",DU15 &amp; IF(Q15="",""," – " &amp; Q15))</f>
        <v>Mario – Lah – OK Varaždin – M12</v>
      </c>
      <c r="DS15" s="53">
        <f t="shared" si="26"/>
        <v>551</v>
      </c>
      <c r="DT15" s="47" t="s">
        <v>0</v>
      </c>
      <c r="DU15" s="52" t="str">
        <f>IF(AL15="","",DX15 &amp; IF(CR15="",""," – " &amp; CR15))</f>
        <v>Mario – Lah – OK Varaždin</v>
      </c>
      <c r="DV15" s="53">
        <f t="shared" si="27"/>
        <v>551</v>
      </c>
      <c r="DW15" s="47" t="s">
        <v>0</v>
      </c>
      <c r="DX15" s="52" t="str">
        <f>IF(BG15="","",BF15&amp;" – "&amp;BG15)</f>
        <v>Mario – Lah</v>
      </c>
      <c r="DY15" s="53">
        <f t="shared" si="28"/>
        <v>551</v>
      </c>
      <c r="DZ15" s="47" t="s">
        <v>0</v>
      </c>
      <c r="EA15" s="58">
        <f t="shared" si="61"/>
        <v>551</v>
      </c>
      <c r="EB15" s="53" cm="1">
        <f t="array" ref="EB15">IF(EA15&lt;&gt;"",INDEX(regNatjecatelj_id,EA15,0),IF(BD15&lt;&gt;"",BD15,""))</f>
        <v>1174</v>
      </c>
      <c r="EC15" s="47" t="s">
        <v>0</v>
      </c>
      <c r="ED15" s="58" t="str">
        <f>IF(AL15="","",IF(BD15&lt;&gt;"","novo",IF(AN15="","imepre","imepre(ali)")))</f>
        <v>imepre</v>
      </c>
      <c r="EE15" s="73" t="str">
        <f>IF(AL15="","",IF(BL15="",IF(IFERROR(INDEX(regNatjecatelj_klub,MATCH(EB15,regNatjecatelj_id,0)),"NEMA")="","klu",""),IF(OR(AND(BN15&lt;&gt;"",BN15&lt;&gt;"NEMA"),CD15&lt;&gt;""),"klu(ali)",IF(AND(BP15&lt;&gt;"",BP15&lt;&gt;BO15),"(raz-klu)","klu"))))</f>
        <v>klu</v>
      </c>
      <c r="EF15" s="73" t="str">
        <f>IF(AL15="","","kat"&amp;IF(AND(W15&lt;&gt;Q15,Q15&lt;&gt;"Open"),"(ali)",""))</f>
        <v>kat</v>
      </c>
      <c r="EG15" s="73" t="str">
        <f t="shared" si="29"/>
        <v/>
      </c>
      <c r="EH15" s="66" t="str">
        <f>IF(AL15="","",ED15&amp;IF(ED15="novo","","-"&amp;EE15&amp;"-"&amp;EF15)&amp;IF(EG15="","","-"&amp;EG15))</f>
        <v>imepre-klu-kat</v>
      </c>
      <c r="EI15" s="47" t="s">
        <v>0</v>
      </c>
      <c r="EJ15" s="58">
        <f>IF(AL15="","",MAX(EJ$12:EJ14)+1)</f>
        <v>194</v>
      </c>
      <c r="EK15" s="73">
        <f>IF(AO15="","",X15)</f>
        <v>23</v>
      </c>
      <c r="EL15" s="73">
        <f t="shared" si="62"/>
        <v>1174</v>
      </c>
      <c r="EM15" s="73">
        <f t="shared" si="30"/>
        <v>2514</v>
      </c>
      <c r="EN15" s="73">
        <f t="shared" si="31"/>
        <v>1</v>
      </c>
      <c r="EO15" s="73">
        <f t="shared" si="63"/>
        <v>1</v>
      </c>
      <c r="EP15" s="73">
        <f t="shared" si="64"/>
        <v>1</v>
      </c>
      <c r="EQ15" s="73" t="str">
        <f t="shared" si="34"/>
        <v>0</v>
      </c>
      <c r="ER15" s="73" t="str">
        <f>IF(OR(AN15="",AN15="NEMA"),BB15,AN15)</f>
        <v/>
      </c>
      <c r="ES15" s="73" t="str">
        <f>IF(AND(BN15&lt;&gt;"",BN15&lt;&gt;"NEMA"),BN15,IF(CG15&lt;&gt;"",CG15,IF(AND(CL15&lt;&gt;"",CL15&lt;&gt;"NEMA"),CL15,IF(CM15&lt;&gt;"",CM15,""))))</f>
        <v/>
      </c>
      <c r="ET15" s="53" t="str">
        <f>IF(INDEX(natKategorija_alias_Id,MATCH(S15,natKategorija_katRegId,0))="","",INDEX(natKategorija_alias_Id,MATCH(S15,natKategorija_katRegId,0)))</f>
        <v/>
      </c>
      <c r="EU15" s="47" t="s">
        <v>0</v>
      </c>
      <c r="EV15" s="19" t="str">
        <f t="shared" si="65"/>
        <v>INSERT INTO rezultat(id,stazakategorija_id,imeprezime_id,vrijeme_sec,status_id,registracija,uparivanje_id,originalstatus_id,imeprezimealias_id,klubalias_id,kategorijaalias_id) VALUES (194,23,1174,2514,1,1,1,0,Null,Null,Null);</v>
      </c>
      <c r="EW15" s="47" t="s">
        <v>0</v>
      </c>
      <c r="EX15" s="19" t="str">
        <f t="shared" si="66"/>
        <v>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15" s="47" t="s">
        <v>0</v>
      </c>
      <c r="EZ15" s="180" t="str">
        <f>AG15&amp;IF(CP15="","","
")&amp;CP15&amp;IF(CI15="","","
")&amp;CI15&amp;IF(DN15="","","
")&amp;DN15&amp;IF(DP15="","","
")&amp;DP15&amp;IF(EV15="","","
")&amp;EV15&amp;IF(EX15="","","
")&amp;EX15</f>
        <v xml:space="preserve">
INSERT INTO rezultat(id,stazakategorija_id,imeprezime_id,vrijeme_sec,status_id,registracija,uparivanje_id,originalstatus_id,imeprezimealias_id,klubalias_id,kategorijaalias_id) VALUES (194,23,1174,2514,1,1,1,0,Null,Null,Null);
UPDATE
	registar
SET
	potvrda = 1
WHERE
	imeprezime_id=1174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15" s="47" t="s">
        <v>0</v>
      </c>
      <c r="FB15" s="302" t="s">
        <v>221</v>
      </c>
      <c r="FC15" s="303"/>
      <c r="FD15" s="303"/>
      <c r="FE15" s="303"/>
      <c r="FF15" s="303"/>
      <c r="FG15" s="303"/>
      <c r="FH15" s="303"/>
      <c r="FI15" s="303"/>
      <c r="FJ15" s="303"/>
      <c r="FK15" s="303"/>
      <c r="FL15" s="303"/>
      <c r="FM15" s="304"/>
    </row>
    <row r="16" spans="1:169" ht="15.75" thickBot="1" x14ac:dyDescent="0.3">
      <c r="A16" t="s">
        <v>0</v>
      </c>
      <c r="B16" s="52" t="str">
        <f>IF(csv!F6="","",csv!T6)</f>
        <v>M12</v>
      </c>
      <c r="C16" s="31" t="s">
        <v>0</v>
      </c>
      <c r="D16" s="31" t="str">
        <f>IF(csv!F6="","",csv!F6)</f>
        <v>Teo</v>
      </c>
      <c r="E16" s="31" t="str">
        <f>IF(csv!E6="","",csv!E6)</f>
        <v>Mance</v>
      </c>
      <c r="F16" s="31" t="s">
        <v>0</v>
      </c>
      <c r="G16" s="73" t="str">
        <f>IF(csv!M6="","",csv!M6)</f>
        <v>45:37</v>
      </c>
      <c r="H16" s="73" t="str">
        <f>IF(csv!N6="","",csv!N6)</f>
        <v>0</v>
      </c>
      <c r="I16" s="31" t="s">
        <v>0</v>
      </c>
      <c r="J16" s="31" t="str">
        <f>IF(csv!P6="","",csv!P6)</f>
        <v>Vihor</v>
      </c>
      <c r="K16" s="31" t="str">
        <f>IF(csv!Q6="","",csv!Q6)</f>
        <v>OK Vihor</v>
      </c>
      <c r="L16" s="31" t="s">
        <v>0</v>
      </c>
      <c r="M16" s="66" t="str">
        <f>IF(csv!R6="","",csv!R6)</f>
        <v>CRO</v>
      </c>
      <c r="N16" s="47" t="s">
        <v>0</v>
      </c>
      <c r="O16" s="243" t="str">
        <f t="shared" si="36"/>
        <v>ok</v>
      </c>
      <c r="P16" s="47"/>
      <c r="Q16" s="52" t="str">
        <f t="shared" si="37"/>
        <v>M12</v>
      </c>
      <c r="R16" s="73">
        <f>IF(Q16="","",IF(COUNTIF(Q$12:Q15,Q16)=0,R15+1,R15))</f>
        <v>1</v>
      </c>
      <c r="S16" s="73">
        <f t="shared" si="38"/>
        <v>112</v>
      </c>
      <c r="T16" s="73">
        <f t="shared" si="1"/>
        <v>22</v>
      </c>
      <c r="U16" s="66" t="str">
        <f t="shared" si="2"/>
        <v>M12 – Ž12</v>
      </c>
      <c r="V16" s="47" t="s">
        <v>0</v>
      </c>
      <c r="W16" s="222" t="str">
        <f t="shared" si="3"/>
        <v>M12</v>
      </c>
      <c r="X16" s="223">
        <f t="shared" si="4"/>
        <v>23</v>
      </c>
      <c r="Y16" s="47" t="s">
        <v>0</v>
      </c>
      <c r="Z16" s="52" t="str">
        <f t="shared" si="39"/>
        <v>CRO</v>
      </c>
      <c r="AA16" s="73">
        <f t="shared" si="5"/>
        <v>1</v>
      </c>
      <c r="AB16" s="31" t="str">
        <f t="shared" si="40"/>
        <v/>
      </c>
      <c r="AC16" s="66" t="str">
        <f>IF(AB16="","",MAX(AC$12:AC15)+1)</f>
        <v/>
      </c>
      <c r="AD16" s="47" t="s">
        <v>0</v>
      </c>
      <c r="AE16" s="125"/>
      <c r="AF16" s="47" t="s">
        <v>0</v>
      </c>
      <c r="AG16" s="19" t="str">
        <f t="shared" si="41"/>
        <v/>
      </c>
      <c r="AH16" s="47" t="s">
        <v>0</v>
      </c>
      <c r="AI16" s="143" t="str">
        <f t="shared" si="42"/>
        <v>CRO</v>
      </c>
      <c r="AJ16" s="47"/>
      <c r="AK16" s="52" t="str">
        <f t="shared" si="43"/>
        <v>Teo</v>
      </c>
      <c r="AL16" s="31" t="str">
        <f t="shared" si="44"/>
        <v>Mance</v>
      </c>
      <c r="AM16" s="73">
        <f t="shared" si="45"/>
        <v>1207</v>
      </c>
      <c r="AN16" s="73" t="str">
        <f t="shared" si="46"/>
        <v/>
      </c>
      <c r="AO16" s="31" t="str">
        <f t="shared" si="8"/>
        <v>Teo</v>
      </c>
      <c r="AP16" s="66" t="str">
        <f t="shared" si="9"/>
        <v>Mance</v>
      </c>
      <c r="AQ16" s="47" t="s">
        <v>0</v>
      </c>
      <c r="AR16" s="82" t="str">
        <f t="shared" si="47"/>
        <v/>
      </c>
      <c r="AS16" s="47" t="s">
        <v>0</v>
      </c>
      <c r="AT16" s="19" t="str">
        <f t="shared" si="48"/>
        <v/>
      </c>
      <c r="AU16" s="47" t="s">
        <v>0</v>
      </c>
      <c r="AV16" s="103"/>
      <c r="AW16" s="105"/>
      <c r="AX16" s="47" t="s">
        <v>0</v>
      </c>
      <c r="AY16" s="256" t="str">
        <f t="shared" si="10"/>
        <v/>
      </c>
      <c r="AZ16" s="47" t="s">
        <v>0</v>
      </c>
      <c r="BA16" s="52" t="str">
        <f t="shared" si="11"/>
        <v/>
      </c>
      <c r="BB16" s="73" t="str">
        <f>IF(AV16&amp;AW16="","",MAX(BB$12:BB15)+1)</f>
        <v/>
      </c>
      <c r="BC16" s="268" t="str">
        <f t="shared" si="12"/>
        <v/>
      </c>
      <c r="BD16" s="53" t="str">
        <f>IF(AND(AM16="NEMA",AN16="NEMA",OR(AV16&amp;AW16="",BC16="NEMA")),MAX(BD$12:BD15)+1,"")</f>
        <v/>
      </c>
      <c r="BE16" s="47" t="s">
        <v>0</v>
      </c>
      <c r="BF16" s="52" t="str">
        <f t="shared" si="13"/>
        <v>Teo</v>
      </c>
      <c r="BG16" s="31" t="str">
        <f t="shared" si="14"/>
        <v>Mance</v>
      </c>
      <c r="BH16" s="73" t="str">
        <f t="shared" si="49"/>
        <v/>
      </c>
      <c r="BI16" s="53">
        <f t="shared" si="50"/>
        <v>1207</v>
      </c>
      <c r="BJ16" s="47" t="s">
        <v>0</v>
      </c>
      <c r="BK16" s="52" t="str">
        <f t="shared" si="15"/>
        <v>Vihor</v>
      </c>
      <c r="BL16" s="31" t="str">
        <f t="shared" si="16"/>
        <v>OK Vihor</v>
      </c>
      <c r="BM16" s="73">
        <f t="shared" si="17"/>
        <v>12</v>
      </c>
      <c r="BN16" s="73" t="str">
        <f t="shared" si="18"/>
        <v/>
      </c>
      <c r="BO16" s="31" t="str" cm="1">
        <f t="array" ref="BO16">IF(BN16="",""&amp;BL16,IF(BN16="NEMA",BL16,INDEX(regKlub_naziv,MATCH(INDEX(regKlub_alias_klubId,BN16),regKlub_id,0))))</f>
        <v>OK Vihor</v>
      </c>
      <c r="BP16" s="31" t="str" cm="1">
        <f t="array" ref="BP16">IFERROR(""&amp;INDEX(regNatjecatelj_klub,DY16),"")</f>
        <v>OK Vihor</v>
      </c>
      <c r="BQ16" s="88" t="str">
        <f t="shared" si="51"/>
        <v/>
      </c>
      <c r="BR16" s="66" t="str">
        <f t="shared" si="52"/>
        <v>OK Vihor</v>
      </c>
      <c r="BS16" s="47" t="s">
        <v>0</v>
      </c>
      <c r="BT16" s="82" t="str">
        <f>IF(BN16&lt;&gt;"NEMA","",IF(IFERROR(MATCH(BL16,BL$12:BL15,0),0)&lt;&gt;0,"",BL16))</f>
        <v/>
      </c>
      <c r="BU16" s="47" t="s">
        <v>0</v>
      </c>
      <c r="BV16" s="125"/>
      <c r="BW16" s="47" t="s">
        <v>0</v>
      </c>
      <c r="BX16" s="58" t="str">
        <f t="shared" si="53"/>
        <v/>
      </c>
      <c r="BY16" s="31" t="str">
        <f t="shared" si="54"/>
        <v/>
      </c>
      <c r="BZ16" s="31" t="str">
        <f>IF(BY16="","",MAX(BZ$12:BZ15)+1)</f>
        <v/>
      </c>
      <c r="CA16" s="31" t="str">
        <f>IF(BY16="","",IF(AA16="","",IF(AA16="NEMA",AC16,AA16)))</f>
        <v/>
      </c>
      <c r="CB16" s="31" t="str">
        <f t="shared" si="55"/>
        <v/>
      </c>
      <c r="CC16" s="31" t="str">
        <f>IF(BV16="","",MAX(CC$12:CC15)+1)</f>
        <v/>
      </c>
      <c r="CD16" s="31" t="str">
        <f t="shared" si="56"/>
        <v/>
      </c>
      <c r="CE16" s="66" t="str">
        <f t="shared" si="57"/>
        <v/>
      </c>
      <c r="CF16" s="47" t="s">
        <v>0</v>
      </c>
      <c r="CG16" s="73" t="str">
        <f>IF(BN16="","",IF(BN16&lt;&gt;"NEMA","",IFERROR(INDEX(nat_klubAliasId,MATCH(BL16,nat_noviKluboviAliasi,0)),"")))</f>
        <v/>
      </c>
      <c r="CH16" s="47"/>
      <c r="CI16" s="19" t="str">
        <f t="shared" si="58"/>
        <v/>
      </c>
      <c r="CJ16" s="47" t="s">
        <v>0</v>
      </c>
      <c r="CK16" s="52" t="str">
        <f>IF(X16&lt;&gt;"NEMA","",IF(IFERROR(MATCH(W16,W$12:W15,0),0)&lt;&gt;0,"",W16))</f>
        <v/>
      </c>
      <c r="CL16" s="73" t="str">
        <f>IF(CK16="","",IFERROR(INDEX(regKlub_alias_id,MATCH(CK16,regKlub_alias_alias,0)),"NEMA"))</f>
        <v/>
      </c>
      <c r="CM16" s="31" t="str">
        <f>IF(OR(CL16="",CL16&lt;&gt;"NEMA"),"",MAX(CM$12:CM15)+1)</f>
        <v/>
      </c>
      <c r="CN16" s="66" t="str">
        <f>IF(OR(CL16="",CL16&lt;&gt;"NEMA"),"",INDEX(regKlub_id,MATCH(CK16,regKlub_naziv,0)))</f>
        <v/>
      </c>
      <c r="CO16" s="47" t="s">
        <v>0</v>
      </c>
      <c r="CP16" s="19" t="str">
        <f>IF(OR(CL16="",CL16&lt;&gt;"NEMA"),"","INSERT INTO klub_alias(id,alias,klub_id) VALUES ("&amp;CM16&amp;",'"&amp;CK16&amp;"',"&amp;CN16&amp;");")</f>
        <v/>
      </c>
      <c r="CQ16" s="47" t="s">
        <v>0</v>
      </c>
      <c r="CR16" s="143" t="str">
        <f>IF(BR16="","",IF(BV16="",IF(IFERROR(MATCH(BR16,nat_noviKluboviAliasi,0),0)&gt;0,INDEX(nat_kluboviAliasi,MATCH(BR16,nat_noviKluboviAliasi,0)),BR16),BV16))</f>
        <v>OK Vihor</v>
      </c>
      <c r="CS16" s="47" t="s">
        <v>0</v>
      </c>
      <c r="CT16" s="58" t="str">
        <f>IF(G16="","",G16)</f>
        <v>45:37</v>
      </c>
      <c r="CU16" s="73" t="str">
        <f>IF(H16="","",H16)</f>
        <v>0</v>
      </c>
      <c r="CV16" s="229" t="str">
        <f>IF(CT16="",IF(OR(AL16="",CU16&lt;&gt;"0"),"","GREŠKA"),IF(AND(65535&gt;=VALUE(LEFT(CT16,SEARCH(":",CT16)-1))*60+VALUE(RIGHT(CT16,2)),OR(CU16="0",CU16="1",CU16="2",CU16="3",CU16="4")),"","GREŠKA"))</f>
        <v/>
      </c>
      <c r="CW16" s="230">
        <f t="shared" si="59"/>
        <v>2737</v>
      </c>
      <c r="CX16" s="163">
        <f t="shared" si="24"/>
        <v>1</v>
      </c>
      <c r="CY16" s="47" t="s">
        <v>0</v>
      </c>
      <c r="CZ16" s="222" t="str">
        <f>IF(CV16&lt;&gt;"GREŠKA","",AK16&amp;" "&amp;AL16&amp;" – Molim u OEventu provjeriti i ispraviti rezultat – vrijeme ("&amp;IF(CT16="","nije upisano",CT16)&amp;") i classifier ("&amp;CU16&amp;").")&amp;IF(OR(CV16&lt;&gt;"GREŠKA",CX16&lt;&gt;5),"
","")&amp;IF(CX16&lt;&gt;5,"",AK16&amp;" "&amp;AL16&amp;" – Molim u provjeriti je li natjecatelj zaista diskvalificiran. Ako je koje je obrazloženje, ako nije molim u OEventu ispraviti rezultat")</f>
        <v xml:space="preserve">
</v>
      </c>
      <c r="DA16" s="223">
        <f t="shared" si="60"/>
        <v>6</v>
      </c>
      <c r="DB16" s="47" t="s">
        <v>0</v>
      </c>
      <c r="DC16" s="47"/>
      <c r="DD16" s="47"/>
      <c r="DE16" s="47"/>
      <c r="DF16" s="47" t="s">
        <v>0</v>
      </c>
      <c r="DG16" s="53" t="str">
        <f>IF(BD16="","",IF(DI16="O",1,""))</f>
        <v/>
      </c>
      <c r="DH16" t="s">
        <v>0</v>
      </c>
      <c r="DI16" s="128" t="str">
        <f>IF(Q16="","",LEFT(INDEX(regKategorija_oznaka,MATCH(S16,regKategorija_id,0)),1))</f>
        <v>M</v>
      </c>
      <c r="DJ16" t="s">
        <v>0</v>
      </c>
      <c r="DK16" s="52" t="str">
        <f>IF(BD16="","",IF(M16&lt;&gt;"CRO","","INSERT INTO osoba (id,reg_broj,oib,spol_id,dat_rodjenja) VALUES ("&amp;BD16&amp;",(SELECT max(os.reg_broj)+1 FROM osoba AS os),Null,'"&amp;DI16&amp;"',Null); INSERT INTO osoba_log (id,reg_broj,oib,spol_id,dat_rodjenja,dnevnik_id) SELECT id,reg_broj,oib,spol_id,dat_rodjenja,"&amp;data_dnevnik_id&amp;" FROM osoba WHERE id = "&amp;BD16&amp;";"))</f>
        <v/>
      </c>
      <c r="DL16" s="66" t="str">
        <f>IF(BD16="","","INSERT INTO imeprezime (id,osoba_id,rbr,ime,prezime,klub_id,identitet_id,sintaksa_id,info,aktivno,dnevnik_id) VALUES ("&amp;BD16&amp;","&amp;IF(DK16="","Null",BD16)&amp;",1,'"&amp;IF(AV16&lt;&gt;"",AV16,AK16)&amp;"','"&amp;IF(AW16&lt;&gt;"",AW16,AL16)&amp;"',(SELECT id FROM klub WHERE naziv = '"&amp;CR16&amp;"'),Null,1,'',1,"&amp;data_dnevnik_id&amp;");")</f>
        <v/>
      </c>
      <c r="DM16" t="s">
        <v>0</v>
      </c>
      <c r="DN16" s="19" t="str">
        <f t="shared" si="25"/>
        <v/>
      </c>
      <c r="DO16" s="47" t="s">
        <v>0</v>
      </c>
      <c r="DP16" s="19" t="str">
        <f>IF(BA16="","","INSERT INTO imeprezime_alias(id,alias,imeprezime_id) VALUES ("&amp;BB16&amp;",'"&amp;BA16&amp;"',"&amp;IF(BC16="NEMA",BD16,BC16)&amp;");")</f>
        <v/>
      </c>
      <c r="DQ16" s="47" t="s">
        <v>0</v>
      </c>
      <c r="DR16" s="52" t="str">
        <f>IF(AL16="","",DU16 &amp; IF(Q16="",""," – " &amp; Q16))</f>
        <v>Teo – Mance – OK Vihor – M12</v>
      </c>
      <c r="DS16" s="53">
        <f t="shared" si="26"/>
        <v>784</v>
      </c>
      <c r="DT16" s="47" t="s">
        <v>0</v>
      </c>
      <c r="DU16" s="52" t="str">
        <f>IF(AL16="","",DX16 &amp; IF(CR16="",""," – " &amp; CR16))</f>
        <v>Teo – Mance – OK Vihor</v>
      </c>
      <c r="DV16" s="53">
        <f t="shared" si="27"/>
        <v>784</v>
      </c>
      <c r="DW16" s="47" t="s">
        <v>0</v>
      </c>
      <c r="DX16" s="52" t="str">
        <f>IF(BG16="","",BF16&amp;" – "&amp;BG16)</f>
        <v>Teo – Mance</v>
      </c>
      <c r="DY16" s="53">
        <f t="shared" si="28"/>
        <v>784</v>
      </c>
      <c r="DZ16" s="47" t="s">
        <v>0</v>
      </c>
      <c r="EA16" s="58">
        <f t="shared" si="61"/>
        <v>784</v>
      </c>
      <c r="EB16" s="53" cm="1">
        <f t="array" ref="EB16">IF(EA16&lt;&gt;"",INDEX(regNatjecatelj_id,EA16,0),IF(BD16&lt;&gt;"",BD16,""))</f>
        <v>1207</v>
      </c>
      <c r="EC16" s="47" t="s">
        <v>0</v>
      </c>
      <c r="ED16" s="58" t="str">
        <f>IF(AL16="","",IF(BD16&lt;&gt;"","novo",IF(AN16="","imepre","imepre(ali)")))</f>
        <v>imepre</v>
      </c>
      <c r="EE16" s="73" t="str">
        <f>IF(AL16="","",IF(BL16="",IF(IFERROR(INDEX(regNatjecatelj_klub,MATCH(EB16,regNatjecatelj_id,0)),"NEMA")="","klu",""),IF(OR(AND(BN16&lt;&gt;"",BN16&lt;&gt;"NEMA"),CD16&lt;&gt;""),"klu(ali)",IF(AND(BP16&lt;&gt;"",BP16&lt;&gt;BO16),"(raz-klu)","klu"))))</f>
        <v>klu</v>
      </c>
      <c r="EF16" s="73" t="str">
        <f>IF(AL16="","","kat"&amp;IF(AND(W16&lt;&gt;Q16,Q16&lt;&gt;"Open"),"(ali)",""))</f>
        <v>kat</v>
      </c>
      <c r="EG16" s="73" t="str">
        <f t="shared" si="29"/>
        <v/>
      </c>
      <c r="EH16" s="66" t="str">
        <f>IF(AL16="","",ED16&amp;IF(ED16="novo","","-"&amp;EE16&amp;"-"&amp;EF16)&amp;IF(EG16="","","-"&amp;EG16))</f>
        <v>imepre-klu-kat</v>
      </c>
      <c r="EI16" s="47" t="s">
        <v>0</v>
      </c>
      <c r="EJ16" s="58">
        <f>IF(AL16="","",MAX(EJ$12:EJ15)+1)</f>
        <v>195</v>
      </c>
      <c r="EK16" s="73">
        <f>IF(AO16="","",X16)</f>
        <v>23</v>
      </c>
      <c r="EL16" s="73">
        <f t="shared" si="62"/>
        <v>1207</v>
      </c>
      <c r="EM16" s="73">
        <f t="shared" si="30"/>
        <v>2737</v>
      </c>
      <c r="EN16" s="73">
        <f t="shared" si="31"/>
        <v>1</v>
      </c>
      <c r="EO16" s="73">
        <f t="shared" si="63"/>
        <v>1</v>
      </c>
      <c r="EP16" s="73">
        <f t="shared" si="64"/>
        <v>1</v>
      </c>
      <c r="EQ16" s="73" t="str">
        <f t="shared" si="34"/>
        <v>0</v>
      </c>
      <c r="ER16" s="73" t="str">
        <f>IF(OR(AN16="",AN16="NEMA"),BB16,AN16)</f>
        <v/>
      </c>
      <c r="ES16" s="73" t="str">
        <f>IF(AND(BN16&lt;&gt;"",BN16&lt;&gt;"NEMA"),BN16,IF(CG16&lt;&gt;"",CG16,IF(AND(CL16&lt;&gt;"",CL16&lt;&gt;"NEMA"),CL16,IF(CM16&lt;&gt;"",CM16,""))))</f>
        <v/>
      </c>
      <c r="ET16" s="53" t="str">
        <f>IF(INDEX(natKategorija_alias_Id,MATCH(S16,natKategorija_katRegId,0))="","",INDEX(natKategorija_alias_Id,MATCH(S16,natKategorija_katRegId,0)))</f>
        <v/>
      </c>
      <c r="EU16" s="47" t="s">
        <v>0</v>
      </c>
      <c r="EV16" s="19" t="str">
        <f t="shared" si="65"/>
        <v>INSERT INTO rezultat(id,stazakategorija_id,imeprezime_id,vrijeme_sec,status_id,registracija,uparivanje_id,originalstatus_id,imeprezimealias_id,klubalias_id,kategorijaalias_id) VALUES (195,23,1207,2737,1,1,1,0,Null,Null,Null);</v>
      </c>
      <c r="EW16" s="47" t="s">
        <v>0</v>
      </c>
      <c r="EX16" s="19" t="str">
        <f t="shared" si="66"/>
        <v>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16" s="47" t="s">
        <v>0</v>
      </c>
      <c r="EZ16" s="180" t="str">
        <f>AG16&amp;IF(CP16="","","
")&amp;CP16&amp;IF(CI16="","","
")&amp;CI16&amp;IF(DN16="","","
")&amp;DN16&amp;IF(DP16="","","
")&amp;DP16&amp;IF(EV16="","","
")&amp;EV16&amp;IF(EX16="","","
")&amp;EX16</f>
        <v xml:space="preserve">
INSERT INTO rezultat(id,stazakategorija_id,imeprezime_id,vrijeme_sec,status_id,registracija,uparivanje_id,originalstatus_id,imeprezimealias_id,klubalias_id,kategorijaalias_id) VALUES (195,23,1207,2737,1,1,1,0,Null,Null,Null);
UPDATE
	registar
SET
	potvrda = 1
WHERE
	imeprezime_id=1207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16" s="47" t="s">
        <v>0</v>
      </c>
      <c r="FB16" s="299" t="s">
        <v>72</v>
      </c>
      <c r="FC16" s="300"/>
      <c r="FD16" s="300"/>
      <c r="FE16" s="300"/>
      <c r="FF16" s="300"/>
      <c r="FG16" s="300"/>
      <c r="FH16" s="300"/>
      <c r="FI16" s="300"/>
      <c r="FJ16" s="300"/>
      <c r="FK16" s="300"/>
      <c r="FL16" s="300"/>
      <c r="FM16" s="301"/>
    </row>
    <row r="17" spans="1:169" ht="15.75" thickBot="1" x14ac:dyDescent="0.3">
      <c r="A17" t="s">
        <v>0</v>
      </c>
      <c r="B17" s="52" t="str">
        <f>IF(csv!F7="","",csv!T7)</f>
        <v>M12</v>
      </c>
      <c r="C17" s="31" t="s">
        <v>0</v>
      </c>
      <c r="D17" s="31" t="str">
        <f>IF(csv!F7="","",csv!F7)</f>
        <v>Ivan</v>
      </c>
      <c r="E17" s="31" t="str">
        <f>IF(csv!E7="","",csv!E7)</f>
        <v>Petravić</v>
      </c>
      <c r="F17" s="31" t="s">
        <v>0</v>
      </c>
      <c r="G17" s="73" t="str">
        <f>IF(csv!M7="","",csv!M7)</f>
        <v>73:16</v>
      </c>
      <c r="H17" s="73" t="str">
        <f>IF(csv!N7="","",csv!N7)</f>
        <v>0</v>
      </c>
      <c r="I17" s="31" t="s">
        <v>0</v>
      </c>
      <c r="J17" s="31" t="str">
        <f>IF(csv!P7="","",csv!P7)</f>
        <v>JAP</v>
      </c>
      <c r="K17" s="31" t="str">
        <f>IF(csv!Q7="","",csv!Q7)</f>
        <v>OK Japetic</v>
      </c>
      <c r="L17" s="31" t="s">
        <v>0</v>
      </c>
      <c r="M17" s="66" t="str">
        <f>IF(csv!R7="","",csv!R7)</f>
        <v>CRO</v>
      </c>
      <c r="N17" s="47" t="s">
        <v>0</v>
      </c>
      <c r="O17" s="243" t="str">
        <f t="shared" si="36"/>
        <v>ok</v>
      </c>
      <c r="P17" s="47"/>
      <c r="Q17" s="52" t="str">
        <f t="shared" si="37"/>
        <v>M12</v>
      </c>
      <c r="R17" s="73">
        <f>IF(Q17="","",IF(COUNTIF(Q$12:Q16,Q17)=0,R16+1,R16))</f>
        <v>1</v>
      </c>
      <c r="S17" s="73">
        <f t="shared" si="38"/>
        <v>112</v>
      </c>
      <c r="T17" s="73">
        <f t="shared" si="1"/>
        <v>22</v>
      </c>
      <c r="U17" s="66" t="str">
        <f t="shared" si="2"/>
        <v>M12 – Ž12</v>
      </c>
      <c r="V17" s="47" t="s">
        <v>0</v>
      </c>
      <c r="W17" s="222" t="str">
        <f t="shared" si="3"/>
        <v>M12</v>
      </c>
      <c r="X17" s="223">
        <f t="shared" si="4"/>
        <v>23</v>
      </c>
      <c r="Y17" s="47" t="s">
        <v>0</v>
      </c>
      <c r="Z17" s="52" t="str">
        <f t="shared" si="39"/>
        <v>CRO</v>
      </c>
      <c r="AA17" s="73">
        <f t="shared" si="5"/>
        <v>1</v>
      </c>
      <c r="AB17" s="31" t="str">
        <f t="shared" si="40"/>
        <v/>
      </c>
      <c r="AC17" s="66" t="str">
        <f>IF(AB17="","",MAX(AC$12:AC16)+1)</f>
        <v/>
      </c>
      <c r="AD17" s="47" t="s">
        <v>0</v>
      </c>
      <c r="AE17" s="125"/>
      <c r="AF17" s="47" t="s">
        <v>0</v>
      </c>
      <c r="AG17" s="19" t="str">
        <f t="shared" si="41"/>
        <v/>
      </c>
      <c r="AH17" s="47" t="s">
        <v>0</v>
      </c>
      <c r="AI17" s="143" t="str">
        <f t="shared" si="42"/>
        <v>CRO</v>
      </c>
      <c r="AJ17" s="47"/>
      <c r="AK17" s="52" t="str">
        <f t="shared" si="43"/>
        <v>Ivan</v>
      </c>
      <c r="AL17" s="31" t="str">
        <f t="shared" si="44"/>
        <v>Petravić</v>
      </c>
      <c r="AM17" s="73">
        <f t="shared" si="45"/>
        <v>1855</v>
      </c>
      <c r="AN17" s="73" t="str">
        <f t="shared" si="46"/>
        <v/>
      </c>
      <c r="AO17" s="31" t="str">
        <f t="shared" si="8"/>
        <v>Ivan</v>
      </c>
      <c r="AP17" s="66" t="str">
        <f t="shared" si="9"/>
        <v>Petravić</v>
      </c>
      <c r="AQ17" s="47" t="s">
        <v>0</v>
      </c>
      <c r="AR17" s="82" t="str">
        <f t="shared" si="47"/>
        <v/>
      </c>
      <c r="AS17" s="47" t="s">
        <v>0</v>
      </c>
      <c r="AT17" s="19" t="str">
        <f t="shared" si="48"/>
        <v/>
      </c>
      <c r="AU17" s="47" t="s">
        <v>0</v>
      </c>
      <c r="AV17" s="103"/>
      <c r="AW17" s="105"/>
      <c r="AX17" s="47" t="s">
        <v>0</v>
      </c>
      <c r="AY17" s="256" t="str">
        <f t="shared" si="10"/>
        <v/>
      </c>
      <c r="AZ17" s="47" t="s">
        <v>0</v>
      </c>
      <c r="BA17" s="52" t="str">
        <f t="shared" si="11"/>
        <v/>
      </c>
      <c r="BB17" s="73" t="str">
        <f>IF(AV17&amp;AW17="","",MAX(BB$12:BB16)+1)</f>
        <v/>
      </c>
      <c r="BC17" s="268" t="str">
        <f t="shared" si="12"/>
        <v/>
      </c>
      <c r="BD17" s="53" t="str">
        <f>IF(AND(AM17="NEMA",AN17="NEMA",OR(AV17&amp;AW17="",BC17="NEMA")),MAX(BD$12:BD16)+1,"")</f>
        <v/>
      </c>
      <c r="BE17" s="47" t="s">
        <v>0</v>
      </c>
      <c r="BF17" s="52" t="str">
        <f t="shared" si="13"/>
        <v>Ivan</v>
      </c>
      <c r="BG17" s="31" t="str">
        <f t="shared" si="14"/>
        <v>Petravić</v>
      </c>
      <c r="BH17" s="73" t="str">
        <f t="shared" si="49"/>
        <v/>
      </c>
      <c r="BI17" s="53">
        <f t="shared" si="50"/>
        <v>1855</v>
      </c>
      <c r="BJ17" s="47" t="s">
        <v>0</v>
      </c>
      <c r="BK17" s="52" t="str">
        <f t="shared" si="15"/>
        <v>JAP</v>
      </c>
      <c r="BL17" s="265" t="str">
        <f t="shared" si="16"/>
        <v>OK Japetic</v>
      </c>
      <c r="BM17" s="73" t="str">
        <f t="shared" si="17"/>
        <v>NEMA</v>
      </c>
      <c r="BN17" s="73">
        <f t="shared" si="18"/>
        <v>1</v>
      </c>
      <c r="BO17" s="31" t="str" cm="1">
        <f t="array" ref="BO17">IF(BN17="",""&amp;BL17,IF(BN17="NEMA",BL17,INDEX(regKlub_naziv,MATCH(INDEX(regKlub_alias_klubId,BN17),regKlub_id,0))))</f>
        <v>OK Japetić</v>
      </c>
      <c r="BP17" s="31" t="str" cm="1">
        <f t="array" ref="BP17">IFERROR(""&amp;INDEX(regNatjecatelj_klub,DY17),"")</f>
        <v>OK Japetić</v>
      </c>
      <c r="BQ17" s="88" t="str">
        <f t="shared" si="51"/>
        <v/>
      </c>
      <c r="BR17" s="66" t="str">
        <f t="shared" si="52"/>
        <v>OK Japetić</v>
      </c>
      <c r="BS17" s="47" t="s">
        <v>0</v>
      </c>
      <c r="BT17" s="82" t="str">
        <f>IF(BN17&lt;&gt;"NEMA","",IF(IFERROR(MATCH(BL17,BL$12:BL16,0),0)&lt;&gt;0,"",BL17))</f>
        <v/>
      </c>
      <c r="BU17" s="47" t="s">
        <v>0</v>
      </c>
      <c r="BV17" s="125"/>
      <c r="BW17" s="47" t="s">
        <v>0</v>
      </c>
      <c r="BX17" s="58" t="str">
        <f t="shared" si="53"/>
        <v/>
      </c>
      <c r="BY17" s="31" t="str">
        <f t="shared" si="54"/>
        <v/>
      </c>
      <c r="BZ17" s="31" t="str">
        <f>IF(BY17="","",MAX(BZ$12:BZ16)+1)</f>
        <v/>
      </c>
      <c r="CA17" s="31" t="str">
        <f>IF(BY17="","",IF(AA17="","",IF(AA17="NEMA",AC17,AA17)))</f>
        <v/>
      </c>
      <c r="CB17" s="31" t="str">
        <f t="shared" si="55"/>
        <v/>
      </c>
      <c r="CC17" s="31" t="str">
        <f>IF(BV17="","",MAX(CC$12:CC16)+1)</f>
        <v/>
      </c>
      <c r="CD17" s="31" t="str">
        <f t="shared" si="56"/>
        <v/>
      </c>
      <c r="CE17" s="66" t="str">
        <f t="shared" si="57"/>
        <v/>
      </c>
      <c r="CF17" s="47" t="s">
        <v>0</v>
      </c>
      <c r="CG17" s="73" t="str">
        <f>IF(BN17="","",IF(BN17&lt;&gt;"NEMA","",IFERROR(INDEX(nat_klubAliasId,MATCH(BL17,nat_noviKluboviAliasi,0)),"")))</f>
        <v/>
      </c>
      <c r="CH17" s="47"/>
      <c r="CI17" s="19" t="str">
        <f t="shared" si="58"/>
        <v/>
      </c>
      <c r="CJ17" s="47" t="s">
        <v>0</v>
      </c>
      <c r="CK17" s="52" t="str">
        <f>IF(X17&lt;&gt;"NEMA","",IF(IFERROR(MATCH(W17,W$12:W16,0),0)&lt;&gt;0,"",W17))</f>
        <v/>
      </c>
      <c r="CL17" s="73" t="str">
        <f>IF(CK17="","",IFERROR(INDEX(regKlub_alias_id,MATCH(CK17,regKlub_alias_alias,0)),"NEMA"))</f>
        <v/>
      </c>
      <c r="CM17" s="31" t="str">
        <f>IF(OR(CL17="",CL17&lt;&gt;"NEMA"),"",MAX(CM$12:CM16)+1)</f>
        <v/>
      </c>
      <c r="CN17" s="66" t="str">
        <f>IF(OR(CL17="",CL17&lt;&gt;"NEMA"),"",INDEX(regKlub_id,MATCH(CK17,regKlub_naziv,0)))</f>
        <v/>
      </c>
      <c r="CO17" s="47" t="s">
        <v>0</v>
      </c>
      <c r="CP17" s="19" t="str">
        <f>IF(OR(CL17="",CL17&lt;&gt;"NEMA"),"","INSERT INTO klub_alias(id,alias,klub_id) VALUES ("&amp;CM17&amp;",'"&amp;CK17&amp;"',"&amp;CN17&amp;");")</f>
        <v/>
      </c>
      <c r="CQ17" s="47" t="s">
        <v>0</v>
      </c>
      <c r="CR17" s="143" t="str">
        <f>IF(BR17="","",IF(BV17="",IF(IFERROR(MATCH(BR17,nat_noviKluboviAliasi,0),0)&gt;0,INDEX(nat_kluboviAliasi,MATCH(BR17,nat_noviKluboviAliasi,0)),BR17),BV17))</f>
        <v>OK Japetić</v>
      </c>
      <c r="CS17" s="47" t="s">
        <v>0</v>
      </c>
      <c r="CT17" s="58" t="str">
        <f>IF(G17="","",G17)</f>
        <v>73:16</v>
      </c>
      <c r="CU17" s="73" t="str">
        <f>IF(H17="","",H17)</f>
        <v>0</v>
      </c>
      <c r="CV17" s="229" t="str">
        <f>IF(CT17="",IF(OR(AL17="",CU17&lt;&gt;"0"),"","GREŠKA"),IF(AND(65535&gt;=VALUE(LEFT(CT17,SEARCH(":",CT17)-1))*60+VALUE(RIGHT(CT17,2)),OR(CU17="0",CU17="1",CU17="2",CU17="3",CU17="4")),"","GREŠKA"))</f>
        <v/>
      </c>
      <c r="CW17" s="230">
        <f t="shared" si="59"/>
        <v>4396</v>
      </c>
      <c r="CX17" s="163">
        <f t="shared" si="24"/>
        <v>1</v>
      </c>
      <c r="CY17" s="47" t="s">
        <v>0</v>
      </c>
      <c r="CZ17" s="222" t="str">
        <f>IF(CV17&lt;&gt;"GREŠKA","",AK17&amp;" "&amp;AL17&amp;" – Molim u OEventu provjeriti i ispraviti rezultat – vrijeme ("&amp;IF(CT17="","nije upisano",CT17)&amp;") i classifier ("&amp;CU17&amp;").")&amp;IF(OR(CV17&lt;&gt;"GREŠKA",CX17&lt;&gt;5),"
","")&amp;IF(CX17&lt;&gt;5,"",AK17&amp;" "&amp;AL17&amp;" – Molim u provjeriti je li natjecatelj zaista diskvalificiran. Ako je koje je obrazloženje, ako nije molim u OEventu ispraviti rezultat")</f>
        <v xml:space="preserve">
</v>
      </c>
      <c r="DA17" s="223">
        <f t="shared" si="60"/>
        <v>6</v>
      </c>
      <c r="DB17" s="47" t="s">
        <v>0</v>
      </c>
      <c r="DC17" s="47"/>
      <c r="DD17" s="47"/>
      <c r="DE17" s="47"/>
      <c r="DF17" s="47" t="s">
        <v>0</v>
      </c>
      <c r="DG17" s="53" t="str">
        <f>IF(BD17="","",IF(DI17="O",1,""))</f>
        <v/>
      </c>
      <c r="DH17" t="s">
        <v>0</v>
      </c>
      <c r="DI17" s="128" t="str">
        <f>IF(Q17="","",LEFT(INDEX(regKategorija_oznaka,MATCH(S17,regKategorija_id,0)),1))</f>
        <v>M</v>
      </c>
      <c r="DJ17" t="s">
        <v>0</v>
      </c>
      <c r="DK17" s="52" t="str">
        <f>IF(BD17="","",IF(M17&lt;&gt;"CRO","","INSERT INTO osoba (id,reg_broj,oib,spol_id,dat_rodjenja) VALUES ("&amp;BD17&amp;",(SELECT max(os.reg_broj)+1 FROM osoba AS os),Null,'"&amp;DI17&amp;"',Null); INSERT INTO osoba_log (id,reg_broj,oib,spol_id,dat_rodjenja,dnevnik_id) SELECT id,reg_broj,oib,spol_id,dat_rodjenja,"&amp;data_dnevnik_id&amp;" FROM osoba WHERE id = "&amp;BD17&amp;";"))</f>
        <v/>
      </c>
      <c r="DL17" s="66" t="str">
        <f>IF(BD17="","","INSERT INTO imeprezime (id,osoba_id,rbr,ime,prezime,klub_id,identitet_id,sintaksa_id,info,aktivno,dnevnik_id) VALUES ("&amp;BD17&amp;","&amp;IF(DK17="","Null",BD17)&amp;",1,'"&amp;IF(AV17&lt;&gt;"",AV17,AK17)&amp;"','"&amp;IF(AW17&lt;&gt;"",AW17,AL17)&amp;"',(SELECT id FROM klub WHERE naziv = '"&amp;CR17&amp;"'),Null,1,'',1,"&amp;data_dnevnik_id&amp;");")</f>
        <v/>
      </c>
      <c r="DM17" t="s">
        <v>0</v>
      </c>
      <c r="DN17" s="19" t="str">
        <f t="shared" si="25"/>
        <v/>
      </c>
      <c r="DO17" s="47" t="s">
        <v>0</v>
      </c>
      <c r="DP17" s="19" t="str">
        <f>IF(BA17="","","INSERT INTO imeprezime_alias(id,alias,imeprezime_id) VALUES ("&amp;BB17&amp;",'"&amp;BA17&amp;"',"&amp;IF(BC17="NEMA",BD17,BC17)&amp;");")</f>
        <v/>
      </c>
      <c r="DQ17" s="47" t="s">
        <v>0</v>
      </c>
      <c r="DR17" s="52" t="str">
        <f>IF(AL17="","",DU17 &amp; IF(Q17="",""," – " &amp; Q17))</f>
        <v>Ivan – Petravić – OK Japetić – M12</v>
      </c>
      <c r="DS17" s="53">
        <f t="shared" si="26"/>
        <v>128</v>
      </c>
      <c r="DT17" s="47" t="s">
        <v>0</v>
      </c>
      <c r="DU17" s="52" t="str">
        <f>IF(AL17="","",DX17 &amp; IF(CR17="",""," – " &amp; CR17))</f>
        <v>Ivan – Petravić – OK Japetić</v>
      </c>
      <c r="DV17" s="53">
        <f t="shared" si="27"/>
        <v>128</v>
      </c>
      <c r="DW17" s="47" t="s">
        <v>0</v>
      </c>
      <c r="DX17" s="52" t="str">
        <f>IF(BG17="","",BF17&amp;" – "&amp;BG17)</f>
        <v>Ivan – Petravić</v>
      </c>
      <c r="DY17" s="53">
        <f t="shared" si="28"/>
        <v>128</v>
      </c>
      <c r="DZ17" s="47" t="s">
        <v>0</v>
      </c>
      <c r="EA17" s="58">
        <f t="shared" si="61"/>
        <v>128</v>
      </c>
      <c r="EB17" s="53" cm="1">
        <f t="array" ref="EB17">IF(EA17&lt;&gt;"",INDEX(regNatjecatelj_id,EA17,0),IF(BD17&lt;&gt;"",BD17,""))</f>
        <v>1855</v>
      </c>
      <c r="EC17" s="47" t="s">
        <v>0</v>
      </c>
      <c r="ED17" s="58" t="str">
        <f>IF(AL17="","",IF(BD17&lt;&gt;"","novo",IF(AN17="","imepre","imepre(ali)")))</f>
        <v>imepre</v>
      </c>
      <c r="EE17" s="73" t="str">
        <f>IF(AL17="","",IF(BL17="",IF(IFERROR(INDEX(regNatjecatelj_klub,MATCH(EB17,regNatjecatelj_id,0)),"NEMA")="","klu",""),IF(OR(AND(BN17&lt;&gt;"",BN17&lt;&gt;"NEMA"),CD17&lt;&gt;""),"klu(ali)",IF(AND(BP17&lt;&gt;"",BP17&lt;&gt;BO17),"(raz-klu)","klu"))))</f>
        <v>klu(ali)</v>
      </c>
      <c r="EF17" s="73" t="str">
        <f>IF(AL17="","","kat"&amp;IF(AND(W17&lt;&gt;Q17,Q17&lt;&gt;"Open"),"(ali)",""))</f>
        <v>kat</v>
      </c>
      <c r="EG17" s="73" t="str">
        <f t="shared" si="29"/>
        <v/>
      </c>
      <c r="EH17" s="66" t="str">
        <f>IF(AL17="","",ED17&amp;IF(ED17="novo","","-"&amp;EE17&amp;"-"&amp;EF17)&amp;IF(EG17="","","-"&amp;EG17))</f>
        <v>imepre-klu(ali)-kat</v>
      </c>
      <c r="EI17" s="47" t="s">
        <v>0</v>
      </c>
      <c r="EJ17" s="58">
        <f>IF(AL17="","",MAX(EJ$12:EJ16)+1)</f>
        <v>196</v>
      </c>
      <c r="EK17" s="73">
        <f>IF(AO17="","",X17)</f>
        <v>23</v>
      </c>
      <c r="EL17" s="73">
        <f t="shared" si="62"/>
        <v>1855</v>
      </c>
      <c r="EM17" s="73">
        <f t="shared" si="30"/>
        <v>4396</v>
      </c>
      <c r="EN17" s="73">
        <f t="shared" si="31"/>
        <v>1</v>
      </c>
      <c r="EO17" s="73">
        <f t="shared" si="63"/>
        <v>1</v>
      </c>
      <c r="EP17" s="73">
        <f t="shared" si="64"/>
        <v>3</v>
      </c>
      <c r="EQ17" s="73" t="str">
        <f t="shared" si="34"/>
        <v>0</v>
      </c>
      <c r="ER17" s="73" t="str">
        <f>IF(OR(AN17="",AN17="NEMA"),BB17,AN17)</f>
        <v/>
      </c>
      <c r="ES17" s="73">
        <f>IF(AND(BN17&lt;&gt;"",BN17&lt;&gt;"NEMA"),BN17,IF(CG17&lt;&gt;"",CG17,IF(AND(CL17&lt;&gt;"",CL17&lt;&gt;"NEMA"),CL17,IF(CM17&lt;&gt;"",CM17,""))))</f>
        <v>1</v>
      </c>
      <c r="ET17" s="53" t="str">
        <f>IF(INDEX(natKategorija_alias_Id,MATCH(S17,natKategorija_katRegId,0))="","",INDEX(natKategorija_alias_Id,MATCH(S17,natKategorija_katRegId,0)))</f>
        <v/>
      </c>
      <c r="EU17" s="47" t="s">
        <v>0</v>
      </c>
      <c r="EV17" s="19" t="str">
        <f t="shared" si="65"/>
        <v>INSERT INTO rezultat(id,stazakategorija_id,imeprezime_id,vrijeme_sec,status_id,registracija,uparivanje_id,originalstatus_id,imeprezimealias_id,klubalias_id,kategorijaalias_id) VALUES (196,23,1855,4396,1,1,3,0,Null,1,Null);</v>
      </c>
      <c r="EW17" s="47" t="s">
        <v>0</v>
      </c>
      <c r="EX17" s="19" t="str">
        <f t="shared" si="66"/>
        <v>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17" s="47" t="s">
        <v>0</v>
      </c>
      <c r="EZ17" s="180" t="str">
        <f>AG17&amp;IF(CP17="","","
")&amp;CP17&amp;IF(CI17="","","
")&amp;CI17&amp;IF(DN17="","","
")&amp;DN17&amp;IF(DP17="","","
")&amp;DP17&amp;IF(EV17="","","
")&amp;EV17&amp;IF(EX17="","","
")&amp;EX17</f>
        <v xml:space="preserve">
INSERT INTO rezultat(id,stazakategorija_id,imeprezime_id,vrijeme_sec,status_id,registracija,uparivanje_id,originalstatus_id,imeprezimealias_id,klubalias_id,kategorijaalias_id) VALUES (196,23,1855,4396,1,1,3,0,Null,1,Null);
UPDATE
	registar
SET
	potvrda = 1
WHERE
	imeprezime_id=1855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17" s="47" t="s">
        <v>0</v>
      </c>
      <c r="FB17" s="290" t="s">
        <v>218</v>
      </c>
      <c r="FC17" s="291"/>
      <c r="FD17" s="291"/>
      <c r="FE17" s="291"/>
      <c r="FF17" s="291"/>
      <c r="FG17" s="291"/>
      <c r="FH17" s="291"/>
      <c r="FI17" s="291"/>
      <c r="FJ17" s="291"/>
      <c r="FK17" s="291"/>
      <c r="FL17" s="291"/>
      <c r="FM17" s="292"/>
    </row>
    <row r="18" spans="1:169" ht="15.75" thickBot="1" x14ac:dyDescent="0.3">
      <c r="A18" t="s">
        <v>0</v>
      </c>
      <c r="B18" s="52" t="str">
        <f>IF(csv!F8="","",csv!T8)</f>
        <v>M12</v>
      </c>
      <c r="C18" s="31" t="s">
        <v>0</v>
      </c>
      <c r="D18" s="31" t="str">
        <f>IF(csv!F8="","",csv!F8)</f>
        <v>Petar</v>
      </c>
      <c r="E18" s="31" t="str">
        <f>IF(csv!E8="","",csv!E8)</f>
        <v>Kaniški</v>
      </c>
      <c r="F18" s="31" t="s">
        <v>0</v>
      </c>
      <c r="G18" s="73" t="str">
        <f>IF(csv!M8="","",csv!M8)</f>
        <v/>
      </c>
      <c r="H18" s="73" t="str">
        <f>IF(csv!N8="","",csv!N8)</f>
        <v>2</v>
      </c>
      <c r="I18" s="31" t="s">
        <v>0</v>
      </c>
      <c r="J18" s="31" t="str">
        <f>IF(csv!P8="","",csv!P8)</f>
        <v>Maksimir</v>
      </c>
      <c r="K18" s="31" t="str">
        <f>IF(csv!Q8="","",csv!Q8)</f>
        <v>OK Maksimir</v>
      </c>
      <c r="L18" s="31" t="s">
        <v>0</v>
      </c>
      <c r="M18" s="66" t="str">
        <f>IF(csv!R8="","",csv!R8)</f>
        <v>CRO</v>
      </c>
      <c r="N18" s="47" t="s">
        <v>0</v>
      </c>
      <c r="O18" s="243" t="str">
        <f t="shared" si="36"/>
        <v>ok</v>
      </c>
      <c r="P18" s="47"/>
      <c r="Q18" s="52" t="str">
        <f t="shared" si="37"/>
        <v>M12</v>
      </c>
      <c r="R18" s="73">
        <f>IF(Q18="","",IF(COUNTIF(Q$12:Q17,Q18)=0,R17+1,R17))</f>
        <v>1</v>
      </c>
      <c r="S18" s="73">
        <f t="shared" si="38"/>
        <v>112</v>
      </c>
      <c r="T18" s="73">
        <f t="shared" si="1"/>
        <v>22</v>
      </c>
      <c r="U18" s="66" t="str">
        <f t="shared" si="2"/>
        <v>M12 – Ž12</v>
      </c>
      <c r="V18" s="47" t="s">
        <v>0</v>
      </c>
      <c r="W18" s="222" t="str">
        <f t="shared" si="3"/>
        <v>M12</v>
      </c>
      <c r="X18" s="223">
        <f t="shared" si="4"/>
        <v>23</v>
      </c>
      <c r="Y18" s="47" t="s">
        <v>0</v>
      </c>
      <c r="Z18" s="52" t="str">
        <f t="shared" si="39"/>
        <v>CRO</v>
      </c>
      <c r="AA18" s="73">
        <f t="shared" si="5"/>
        <v>1</v>
      </c>
      <c r="AB18" s="31" t="str">
        <f t="shared" si="40"/>
        <v/>
      </c>
      <c r="AC18" s="66" t="str">
        <f>IF(AB18="","",MAX(AC$12:AC17)+1)</f>
        <v/>
      </c>
      <c r="AD18" s="47" t="s">
        <v>0</v>
      </c>
      <c r="AE18" s="125"/>
      <c r="AF18" s="47" t="s">
        <v>0</v>
      </c>
      <c r="AG18" s="19" t="str">
        <f t="shared" si="41"/>
        <v/>
      </c>
      <c r="AH18" s="47" t="s">
        <v>0</v>
      </c>
      <c r="AI18" s="143" t="str">
        <f t="shared" si="42"/>
        <v>CRO</v>
      </c>
      <c r="AJ18" s="47"/>
      <c r="AK18" s="52" t="str">
        <f t="shared" si="43"/>
        <v>Petar</v>
      </c>
      <c r="AL18" s="31" t="str">
        <f t="shared" si="44"/>
        <v>Kaniški</v>
      </c>
      <c r="AM18" s="73">
        <f t="shared" si="45"/>
        <v>1321</v>
      </c>
      <c r="AN18" s="73" t="str">
        <f t="shared" si="46"/>
        <v/>
      </c>
      <c r="AO18" s="31" t="str">
        <f t="shared" si="8"/>
        <v>Petar</v>
      </c>
      <c r="AP18" s="66" t="str">
        <f t="shared" si="9"/>
        <v>Kaniški</v>
      </c>
      <c r="AQ18" s="47" t="s">
        <v>0</v>
      </c>
      <c r="AR18" s="82" t="str">
        <f t="shared" si="47"/>
        <v/>
      </c>
      <c r="AS18" s="47" t="s">
        <v>0</v>
      </c>
      <c r="AT18" s="19" t="str">
        <f t="shared" si="48"/>
        <v/>
      </c>
      <c r="AU18" s="47" t="s">
        <v>0</v>
      </c>
      <c r="AV18" s="103"/>
      <c r="AW18" s="105"/>
      <c r="AX18" s="47" t="s">
        <v>0</v>
      </c>
      <c r="AY18" s="256" t="str">
        <f t="shared" si="10"/>
        <v/>
      </c>
      <c r="AZ18" s="47" t="s">
        <v>0</v>
      </c>
      <c r="BA18" s="52" t="str">
        <f t="shared" si="11"/>
        <v/>
      </c>
      <c r="BB18" s="73" t="str">
        <f>IF(AV18&amp;AW18="","",MAX(BB$12:BB17)+1)</f>
        <v/>
      </c>
      <c r="BC18" s="268" t="str">
        <f t="shared" si="12"/>
        <v/>
      </c>
      <c r="BD18" s="53" t="str">
        <f>IF(AND(AM18="NEMA",AN18="NEMA",OR(AV18&amp;AW18="",BC18="NEMA")),MAX(BD$12:BD17)+1,"")</f>
        <v/>
      </c>
      <c r="BE18" s="47" t="s">
        <v>0</v>
      </c>
      <c r="BF18" s="52" t="str">
        <f t="shared" si="13"/>
        <v>Petar</v>
      </c>
      <c r="BG18" s="31" t="str">
        <f t="shared" si="14"/>
        <v>Kaniški</v>
      </c>
      <c r="BH18" s="73" t="str">
        <f t="shared" si="49"/>
        <v/>
      </c>
      <c r="BI18" s="53">
        <f t="shared" si="50"/>
        <v>1321</v>
      </c>
      <c r="BJ18" s="47" t="s">
        <v>0</v>
      </c>
      <c r="BK18" s="263" t="str">
        <f t="shared" si="15"/>
        <v>Maksimir</v>
      </c>
      <c r="BL18" s="274" t="s">
        <v>425</v>
      </c>
      <c r="BM18" s="264">
        <f t="shared" si="17"/>
        <v>12</v>
      </c>
      <c r="BN18" s="73" t="str">
        <f t="shared" si="18"/>
        <v/>
      </c>
      <c r="BO18" s="31" t="str" cm="1">
        <f t="array" ref="BO18">IF(BN18="",""&amp;BL18,IF(BN18="NEMA",BL18,INDEX(regKlub_naziv,MATCH(INDEX(regKlub_alias_klubId,BN18),regKlub_id,0))))</f>
        <v>OK Vihor</v>
      </c>
      <c r="BP18" s="31" t="str" cm="1">
        <f t="array" ref="BP18">IFERROR(""&amp;INDEX(regNatjecatelj_klub,DY18),"")</f>
        <v>OK Maksimir</v>
      </c>
      <c r="BQ18" s="88">
        <f t="shared" si="51"/>
        <v>1</v>
      </c>
      <c r="BR18" s="66" t="str">
        <f t="shared" si="52"/>
        <v>OK Maksimir</v>
      </c>
      <c r="BS18" s="47" t="s">
        <v>0</v>
      </c>
      <c r="BT18" s="82" t="str">
        <f>IF(BN18&lt;&gt;"NEMA","",IF(IFERROR(MATCH(BL18,BL$12:BL17,0),0)&lt;&gt;0,"",BL18))</f>
        <v/>
      </c>
      <c r="BU18" s="47" t="s">
        <v>0</v>
      </c>
      <c r="BV18" s="125"/>
      <c r="BW18" s="47" t="s">
        <v>0</v>
      </c>
      <c r="BX18" s="58" t="str">
        <f t="shared" si="53"/>
        <v/>
      </c>
      <c r="BY18" s="31" t="str">
        <f t="shared" si="54"/>
        <v/>
      </c>
      <c r="BZ18" s="31" t="str">
        <f>IF(BY18="","",MAX(BZ$12:BZ17)+1)</f>
        <v/>
      </c>
      <c r="CA18" s="31" t="str">
        <f>IF(BY18="","",IF(AA18="","",IF(AA18="NEMA",AC18,AA18)))</f>
        <v/>
      </c>
      <c r="CB18" s="31" t="str">
        <f t="shared" si="55"/>
        <v/>
      </c>
      <c r="CC18" s="31" t="str">
        <f>IF(BV18="","",MAX(CC$12:CC17)+1)</f>
        <v/>
      </c>
      <c r="CD18" s="31" t="str">
        <f t="shared" si="56"/>
        <v/>
      </c>
      <c r="CE18" s="66" t="str">
        <f t="shared" si="57"/>
        <v/>
      </c>
      <c r="CF18" s="47" t="s">
        <v>0</v>
      </c>
      <c r="CG18" s="73" t="str">
        <f>IF(BN18="","",IF(BN18&lt;&gt;"NEMA","",IFERROR(INDEX(nat_klubAliasId,MATCH(BL18,nat_noviKluboviAliasi,0)),"")))</f>
        <v/>
      </c>
      <c r="CH18" s="47"/>
      <c r="CI18" s="19" t="str">
        <f t="shared" si="58"/>
        <v/>
      </c>
      <c r="CJ18" s="47" t="s">
        <v>0</v>
      </c>
      <c r="CK18" s="52" t="str">
        <f>IF(X18&lt;&gt;"NEMA","",IF(IFERROR(MATCH(W18,W$12:W17,0),0)&lt;&gt;0,"",W18))</f>
        <v/>
      </c>
      <c r="CL18" s="73" t="str">
        <f>IF(CK18="","",IFERROR(INDEX(regKlub_alias_id,MATCH(CK18,regKlub_alias_alias,0)),"NEMA"))</f>
        <v/>
      </c>
      <c r="CM18" s="31" t="str">
        <f>IF(OR(CL18="",CL18&lt;&gt;"NEMA"),"",MAX(CM$12:CM17)+1)</f>
        <v/>
      </c>
      <c r="CN18" s="66" t="str">
        <f>IF(OR(CL18="",CL18&lt;&gt;"NEMA"),"",INDEX(regKlub_id,MATCH(CK18,regKlub_naziv,0)))</f>
        <v/>
      </c>
      <c r="CO18" s="47" t="s">
        <v>0</v>
      </c>
      <c r="CP18" s="19" t="str">
        <f>IF(OR(CL18="",CL18&lt;&gt;"NEMA"),"","INSERT INTO klub_alias(id,alias,klub_id) VALUES ("&amp;CM18&amp;",'"&amp;CK18&amp;"',"&amp;CN18&amp;");")</f>
        <v/>
      </c>
      <c r="CQ18" s="47" t="s">
        <v>0</v>
      </c>
      <c r="CR18" s="143" t="str">
        <f>IF(BR18="","",IF(BV18="",IF(IFERROR(MATCH(BR18,nat_noviKluboviAliasi,0),0)&gt;0,INDEX(nat_kluboviAliasi,MATCH(BR18,nat_noviKluboviAliasi,0)),BR18),BV18))</f>
        <v>OK Maksimir</v>
      </c>
      <c r="CS18" s="47" t="s">
        <v>0</v>
      </c>
      <c r="CT18" s="58" t="str">
        <f>IF(G18="","",G18)</f>
        <v/>
      </c>
      <c r="CU18" s="73" t="str">
        <f>IF(H18="","",H18)</f>
        <v>2</v>
      </c>
      <c r="CV18" s="229" t="str">
        <f>IF(CT18="",IF(OR(AL18="",CU18&lt;&gt;"0"),"","GREŠKA"),IF(AND(65535&gt;=VALUE(LEFT(CT18,SEARCH(":",CT18)-1))*60+VALUE(RIGHT(CT18,2)),OR(CU18="0",CU18="1",CU18="2",CU18="3",CU18="4")),"","GREŠKA"))</f>
        <v/>
      </c>
      <c r="CW18" s="230" t="str">
        <f t="shared" si="59"/>
        <v/>
      </c>
      <c r="CX18" s="163">
        <f t="shared" si="24"/>
        <v>4</v>
      </c>
      <c r="CY18" s="47" t="s">
        <v>0</v>
      </c>
      <c r="CZ18" s="222" t="str">
        <f>IF(CV18&lt;&gt;"GREŠKA","",AK18&amp;" "&amp;AL18&amp;" – Molim u OEventu provjeriti i ispraviti rezultat – vrijeme ("&amp;IF(CT18="","nije upisano",CT18)&amp;") i classifier ("&amp;CU18&amp;").")&amp;IF(OR(CV18&lt;&gt;"GREŠKA",CX18&lt;&gt;5),"
","")&amp;IF(CX18&lt;&gt;5,"",AK18&amp;" "&amp;AL18&amp;" – Molim u provjeriti je li natjecatelj zaista diskvalificiran. Ako je koje je obrazloženje, ako nije molim u OEventu ispraviti rezultat")</f>
        <v xml:space="preserve">
</v>
      </c>
      <c r="DA18" s="223">
        <f t="shared" si="60"/>
        <v>5</v>
      </c>
      <c r="DB18" s="47" t="s">
        <v>0</v>
      </c>
      <c r="DC18" s="47"/>
      <c r="DD18" s="47"/>
      <c r="DE18" s="47"/>
      <c r="DF18" s="47" t="s">
        <v>0</v>
      </c>
      <c r="DG18" s="53" t="str">
        <f>IF(BD18="","",IF(DI18="O",1,""))</f>
        <v/>
      </c>
      <c r="DH18" t="s">
        <v>0</v>
      </c>
      <c r="DI18" s="128" t="str">
        <f>IF(Q18="","",LEFT(INDEX(regKategorija_oznaka,MATCH(S18,regKategorija_id,0)),1))</f>
        <v>M</v>
      </c>
      <c r="DJ18" t="s">
        <v>0</v>
      </c>
      <c r="DK18" s="52" t="str">
        <f>IF(BD18="","",IF(M18&lt;&gt;"CRO","","INSERT INTO osoba (id,reg_broj,oib,spol_id,dat_rodjenja) VALUES ("&amp;BD18&amp;",(SELECT max(os.reg_broj)+1 FROM osoba AS os),Null,'"&amp;DI18&amp;"',Null); INSERT INTO osoba_log (id,reg_broj,oib,spol_id,dat_rodjenja,dnevnik_id) SELECT id,reg_broj,oib,spol_id,dat_rodjenja,"&amp;data_dnevnik_id&amp;" FROM osoba WHERE id = "&amp;BD18&amp;";"))</f>
        <v/>
      </c>
      <c r="DL18" s="66" t="str">
        <f>IF(BD18="","","INSERT INTO imeprezime (id,osoba_id,rbr,ime,prezime,klub_id,identitet_id,sintaksa_id,info,aktivno,dnevnik_id) VALUES ("&amp;BD18&amp;","&amp;IF(DK18="","Null",BD18)&amp;",1,'"&amp;IF(AV18&lt;&gt;"",AV18,AK18)&amp;"','"&amp;IF(AW18&lt;&gt;"",AW18,AL18)&amp;"',(SELECT id FROM klub WHERE naziv = '"&amp;CR18&amp;"'),Null,1,'',1,"&amp;data_dnevnik_id&amp;");")</f>
        <v/>
      </c>
      <c r="DM18" t="s">
        <v>0</v>
      </c>
      <c r="DN18" s="19" t="str">
        <f t="shared" si="25"/>
        <v/>
      </c>
      <c r="DO18" s="47" t="s">
        <v>0</v>
      </c>
      <c r="DP18" s="19" t="str">
        <f>IF(BA18="","","INSERT INTO imeprezime_alias(id,alias,imeprezime_id) VALUES ("&amp;BB18&amp;",'"&amp;BA18&amp;"',"&amp;IF(BC18="NEMA",BD18,BC18)&amp;");")</f>
        <v/>
      </c>
      <c r="DQ18" s="47" t="s">
        <v>0</v>
      </c>
      <c r="DR18" s="52" t="str">
        <f>IF(AL18="","",DU18 &amp; IF(Q18="",""," – " &amp; Q18))</f>
        <v>Petar – Kaniški – OK Maksimir – M12</v>
      </c>
      <c r="DS18" s="53">
        <f t="shared" si="26"/>
        <v>357</v>
      </c>
      <c r="DT18" s="47" t="s">
        <v>0</v>
      </c>
      <c r="DU18" s="52" t="str">
        <f>IF(AL18="","",DX18 &amp; IF(CR18="",""," – " &amp; CR18))</f>
        <v>Petar – Kaniški – OK Maksimir</v>
      </c>
      <c r="DV18" s="53">
        <f t="shared" si="27"/>
        <v>357</v>
      </c>
      <c r="DW18" s="47" t="s">
        <v>0</v>
      </c>
      <c r="DX18" s="52" t="str">
        <f>IF(BG18="","",BF18&amp;" – "&amp;BG18)</f>
        <v>Petar – Kaniški</v>
      </c>
      <c r="DY18" s="53">
        <f t="shared" si="28"/>
        <v>357</v>
      </c>
      <c r="DZ18" s="47" t="s">
        <v>0</v>
      </c>
      <c r="EA18" s="58">
        <f t="shared" si="61"/>
        <v>357</v>
      </c>
      <c r="EB18" s="53" cm="1">
        <f t="array" ref="EB18">IF(EA18&lt;&gt;"",INDEX(regNatjecatelj_id,EA18,0),IF(BD18&lt;&gt;"",BD18,""))</f>
        <v>1321</v>
      </c>
      <c r="EC18" s="47" t="s">
        <v>0</v>
      </c>
      <c r="ED18" s="58" t="str">
        <f>IF(AL18="","",IF(BD18&lt;&gt;"","novo",IF(AN18="","imepre","imepre(ali)")))</f>
        <v>imepre</v>
      </c>
      <c r="EE18" s="73" t="str">
        <f>IF(AL18="","",IF(BL18="",IF(IFERROR(INDEX(regNatjecatelj_klub,MATCH(EB18,regNatjecatelj_id,0)),"NEMA")="","klu",""),IF(OR(AND(BN18&lt;&gt;"",BN18&lt;&gt;"NEMA"),CD18&lt;&gt;""),"klu(ali)",IF(AND(BP18&lt;&gt;"",BP18&lt;&gt;BO18),"(raz-klu)","klu"))))</f>
        <v>(raz-klu)</v>
      </c>
      <c r="EF18" s="73" t="str">
        <f>IF(AL18="","","kat"&amp;IF(AND(W18&lt;&gt;Q18,Q18&lt;&gt;"Open"),"(ali)",""))</f>
        <v>kat</v>
      </c>
      <c r="EG18" s="73" t="str">
        <f t="shared" si="29"/>
        <v/>
      </c>
      <c r="EH18" s="66" t="str">
        <f>IF(AL18="","",ED18&amp;IF(ED18="novo","","-"&amp;EE18&amp;"-"&amp;EF18)&amp;IF(EG18="","","-"&amp;EG18))</f>
        <v>imepre-(raz-klu)-kat</v>
      </c>
      <c r="EI18" s="47" t="s">
        <v>0</v>
      </c>
      <c r="EJ18" s="58">
        <f>IF(AL18="","",MAX(EJ$12:EJ17)+1)</f>
        <v>197</v>
      </c>
      <c r="EK18" s="73">
        <f>IF(AO18="","",X18)</f>
        <v>23</v>
      </c>
      <c r="EL18" s="73">
        <f t="shared" si="62"/>
        <v>1321</v>
      </c>
      <c r="EM18" s="73" t="str">
        <f t="shared" si="30"/>
        <v/>
      </c>
      <c r="EN18" s="73">
        <f t="shared" si="31"/>
        <v>4</v>
      </c>
      <c r="EO18" s="73">
        <f t="shared" si="63"/>
        <v>1</v>
      </c>
      <c r="EP18" s="73">
        <f t="shared" si="64"/>
        <v>5</v>
      </c>
      <c r="EQ18" s="73" t="str">
        <f t="shared" si="34"/>
        <v>2</v>
      </c>
      <c r="ER18" s="73" t="str">
        <f>IF(OR(AN18="",AN18="NEMA"),BB18,AN18)</f>
        <v/>
      </c>
      <c r="ES18" s="73" t="str">
        <f>IF(AND(BN18&lt;&gt;"",BN18&lt;&gt;"NEMA"),BN18,IF(CG18&lt;&gt;"",CG18,IF(AND(CL18&lt;&gt;"",CL18&lt;&gt;"NEMA"),CL18,IF(CM18&lt;&gt;"",CM18,""))))</f>
        <v/>
      </c>
      <c r="ET18" s="53" t="str">
        <f>IF(INDEX(natKategorija_alias_Id,MATCH(S18,natKategorija_katRegId,0))="","",INDEX(natKategorija_alias_Id,MATCH(S18,natKategorija_katRegId,0)))</f>
        <v/>
      </c>
      <c r="EU18" s="47" t="s">
        <v>0</v>
      </c>
      <c r="EV18" s="19" t="str">
        <f t="shared" si="65"/>
        <v>INSERT INTO rezultat(id,stazakategorija_id,imeprezime_id,vrijeme_sec,status_id,registracija,uparivanje_id,originalstatus_id,imeprezimealias_id,klubalias_id,kategorijaalias_id) VALUES (197,23,1321,Null,4,1,5,2,Null,Null,Null);</v>
      </c>
      <c r="EW18" s="47" t="s">
        <v>0</v>
      </c>
      <c r="EX18" s="19" t="str">
        <f t="shared" si="66"/>
        <v>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18" s="47" t="s">
        <v>0</v>
      </c>
      <c r="EZ18" s="180" t="str">
        <f>AG18&amp;IF(CP18="","","
")&amp;CP18&amp;IF(CI18="","","
")&amp;CI18&amp;IF(DN18="","","
")&amp;DN18&amp;IF(DP18="","","
")&amp;DP18&amp;IF(EV18="","","
")&amp;EV18&amp;IF(EX18="","","
")&amp;EX18</f>
        <v xml:space="preserve">
INSERT INTO rezultat(id,stazakategorija_id,imeprezime_id,vrijeme_sec,status_id,registracija,uparivanje_id,originalstatus_id,imeprezimealias_id,klubalias_id,kategorijaalias_id) VALUES (197,23,1321,Null,4,1,5,2,Null,Null,Null);
UPDATE
	registar
SET
	potvrda = 1
WHERE
	imeprezime_id=1321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18" s="47" t="s">
        <v>0</v>
      </c>
    </row>
    <row r="19" spans="1:169" ht="15.75" thickBot="1" x14ac:dyDescent="0.3">
      <c r="A19" t="s">
        <v>0</v>
      </c>
      <c r="B19" s="52" t="str">
        <f>IF(csv!F9="","",csv!T9)</f>
        <v>M12</v>
      </c>
      <c r="C19" s="31" t="s">
        <v>0</v>
      </c>
      <c r="D19" s="31" t="str">
        <f>IF(csv!F9="","",csv!F9)</f>
        <v>Lovro</v>
      </c>
      <c r="E19" s="31" t="str">
        <f>IF(csv!E9="","",csv!E9)</f>
        <v>Berečki</v>
      </c>
      <c r="F19" s="31" t="s">
        <v>0</v>
      </c>
      <c r="G19" s="73" t="str">
        <f>IF(csv!M9="","",csv!M9)</f>
        <v/>
      </c>
      <c r="H19" s="73" t="str">
        <f>IF(csv!N9="","",csv!N9)</f>
        <v>1</v>
      </c>
      <c r="I19" s="31" t="s">
        <v>0</v>
      </c>
      <c r="J19" s="31" t="str">
        <f>IF(csv!P9="","",csv!P9)</f>
        <v>JAP</v>
      </c>
      <c r="K19" s="31" t="str">
        <f>IF(csv!Q9="","",csv!Q9)</f>
        <v>OK Japetic</v>
      </c>
      <c r="L19" s="31" t="s">
        <v>0</v>
      </c>
      <c r="M19" s="66" t="str">
        <f>IF(csv!R9="","",csv!R9)</f>
        <v>CRO</v>
      </c>
      <c r="N19" s="47" t="s">
        <v>0</v>
      </c>
      <c r="O19" s="243" t="str">
        <f t="shared" si="36"/>
        <v>ok</v>
      </c>
      <c r="P19" s="47"/>
      <c r="Q19" s="52" t="str">
        <f t="shared" si="37"/>
        <v>M12</v>
      </c>
      <c r="R19" s="73">
        <f>IF(Q19="","",IF(COUNTIF(Q$12:Q18,Q19)=0,R18+1,R18))</f>
        <v>1</v>
      </c>
      <c r="S19" s="73">
        <f t="shared" si="38"/>
        <v>112</v>
      </c>
      <c r="T19" s="73">
        <f t="shared" si="1"/>
        <v>22</v>
      </c>
      <c r="U19" s="66" t="str">
        <f t="shared" si="2"/>
        <v>M12 – Ž12</v>
      </c>
      <c r="V19" s="47" t="s">
        <v>0</v>
      </c>
      <c r="W19" s="222" t="str">
        <f t="shared" si="3"/>
        <v>M12</v>
      </c>
      <c r="X19" s="223">
        <f t="shared" si="4"/>
        <v>23</v>
      </c>
      <c r="Y19" s="47" t="s">
        <v>0</v>
      </c>
      <c r="Z19" s="52" t="str">
        <f t="shared" si="39"/>
        <v>CRO</v>
      </c>
      <c r="AA19" s="73">
        <f t="shared" si="5"/>
        <v>1</v>
      </c>
      <c r="AB19" s="31" t="str">
        <f t="shared" si="40"/>
        <v/>
      </c>
      <c r="AC19" s="66" t="str">
        <f>IF(AB19="","",MAX(AC$12:AC18)+1)</f>
        <v/>
      </c>
      <c r="AD19" s="47" t="s">
        <v>0</v>
      </c>
      <c r="AE19" s="125"/>
      <c r="AF19" s="47" t="s">
        <v>0</v>
      </c>
      <c r="AG19" s="19" t="str">
        <f t="shared" si="41"/>
        <v/>
      </c>
      <c r="AH19" s="47" t="s">
        <v>0</v>
      </c>
      <c r="AI19" s="143" t="str">
        <f t="shared" si="42"/>
        <v>CRO</v>
      </c>
      <c r="AJ19" s="47"/>
      <c r="AK19" s="52" t="str">
        <f t="shared" si="43"/>
        <v>Lovro</v>
      </c>
      <c r="AL19" s="265" t="str">
        <f t="shared" si="44"/>
        <v>Berečki</v>
      </c>
      <c r="AM19" s="73">
        <f t="shared" si="45"/>
        <v>1856</v>
      </c>
      <c r="AN19" s="73" t="str">
        <f t="shared" si="46"/>
        <v/>
      </c>
      <c r="AO19" s="31" t="str">
        <f t="shared" si="8"/>
        <v>Lovro</v>
      </c>
      <c r="AP19" s="66" t="str">
        <f t="shared" si="9"/>
        <v>Berečki</v>
      </c>
      <c r="AQ19" s="47" t="s">
        <v>0</v>
      </c>
      <c r="AR19" s="82" t="str">
        <f t="shared" si="47"/>
        <v/>
      </c>
      <c r="AS19" s="47" t="s">
        <v>0</v>
      </c>
      <c r="AT19" s="19" t="str">
        <f t="shared" si="48"/>
        <v/>
      </c>
      <c r="AU19" s="47" t="s">
        <v>0</v>
      </c>
      <c r="AV19" s="103"/>
      <c r="AW19" s="105"/>
      <c r="AX19" s="47" t="s">
        <v>0</v>
      </c>
      <c r="AY19" s="256" t="str">
        <f t="shared" si="10"/>
        <v/>
      </c>
      <c r="AZ19" s="47" t="s">
        <v>0</v>
      </c>
      <c r="BA19" s="52" t="str">
        <f t="shared" si="11"/>
        <v/>
      </c>
      <c r="BB19" s="73" t="str">
        <f>IF(AV19&amp;AW19="","",MAX(BB$12:BB18)+1)</f>
        <v/>
      </c>
      <c r="BC19" s="268" t="str">
        <f t="shared" si="12"/>
        <v/>
      </c>
      <c r="BD19" s="53" t="str">
        <f>IF(AND(AM19="NEMA",AN19="NEMA",OR(AV19&amp;AW19="",BC19="NEMA")),MAX(BD$12:BD18)+1,"")</f>
        <v/>
      </c>
      <c r="BE19" s="47" t="s">
        <v>0</v>
      </c>
      <c r="BF19" s="52" t="str">
        <f t="shared" si="13"/>
        <v>Lovro</v>
      </c>
      <c r="BG19" s="265" t="str">
        <f t="shared" si="14"/>
        <v>Berečki</v>
      </c>
      <c r="BH19" s="73" t="str">
        <f t="shared" si="49"/>
        <v/>
      </c>
      <c r="BI19" s="53">
        <f t="shared" si="50"/>
        <v>1856</v>
      </c>
      <c r="BJ19" s="47" t="s">
        <v>0</v>
      </c>
      <c r="BK19" s="52" t="str">
        <f t="shared" si="15"/>
        <v>JAP</v>
      </c>
      <c r="BL19" s="275" t="str">
        <f t="shared" si="16"/>
        <v>OK Japetic</v>
      </c>
      <c r="BM19" s="73" t="str">
        <f t="shared" si="17"/>
        <v>NEMA</v>
      </c>
      <c r="BN19" s="73">
        <f t="shared" si="18"/>
        <v>1</v>
      </c>
      <c r="BO19" s="31" t="str" cm="1">
        <f t="array" ref="BO19">IF(BN19="",""&amp;BL19,IF(BN19="NEMA",BL19,INDEX(regKlub_naziv,MATCH(INDEX(regKlub_alias_klubId,BN19),regKlub_id,0))))</f>
        <v>OK Japetić</v>
      </c>
      <c r="BP19" s="31" t="str" cm="1">
        <f t="array" ref="BP19">IFERROR(""&amp;INDEX(regNatjecatelj_klub,DY19),"")</f>
        <v>OK Japetić</v>
      </c>
      <c r="BQ19" s="88" t="str">
        <f t="shared" si="51"/>
        <v/>
      </c>
      <c r="BR19" s="66" t="str">
        <f t="shared" si="52"/>
        <v>OK Japetić</v>
      </c>
      <c r="BS19" s="47" t="s">
        <v>0</v>
      </c>
      <c r="BT19" s="82" t="str">
        <f>IF(BN19&lt;&gt;"NEMA","",IF(IFERROR(MATCH(BL19,BL$12:BL18,0),0)&lt;&gt;0,"",BL19))</f>
        <v/>
      </c>
      <c r="BU19" s="47" t="s">
        <v>0</v>
      </c>
      <c r="BV19" s="125"/>
      <c r="BW19" s="47" t="s">
        <v>0</v>
      </c>
      <c r="BX19" s="58" t="str">
        <f t="shared" si="53"/>
        <v/>
      </c>
      <c r="BY19" s="31" t="str">
        <f t="shared" si="54"/>
        <v/>
      </c>
      <c r="BZ19" s="31" t="str">
        <f>IF(BY19="","",MAX(BZ$12:BZ18)+1)</f>
        <v/>
      </c>
      <c r="CA19" s="31" t="str">
        <f>IF(BY19="","",IF(AA19="","",IF(AA19="NEMA",AC19,AA19)))</f>
        <v/>
      </c>
      <c r="CB19" s="31" t="str">
        <f t="shared" si="55"/>
        <v/>
      </c>
      <c r="CC19" s="31" t="str">
        <f>IF(BV19="","",MAX(CC$12:CC18)+1)</f>
        <v/>
      </c>
      <c r="CD19" s="31" t="str">
        <f t="shared" si="56"/>
        <v/>
      </c>
      <c r="CE19" s="66" t="str">
        <f t="shared" si="57"/>
        <v/>
      </c>
      <c r="CF19" s="47" t="s">
        <v>0</v>
      </c>
      <c r="CG19" s="73" t="str">
        <f>IF(BN19="","",IF(BN19&lt;&gt;"NEMA","",IFERROR(INDEX(nat_klubAliasId,MATCH(BL19,nat_noviKluboviAliasi,0)),"")))</f>
        <v/>
      </c>
      <c r="CH19" s="47"/>
      <c r="CI19" s="19" t="str">
        <f t="shared" si="58"/>
        <v/>
      </c>
      <c r="CJ19" s="47" t="s">
        <v>0</v>
      </c>
      <c r="CK19" s="52" t="str">
        <f>IF(X19&lt;&gt;"NEMA","",IF(IFERROR(MATCH(W19,W$12:W18,0),0)&lt;&gt;0,"",W19))</f>
        <v/>
      </c>
      <c r="CL19" s="73" t="str">
        <f>IF(CK19="","",IFERROR(INDEX(regKlub_alias_id,MATCH(CK19,regKlub_alias_alias,0)),"NEMA"))</f>
        <v/>
      </c>
      <c r="CM19" s="31" t="str">
        <f>IF(OR(CL19="",CL19&lt;&gt;"NEMA"),"",MAX(CM$12:CM18)+1)</f>
        <v/>
      </c>
      <c r="CN19" s="66" t="str">
        <f>IF(OR(CL19="",CL19&lt;&gt;"NEMA"),"",INDEX(regKlub_id,MATCH(CK19,regKlub_naziv,0)))</f>
        <v/>
      </c>
      <c r="CO19" s="47" t="s">
        <v>0</v>
      </c>
      <c r="CP19" s="19" t="str">
        <f>IF(OR(CL19="",CL19&lt;&gt;"NEMA"),"","INSERT INTO klub_alias(id,alias,klub_id) VALUES ("&amp;CM19&amp;",'"&amp;CK19&amp;"',"&amp;CN19&amp;");")</f>
        <v/>
      </c>
      <c r="CQ19" s="47" t="s">
        <v>0</v>
      </c>
      <c r="CR19" s="143" t="str">
        <f>IF(BR19="","",IF(BV19="",IF(IFERROR(MATCH(BR19,nat_noviKluboviAliasi,0),0)&gt;0,INDEX(nat_kluboviAliasi,MATCH(BR19,nat_noviKluboviAliasi,0)),BR19),BV19))</f>
        <v>OK Japetić</v>
      </c>
      <c r="CS19" s="47" t="s">
        <v>0</v>
      </c>
      <c r="CT19" s="58" t="str">
        <f>IF(G19="","",G19)</f>
        <v/>
      </c>
      <c r="CU19" s="73" t="str">
        <f>IF(H19="","",H19)</f>
        <v>1</v>
      </c>
      <c r="CV19" s="229" t="str">
        <f>IF(CT19="",IF(OR(AL19="",CU19&lt;&gt;"0"),"","GREŠKA"),IF(AND(65535&gt;=VALUE(LEFT(CT19,SEARCH(":",CT19)-1))*60+VALUE(RIGHT(CT19,2)),OR(CU19="0",CU19="1",CU19="2",CU19="3",CU19="4")),"","GREŠKA"))</f>
        <v/>
      </c>
      <c r="CW19" s="230" t="str">
        <f t="shared" si="59"/>
        <v/>
      </c>
      <c r="CX19" s="163">
        <f t="shared" si="24"/>
        <v>6</v>
      </c>
      <c r="CY19" s="47" t="s">
        <v>0</v>
      </c>
      <c r="CZ19" s="222" t="str">
        <f>IF(CV19&lt;&gt;"GREŠKA","",AK19&amp;" "&amp;AL19&amp;" – Molim u OEventu provjeriti i ispraviti rezultat – vrijeme ("&amp;IF(CT19="","nije upisano",CT19)&amp;") i classifier ("&amp;CU19&amp;").")&amp;IF(OR(CV19&lt;&gt;"GREŠKA",CX19&lt;&gt;5),"
","")&amp;IF(CX19&lt;&gt;5,"",AK19&amp;" "&amp;AL19&amp;" – Molim u provjeriti je li natjecatelj zaista diskvalificiran. Ako je koje je obrazloženje, ako nije molim u OEventu ispraviti rezultat")</f>
        <v xml:space="preserve">
</v>
      </c>
      <c r="DA19" s="223" t="e">
        <f t="shared" si="60"/>
        <v>#N/A</v>
      </c>
      <c r="DB19" s="47" t="s">
        <v>0</v>
      </c>
      <c r="DC19" s="47"/>
      <c r="DD19" s="47"/>
      <c r="DE19" s="47"/>
      <c r="DF19" s="47" t="s">
        <v>0</v>
      </c>
      <c r="DG19" s="53" t="str">
        <f>IF(BD19="","",IF(DI19="O",1,""))</f>
        <v/>
      </c>
      <c r="DH19" t="s">
        <v>0</v>
      </c>
      <c r="DI19" s="128" t="str">
        <f>IF(Q19="","",LEFT(INDEX(regKategorija_oznaka,MATCH(S19,regKategorija_id,0)),1))</f>
        <v>M</v>
      </c>
      <c r="DJ19" t="s">
        <v>0</v>
      </c>
      <c r="DK19" s="52" t="str">
        <f>IF(BD19="","",IF(M19&lt;&gt;"CRO","","INSERT INTO osoba (id,reg_broj,oib,spol_id,dat_rodjenja) VALUES ("&amp;BD19&amp;",(SELECT max(os.reg_broj)+1 FROM osoba AS os),Null,'"&amp;DI19&amp;"',Null); INSERT INTO osoba_log (id,reg_broj,oib,spol_id,dat_rodjenja,dnevnik_id) SELECT id,reg_broj,oib,spol_id,dat_rodjenja,"&amp;data_dnevnik_id&amp;" FROM osoba WHERE id = "&amp;BD19&amp;";"))</f>
        <v/>
      </c>
      <c r="DL19" s="66" t="str">
        <f>IF(BD19="","","INSERT INTO imeprezime (id,osoba_id,rbr,ime,prezime,klub_id,identitet_id,sintaksa_id,info,aktivno,dnevnik_id) VALUES ("&amp;BD19&amp;","&amp;IF(DK19="","Null",BD19)&amp;",1,'"&amp;IF(AV19&lt;&gt;"",AV19,AK19)&amp;"','"&amp;IF(AW19&lt;&gt;"",AW19,AL19)&amp;"',(SELECT id FROM klub WHERE naziv = '"&amp;CR19&amp;"'),Null,1,'',1,"&amp;data_dnevnik_id&amp;");")</f>
        <v/>
      </c>
      <c r="DM19" t="s">
        <v>0</v>
      </c>
      <c r="DN19" s="19" t="str">
        <f t="shared" si="25"/>
        <v/>
      </c>
      <c r="DO19" s="47" t="s">
        <v>0</v>
      </c>
      <c r="DP19" s="19" t="str">
        <f>IF(BA19="","","INSERT INTO imeprezime_alias(id,alias,imeprezime_id) VALUES ("&amp;BB19&amp;",'"&amp;BA19&amp;"',"&amp;IF(BC19="NEMA",BD19,BC19)&amp;");")</f>
        <v/>
      </c>
      <c r="DQ19" s="47" t="s">
        <v>0</v>
      </c>
      <c r="DR19" s="52" t="str">
        <f>IF(AL19="","",DU19 &amp; IF(Q19="",""," – " &amp; Q19))</f>
        <v>Lovro – Berečki – OK Japetić – M12</v>
      </c>
      <c r="DS19" s="53">
        <f t="shared" si="26"/>
        <v>75</v>
      </c>
      <c r="DT19" s="47" t="s">
        <v>0</v>
      </c>
      <c r="DU19" s="52" t="str">
        <f>IF(AL19="","",DX19 &amp; IF(CR19="",""," – " &amp; CR19))</f>
        <v>Lovro – Berečki – OK Japetić</v>
      </c>
      <c r="DV19" s="53">
        <f t="shared" si="27"/>
        <v>75</v>
      </c>
      <c r="DW19" s="47" t="s">
        <v>0</v>
      </c>
      <c r="DX19" s="52" t="str">
        <f>IF(BG19="","",BF19&amp;" – "&amp;BG19)</f>
        <v>Lovro – Berečki</v>
      </c>
      <c r="DY19" s="53">
        <f t="shared" si="28"/>
        <v>75</v>
      </c>
      <c r="DZ19" s="47" t="s">
        <v>0</v>
      </c>
      <c r="EA19" s="58">
        <f t="shared" si="61"/>
        <v>75</v>
      </c>
      <c r="EB19" s="53" cm="1">
        <f t="array" ref="EB19">IF(EA19&lt;&gt;"",INDEX(regNatjecatelj_id,EA19,0),IF(BD19&lt;&gt;"",BD19,""))</f>
        <v>1856</v>
      </c>
      <c r="EC19" s="47" t="s">
        <v>0</v>
      </c>
      <c r="ED19" s="58" t="str">
        <f>IF(AL19="","",IF(BD19&lt;&gt;"","novo",IF(AN19="","imepre","imepre(ali)")))</f>
        <v>imepre</v>
      </c>
      <c r="EE19" s="73" t="str">
        <f>IF(AL19="","",IF(BL19="",IF(IFERROR(INDEX(regNatjecatelj_klub,MATCH(EB19,regNatjecatelj_id,0)),"NEMA")="","klu",""),IF(OR(AND(BN19&lt;&gt;"",BN19&lt;&gt;"NEMA"),CD19&lt;&gt;""),"klu(ali)",IF(AND(BP19&lt;&gt;"",BP19&lt;&gt;BO19),"(raz-klu)","klu"))))</f>
        <v>klu(ali)</v>
      </c>
      <c r="EF19" s="73" t="str">
        <f>IF(AL19="","","kat"&amp;IF(AND(W19&lt;&gt;Q19,Q19&lt;&gt;"Open"),"(ali)",""))</f>
        <v>kat</v>
      </c>
      <c r="EG19" s="73" t="str">
        <f t="shared" si="29"/>
        <v/>
      </c>
      <c r="EH19" s="66" t="str">
        <f>IF(AL19="","",ED19&amp;IF(ED19="novo","","-"&amp;EE19&amp;"-"&amp;EF19)&amp;IF(EG19="","","-"&amp;EG19))</f>
        <v>imepre-klu(ali)-kat</v>
      </c>
      <c r="EI19" s="47" t="s">
        <v>0</v>
      </c>
      <c r="EJ19" s="58">
        <f>IF(AL19="","",MAX(EJ$12:EJ18)+1)</f>
        <v>198</v>
      </c>
      <c r="EK19" s="73">
        <f>IF(AO19="","",X19)</f>
        <v>23</v>
      </c>
      <c r="EL19" s="73">
        <f t="shared" si="62"/>
        <v>1856</v>
      </c>
      <c r="EM19" s="73" t="str">
        <f t="shared" si="30"/>
        <v/>
      </c>
      <c r="EN19" s="73">
        <f t="shared" si="31"/>
        <v>6</v>
      </c>
      <c r="EO19" s="73">
        <f t="shared" si="63"/>
        <v>1</v>
      </c>
      <c r="EP19" s="73">
        <f t="shared" si="64"/>
        <v>3</v>
      </c>
      <c r="EQ19" s="73" t="str">
        <f t="shared" si="34"/>
        <v>1</v>
      </c>
      <c r="ER19" s="73" t="str">
        <f>IF(OR(AN19="",AN19="NEMA"),BB19,AN19)</f>
        <v/>
      </c>
      <c r="ES19" s="73">
        <f>IF(AND(BN19&lt;&gt;"",BN19&lt;&gt;"NEMA"),BN19,IF(CG19&lt;&gt;"",CG19,IF(AND(CL19&lt;&gt;"",CL19&lt;&gt;"NEMA"),CL19,IF(CM19&lt;&gt;"",CM19,""))))</f>
        <v>1</v>
      </c>
      <c r="ET19" s="53" t="str">
        <f>IF(INDEX(natKategorija_alias_Id,MATCH(S19,natKategorija_katRegId,0))="","",INDEX(natKategorija_alias_Id,MATCH(S19,natKategorija_katRegId,0)))</f>
        <v/>
      </c>
      <c r="EU19" s="47" t="s">
        <v>0</v>
      </c>
      <c r="EV19" s="19" t="str">
        <f t="shared" si="65"/>
        <v>INSERT INTO rezultat(id,stazakategorija_id,imeprezime_id,vrijeme_sec,status_id,registracija,uparivanje_id,originalstatus_id,imeprezimealias_id,klubalias_id,kategorijaalias_id) VALUES (198,23,1856,Null,6,1,3,1,Null,1,Null);</v>
      </c>
      <c r="EW19" s="47" t="s">
        <v>0</v>
      </c>
      <c r="EX19" s="19" t="str">
        <f t="shared" si="66"/>
        <v>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19" s="47" t="s">
        <v>0</v>
      </c>
      <c r="EZ19" s="180" t="str">
        <f>AG19&amp;IF(CP19="","","
")&amp;CP19&amp;IF(CI19="","","
")&amp;CI19&amp;IF(DN19="","","
")&amp;DN19&amp;IF(DP19="","","
")&amp;DP19&amp;IF(EV19="","","
")&amp;EV19&amp;IF(EX19="","","
")&amp;EX19</f>
        <v xml:space="preserve">
INSERT INTO rezultat(id,stazakategorija_id,imeprezime_id,vrijeme_sec,status_id,registracija,uparivanje_id,originalstatus_id,imeprezimealias_id,klubalias_id,kategorijaalias_id) VALUES (198,23,1856,Null,6,1,3,1,Null,1,Null);
UPDATE
	registar
SET
	potvrda = 1
WHERE
	imeprezime_id=1856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19" s="47" t="s">
        <v>0</v>
      </c>
    </row>
    <row r="20" spans="1:169" ht="15.75" thickBot="1" x14ac:dyDescent="0.3">
      <c r="A20" t="s">
        <v>0</v>
      </c>
      <c r="B20" s="52" t="str">
        <f>IF(csv!F10="","",csv!T10)</f>
        <v>M12</v>
      </c>
      <c r="C20" s="31" t="s">
        <v>0</v>
      </c>
      <c r="D20" s="31" t="str">
        <f>IF(csv!F10="","",csv!F10)</f>
        <v>Jure</v>
      </c>
      <c r="E20" s="31" t="str">
        <f>IF(csv!E10="","",csv!E10)</f>
        <v>Rako</v>
      </c>
      <c r="F20" s="31" t="s">
        <v>0</v>
      </c>
      <c r="G20" s="73" t="str">
        <f>IF(csv!M10="","",csv!M10)</f>
        <v/>
      </c>
      <c r="H20" s="73" t="str">
        <f>IF(csv!N10="","",csv!N10)</f>
        <v>1</v>
      </c>
      <c r="I20" s="31" t="s">
        <v>0</v>
      </c>
      <c r="J20" s="31" t="str">
        <f>IF(csv!P10="","",csv!P10)</f>
        <v>Vihor</v>
      </c>
      <c r="K20" s="31" t="str">
        <f>IF(csv!Q10="","",csv!Q10)</f>
        <v>OK Vihor</v>
      </c>
      <c r="L20" s="31" t="s">
        <v>0</v>
      </c>
      <c r="M20" s="66" t="str">
        <f>IF(csv!R10="","",csv!R10)</f>
        <v>CRO</v>
      </c>
      <c r="N20" s="47" t="s">
        <v>0</v>
      </c>
      <c r="O20" s="243" t="str">
        <f t="shared" si="36"/>
        <v>ok</v>
      </c>
      <c r="P20" s="47"/>
      <c r="Q20" s="52" t="str">
        <f t="shared" si="37"/>
        <v>M12</v>
      </c>
      <c r="R20" s="73">
        <f>IF(Q20="","",IF(COUNTIF(Q$12:Q19,Q20)=0,R19+1,R19))</f>
        <v>1</v>
      </c>
      <c r="S20" s="73">
        <f t="shared" si="38"/>
        <v>112</v>
      </c>
      <c r="T20" s="73">
        <f t="shared" si="1"/>
        <v>22</v>
      </c>
      <c r="U20" s="66" t="str">
        <f t="shared" si="2"/>
        <v>M12 – Ž12</v>
      </c>
      <c r="V20" s="47" t="s">
        <v>0</v>
      </c>
      <c r="W20" s="222" t="str">
        <f t="shared" si="3"/>
        <v>M12</v>
      </c>
      <c r="X20" s="223">
        <f t="shared" si="4"/>
        <v>23</v>
      </c>
      <c r="Y20" s="47" t="s">
        <v>0</v>
      </c>
      <c r="Z20" s="52" t="str">
        <f t="shared" si="39"/>
        <v>CRO</v>
      </c>
      <c r="AA20" s="73">
        <f t="shared" si="5"/>
        <v>1</v>
      </c>
      <c r="AB20" s="31" t="str">
        <f t="shared" si="40"/>
        <v/>
      </c>
      <c r="AC20" s="66" t="str">
        <f>IF(AB20="","",MAX(AC$12:AC19)+1)</f>
        <v/>
      </c>
      <c r="AD20" s="47" t="s">
        <v>0</v>
      </c>
      <c r="AE20" s="125"/>
      <c r="AF20" s="47" t="s">
        <v>0</v>
      </c>
      <c r="AG20" s="19" t="str">
        <f t="shared" si="41"/>
        <v/>
      </c>
      <c r="AH20" s="47" t="s">
        <v>0</v>
      </c>
      <c r="AI20" s="143" t="str">
        <f t="shared" si="42"/>
        <v>CRO</v>
      </c>
      <c r="AJ20" s="47"/>
      <c r="AK20" s="263" t="str">
        <f t="shared" si="43"/>
        <v>Jure</v>
      </c>
      <c r="AL20" s="31" t="str">
        <f t="shared" si="44"/>
        <v>Rako</v>
      </c>
      <c r="AM20" s="264">
        <f t="shared" si="45"/>
        <v>1098</v>
      </c>
      <c r="AN20" s="73" t="str">
        <f t="shared" si="46"/>
        <v/>
      </c>
      <c r="AO20" s="31" t="str">
        <f t="shared" si="8"/>
        <v>Jure</v>
      </c>
      <c r="AP20" s="66" t="str">
        <f t="shared" si="9"/>
        <v>Rako</v>
      </c>
      <c r="AQ20" s="47" t="s">
        <v>0</v>
      </c>
      <c r="AR20" s="82" t="str">
        <f t="shared" si="47"/>
        <v/>
      </c>
      <c r="AS20" s="47" t="s">
        <v>0</v>
      </c>
      <c r="AT20" s="19" t="str">
        <f t="shared" si="48"/>
        <v/>
      </c>
      <c r="AU20" s="47" t="s">
        <v>0</v>
      </c>
      <c r="AV20" s="103"/>
      <c r="AW20" s="105"/>
      <c r="AX20" s="47" t="s">
        <v>0</v>
      </c>
      <c r="AY20" s="256" t="str">
        <f>IF(AND(AV20="",AW20&lt;&gt;""),"FALI IME",IF(AND(AV20&lt;&gt;"",AW20=""),"FALI PREZIME",IF(OR(AM20="",AND(AM20="NEMA",AN20="NEMA"),AV20&amp;AW20=""),"","GREŠKA")))</f>
        <v/>
      </c>
      <c r="AZ20" s="47" t="s">
        <v>0</v>
      </c>
      <c r="BA20" s="52" t="str">
        <f t="shared" si="11"/>
        <v/>
      </c>
      <c r="BB20" s="73" t="str">
        <f>IF(AV20&amp;AW20="","",MAX(BB$12:BB19)+1)</f>
        <v/>
      </c>
      <c r="BC20" s="268" t="str">
        <f t="shared" si="12"/>
        <v/>
      </c>
      <c r="BD20" s="53" t="str">
        <f>IF(AND(AM20="NEMA",AN20="NEMA",OR(AV20&amp;AW20="",BC20="NEMA")),MAX(BD$12:BD19)+1,"")</f>
        <v/>
      </c>
      <c r="BE20" s="47" t="s">
        <v>0</v>
      </c>
      <c r="BF20" s="263" t="str">
        <f t="shared" si="13"/>
        <v>Jure</v>
      </c>
      <c r="BG20" s="274" t="s">
        <v>3826</v>
      </c>
      <c r="BH20" s="264" t="str">
        <f t="shared" si="49"/>
        <v/>
      </c>
      <c r="BI20" s="53">
        <f t="shared" si="50"/>
        <v>1098</v>
      </c>
      <c r="BJ20" s="47" t="s">
        <v>0</v>
      </c>
      <c r="BK20" s="263" t="str">
        <f t="shared" si="15"/>
        <v>Vihor</v>
      </c>
      <c r="BL20" s="274" t="s">
        <v>4413</v>
      </c>
      <c r="BM20" s="264" t="str">
        <f t="shared" si="17"/>
        <v>NEMA</v>
      </c>
      <c r="BN20" s="264" t="str">
        <f t="shared" si="18"/>
        <v>NEMA</v>
      </c>
      <c r="BO20" s="31" t="str" cm="1">
        <f t="array" ref="BO20">IF(BN20="",""&amp;BL20,IF(BN20="NEMA",BL20,INDEX(regKlub_naziv,MATCH(INDEX(regKlub_alias_klubId,BN20),regKlub_id,0))))</f>
        <v>OK Lahor</v>
      </c>
      <c r="BP20" s="31" t="str" cm="1">
        <f t="array" ref="BP20">IFERROR(""&amp;INDEX(regNatjecatelj_klub,DY20),"")</f>
        <v/>
      </c>
      <c r="BQ20" s="88" t="str">
        <f t="shared" si="51"/>
        <v/>
      </c>
      <c r="BR20" s="66" t="str">
        <f t="shared" si="52"/>
        <v>OK Lahor</v>
      </c>
      <c r="BS20" s="47" t="s">
        <v>0</v>
      </c>
      <c r="BT20" s="82" t="str">
        <f>IF(BN20&lt;&gt;"NEMA","",IF(IFERROR(MATCH(BL20,BL$12:BL19,0),0)&lt;&gt;0,"",BL20))</f>
        <v>OK Lahor</v>
      </c>
      <c r="BU20" s="47" t="s">
        <v>0</v>
      </c>
      <c r="BV20" s="125"/>
      <c r="BW20" s="47" t="s">
        <v>0</v>
      </c>
      <c r="BX20" s="58" t="str">
        <f t="shared" si="53"/>
        <v/>
      </c>
      <c r="BY20" s="31" t="str">
        <f t="shared" si="54"/>
        <v>OK Lahor</v>
      </c>
      <c r="BZ20" s="31">
        <f>IF(BY20="","",MAX(BZ$12:BZ19)+1)</f>
        <v>19</v>
      </c>
      <c r="CA20" s="31">
        <f>IF(BY20="","",IF(AA20="","",IF(AA20="NEMA",AC20,AA20)))</f>
        <v>1</v>
      </c>
      <c r="CB20" s="31" t="str">
        <f t="shared" si="55"/>
        <v>INSERT INTO klub(id,naziv,drzava_id,aktivan) VALUES (19,'OK Lahor',1,1);</v>
      </c>
      <c r="CC20" s="31" t="str">
        <f>IF(BV20="","",MAX(CC$12:CC19)+1)</f>
        <v/>
      </c>
      <c r="CD20" s="31" t="str">
        <f t="shared" si="56"/>
        <v/>
      </c>
      <c r="CE20" s="66" t="str">
        <f t="shared" si="57"/>
        <v/>
      </c>
      <c r="CF20" s="47" t="s">
        <v>0</v>
      </c>
      <c r="CG20" s="73" t="str">
        <f>IF(BN20="","",IF(BN20&lt;&gt;"NEMA","",IFERROR(INDEX(nat_klubAliasId,MATCH(BL20,nat_noviKluboviAliasi,0)),"")))</f>
        <v/>
      </c>
      <c r="CH20" s="47"/>
      <c r="CI20" s="19" t="str">
        <f t="shared" si="58"/>
        <v>INSERT INTO klub(id,naziv,drzava_id,aktivan) VALUES (19,'OK Lahor',1,1);</v>
      </c>
      <c r="CJ20" s="47" t="s">
        <v>0</v>
      </c>
      <c r="CK20" s="52" t="str">
        <f>IF(X20&lt;&gt;"NEMA","",IF(IFERROR(MATCH(W20,W$12:W19,0),0)&lt;&gt;0,"",W20))</f>
        <v/>
      </c>
      <c r="CL20" s="73" t="str">
        <f>IF(CK20="","",IFERROR(INDEX(regKlub_alias_id,MATCH(CK20,regKlub_alias_alias,0)),"NEMA"))</f>
        <v/>
      </c>
      <c r="CM20" s="31" t="str">
        <f>IF(OR(CL20="",CL20&lt;&gt;"NEMA"),"",MAX(CM$12:CM19)+1)</f>
        <v/>
      </c>
      <c r="CN20" s="66" t="str">
        <f>IF(OR(CL20="",CL20&lt;&gt;"NEMA"),"",INDEX(regKlub_id,MATCH(CK20,regKlub_naziv,0)))</f>
        <v/>
      </c>
      <c r="CO20" s="47" t="s">
        <v>0</v>
      </c>
      <c r="CP20" s="19" t="str">
        <f>IF(OR(CL20="",CL20&lt;&gt;"NEMA"),"","INSERT INTO klub_alias(id,alias,klub_id) VALUES ("&amp;CM20&amp;",'"&amp;CK20&amp;"',"&amp;CN20&amp;");")</f>
        <v/>
      </c>
      <c r="CQ20" s="47" t="s">
        <v>0</v>
      </c>
      <c r="CR20" s="143" t="str">
        <f ca="1">IF(BR20="","",IF(BV20="",IF(IFERROR(MATCH(BR20,nat_noviKluboviAliasi,0),0)&gt;0,INDEX(nat_kluboviAliasi,MATCH(BR20,nat_noviKluboviAliasi,0)),BR20),BV20))</f>
        <v>OK Vihor</v>
      </c>
      <c r="CS20" s="47" t="s">
        <v>0</v>
      </c>
      <c r="CT20" s="58" t="str">
        <f>IF(G20="","",G20)</f>
        <v/>
      </c>
      <c r="CU20" s="73" t="str">
        <f>IF(H20="","",H20)</f>
        <v>1</v>
      </c>
      <c r="CV20" s="229" t="str">
        <f>IF(CT20="",IF(OR(AL20="",CU20&lt;&gt;"0"),"","GREŠKA"),IF(AND(65535&gt;=VALUE(LEFT(CT20,SEARCH(":",CT20)-1))*60+VALUE(RIGHT(CT20,2)),OR(CU20="0",CU20="1",CU20="2",CU20="3",CU20="4")),"","GREŠKA"))</f>
        <v/>
      </c>
      <c r="CW20" s="230" t="str">
        <f t="shared" si="59"/>
        <v/>
      </c>
      <c r="CX20" s="163">
        <f t="shared" si="24"/>
        <v>6</v>
      </c>
      <c r="CY20" s="47" t="s">
        <v>0</v>
      </c>
      <c r="CZ20" s="222" t="str">
        <f>IF(CV20&lt;&gt;"GREŠKA","",AK20&amp;" "&amp;AL20&amp;" – Molim u OEventu provjeriti i ispraviti rezultat – vrijeme ("&amp;IF(CT20="","nije upisano",CT20)&amp;") i classifier ("&amp;CU20&amp;").")&amp;IF(OR(CV20&lt;&gt;"GREŠKA",CX20&lt;&gt;5),"
","")&amp;IF(CX20&lt;&gt;5,"",AK20&amp;" "&amp;AL20&amp;" – Molim u provjeriti je li natjecatelj zaista diskvalificiran. Ako je koje je obrazloženje, ako nije molim u OEventu ispraviti rezultat")</f>
        <v xml:space="preserve">
</v>
      </c>
      <c r="DA20" s="223" t="e">
        <f t="shared" ca="1" si="60"/>
        <v>#N/A</v>
      </c>
      <c r="DB20" s="47" t="s">
        <v>0</v>
      </c>
      <c r="DC20" s="47"/>
      <c r="DD20" s="47"/>
      <c r="DE20" s="47"/>
      <c r="DF20" s="47" t="s">
        <v>0</v>
      </c>
      <c r="DG20" s="53" t="str">
        <f>IF(BD20="","",IF(DI20="O",1,""))</f>
        <v/>
      </c>
      <c r="DH20" t="s">
        <v>0</v>
      </c>
      <c r="DI20" s="128" t="str">
        <f>IF(Q20="","",LEFT(INDEX(regKategorija_oznaka,MATCH(S20,regKategorija_id,0)),1))</f>
        <v>M</v>
      </c>
      <c r="DJ20" t="s">
        <v>0</v>
      </c>
      <c r="DK20" s="52" t="str">
        <f>IF(BD20="","",IF(M20&lt;&gt;"CRO","","INSERT INTO osoba (id,reg_broj,oib,spol_id,dat_rodjenja) VALUES ("&amp;BD20&amp;",(SELECT max(os.reg_broj)+1 FROM osoba AS os),Null,'"&amp;DI20&amp;"',Null); INSERT INTO osoba_log (id,reg_broj,oib,spol_id,dat_rodjenja,dnevnik_id) SELECT id,reg_broj,oib,spol_id,dat_rodjenja,"&amp;data_dnevnik_id&amp;" FROM osoba WHERE id = "&amp;BD20&amp;";"))</f>
        <v/>
      </c>
      <c r="DL20" s="66" t="str">
        <f>IF(BD20="","","INSERT INTO imeprezime (id,osoba_id,rbr,ime,prezime,klub_id,identitet_id,sintaksa_id,info,aktivno,dnevnik_id) VALUES ("&amp;BD20&amp;","&amp;IF(DK20="","Null",BD20)&amp;",1,'"&amp;IF(AV20&lt;&gt;"",AV20,AK20)&amp;"','"&amp;IF(AW20&lt;&gt;"",AW20,AL20)&amp;"',(SELECT id FROM klub WHERE naziv = '"&amp;CR20&amp;"'),Null,1,'',1,"&amp;data_dnevnik_id&amp;");")</f>
        <v/>
      </c>
      <c r="DM20" t="s">
        <v>0</v>
      </c>
      <c r="DN20" s="19" t="str">
        <f t="shared" ref="DN20" si="67">IF(DK20="",DL20,DK20&amp;" "&amp;DL20)</f>
        <v/>
      </c>
      <c r="DO20" s="47" t="s">
        <v>0</v>
      </c>
      <c r="DP20" s="19" t="str">
        <f>IF(BA20="","","INSERT INTO imeprezime_alias(id,alias,imeprezime_id) VALUES ("&amp;BB20&amp;",'"&amp;BA20&amp;"',"&amp;IF(BC20="NEMA",BD20,BC20)&amp;");")</f>
        <v/>
      </c>
      <c r="DQ20" s="47" t="s">
        <v>0</v>
      </c>
      <c r="DR20" s="52" t="str">
        <f ca="1">IF(AL20="","",DU20 &amp; IF(Q20="",""," – " &amp; Q20))</f>
        <v>Jure – Rako – OK Vihor – M12</v>
      </c>
      <c r="DS20" s="53">
        <f t="shared" ca="1" si="26"/>
        <v>869</v>
      </c>
      <c r="DT20" s="47" t="s">
        <v>0</v>
      </c>
      <c r="DU20" s="52" t="str">
        <f ca="1">IF(AL20="","",DX20 &amp; IF(CR20="",""," – " &amp; CR20))</f>
        <v>Jure – Rako – OK Vihor</v>
      </c>
      <c r="DV20" s="53">
        <f t="shared" ca="1" si="27"/>
        <v>869</v>
      </c>
      <c r="DW20" s="47" t="s">
        <v>0</v>
      </c>
      <c r="DX20" s="52" t="str">
        <f>IF(BG20="","",BF20&amp;" – "&amp;BG20)</f>
        <v>Jure – Roko</v>
      </c>
      <c r="DY20" s="53" t="str">
        <f t="shared" si="28"/>
        <v>NEMA</v>
      </c>
      <c r="DZ20" s="47" t="s">
        <v>0</v>
      </c>
      <c r="EA20" s="58">
        <f t="shared" ca="1" si="61"/>
        <v>869</v>
      </c>
      <c r="EB20" s="53" cm="1">
        <f t="array" aca="1" ref="EB20" ca="1">IF(EA20&lt;&gt;"",INDEX(regNatjecatelj_id,EA20,0),IF(BD20&lt;&gt;"",BD20,""))</f>
        <v>1098</v>
      </c>
      <c r="EC20" s="47" t="s">
        <v>0</v>
      </c>
      <c r="ED20" s="58" t="str">
        <f>IF(AL20="","",IF(BD20&lt;&gt;"","novo",IF(AN20="","imepre","imepre(ali)")))</f>
        <v>imepre</v>
      </c>
      <c r="EE20" s="73" t="str">
        <f>IF(AL20="","",IF(BL20="",IF(IFERROR(INDEX(regNatjecatelj_klub,MATCH(EB20,regNatjecatelj_id,0)),"NEMA")="","klu",""),IF(OR(AND(BN20&lt;&gt;"",BN20&lt;&gt;"NEMA"),CD20&lt;&gt;""),"klu(ali)",IF(AND(BP20&lt;&gt;"",BP20&lt;&gt;BO20),"(raz-klu)","klu"))))</f>
        <v>klu</v>
      </c>
      <c r="EF20" s="73" t="str">
        <f>IF(AL20="","","kat"&amp;IF(AND(W20&lt;&gt;Q20,Q20&lt;&gt;"Open"),"(ali)",""))</f>
        <v>kat</v>
      </c>
      <c r="EG20" s="73" t="str">
        <f t="shared" si="29"/>
        <v/>
      </c>
      <c r="EH20" s="66" t="str">
        <f>IF(AL20="","",ED20&amp;IF(ED20="novo","","-"&amp;EE20&amp;"-"&amp;EF20)&amp;IF(EG20="","","-"&amp;EG20))</f>
        <v>imepre-klu-kat</v>
      </c>
      <c r="EI20" s="47" t="s">
        <v>0</v>
      </c>
      <c r="EJ20" s="58">
        <f>IF(AL20="","",MAX(EJ$12:EJ19)+1)</f>
        <v>199</v>
      </c>
      <c r="EK20" s="73">
        <f>IF(AO20="","",X20)</f>
        <v>23</v>
      </c>
      <c r="EL20" s="73">
        <f t="shared" ca="1" si="62"/>
        <v>1098</v>
      </c>
      <c r="EM20" s="73" t="str">
        <f t="shared" si="30"/>
        <v/>
      </c>
      <c r="EN20" s="73">
        <f t="shared" si="31"/>
        <v>6</v>
      </c>
      <c r="EO20" s="73">
        <f t="shared" ca="1" si="63"/>
        <v>1</v>
      </c>
      <c r="EP20" s="73">
        <f t="shared" si="64"/>
        <v>1</v>
      </c>
      <c r="EQ20" s="73" t="str">
        <f t="shared" si="34"/>
        <v>1</v>
      </c>
      <c r="ER20" s="73" t="str">
        <f>IF(OR(AN20="",AN20="NEMA"),BB20,AN20)</f>
        <v/>
      </c>
      <c r="ES20" s="73" t="str">
        <f>IF(AND(BN20&lt;&gt;"",BN20&lt;&gt;"NEMA"),BN20,IF(CG20&lt;&gt;"",CG20,IF(AND(CL20&lt;&gt;"",CL20&lt;&gt;"NEMA"),CL20,IF(CM20&lt;&gt;"",CM20,""))))</f>
        <v/>
      </c>
      <c r="ET20" s="53" t="str">
        <f>IF(INDEX(natKategorija_alias_Id,MATCH(S20,natKategorija_katRegId,0))="","",INDEX(natKategorija_alias_Id,MATCH(S20,natKategorija_katRegId,0)))</f>
        <v/>
      </c>
      <c r="EU20" s="47" t="s">
        <v>0</v>
      </c>
      <c r="EV20" s="19" t="str">
        <f t="shared" ca="1" si="65"/>
        <v>INSERT INTO rezultat(id,stazakategorija_id,imeprezime_id,vrijeme_sec,status_id,registracija,uparivanje_id,originalstatus_id,imeprezimealias_id,klubalias_id,kategorijaalias_id) VALUES (199,23,1098,Null,6,1,5,1,Null,Null,Null);</v>
      </c>
      <c r="EW20" s="47" t="s">
        <v>0</v>
      </c>
      <c r="EX20" s="19" t="str">
        <f t="shared" ca="1" si="66"/>
        <v>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20" s="47" t="s">
        <v>0</v>
      </c>
      <c r="EZ20" s="180" t="str">
        <f ca="1">AG20&amp;IF(CP20="","","
")&amp;CP20&amp;IF(CI20="","","
")&amp;CI20&amp;IF(DN20="","","
")&amp;DN20&amp;IF(DP20="","","
")&amp;DP20&amp;IF(EV20="","","
")&amp;EV20&amp;IF(EX20="","","
")&amp;EX20</f>
        <v xml:space="preserve">
INSERT INTO klub(id,naziv,drzava_id,aktivan) VALUES (19,'OK Lahor',1,1);
INSERT INTO rezultat(id,stazakategorija_id,imeprezime_id,vrijeme_sec,status_id,registracija,uparivanje_id,originalstatus_id,imeprezimealias_id,klubalias_id,kategorijaalias_id) VALUES (199,23,1098,Null,6,1,5,1,Null,Null,Null);
UPDATE
	registar
SET
	potvrda = 1
WHERE
	imeprezime_id=1098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20" s="47" t="s">
        <v>0</v>
      </c>
      <c r="FB20" s="290" t="s">
        <v>223</v>
      </c>
      <c r="FC20" s="291"/>
      <c r="FD20" s="291"/>
      <c r="FE20" s="291"/>
      <c r="FF20" s="291"/>
      <c r="FG20" s="291"/>
      <c r="FH20" s="291"/>
      <c r="FI20" s="291"/>
      <c r="FJ20" s="291"/>
      <c r="FK20" s="291"/>
      <c r="FL20" s="291"/>
      <c r="FM20" s="292"/>
    </row>
    <row r="21" spans="1:169" ht="15.75" thickBot="1" x14ac:dyDescent="0.3">
      <c r="A21" t="s">
        <v>0</v>
      </c>
      <c r="B21" s="52" t="str">
        <f>IF(csv!F11="","",csv!T11)</f>
        <v>M12</v>
      </c>
      <c r="C21" s="31" t="s">
        <v>0</v>
      </c>
      <c r="D21" s="31" t="str">
        <f>IF(csv!F11="","",csv!F11)</f>
        <v>Vacant</v>
      </c>
      <c r="E21" s="31" t="str">
        <f>IF(csv!E11="","",csv!E11)</f>
        <v/>
      </c>
      <c r="F21" s="31" t="s">
        <v>0</v>
      </c>
      <c r="G21" s="73" t="str">
        <f>IF(csv!M11="","",csv!M11)</f>
        <v/>
      </c>
      <c r="H21" s="73" t="str">
        <f>IF(csv!N11="","",csv!N11)</f>
        <v>0</v>
      </c>
      <c r="I21" s="31" t="s">
        <v>0</v>
      </c>
      <c r="J21" s="31" t="str">
        <f>IF(csv!P11="","",csv!P11)</f>
        <v/>
      </c>
      <c r="K21" s="31" t="str">
        <f>IF(csv!Q11="","",csv!Q11)</f>
        <v/>
      </c>
      <c r="L21" s="31" t="s">
        <v>0</v>
      </c>
      <c r="M21" s="66" t="str">
        <f>IF(csv!R11="","",csv!R11)</f>
        <v/>
      </c>
      <c r="N21" s="47" t="s">
        <v>0</v>
      </c>
      <c r="O21" s="243" t="str">
        <f t="shared" si="36"/>
        <v/>
      </c>
      <c r="P21" s="47"/>
      <c r="Q21" s="52" t="str">
        <f t="shared" si="37"/>
        <v>M12</v>
      </c>
      <c r="R21" s="73">
        <f>IF(Q21="","",IF(COUNTIF(Q$12:Q20,Q21)=0,R20+1,R20))</f>
        <v>1</v>
      </c>
      <c r="S21" s="73">
        <f t="shared" si="38"/>
        <v>112</v>
      </c>
      <c r="T21" s="73">
        <f t="shared" si="1"/>
        <v>22</v>
      </c>
      <c r="U21" s="66" t="str">
        <f t="shared" si="2"/>
        <v>M12 – Ž12</v>
      </c>
      <c r="V21" s="47" t="s">
        <v>0</v>
      </c>
      <c r="W21" s="222" t="str">
        <f t="shared" si="3"/>
        <v/>
      </c>
      <c r="X21" s="223" t="str">
        <f t="shared" si="4"/>
        <v/>
      </c>
      <c r="Y21" s="47" t="s">
        <v>0</v>
      </c>
      <c r="Z21" s="52" t="str">
        <f t="shared" si="39"/>
        <v/>
      </c>
      <c r="AA21" s="73" t="str">
        <f t="shared" si="5"/>
        <v/>
      </c>
      <c r="AB21" s="31" t="str">
        <f t="shared" si="40"/>
        <v/>
      </c>
      <c r="AC21" s="66" t="str">
        <f>IF(AB21="","",MAX(AC$12:AC20)+1)</f>
        <v/>
      </c>
      <c r="AD21" s="47" t="s">
        <v>0</v>
      </c>
      <c r="AE21" s="125"/>
      <c r="AF21" s="47" t="s">
        <v>0</v>
      </c>
      <c r="AG21" s="19" t="str">
        <f t="shared" si="41"/>
        <v/>
      </c>
      <c r="AH21" s="47" t="s">
        <v>0</v>
      </c>
      <c r="AI21" s="143" t="str">
        <f t="shared" si="42"/>
        <v/>
      </c>
      <c r="AJ21" s="47"/>
      <c r="AK21" s="52" t="str">
        <f t="shared" si="43"/>
        <v/>
      </c>
      <c r="AL21" s="266" t="str">
        <f t="shared" si="44"/>
        <v/>
      </c>
      <c r="AM21" s="73" t="str">
        <f t="shared" si="45"/>
        <v/>
      </c>
      <c r="AN21" s="73" t="str">
        <f t="shared" si="46"/>
        <v/>
      </c>
      <c r="AO21" s="31" t="str">
        <f t="shared" si="8"/>
        <v/>
      </c>
      <c r="AP21" s="66" t="str">
        <f t="shared" si="9"/>
        <v/>
      </c>
      <c r="AQ21" s="47" t="s">
        <v>0</v>
      </c>
      <c r="AR21" s="82" t="str">
        <f t="shared" si="47"/>
        <v/>
      </c>
      <c r="AS21" s="47" t="s">
        <v>0</v>
      </c>
      <c r="AT21" s="19" t="str">
        <f t="shared" si="48"/>
        <v/>
      </c>
      <c r="AU21" s="47" t="s">
        <v>0</v>
      </c>
      <c r="AV21" s="103"/>
      <c r="AW21" s="105"/>
      <c r="AX21" s="47" t="s">
        <v>0</v>
      </c>
      <c r="AY21" s="256" t="str">
        <f t="shared" ref="AY21:AY84" si="68">IF(AND(AV21="",AW21&lt;&gt;""),"FALI IME",IF(AND(AV21&lt;&gt;"",AW21=""),"FALI PREZIME",IF(OR(AM21="",AND(AM21="NEMA",AN21="NEMA"),AV21&amp;AW21=""),"","GREŠKA")))</f>
        <v/>
      </c>
      <c r="AZ21" s="47" t="s">
        <v>0</v>
      </c>
      <c r="BA21" s="52" t="str">
        <f t="shared" si="11"/>
        <v/>
      </c>
      <c r="BB21" s="73" t="str">
        <f>IF(AV21&amp;AW21="","",MAX(BB$12:BB20)+1)</f>
        <v/>
      </c>
      <c r="BC21" s="268" t="str">
        <f t="shared" si="12"/>
        <v/>
      </c>
      <c r="BD21" s="53" t="str">
        <f>IF(AND(AM21="NEMA",AN21="NEMA",OR(AV21&amp;AW21="",BC21="NEMA")),MAX(BD$12:BD20)+1,"")</f>
        <v/>
      </c>
      <c r="BE21" s="47" t="s">
        <v>0</v>
      </c>
      <c r="BF21" s="52" t="str">
        <f t="shared" si="13"/>
        <v/>
      </c>
      <c r="BG21" s="266" t="str">
        <f t="shared" si="14"/>
        <v/>
      </c>
      <c r="BH21" s="73" t="str">
        <f t="shared" si="49"/>
        <v/>
      </c>
      <c r="BI21" s="53" t="str">
        <f t="shared" si="50"/>
        <v/>
      </c>
      <c r="BJ21" s="47" t="s">
        <v>0</v>
      </c>
      <c r="BK21" s="52" t="str">
        <f t="shared" si="15"/>
        <v/>
      </c>
      <c r="BL21" s="266" t="str">
        <f t="shared" si="16"/>
        <v/>
      </c>
      <c r="BM21" s="73" t="str">
        <f t="shared" si="17"/>
        <v/>
      </c>
      <c r="BN21" s="73" t="str">
        <f t="shared" si="18"/>
        <v/>
      </c>
      <c r="BO21" s="31" t="str" cm="1">
        <f t="array" ref="BO21">IF(BN21="",""&amp;BL21,IF(BN21="NEMA",BL21,INDEX(regKlub_naziv,MATCH(INDEX(regKlub_alias_klubId,BN21),regKlub_id,0))))</f>
        <v/>
      </c>
      <c r="BP21" s="31" t="str" cm="1">
        <f t="array" ref="BP21">IFERROR(""&amp;INDEX(regNatjecatelj_klub,DY21),"")</f>
        <v/>
      </c>
      <c r="BQ21" s="88" t="str">
        <f t="shared" si="51"/>
        <v/>
      </c>
      <c r="BR21" s="66" t="str">
        <f t="shared" si="52"/>
        <v/>
      </c>
      <c r="BS21" s="47" t="s">
        <v>0</v>
      </c>
      <c r="BT21" s="82" t="str">
        <f>IF(BN21&lt;&gt;"NEMA","",IF(IFERROR(MATCH(BL21,BL$12:BL20,0),0)&lt;&gt;0,"",BL21))</f>
        <v/>
      </c>
      <c r="BU21" s="47" t="s">
        <v>0</v>
      </c>
      <c r="BV21" s="125"/>
      <c r="BW21" s="47" t="s">
        <v>0</v>
      </c>
      <c r="BX21" s="58" t="str">
        <f t="shared" si="53"/>
        <v/>
      </c>
      <c r="BY21" s="31" t="str">
        <f t="shared" si="54"/>
        <v/>
      </c>
      <c r="BZ21" s="31" t="str">
        <f>IF(BY21="","",MAX(BZ$12:BZ20)+1)</f>
        <v/>
      </c>
      <c r="CA21" s="31" t="str">
        <f>IF(BY21="","",IF(AA21="","",IF(AA21="NEMA",AC21,AA21)))</f>
        <v/>
      </c>
      <c r="CB21" s="31" t="str">
        <f t="shared" si="55"/>
        <v/>
      </c>
      <c r="CC21" s="31" t="str">
        <f>IF(BV21="","",MAX(CC$12:CC20)+1)</f>
        <v/>
      </c>
      <c r="CD21" s="31" t="str">
        <f t="shared" si="56"/>
        <v/>
      </c>
      <c r="CE21" s="66" t="str">
        <f t="shared" si="57"/>
        <v/>
      </c>
      <c r="CF21" s="47" t="s">
        <v>0</v>
      </c>
      <c r="CG21" s="73" t="str">
        <f>IF(BN21="","",IF(BN21&lt;&gt;"NEMA","",IFERROR(INDEX(nat_klubAliasId,MATCH(BL21,nat_noviKluboviAliasi,0)),"")))</f>
        <v/>
      </c>
      <c r="CH21" s="47"/>
      <c r="CI21" s="19" t="str">
        <f t="shared" si="58"/>
        <v/>
      </c>
      <c r="CJ21" s="47" t="s">
        <v>0</v>
      </c>
      <c r="CK21" s="52" t="str">
        <f>IF(X21&lt;&gt;"NEMA","",IF(IFERROR(MATCH(W21,W$12:W20,0),0)&lt;&gt;0,"",W21))</f>
        <v/>
      </c>
      <c r="CL21" s="73" t="str">
        <f>IF(CK21="","",IFERROR(INDEX(regKlub_alias_id,MATCH(CK21,regKlub_alias_alias,0)),"NEMA"))</f>
        <v/>
      </c>
      <c r="CM21" s="31" t="str">
        <f>IF(OR(CL21="",CL21&lt;&gt;"NEMA"),"",MAX(CM$12:CM20)+1)</f>
        <v/>
      </c>
      <c r="CN21" s="66" t="str">
        <f>IF(OR(CL21="",CL21&lt;&gt;"NEMA"),"",INDEX(regKlub_id,MATCH(CK21,regKlub_naziv,0)))</f>
        <v/>
      </c>
      <c r="CO21" s="47" t="s">
        <v>0</v>
      </c>
      <c r="CP21" s="19" t="str">
        <f>IF(OR(CL21="",CL21&lt;&gt;"NEMA"),"","INSERT INTO klub_alias(id,alias,klub_id) VALUES ("&amp;CM21&amp;",'"&amp;CK21&amp;"',"&amp;CN21&amp;");")</f>
        <v/>
      </c>
      <c r="CQ21" s="47" t="s">
        <v>0</v>
      </c>
      <c r="CR21" s="143" t="str">
        <f>IF(BR21="","",IF(BV21="",IF(IFERROR(MATCH(BR21,nat_noviKluboviAliasi,0),0)&gt;0,INDEX(nat_kluboviAliasi,MATCH(BR21,nat_noviKluboviAliasi,0)),BR21),BV21))</f>
        <v/>
      </c>
      <c r="CS21" s="47" t="s">
        <v>0</v>
      </c>
      <c r="CT21" s="58" t="str">
        <f>IF(G21="","",G21)</f>
        <v/>
      </c>
      <c r="CU21" s="73" t="str">
        <f>IF(H21="","",H21)</f>
        <v>0</v>
      </c>
      <c r="CV21" s="229" t="str">
        <f>IF(CT21="",IF(OR(AL21="",CU21&lt;&gt;"0"),"","GREŠKA"),IF(AND(65535&gt;=VALUE(LEFT(CT21,SEARCH(":",CT21)-1))*60+VALUE(RIGHT(CT21,2)),OR(CU21="0",CU21="1",CU21="2",CU21="3",CU21="4")),"","GREŠKA"))</f>
        <v/>
      </c>
      <c r="CW21" s="230" t="str">
        <f t="shared" si="59"/>
        <v/>
      </c>
      <c r="CX21" s="163" t="str">
        <f t="shared" si="24"/>
        <v/>
      </c>
      <c r="CY21" s="47" t="s">
        <v>0</v>
      </c>
      <c r="CZ21" s="222" t="str">
        <f>IF(CV21&lt;&gt;"GREŠKA","",AK21&amp;" "&amp;AL21&amp;" – Molim u OEventu provjeriti i ispraviti rezultat – vrijeme ("&amp;IF(CT21="","nije upisano",CT21)&amp;") i classifier ("&amp;CU21&amp;").")&amp;IF(OR(CV21&lt;&gt;"GREŠKA",CX21&lt;&gt;5),"
","")&amp;IF(CX21&lt;&gt;5,"",AK21&amp;" "&amp;AL21&amp;" – Molim u provjeriti je li natjecatelj zaista diskvalificiran. Ako je koje je obrazloženje, ako nije molim u OEventu ispraviti rezultat")</f>
        <v xml:space="preserve">
</v>
      </c>
      <c r="DA21" s="223" t="str">
        <f t="shared" si="60"/>
        <v/>
      </c>
      <c r="DB21" s="47" t="s">
        <v>0</v>
      </c>
      <c r="DC21" s="47"/>
      <c r="DD21" s="47"/>
      <c r="DE21" s="47"/>
      <c r="DF21" s="47" t="s">
        <v>0</v>
      </c>
      <c r="DG21" s="53" t="str">
        <f>IF(BD21="","",IF(DI21="O",1,""))</f>
        <v/>
      </c>
      <c r="DH21" t="s">
        <v>0</v>
      </c>
      <c r="DI21" s="128" t="str">
        <f>IF(Q21="","",LEFT(INDEX(regKategorija_oznaka,MATCH(S21,regKategorija_id,0)),1))</f>
        <v>M</v>
      </c>
      <c r="DJ21" t="s">
        <v>0</v>
      </c>
      <c r="DK21" s="52" t="str">
        <f>IF(BD21="","",IF(M21&lt;&gt;"CRO","","INSERT INTO osoba (id,reg_broj,oib,spol_id,dat_rodjenja) VALUES ("&amp;BD21&amp;",(SELECT max(os.reg_broj)+1 FROM osoba AS os),Null,'"&amp;DI21&amp;"',Null); INSERT INTO osoba_log (id,reg_broj,oib,spol_id,dat_rodjenja,dnevnik_id) SELECT id,reg_broj,oib,spol_id,dat_rodjenja,"&amp;data_dnevnik_id&amp;" FROM osoba WHERE id = "&amp;BD21&amp;";"))</f>
        <v/>
      </c>
      <c r="DL21" s="66" t="str">
        <f>IF(BD21="","","INSERT INTO imeprezime (id,osoba_id,rbr,ime,prezime,klub_id,identitet_id,sintaksa_id,info,aktivno,dnevnik_id) VALUES ("&amp;BD21&amp;","&amp;IF(DK21="","Null",BD21)&amp;",1,'"&amp;IF(AV21&lt;&gt;"",AV21,AK21)&amp;"','"&amp;IF(AW21&lt;&gt;"",AW21,AL21)&amp;"',(SELECT id FROM klub WHERE naziv = '"&amp;CR21&amp;"'),Null,1,'',1,"&amp;data_dnevnik_id&amp;");")</f>
        <v/>
      </c>
      <c r="DM21" t="s">
        <v>0</v>
      </c>
      <c r="DN21" s="19" t="str">
        <f t="shared" ref="DN21:DN84" si="69">IF(DK21="",DL21,DK21&amp;" "&amp;DL21)</f>
        <v/>
      </c>
      <c r="DO21" s="47" t="s">
        <v>0</v>
      </c>
      <c r="DP21" s="19" t="str">
        <f>IF(BA21="","","INSERT INTO imeprezime_alias(id,alias,imeprezime_id) VALUES ("&amp;BB21&amp;",'"&amp;BA21&amp;"',"&amp;IF(BC21="NEMA",BD21,BC21)&amp;");")</f>
        <v/>
      </c>
      <c r="DQ21" s="47" t="s">
        <v>0</v>
      </c>
      <c r="DR21" s="52" t="str">
        <f>IF(AL21="","",DU21 &amp; IF(Q21="",""," – " &amp; Q21))</f>
        <v/>
      </c>
      <c r="DS21" s="53" t="str">
        <f t="shared" si="26"/>
        <v/>
      </c>
      <c r="DT21" s="47" t="s">
        <v>0</v>
      </c>
      <c r="DU21" s="52" t="str">
        <f>IF(AL21="","",DX21 &amp; IF(CR21="",""," – " &amp; CR21))</f>
        <v/>
      </c>
      <c r="DV21" s="53" t="str">
        <f t="shared" si="27"/>
        <v/>
      </c>
      <c r="DW21" s="47" t="s">
        <v>0</v>
      </c>
      <c r="DX21" s="52" t="str">
        <f>IF(BG21="","",BF21&amp;" – "&amp;BG21)</f>
        <v/>
      </c>
      <c r="DY21" s="53" t="str">
        <f t="shared" si="28"/>
        <v/>
      </c>
      <c r="DZ21" s="47" t="s">
        <v>0</v>
      </c>
      <c r="EA21" s="58" t="str">
        <f t="shared" si="61"/>
        <v/>
      </c>
      <c r="EB21" s="53" t="str" cm="1">
        <f t="array" ref="EB21">IF(EA21&lt;&gt;"",INDEX(regNatjecatelj_id,EA21,0),IF(BD21&lt;&gt;"",BD21,""))</f>
        <v/>
      </c>
      <c r="EC21" s="47" t="s">
        <v>0</v>
      </c>
      <c r="ED21" s="58" t="str">
        <f>IF(AL21="","",IF(BD21&lt;&gt;"","novo",IF(AN21="","imepre","imepre(ali)")))</f>
        <v/>
      </c>
      <c r="EE21" s="73" t="str">
        <f>IF(AL21="","",IF(BL21="",IF(IFERROR(INDEX(regNatjecatelj_klub,MATCH(EB21,regNatjecatelj_id,0)),"NEMA")="","klu",""),IF(OR(AND(BN21&lt;&gt;"",BN21&lt;&gt;"NEMA"),CD21&lt;&gt;""),"klu(ali)",IF(AND(BP21&lt;&gt;"",BP21&lt;&gt;BO21),"(raz-klu)","klu"))))</f>
        <v/>
      </c>
      <c r="EF21" s="73" t="str">
        <f>IF(AL21="","","kat"&amp;IF(AND(W21&lt;&gt;Q21,Q21&lt;&gt;"Open"),"(ali)",""))</f>
        <v/>
      </c>
      <c r="EG21" s="73" t="str">
        <f t="shared" si="29"/>
        <v/>
      </c>
      <c r="EH21" s="66" t="str">
        <f>IF(AL21="","",ED21&amp;IF(ED21="novo","","-"&amp;EE21&amp;"-"&amp;EF21)&amp;IF(EG21="","","-"&amp;EG21))</f>
        <v/>
      </c>
      <c r="EI21" s="47" t="s">
        <v>0</v>
      </c>
      <c r="EJ21" s="58" t="str">
        <f>IF(AL21="","",MAX(EJ$12:EJ20)+1)</f>
        <v/>
      </c>
      <c r="EK21" s="73" t="str">
        <f>IF(AO21="","",X21)</f>
        <v/>
      </c>
      <c r="EL21" s="73" t="str">
        <f t="shared" si="62"/>
        <v/>
      </c>
      <c r="EM21" s="73" t="str">
        <f t="shared" si="30"/>
        <v/>
      </c>
      <c r="EN21" s="73" t="str">
        <f t="shared" si="31"/>
        <v/>
      </c>
      <c r="EO21" s="73" t="str">
        <f t="shared" si="63"/>
        <v/>
      </c>
      <c r="EP21" s="73" t="str">
        <f t="shared" si="64"/>
        <v/>
      </c>
      <c r="EQ21" s="73" t="str">
        <f t="shared" si="34"/>
        <v/>
      </c>
      <c r="ER21" s="73" t="str">
        <f>IF(OR(AN21="",AN21="NEMA"),BB21,AN21)</f>
        <v/>
      </c>
      <c r="ES21" s="73" t="str">
        <f>IF(AND(BN21&lt;&gt;"",BN21&lt;&gt;"NEMA"),BN21,IF(CG21&lt;&gt;"",CG21,IF(AND(CL21&lt;&gt;"",CL21&lt;&gt;"NEMA"),CL21,IF(CM21&lt;&gt;"",CM21,""))))</f>
        <v/>
      </c>
      <c r="ET21" s="53" t="str">
        <f>IF(INDEX(natKategorija_alias_Id,MATCH(S21,natKategorija_katRegId,0))="","",INDEX(natKategorija_alias_Id,MATCH(S21,natKategorija_katRegId,0)))</f>
        <v/>
      </c>
      <c r="EU21" s="47" t="s">
        <v>0</v>
      </c>
      <c r="EV21" s="19" t="str">
        <f t="shared" si="65"/>
        <v/>
      </c>
      <c r="EW21" s="47" t="s">
        <v>0</v>
      </c>
      <c r="EX21" s="19" t="str">
        <f t="shared" si="66"/>
        <v/>
      </c>
      <c r="EY21" s="47" t="s">
        <v>0</v>
      </c>
      <c r="EZ21" s="180" t="str">
        <f>AG21&amp;IF(CP21="","","
")&amp;CP21&amp;IF(CI21="","","
")&amp;CI21&amp;IF(DN21="","","
")&amp;DN21&amp;IF(DP21="","","
")&amp;DP21&amp;IF(EV21="","","
")&amp;EV21&amp;IF(EX21="","","
")&amp;EX21</f>
        <v/>
      </c>
      <c r="FA21" s="47" t="s">
        <v>0</v>
      </c>
      <c r="FB21" s="290" t="s">
        <v>224</v>
      </c>
      <c r="FC21" s="291"/>
      <c r="FD21" s="291"/>
      <c r="FE21" s="291"/>
      <c r="FF21" s="291"/>
      <c r="FG21" s="291"/>
      <c r="FH21" s="291"/>
      <c r="FI21" s="291"/>
      <c r="FJ21" s="291"/>
      <c r="FK21" s="291"/>
      <c r="FL21" s="291"/>
      <c r="FM21" s="292"/>
    </row>
    <row r="22" spans="1:169" ht="15.75" thickBot="1" x14ac:dyDescent="0.3">
      <c r="A22" t="s">
        <v>0</v>
      </c>
      <c r="B22" s="52" t="str">
        <f>IF(csv!F12="","",csv!T12)</f>
        <v>M12</v>
      </c>
      <c r="C22" s="31" t="s">
        <v>0</v>
      </c>
      <c r="D22" s="31" t="str">
        <f>IF(csv!F12="","",csv!F12)</f>
        <v>Filip</v>
      </c>
      <c r="E22" s="31" t="str">
        <f>IF(csv!E12="","",csv!E12)</f>
        <v>Anadolac</v>
      </c>
      <c r="F22" s="31" t="s">
        <v>0</v>
      </c>
      <c r="G22" s="73" t="str">
        <f>IF(csv!M12="","",csv!M12)</f>
        <v/>
      </c>
      <c r="H22" s="73" t="str">
        <f>IF(csv!N12="","",csv!N12)</f>
        <v>2</v>
      </c>
      <c r="I22" s="31" t="s">
        <v>0</v>
      </c>
      <c r="J22" s="31" t="str">
        <f>IF(csv!P12="","",csv!P12)</f>
        <v>OK Varaždin</v>
      </c>
      <c r="K22" s="31" t="str">
        <f>IF(csv!Q12="","",csv!Q12)</f>
        <v>OK Varaždin</v>
      </c>
      <c r="L22" s="31" t="s">
        <v>0</v>
      </c>
      <c r="M22" s="66" t="str">
        <f>IF(csv!R12="","",csv!R12)</f>
        <v>CRO</v>
      </c>
      <c r="N22" s="47" t="s">
        <v>0</v>
      </c>
      <c r="O22" s="243" t="str">
        <f t="shared" si="36"/>
        <v>ok</v>
      </c>
      <c r="P22" s="47"/>
      <c r="Q22" s="52" t="str">
        <f t="shared" si="37"/>
        <v>M12</v>
      </c>
      <c r="R22" s="73">
        <f>IF(Q22="","",IF(COUNTIF(Q$12:Q21,Q22)=0,R21+1,R21))</f>
        <v>1</v>
      </c>
      <c r="S22" s="73">
        <f t="shared" si="38"/>
        <v>112</v>
      </c>
      <c r="T22" s="73">
        <f t="shared" si="1"/>
        <v>22</v>
      </c>
      <c r="U22" s="66" t="str">
        <f t="shared" si="2"/>
        <v>M12 – Ž12</v>
      </c>
      <c r="V22" s="47" t="s">
        <v>0</v>
      </c>
      <c r="W22" s="222" t="str">
        <f t="shared" si="3"/>
        <v>M12</v>
      </c>
      <c r="X22" s="223">
        <f t="shared" si="4"/>
        <v>23</v>
      </c>
      <c r="Y22" s="47" t="s">
        <v>0</v>
      </c>
      <c r="Z22" s="52" t="str">
        <f t="shared" si="39"/>
        <v>CRO</v>
      </c>
      <c r="AA22" s="73">
        <f t="shared" si="5"/>
        <v>1</v>
      </c>
      <c r="AB22" s="31" t="str">
        <f t="shared" si="40"/>
        <v/>
      </c>
      <c r="AC22" s="66" t="str">
        <f>IF(AB22="","",MAX(AC$12:AC21)+1)</f>
        <v/>
      </c>
      <c r="AD22" s="47" t="s">
        <v>0</v>
      </c>
      <c r="AE22" s="125"/>
      <c r="AF22" s="47" t="s">
        <v>0</v>
      </c>
      <c r="AG22" s="19" t="str">
        <f t="shared" si="41"/>
        <v/>
      </c>
      <c r="AH22" s="47" t="s">
        <v>0</v>
      </c>
      <c r="AI22" s="143" t="str">
        <f t="shared" si="42"/>
        <v>CRO</v>
      </c>
      <c r="AJ22" s="47"/>
      <c r="AK22" s="52" t="str">
        <f t="shared" si="43"/>
        <v>Filip</v>
      </c>
      <c r="AL22" s="31" t="str">
        <f t="shared" si="44"/>
        <v>Anadolac</v>
      </c>
      <c r="AM22" s="73">
        <f t="shared" si="45"/>
        <v>1106</v>
      </c>
      <c r="AN22" s="73" t="str">
        <f t="shared" si="46"/>
        <v/>
      </c>
      <c r="AO22" s="31" t="str">
        <f t="shared" si="8"/>
        <v>Filip</v>
      </c>
      <c r="AP22" s="66" t="str">
        <f t="shared" si="9"/>
        <v>Anadolac</v>
      </c>
      <c r="AQ22" s="47" t="s">
        <v>0</v>
      </c>
      <c r="AR22" s="82" t="str">
        <f t="shared" si="47"/>
        <v/>
      </c>
      <c r="AS22" s="47" t="s">
        <v>0</v>
      </c>
      <c r="AT22" s="19" t="str">
        <f t="shared" si="48"/>
        <v/>
      </c>
      <c r="AU22" s="47" t="s">
        <v>0</v>
      </c>
      <c r="AV22" s="103"/>
      <c r="AW22" s="105"/>
      <c r="AX22" s="47" t="s">
        <v>0</v>
      </c>
      <c r="AY22" s="256" t="str">
        <f t="shared" si="68"/>
        <v/>
      </c>
      <c r="AZ22" s="47" t="s">
        <v>0</v>
      </c>
      <c r="BA22" s="52" t="str">
        <f t="shared" si="11"/>
        <v/>
      </c>
      <c r="BB22" s="73" t="str">
        <f>IF(AV22&amp;AW22="","",MAX(BB$12:BB21)+1)</f>
        <v/>
      </c>
      <c r="BC22" s="268" t="str">
        <f t="shared" si="12"/>
        <v/>
      </c>
      <c r="BD22" s="53" t="str">
        <f>IF(AND(AM22="NEMA",AN22="NEMA",OR(AV22&amp;AW22="",BC22="NEMA")),MAX(BD$12:BD21)+1,"")</f>
        <v/>
      </c>
      <c r="BE22" s="47" t="s">
        <v>0</v>
      </c>
      <c r="BF22" s="52" t="str">
        <f t="shared" si="13"/>
        <v>Filip</v>
      </c>
      <c r="BG22" s="31" t="str">
        <f t="shared" si="14"/>
        <v>Anadolac</v>
      </c>
      <c r="BH22" s="73" t="str">
        <f t="shared" si="49"/>
        <v/>
      </c>
      <c r="BI22" s="53">
        <f t="shared" si="50"/>
        <v>1106</v>
      </c>
      <c r="BJ22" s="47" t="s">
        <v>0</v>
      </c>
      <c r="BK22" s="52" t="str">
        <f t="shared" si="15"/>
        <v>OK Varaždin</v>
      </c>
      <c r="BL22" s="31" t="str">
        <f t="shared" si="16"/>
        <v>OK Varaždin</v>
      </c>
      <c r="BM22" s="73">
        <f t="shared" si="17"/>
        <v>11</v>
      </c>
      <c r="BN22" s="73" t="str">
        <f t="shared" si="18"/>
        <v/>
      </c>
      <c r="BO22" s="31" t="str" cm="1">
        <f t="array" ref="BO22">IF(BN22="",""&amp;BL22,IF(BN22="NEMA",BL22,INDEX(regKlub_naziv,MATCH(INDEX(regKlub_alias_klubId,BN22),regKlub_id,0))))</f>
        <v>OK Varaždin</v>
      </c>
      <c r="BP22" s="31" t="str" cm="1">
        <f t="array" ref="BP22">IFERROR(""&amp;INDEX(regNatjecatelj_klub,DY22),"")</f>
        <v>OK Varaždin</v>
      </c>
      <c r="BQ22" s="88" t="str">
        <f t="shared" si="51"/>
        <v/>
      </c>
      <c r="BR22" s="66" t="str">
        <f t="shared" si="52"/>
        <v>OK Varaždin</v>
      </c>
      <c r="BS22" s="47" t="s">
        <v>0</v>
      </c>
      <c r="BT22" s="82" t="str">
        <f>IF(BN22&lt;&gt;"NEMA","",IF(IFERROR(MATCH(BL22,BL$12:BL21,0),0)&lt;&gt;0,"",BL22))</f>
        <v/>
      </c>
      <c r="BU22" s="47" t="s">
        <v>0</v>
      </c>
      <c r="BV22" s="125"/>
      <c r="BW22" s="47" t="s">
        <v>0</v>
      </c>
      <c r="BX22" s="58" t="str">
        <f t="shared" si="53"/>
        <v/>
      </c>
      <c r="BY22" s="31" t="str">
        <f t="shared" si="54"/>
        <v/>
      </c>
      <c r="BZ22" s="31" t="str">
        <f>IF(BY22="","",MAX(BZ$12:BZ21)+1)</f>
        <v/>
      </c>
      <c r="CA22" s="31" t="str">
        <f>IF(BY22="","",IF(AA22="","",IF(AA22="NEMA",AC22,AA22)))</f>
        <v/>
      </c>
      <c r="CB22" s="31" t="str">
        <f t="shared" si="55"/>
        <v/>
      </c>
      <c r="CC22" s="31" t="str">
        <f>IF(BV22="","",MAX(CC$12:CC21)+1)</f>
        <v/>
      </c>
      <c r="CD22" s="31" t="str">
        <f t="shared" si="56"/>
        <v/>
      </c>
      <c r="CE22" s="66" t="str">
        <f t="shared" si="57"/>
        <v/>
      </c>
      <c r="CF22" s="47" t="s">
        <v>0</v>
      </c>
      <c r="CG22" s="73" t="str">
        <f>IF(BN22="","",IF(BN22&lt;&gt;"NEMA","",IFERROR(INDEX(nat_klubAliasId,MATCH(BL22,nat_noviKluboviAliasi,0)),"")))</f>
        <v/>
      </c>
      <c r="CH22" s="47"/>
      <c r="CI22" s="19" t="str">
        <f t="shared" si="58"/>
        <v/>
      </c>
      <c r="CJ22" s="47" t="s">
        <v>0</v>
      </c>
      <c r="CK22" s="52" t="str">
        <f>IF(X22&lt;&gt;"NEMA","",IF(IFERROR(MATCH(W22,W$12:W21,0),0)&lt;&gt;0,"",W22))</f>
        <v/>
      </c>
      <c r="CL22" s="73" t="str">
        <f>IF(CK22="","",IFERROR(INDEX(regKlub_alias_id,MATCH(CK22,regKlub_alias_alias,0)),"NEMA"))</f>
        <v/>
      </c>
      <c r="CM22" s="31" t="str">
        <f>IF(OR(CL22="",CL22&lt;&gt;"NEMA"),"",MAX(CM$12:CM21)+1)</f>
        <v/>
      </c>
      <c r="CN22" s="66" t="str">
        <f>IF(OR(CL22="",CL22&lt;&gt;"NEMA"),"",INDEX(regKlub_id,MATCH(CK22,regKlub_naziv,0)))</f>
        <v/>
      </c>
      <c r="CO22" s="47" t="s">
        <v>0</v>
      </c>
      <c r="CP22" s="19" t="str">
        <f>IF(OR(CL22="",CL22&lt;&gt;"NEMA"),"","INSERT INTO klub_alias(id,alias,klub_id) VALUES ("&amp;CM22&amp;",'"&amp;CK22&amp;"',"&amp;CN22&amp;");")</f>
        <v/>
      </c>
      <c r="CQ22" s="47" t="s">
        <v>0</v>
      </c>
      <c r="CR22" s="143" t="str">
        <f>IF(BR22="","",IF(BV22="",IF(IFERROR(MATCH(BR22,nat_noviKluboviAliasi,0),0)&gt;0,INDEX(nat_kluboviAliasi,MATCH(BR22,nat_noviKluboviAliasi,0)),BR22),BV22))</f>
        <v>OK Varaždin</v>
      </c>
      <c r="CS22" s="47" t="s">
        <v>0</v>
      </c>
      <c r="CT22" s="58" t="str">
        <f>IF(G22="","",G22)</f>
        <v/>
      </c>
      <c r="CU22" s="73" t="str">
        <f>IF(H22="","",H22)</f>
        <v>2</v>
      </c>
      <c r="CV22" s="229" t="str">
        <f>IF(CT22="",IF(OR(AL22="",CU22&lt;&gt;"0"),"","GREŠKA"),IF(AND(65535&gt;=VALUE(LEFT(CT22,SEARCH(":",CT22)-1))*60+VALUE(RIGHT(CT22,2)),OR(CU22="0",CU22="1",CU22="2",CU22="3",CU22="4")),"","GREŠKA"))</f>
        <v/>
      </c>
      <c r="CW22" s="230" t="str">
        <f t="shared" si="59"/>
        <v/>
      </c>
      <c r="CX22" s="163">
        <f t="shared" si="24"/>
        <v>4</v>
      </c>
      <c r="CY22" s="47" t="s">
        <v>0</v>
      </c>
      <c r="CZ22" s="222" t="str">
        <f>IF(CV22&lt;&gt;"GREŠKA","",AK22&amp;" "&amp;AL22&amp;" – Molim u OEventu provjeriti i ispraviti rezultat – vrijeme ("&amp;IF(CT22="","nije upisano",CT22)&amp;") i classifier ("&amp;CU22&amp;").")&amp;IF(OR(CV22&lt;&gt;"GREŠKA",CX22&lt;&gt;5),"
","")&amp;IF(CX22&lt;&gt;5,"",AK22&amp;" "&amp;AL22&amp;" – Molim u provjeriti je li natjecatelj zaista diskvalificiran. Ako je koje je obrazloženje, ako nije molim u OEventu ispraviti rezultat")</f>
        <v xml:space="preserve">
</v>
      </c>
      <c r="DA22" s="223">
        <f t="shared" si="60"/>
        <v>5</v>
      </c>
      <c r="DB22" s="47" t="s">
        <v>0</v>
      </c>
      <c r="DC22" s="47"/>
      <c r="DD22" s="47"/>
      <c r="DE22" s="47"/>
      <c r="DF22" s="47" t="s">
        <v>0</v>
      </c>
      <c r="DG22" s="53" t="str">
        <f>IF(BD22="","",IF(DI22="O",1,""))</f>
        <v/>
      </c>
      <c r="DH22" t="s">
        <v>0</v>
      </c>
      <c r="DI22" s="128" t="str">
        <f>IF(Q22="","",LEFT(INDEX(regKategorija_oznaka,MATCH(S22,regKategorija_id,0)),1))</f>
        <v>M</v>
      </c>
      <c r="DJ22" t="s">
        <v>0</v>
      </c>
      <c r="DK22" s="52" t="str">
        <f>IF(BD22="","",IF(M22&lt;&gt;"CRO","","INSERT INTO osoba (id,reg_broj,oib,spol_id,dat_rodjenja) VALUES ("&amp;BD22&amp;",(SELECT max(os.reg_broj)+1 FROM osoba AS os),Null,'"&amp;DI22&amp;"',Null); INSERT INTO osoba_log (id,reg_broj,oib,spol_id,dat_rodjenja,dnevnik_id) SELECT id,reg_broj,oib,spol_id,dat_rodjenja,"&amp;data_dnevnik_id&amp;" FROM osoba WHERE id = "&amp;BD22&amp;";"))</f>
        <v/>
      </c>
      <c r="DL22" s="66" t="str">
        <f>IF(BD22="","","INSERT INTO imeprezime (id,osoba_id,rbr,ime,prezime,klub_id,identitet_id,sintaksa_id,info,aktivno,dnevnik_id) VALUES ("&amp;BD22&amp;","&amp;IF(DK22="","Null",BD22)&amp;",1,'"&amp;IF(AV22&lt;&gt;"",AV22,AK22)&amp;"','"&amp;IF(AW22&lt;&gt;"",AW22,AL22)&amp;"',(SELECT id FROM klub WHERE naziv = '"&amp;CR22&amp;"'),Null,1,'',1,"&amp;data_dnevnik_id&amp;");")</f>
        <v/>
      </c>
      <c r="DM22" t="s">
        <v>0</v>
      </c>
      <c r="DN22" s="19" t="str">
        <f t="shared" si="69"/>
        <v/>
      </c>
      <c r="DO22" s="47" t="s">
        <v>0</v>
      </c>
      <c r="DP22" s="19" t="str">
        <f>IF(BA22="","","INSERT INTO imeprezime_alias(id,alias,imeprezime_id) VALUES ("&amp;BB22&amp;",'"&amp;BA22&amp;"',"&amp;IF(BC22="NEMA",BD22,BC22)&amp;");")</f>
        <v/>
      </c>
      <c r="DQ22" s="47" t="s">
        <v>0</v>
      </c>
      <c r="DR22" s="52" t="str">
        <f>IF(AL22="","",DU22 &amp; IF(Q22="",""," – " &amp; Q22))</f>
        <v>Filip – Anadolac – OK Varaždin – M12</v>
      </c>
      <c r="DS22" s="53">
        <f t="shared" si="26"/>
        <v>519</v>
      </c>
      <c r="DT22" s="47" t="s">
        <v>0</v>
      </c>
      <c r="DU22" s="52" t="str">
        <f>IF(AL22="","",DX22 &amp; IF(CR22="",""," – " &amp; CR22))</f>
        <v>Filip – Anadolac – OK Varaždin</v>
      </c>
      <c r="DV22" s="53">
        <f t="shared" si="27"/>
        <v>519</v>
      </c>
      <c r="DW22" s="47" t="s">
        <v>0</v>
      </c>
      <c r="DX22" s="52" t="str">
        <f>IF(BG22="","",BF22&amp;" – "&amp;BG22)</f>
        <v>Filip – Anadolac</v>
      </c>
      <c r="DY22" s="53">
        <f t="shared" si="28"/>
        <v>519</v>
      </c>
      <c r="DZ22" s="47" t="s">
        <v>0</v>
      </c>
      <c r="EA22" s="58">
        <f t="shared" si="61"/>
        <v>519</v>
      </c>
      <c r="EB22" s="53" cm="1">
        <f t="array" ref="EB22">IF(EA22&lt;&gt;"",INDEX(regNatjecatelj_id,EA22,0),IF(BD22&lt;&gt;"",BD22,""))</f>
        <v>1106</v>
      </c>
      <c r="EC22" s="47" t="s">
        <v>0</v>
      </c>
      <c r="ED22" s="58" t="str">
        <f>IF(AL22="","",IF(BD22&lt;&gt;"","novo",IF(AN22="","imepre","imepre(ali)")))</f>
        <v>imepre</v>
      </c>
      <c r="EE22" s="73" t="str">
        <f>IF(AL22="","",IF(BL22="",IF(IFERROR(INDEX(regNatjecatelj_klub,MATCH(EB22,regNatjecatelj_id,0)),"NEMA")="","klu",""),IF(OR(AND(BN22&lt;&gt;"",BN22&lt;&gt;"NEMA"),CD22&lt;&gt;""),"klu(ali)",IF(AND(BP22&lt;&gt;"",BP22&lt;&gt;BO22),"(raz-klu)","klu"))))</f>
        <v>klu</v>
      </c>
      <c r="EF22" s="73" t="str">
        <f>IF(AL22="","","kat"&amp;IF(AND(W22&lt;&gt;Q22,Q22&lt;&gt;"Open"),"(ali)",""))</f>
        <v>kat</v>
      </c>
      <c r="EG22" s="73" t="str">
        <f t="shared" si="29"/>
        <v/>
      </c>
      <c r="EH22" s="66" t="str">
        <f>IF(AL22="","",ED22&amp;IF(ED22="novo","","-"&amp;EE22&amp;"-"&amp;EF22)&amp;IF(EG22="","","-"&amp;EG22))</f>
        <v>imepre-klu-kat</v>
      </c>
      <c r="EI22" s="47" t="s">
        <v>0</v>
      </c>
      <c r="EJ22" s="58">
        <f>IF(AL22="","",MAX(EJ$12:EJ21)+1)</f>
        <v>200</v>
      </c>
      <c r="EK22" s="73">
        <f>IF(AO22="","",X22)</f>
        <v>23</v>
      </c>
      <c r="EL22" s="73">
        <f t="shared" si="62"/>
        <v>1106</v>
      </c>
      <c r="EM22" s="73" t="str">
        <f t="shared" si="30"/>
        <v/>
      </c>
      <c r="EN22" s="73">
        <f t="shared" si="31"/>
        <v>4</v>
      </c>
      <c r="EO22" s="73">
        <f t="shared" si="63"/>
        <v>1</v>
      </c>
      <c r="EP22" s="73">
        <f t="shared" si="64"/>
        <v>1</v>
      </c>
      <c r="EQ22" s="73" t="str">
        <f t="shared" si="34"/>
        <v>2</v>
      </c>
      <c r="ER22" s="73" t="str">
        <f>IF(OR(AN22="",AN22="NEMA"),BB22,AN22)</f>
        <v/>
      </c>
      <c r="ES22" s="73" t="str">
        <f>IF(AND(BN22&lt;&gt;"",BN22&lt;&gt;"NEMA"),BN22,IF(CG22&lt;&gt;"",CG22,IF(AND(CL22&lt;&gt;"",CL22&lt;&gt;"NEMA"),CL22,IF(CM22&lt;&gt;"",CM22,""))))</f>
        <v/>
      </c>
      <c r="ET22" s="53" t="str">
        <f>IF(INDEX(natKategorija_alias_Id,MATCH(S22,natKategorija_katRegId,0))="","",INDEX(natKategorija_alias_Id,MATCH(S22,natKategorija_katRegId,0)))</f>
        <v/>
      </c>
      <c r="EU22" s="47" t="s">
        <v>0</v>
      </c>
      <c r="EV22" s="19" t="str">
        <f t="shared" si="65"/>
        <v>INSERT INTO rezultat(id,stazakategorija_id,imeprezime_id,vrijeme_sec,status_id,registracija,uparivanje_id,originalstatus_id,imeprezimealias_id,klubalias_id,kategorijaalias_id) VALUES (200,23,1106,Null,4,1,1,2,Null,Null,Null);</v>
      </c>
      <c r="EW22" s="47" t="s">
        <v>0</v>
      </c>
      <c r="EX22" s="19" t="str">
        <f t="shared" si="66"/>
        <v>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EY22" s="47" t="s">
        <v>0</v>
      </c>
      <c r="EZ22" s="180" t="str">
        <f>AG22&amp;IF(CP22="","","
")&amp;CP22&amp;IF(CI22="","","
")&amp;CI22&amp;IF(DN22="","","
")&amp;DN22&amp;IF(DP22="","","
")&amp;DP22&amp;IF(EV22="","","
")&amp;EV22&amp;IF(EX22="","","
")&amp;EX22</f>
        <v xml:space="preserve">
INSERT INTO rezultat(id,stazakategorija_id,imeprezime_id,vrijeme_sec,status_id,registracija,uparivanje_id,originalstatus_id,imeprezimealias_id,klubalias_id,kategorijaalias_id) VALUES (200,23,1106,Null,4,1,1,2,Null,Null,Null);
UPDATE
	registar
SET
	potvrda = 1
WHERE
	imeprezime_id=1106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23)
                         		AND
                         	kategorija_liga.liga_id = 101)
		AND
	datum_od &lt;= '2021-04-18'
    	AND
    datum_do is Null;</v>
      </c>
      <c r="FA22" s="47" t="s">
        <v>0</v>
      </c>
      <c r="FB22" s="290" t="s">
        <v>227</v>
      </c>
      <c r="FC22" s="291"/>
      <c r="FD22" s="291"/>
      <c r="FE22" s="291"/>
      <c r="FF22" s="291"/>
      <c r="FG22" s="291"/>
      <c r="FH22" s="291"/>
      <c r="FI22" s="291"/>
      <c r="FJ22" s="291"/>
      <c r="FK22" s="291"/>
      <c r="FL22" s="291"/>
      <c r="FM22" s="292"/>
    </row>
    <row r="23" spans="1:169" ht="15.75" thickBot="1" x14ac:dyDescent="0.3">
      <c r="A23" t="s">
        <v>0</v>
      </c>
      <c r="B23" s="52" t="str">
        <f>IF(csv!F13="","",csv!T13)</f>
        <v>M12</v>
      </c>
      <c r="C23" s="31" t="s">
        <v>0</v>
      </c>
      <c r="D23" s="31" t="str">
        <f>IF(csv!F13="","",csv!F13)</f>
        <v>Jakov</v>
      </c>
      <c r="E23" s="31" t="str">
        <f>IF(csv!E13="","",csv!E13)</f>
        <v>Boban</v>
      </c>
      <c r="F23" s="31" t="s">
        <v>0</v>
      </c>
      <c r="G23" s="73" t="str">
        <f>IF(csv!M13="","",csv!M13)</f>
        <v/>
      </c>
      <c r="H23" s="73" t="str">
        <f>IF(csv!N13="","",csv!N13)</f>
        <v>1</v>
      </c>
      <c r="I23" s="31" t="s">
        <v>0</v>
      </c>
      <c r="J23" s="31" t="str">
        <f>IF(csv!P13="","",csv!P13)</f>
        <v>OK MERZ CRO</v>
      </c>
      <c r="K23" s="31" t="str">
        <f>IF(csv!Q13="","",csv!Q13)</f>
        <v>OK Ivan Merz</v>
      </c>
      <c r="L23" s="31" t="s">
        <v>0</v>
      </c>
      <c r="M23" s="66" t="str">
        <f>IF(csv!R13="","",csv!R13)</f>
        <v>CRO</v>
      </c>
      <c r="N23" s="47" t="s">
        <v>0</v>
      </c>
      <c r="O23" s="243" t="str">
        <f t="shared" si="36"/>
        <v>ok</v>
      </c>
      <c r="P23" s="47"/>
      <c r="Q23" s="52" t="str">
        <f t="shared" si="37"/>
        <v>M12</v>
      </c>
      <c r="R23" s="73">
        <f>IF(Q23="","",IF(COUNTIF(Q$12:Q22,Q23)=0,R22+1,R22))</f>
        <v>1</v>
      </c>
      <c r="S23" s="73">
        <f t="shared" si="38"/>
        <v>112</v>
      </c>
      <c r="T23" s="73">
        <f t="shared" si="1"/>
        <v>22</v>
      </c>
      <c r="U23" s="66" t="str">
        <f t="shared" si="2"/>
        <v>M12 – Ž12</v>
      </c>
      <c r="V23" s="47" t="s">
        <v>0</v>
      </c>
      <c r="W23" s="222" t="str">
        <f t="shared" si="3"/>
        <v>M12</v>
      </c>
      <c r="X23" s="223">
        <f t="shared" si="4"/>
        <v>23</v>
      </c>
      <c r="Y23" s="47" t="s">
        <v>0</v>
      </c>
      <c r="Z23" s="52" t="str">
        <f t="shared" si="39"/>
        <v>CRO</v>
      </c>
      <c r="AA23" s="73">
        <f t="shared" si="5"/>
        <v>1</v>
      </c>
      <c r="AB23" s="31" t="str">
        <f t="shared" si="40"/>
        <v/>
      </c>
      <c r="AC23" s="66" t="str">
        <f>IF(AB23="","",MAX(AC$12:AC22)+1)</f>
        <v/>
      </c>
      <c r="AD23" s="47" t="s">
        <v>0</v>
      </c>
      <c r="AE23" s="125"/>
      <c r="AF23" s="47" t="s">
        <v>0</v>
      </c>
      <c r="AG23" s="19" t="str">
        <f t="shared" si="41"/>
        <v/>
      </c>
      <c r="AH23" s="47" t="s">
        <v>0</v>
      </c>
      <c r="AI23" s="143" t="str">
        <f t="shared" si="42"/>
        <v>CRO</v>
      </c>
      <c r="AJ23" s="47"/>
      <c r="AK23" s="52" t="str">
        <f t="shared" si="43"/>
        <v>Jakov</v>
      </c>
      <c r="AL23" s="31" t="str">
        <f t="shared" si="44"/>
        <v>Boban</v>
      </c>
      <c r="AM23" s="73">
        <f t="shared" si="45"/>
        <v>1342</v>
      </c>
      <c r="AN23" s="73" t="str">
        <f t="shared" si="46"/>
        <v/>
      </c>
      <c r="AO23" s="31" t="str">
        <f t="shared" si="8"/>
        <v>Jakov</v>
      </c>
      <c r="AP23" s="66" t="str">
        <f t="shared" si="9"/>
        <v>Boban</v>
      </c>
      <c r="AQ23" s="47" t="s">
        <v>0</v>
      </c>
      <c r="AR23" s="82" t="str">
        <f t="shared" si="47"/>
        <v/>
      </c>
      <c r="AS23" s="47" t="s">
        <v>0</v>
      </c>
      <c r="AT23" s="19" t="str">
        <f t="shared" si="48"/>
        <v/>
      </c>
      <c r="AU23" s="47" t="s">
        <v>0</v>
      </c>
      <c r="AV23" s="103"/>
      <c r="AW23" s="105"/>
      <c r="AX23" s="47" t="s">
        <v>0</v>
      </c>
      <c r="AY23" s="256" t="str">
        <f t="shared" si="68"/>
        <v/>
      </c>
      <c r="AZ23" s="47" t="s">
        <v>0</v>
      </c>
      <c r="BA23" s="52" t="str">
        <f t="shared" si="11"/>
        <v/>
      </c>
      <c r="BB23" s="73" t="str">
        <f>IF(AV23&amp;AW23="","",MAX(BB$12:BB22)+1)</f>
        <v/>
      </c>
      <c r="BC23" s="268" t="str">
        <f t="shared" si="12"/>
        <v/>
      </c>
      <c r="BD23" s="53" t="str">
        <f>IF(AND(AM23="NEMA",AN23="NEMA",OR(AV23&amp;AW23="",BC23="NEMA")),MAX(BD$12:BD22)+1,"")</f>
        <v/>
      </c>
      <c r="BE23" s="47" t="s">
        <v>0</v>
      </c>
      <c r="BF23" s="52" t="str">
        <f t="shared" si="13"/>
        <v>Jakov</v>
      </c>
      <c r="BG23" s="31" t="str">
        <f t="shared" si="14"/>
        <v>Boban</v>
      </c>
      <c r="BH23" s="73" t="str">
        <f t="shared" si="49"/>
        <v/>
      </c>
      <c r="BI23" s="53">
        <f t="shared" si="50"/>
        <v>1342</v>
      </c>
      <c r="BJ23" s="47" t="s">
        <v>0</v>
      </c>
      <c r="BK23" s="52" t="str">
        <f t="shared" si="15"/>
        <v>OK MERZ CRO</v>
      </c>
      <c r="BL23" s="31" t="str">
        <f t="shared" si="16"/>
        <v>OK Ivan Merz</v>
      </c>
      <c r="BM23" s="73">
        <f t="shared" si="17"/>
        <v>2</v>
      </c>
      <c r="BN23" s="73" t="str">
        <f t="shared" si="18"/>
        <v/>
      </c>
      <c r="BO23" s="31" t="str" cm="1">
        <f t="array" ref="BO23">IF(BN23="",""&amp;BL23,IF(BN23="NEMA",BL23,INDEX(regKlub_naziv,MATCH(INDEX(regKlub_alias_klubId,BN23),regKlub_id,0))))</f>
        <v>OK Ivan Merz</v>
      </c>
      <c r="BP23" s="31" t="str" cm="1">
        <f t="array" ref="BP23">IFERROR(""&amp;INDEX(regNatjecatelj_klub,DY23),"")</f>
        <v>OK Ivan Merz</v>
      </c>
      <c r="BQ23" s="88" t="str">
        <f t="shared" si="51"/>
        <v/>
      </c>
      <c r="BR23" s="66" t="str">
        <f t="shared" si="52"/>
        <v>OK Ivan Merz</v>
      </c>
      <c r="BS23" s="47" t="s">
        <v>0</v>
      </c>
      <c r="BT23" s="82" t="str">
        <f>IF(BN23&lt;&gt;"NEMA","",IF(IFERROR(MATCH(BL23,BL$12:BL22,0),0)&lt;&gt;0,"",BL23))</f>
        <v/>
      </c>
      <c r="BU23" s="47" t="s">
        <v>0</v>
      </c>
      <c r="BV23" s="125"/>
      <c r="BW23" s="47" t="s">
        <v>0</v>
      </c>
      <c r="BX23" s="58" t="str">
        <f t="shared" si="53"/>
        <v/>
      </c>
      <c r="BY23" s="31" t="str">
        <f t="shared" si="54"/>
        <v/>
      </c>
      <c r="BZ23" s="31" t="str">
        <f>IF(BY23="","",MAX(BZ$12:BZ22)+1)</f>
        <v/>
      </c>
      <c r="CA23" s="31" t="str">
        <f>IF(BY23="","",IF(AA23="","",IF(AA23="NEMA",AC23,AA23)))</f>
        <v/>
      </c>
      <c r="CB23" s="31" t="str">
        <f t="shared" si="55"/>
        <v/>
      </c>
      <c r="CC23" s="31" t="str">
        <f>IF(BV23="","",MAX(CC$12:CC22)+1)</f>
        <v/>
      </c>
      <c r="CD23" s="31" t="str">
        <f t="shared" si="56"/>
        <v/>
      </c>
      <c r="CE23" s="66" t="str">
        <f t="shared" si="57"/>
        <v/>
      </c>
      <c r="CF23" s="47" t="s">
        <v>0</v>
      </c>
      <c r="CG23" s="73" t="str">
        <f>IF(BN23="","",IF(BN23&lt;&gt;"NEMA","",IFERROR(INDEX(nat_klubAliasId,MATCH(BL23,nat_noviKluboviAliasi,0)),"")))</f>
        <v/>
      </c>
      <c r="CH23" s="47"/>
      <c r="CI23" s="19" t="str">
        <f t="shared" si="58"/>
        <v/>
      </c>
      <c r="CJ23" s="47" t="s">
        <v>0</v>
      </c>
      <c r="CK23" s="52" t="str">
        <f>IF(X23&lt;&gt;"NEMA","",IF(IFERROR(MATCH(W23,W$12:W22,0),0)&lt;&gt;0,"",W23))</f>
        <v/>
      </c>
      <c r="CL23" s="73" t="str">
        <f>IF(CK23="","",IFERROR(INDEX(regKlub_alias_id,MATCH(CK23,regKlub_alias_alias,0)),"NEMA"))</f>
        <v/>
      </c>
      <c r="CM23" s="31" t="str">
        <f>IF(OR(CL23="",CL23&lt;&gt;"NEMA"),"",MAX(CM$12:CM22)+1)</f>
        <v/>
      </c>
      <c r="CN23" s="66" t="str">
        <f>IF(OR(CL23="",CL23&lt;&gt;"NEMA"),"",INDEX(regKlub_id,MATCH(CK23,regKlub_naziv,0)))</f>
        <v/>
      </c>
      <c r="CO23" s="47" t="s">
        <v>0</v>
      </c>
      <c r="CP23" s="19" t="str">
        <f>IF(OR(CL23="",CL23&lt;&gt;"NEMA"),"","INSERT INTO klub_alias(id,alias,klub_id) VALUES ("&amp;CM23&amp;",'"&amp;CK23&amp;"',"&amp;CN23&amp;");")</f>
        <v/>
      </c>
      <c r="CQ23" s="47" t="s">
        <v>0</v>
      </c>
      <c r="CR23" s="143" t="str">
        <f>IF(BR23="","",IF(BV23="",IF(IFERROR(MATCH(BR23,nat_noviKluboviAliasi,0),0)&gt;0,INDEX(nat_kluboviAliasi,MATCH(BR23,nat_noviKluboviAliasi,0)),BR23),BV23))</f>
        <v>OK Ivan Merz</v>
      </c>
      <c r="CS23" s="47" t="s">
        <v>0</v>
      </c>
      <c r="CT23" s="58" t="str">
        <f>IF(G23="","",G23)</f>
        <v/>
      </c>
      <c r="CU23" s="73" t="str">
        <f>IF(H23="","",H23)</f>
        <v>1</v>
      </c>
      <c r="CV23" s="229" t="str">
        <f>IF(CT23="",IF(OR(AL23="",CU23&lt;&gt;"0"),"","GREŠKA"),IF(AND(65535&gt;=VALUE(LEFT(CT23,SEARCH(":",CT23)-1))*60+VALUE(RIGHT(CT23,2)),OR(CU23="0",CU23="1",CU23="2",CU23="3",CU23="4")),"","GREŠKA"))</f>
        <v/>
      </c>
      <c r="CW23" s="230" t="str">
        <f t="shared" si="59"/>
        <v/>
      </c>
      <c r="CX23" s="163">
        <f t="shared" si="24"/>
        <v>6</v>
      </c>
      <c r="CY23" s="47" t="s">
        <v>0</v>
      </c>
      <c r="CZ23" s="222" t="str">
        <f>IF(CV23&lt;&gt;"GREŠKA","",AK23&amp;" "&amp;AL23&amp;" – Molim u OEventu provjeriti i ispraviti rezultat – vrijeme ("&amp;IF(CT23="","nije upisano",CT23)&amp;") i classifier ("&amp;CU23&amp;").")&amp;IF(OR(CV23&lt;&gt;"GREŠKA",CX23&lt;&gt;5),"
","")&amp;IF(CX23&lt;&gt;5,"",AK23&amp;" "&amp;AL23&amp;" – Molim u provjeriti je li natjecatelj zaista diskvalificiran. Ako je koje je obrazloženje, ako nije molim u OEventu ispraviti rezultat")</f>
        <v xml:space="preserve">
</v>
      </c>
      <c r="DA23" s="223" t="e">
        <f t="shared" si="60"/>
        <v>#N/A</v>
      </c>
      <c r="DB23" s="47" t="s">
        <v>0</v>
      </c>
      <c r="DC23" s="47"/>
      <c r="DD23" s="47"/>
      <c r="DE23" s="47"/>
      <c r="DF23" s="47" t="s">
        <v>0</v>
      </c>
      <c r="DG23" s="53" t="str">
        <f>IF(BD23="","",IF(DI23="O",1,""))</f>
        <v/>
      </c>
      <c r="DH23" t="s">
        <v>0</v>
      </c>
      <c r="DI23" s="128" t="str">
        <f>IF(Q23="","",LEFT(INDEX(regKategorija_oznaka,MATCH(S23,regKategorija_id,0)),1))</f>
        <v>M</v>
      </c>
      <c r="DJ23" t="s">
        <v>0</v>
      </c>
      <c r="DK23" s="52" t="str">
        <f>IF(BD23="","",IF(M23&lt;&gt;"CRO","","INSERT INTO osoba (id,reg_broj,oib,spol_id,dat_rodjenja) VALUES ("&amp;BD23&amp;",(SELECT max(os.reg_broj)+1 FROM osoba AS os),Null,'"&amp;DI23&amp;"',Null); INSERT INTO osoba_log (id,reg_broj,oib,spol_id,dat_rodjenja,dnevnik_id) SELECT id,reg_broj,oib,spol_id,dat_rodjenja,"&amp;data_dnevnik_id&amp;" FROM osoba WHERE id = "&amp;BD23&amp;";"))</f>
        <v/>
      </c>
      <c r="DL23" s="66" t="str">
        <f>IF(BD23="","","INSERT INTO imeprezime (id,osoba_id,rbr,ime,prezime,klub_id,identitet_id,sintaksa_id,info,aktivno,dnevnik_id) VALUES ("&amp;BD23&amp;","&amp;IF(DK23="","Null",BD23)&amp;",1,'"&amp;IF(AV23&lt;&gt;"",AV23,AK23)&amp;"','"&amp;IF(AW23&lt;&gt;"",AW23,AL23)&amp;"',(SELECT id FROM klub WHERE naziv = '"&amp;CR23&amp;"'),Null,1,'',1,"&amp;data_dnevnik_id&amp;");")</f>
        <v/>
      </c>
      <c r="DM23" t="s">
        <v>0</v>
      </c>
      <c r="DN23" s="19" t="str">
        <f t="shared" si="69"/>
        <v/>
      </c>
      <c r="DO23" s="47" t="s">
        <v>0</v>
      </c>
      <c r="DP23" s="19" t="str">
        <f>IF(BA23="","","INSERT INTO imeprezime_alias(id,alias,imeprezime_id) VALUES ("&amp;BB23&amp;",'"&amp;BA23&amp;"',"&amp;IF(BC23="NEMA",BD23,BC23)&amp;");")</f>
        <v/>
      </c>
      <c r="DQ23" s="47" t="s">
        <v>0</v>
      </c>
      <c r="DR23" s="52" t="str">
        <f>IF(AL23="","",DU23 &amp; IF(Q23="",""," – " &amp; Q23))</f>
        <v>Jakov – Boban – OK Ivan Merz – M12</v>
      </c>
      <c r="DS23" s="53" t="str">
        <f t="shared" si="26"/>
        <v>NEMA</v>
      </c>
      <c r="DT23" s="47" t="s">
        <v>0</v>
      </c>
      <c r="DU23" s="52" t="str">
        <f>IF(AL23="","",DX23 &amp; IF(CR23="",""," – " &amp; CR23))</f>
        <v>Jakov – Boban – OK Ivan Merz</v>
      </c>
      <c r="DV23" s="53">
        <f t="shared" si="27"/>
        <v>35</v>
      </c>
      <c r="DW23" s="47" t="s">
        <v>0</v>
      </c>
      <c r="DX23" s="52" t="str">
        <f>IF(BG23="","",BF23&amp;" – "&amp;BG23)</f>
        <v>Jakov – Boban</v>
      </c>
      <c r="DY23" s="53">
        <f t="shared" si="28"/>
        <v>35</v>
      </c>
      <c r="DZ23" s="47" t="s">
        <v>0</v>
      </c>
      <c r="EA23" s="58">
        <f t="shared" si="61"/>
        <v>35</v>
      </c>
      <c r="EB23" s="53" cm="1">
        <f t="array" ref="EB23">IF(EA23&lt;&gt;"",INDEX(regNatjecatelj_id,EA23,0),IF(BD23&lt;&gt;"",BD23,""))</f>
        <v>1342</v>
      </c>
      <c r="EC23" s="47" t="s">
        <v>0</v>
      </c>
      <c r="ED23" s="58" t="str">
        <f>IF(AL23="","",IF(BD23&lt;&gt;"","novo",IF(AN23="","imepre","imepre(ali)")))</f>
        <v>imepre</v>
      </c>
      <c r="EE23" s="73" t="str">
        <f>IF(AL23="","",IF(BL23="",IF(IFERROR(INDEX(regNatjecatelj_klub,MATCH(EB23,regNatjecatelj_id,0)),"NEMA")="","klu",""),IF(OR(AND(BN23&lt;&gt;"",BN23&lt;&gt;"NEMA"),CD23&lt;&gt;""),"klu(ali)",IF(AND(BP23&lt;&gt;"",BP23&lt;&gt;BO23),"(raz-klu)","klu"))))</f>
        <v>klu</v>
      </c>
      <c r="EF23" s="73" t="str">
        <f>IF(AL23="","","kat"&amp;IF(AND(W23&lt;&gt;Q23,Q23&lt;&gt;"Open"),"(ali)",""))</f>
        <v>kat</v>
      </c>
      <c r="EG23" s="73" t="str">
        <f t="shared" si="29"/>
        <v/>
      </c>
      <c r="EH23" s="66" t="str">
        <f>IF(AL23="","",ED23&amp;IF(ED23="novo","","-"&amp;EE23&amp;"-"&amp;EF23)&amp;IF(EG23="","","-"&amp;EG23))</f>
        <v>imepre-klu-kat</v>
      </c>
      <c r="EI23" s="47" t="s">
        <v>0</v>
      </c>
      <c r="EJ23" s="58">
        <f>IF(AL23="","",MAX(EJ$12:EJ22)+1)</f>
        <v>201</v>
      </c>
      <c r="EK23" s="73">
        <f>IF(AO23="","",X23)</f>
        <v>23</v>
      </c>
      <c r="EL23" s="73">
        <f t="shared" si="62"/>
        <v>1342</v>
      </c>
      <c r="EM23" s="73" t="str">
        <f t="shared" si="30"/>
        <v/>
      </c>
      <c r="EN23" s="73">
        <f t="shared" si="31"/>
        <v>6</v>
      </c>
      <c r="EO23" s="73">
        <f t="shared" si="63"/>
        <v>0</v>
      </c>
      <c r="EP23" s="73">
        <f t="shared" si="64"/>
        <v>1</v>
      </c>
      <c r="EQ23" s="73" t="str">
        <f t="shared" si="34"/>
        <v>1</v>
      </c>
      <c r="ER23" s="73" t="str">
        <f>IF(OR(AN23="",AN23="NEMA"),BB23,AN23)</f>
        <v/>
      </c>
      <c r="ES23" s="73" t="str">
        <f>IF(AND(BN23&lt;&gt;"",BN23&lt;&gt;"NEMA"),BN23,IF(CG23&lt;&gt;"",CG23,IF(AND(CL23&lt;&gt;"",CL23&lt;&gt;"NEMA"),CL23,IF(CM23&lt;&gt;"",CM23,""))))</f>
        <v/>
      </c>
      <c r="ET23" s="53" t="str">
        <f>IF(INDEX(natKategorija_alias_Id,MATCH(S23,natKategorija_katRegId,0))="","",INDEX(natKategorija_alias_Id,MATCH(S23,natKategorija_katRegId,0)))</f>
        <v/>
      </c>
      <c r="EU23" s="47" t="s">
        <v>0</v>
      </c>
      <c r="EV23" s="19" t="str">
        <f t="shared" si="65"/>
        <v>INSERT INTO rezultat(id,stazakategorija_id,imeprezime_id,vrijeme_sec,status_id,registracija,uparivanje_id,originalstatus_id,imeprezimealias_id,klubalias_id,kategorijaalias_id) VALUES (201,23,1342,Null,6,0,1,1,Null,Null,Null);</v>
      </c>
      <c r="EW23" s="47" t="s">
        <v>0</v>
      </c>
      <c r="EX23" s="19" t="str">
        <f t="shared" si="66"/>
        <v/>
      </c>
      <c r="EY23" s="47" t="s">
        <v>0</v>
      </c>
      <c r="EZ23" s="180" t="str">
        <f>AG23&amp;IF(CP23="","","
")&amp;CP23&amp;IF(CI23="","","
")&amp;CI23&amp;IF(DN23="","","
")&amp;DN23&amp;IF(DP23="","","
")&amp;DP23&amp;IF(EV23="","","
")&amp;EV23&amp;IF(EX23="","","
")&amp;EX23</f>
        <v xml:space="preserve">
INSERT INTO rezultat(id,stazakategorija_id,imeprezime_id,vrijeme_sec,status_id,registracija,uparivanje_id,originalstatus_id,imeprezimealias_id,klubalias_id,kategorijaalias_id) VALUES (201,23,1342,Null,6,0,1,1,Null,Null,Null);</v>
      </c>
      <c r="FA23" s="47" t="s">
        <v>0</v>
      </c>
      <c r="FB23" s="290" t="s">
        <v>226</v>
      </c>
      <c r="FC23" s="291"/>
      <c r="FD23" s="291"/>
      <c r="FE23" s="291"/>
      <c r="FF23" s="291"/>
      <c r="FG23" s="291"/>
      <c r="FH23" s="291"/>
      <c r="FI23" s="291"/>
      <c r="FJ23" s="291"/>
      <c r="FK23" s="291"/>
      <c r="FL23" s="291"/>
      <c r="FM23" s="292"/>
    </row>
    <row r="24" spans="1:169" x14ac:dyDescent="0.25">
      <c r="A24" t="s">
        <v>0</v>
      </c>
      <c r="B24" s="52" t="str">
        <f>IF(csv!F14="","",csv!T14)</f>
        <v>M14</v>
      </c>
      <c r="C24" s="31" t="s">
        <v>0</v>
      </c>
      <c r="D24" s="31" t="str">
        <f>IF(csv!F14="","",csv!F14)</f>
        <v>Teo</v>
      </c>
      <c r="E24" s="31" t="str">
        <f>IF(csv!E14="","",csv!E14)</f>
        <v>Mahović</v>
      </c>
      <c r="F24" s="31" t="s">
        <v>0</v>
      </c>
      <c r="G24" s="73" t="str">
        <f>IF(csv!M14="","",csv!M14)</f>
        <v>28:31</v>
      </c>
      <c r="H24" s="73" t="str">
        <f>IF(csv!N14="","",csv!N14)</f>
        <v>0</v>
      </c>
      <c r="I24" s="31" t="s">
        <v>0</v>
      </c>
      <c r="J24" s="31" t="str">
        <f>IF(csv!P14="","",csv!P14)</f>
        <v>JAP</v>
      </c>
      <c r="K24" s="31" t="str">
        <f>IF(csv!Q14="","",csv!Q14)</f>
        <v>OK Japetic</v>
      </c>
      <c r="L24" s="31" t="s">
        <v>0</v>
      </c>
      <c r="M24" s="66" t="str">
        <f>IF(csv!R14="","",csv!R14)</f>
        <v>CRO</v>
      </c>
      <c r="N24" s="47" t="s">
        <v>0</v>
      </c>
      <c r="O24" s="243" t="str">
        <f t="shared" si="36"/>
        <v>ok</v>
      </c>
      <c r="P24" s="47"/>
      <c r="Q24" s="52" t="str">
        <f t="shared" si="37"/>
        <v>M14</v>
      </c>
      <c r="R24" s="73">
        <f>IF(Q24="","",IF(COUNTIF(Q$12:Q23,Q24)=0,R23+1,R23))</f>
        <v>2</v>
      </c>
      <c r="S24" s="73">
        <f t="shared" si="38"/>
        <v>111</v>
      </c>
      <c r="T24" s="73">
        <f t="shared" si="1"/>
        <v>21</v>
      </c>
      <c r="U24" s="66" t="str">
        <f t="shared" si="2"/>
        <v>M14 – Ž14</v>
      </c>
      <c r="V24" s="47" t="s">
        <v>0</v>
      </c>
      <c r="W24" s="222" t="str">
        <f t="shared" si="3"/>
        <v>M14</v>
      </c>
      <c r="X24" s="223">
        <f t="shared" si="4"/>
        <v>24</v>
      </c>
      <c r="Y24" s="47" t="s">
        <v>0</v>
      </c>
      <c r="Z24" s="52" t="str">
        <f t="shared" si="39"/>
        <v>CRO</v>
      </c>
      <c r="AA24" s="73">
        <f t="shared" si="5"/>
        <v>1</v>
      </c>
      <c r="AB24" s="31" t="str">
        <f t="shared" si="40"/>
        <v/>
      </c>
      <c r="AC24" s="66" t="str">
        <f>IF(AB24="","",MAX(AC$12:AC23)+1)</f>
        <v/>
      </c>
      <c r="AD24" s="47" t="s">
        <v>0</v>
      </c>
      <c r="AE24" s="125"/>
      <c r="AF24" s="47" t="s">
        <v>0</v>
      </c>
      <c r="AG24" s="19" t="str">
        <f t="shared" si="41"/>
        <v/>
      </c>
      <c r="AH24" s="47" t="s">
        <v>0</v>
      </c>
      <c r="AI24" s="143" t="str">
        <f t="shared" si="42"/>
        <v>CRO</v>
      </c>
      <c r="AJ24" s="47"/>
      <c r="AK24" s="52" t="str">
        <f t="shared" si="43"/>
        <v>Teo</v>
      </c>
      <c r="AL24" s="31" t="str">
        <f t="shared" si="44"/>
        <v>Mahović</v>
      </c>
      <c r="AM24" s="73">
        <f t="shared" si="45"/>
        <v>1095</v>
      </c>
      <c r="AN24" s="73" t="str">
        <f t="shared" si="46"/>
        <v/>
      </c>
      <c r="AO24" s="31" t="str">
        <f t="shared" si="8"/>
        <v>Teo</v>
      </c>
      <c r="AP24" s="66" t="str">
        <f t="shared" si="9"/>
        <v>Mahović</v>
      </c>
      <c r="AQ24" s="47" t="s">
        <v>0</v>
      </c>
      <c r="AR24" s="82" t="str">
        <f t="shared" si="47"/>
        <v/>
      </c>
      <c r="AS24" s="47" t="s">
        <v>0</v>
      </c>
      <c r="AT24" s="19" t="str">
        <f t="shared" si="48"/>
        <v/>
      </c>
      <c r="AU24" s="47" t="s">
        <v>0</v>
      </c>
      <c r="AV24" s="103"/>
      <c r="AW24" s="105"/>
      <c r="AX24" s="47" t="s">
        <v>0</v>
      </c>
      <c r="AY24" s="256" t="str">
        <f t="shared" si="68"/>
        <v/>
      </c>
      <c r="AZ24" s="47" t="s">
        <v>0</v>
      </c>
      <c r="BA24" s="52" t="str">
        <f t="shared" si="11"/>
        <v/>
      </c>
      <c r="BB24" s="73" t="str">
        <f>IF(AV24&amp;AW24="","",MAX(BB$12:BB23)+1)</f>
        <v/>
      </c>
      <c r="BC24" s="268" t="str">
        <f t="shared" si="12"/>
        <v/>
      </c>
      <c r="BD24" s="53" t="str">
        <f>IF(AND(AM24="NEMA",AN24="NEMA",OR(AV24&amp;AW24="",BC24="NEMA")),MAX(BD$12:BD23)+1,"")</f>
        <v/>
      </c>
      <c r="BE24" s="47" t="s">
        <v>0</v>
      </c>
      <c r="BF24" s="52" t="str">
        <f t="shared" si="13"/>
        <v>Teo</v>
      </c>
      <c r="BG24" s="31" t="str">
        <f t="shared" si="14"/>
        <v>Mahović</v>
      </c>
      <c r="BH24" s="73" t="str">
        <f t="shared" si="49"/>
        <v/>
      </c>
      <c r="BI24" s="53">
        <f t="shared" si="50"/>
        <v>1095</v>
      </c>
      <c r="BJ24" s="47" t="s">
        <v>0</v>
      </c>
      <c r="BK24" s="52" t="str">
        <f t="shared" si="15"/>
        <v>JAP</v>
      </c>
      <c r="BL24" s="31" t="str">
        <f t="shared" si="16"/>
        <v>OK Japetic</v>
      </c>
      <c r="BM24" s="73" t="str">
        <f t="shared" si="17"/>
        <v>NEMA</v>
      </c>
      <c r="BN24" s="73">
        <f t="shared" si="18"/>
        <v>1</v>
      </c>
      <c r="BO24" s="31" t="str" cm="1">
        <f t="array" ref="BO24">IF(BN24="",""&amp;BL24,IF(BN24="NEMA",BL24,INDEX(regKlub_naziv,MATCH(INDEX(regKlub_alias_klubId,BN24),regKlub_id,0))))</f>
        <v>OK Japetić</v>
      </c>
      <c r="BP24" s="31" t="str" cm="1">
        <f t="array" ref="BP24">IFERROR(""&amp;INDEX(regNatjecatelj_klub,DY24),"")</f>
        <v>OK Japetić</v>
      </c>
      <c r="BQ24" s="88" t="str">
        <f t="shared" si="51"/>
        <v/>
      </c>
      <c r="BR24" s="66" t="str">
        <f t="shared" si="52"/>
        <v>OK Japetić</v>
      </c>
      <c r="BS24" s="47" t="s">
        <v>0</v>
      </c>
      <c r="BT24" s="82" t="str">
        <f>IF(BN24&lt;&gt;"NEMA","",IF(IFERROR(MATCH(BL24,BL$12:BL23,0),0)&lt;&gt;0,"",BL24))</f>
        <v/>
      </c>
      <c r="BU24" s="47" t="s">
        <v>0</v>
      </c>
      <c r="BV24" s="125"/>
      <c r="BW24" s="47" t="s">
        <v>0</v>
      </c>
      <c r="BX24" s="58" t="str">
        <f t="shared" si="53"/>
        <v/>
      </c>
      <c r="BY24" s="31" t="str">
        <f t="shared" si="54"/>
        <v/>
      </c>
      <c r="BZ24" s="31" t="str">
        <f>IF(BY24="","",MAX(BZ$12:BZ23)+1)</f>
        <v/>
      </c>
      <c r="CA24" s="31" t="str">
        <f>IF(BY24="","",IF(AA24="","",IF(AA24="NEMA",AC24,AA24)))</f>
        <v/>
      </c>
      <c r="CB24" s="31" t="str">
        <f t="shared" si="55"/>
        <v/>
      </c>
      <c r="CC24" s="31" t="str">
        <f>IF(BV24="","",MAX(CC$12:CC23)+1)</f>
        <v/>
      </c>
      <c r="CD24" s="31" t="str">
        <f t="shared" si="56"/>
        <v/>
      </c>
      <c r="CE24" s="66" t="str">
        <f t="shared" si="57"/>
        <v/>
      </c>
      <c r="CF24" s="47" t="s">
        <v>0</v>
      </c>
      <c r="CG24" s="73" t="str">
        <f>IF(BN24="","",IF(BN24&lt;&gt;"NEMA","",IFERROR(INDEX(nat_klubAliasId,MATCH(BL24,nat_noviKluboviAliasi,0)),"")))</f>
        <v/>
      </c>
      <c r="CH24" s="47"/>
      <c r="CI24" s="19" t="str">
        <f t="shared" si="58"/>
        <v/>
      </c>
      <c r="CJ24" s="47" t="s">
        <v>0</v>
      </c>
      <c r="CK24" s="52" t="str">
        <f>IF(X24&lt;&gt;"NEMA","",IF(IFERROR(MATCH(W24,W$12:W23,0),0)&lt;&gt;0,"",W24))</f>
        <v/>
      </c>
      <c r="CL24" s="73" t="str">
        <f>IF(CK24="","",IFERROR(INDEX(regKlub_alias_id,MATCH(CK24,regKlub_alias_alias,0)),"NEMA"))</f>
        <v/>
      </c>
      <c r="CM24" s="31" t="str">
        <f>IF(OR(CL24="",CL24&lt;&gt;"NEMA"),"",MAX(CM$12:CM23)+1)</f>
        <v/>
      </c>
      <c r="CN24" s="66" t="str">
        <f>IF(OR(CL24="",CL24&lt;&gt;"NEMA"),"",INDEX(regKlub_id,MATCH(CK24,regKlub_naziv,0)))</f>
        <v/>
      </c>
      <c r="CO24" s="47" t="s">
        <v>0</v>
      </c>
      <c r="CP24" s="19" t="str">
        <f>IF(OR(CL24="",CL24&lt;&gt;"NEMA"),"","INSERT INTO klub_alias(id,alias,klub_id) VALUES ("&amp;CM24&amp;",'"&amp;CK24&amp;"',"&amp;CN24&amp;");")</f>
        <v/>
      </c>
      <c r="CQ24" s="47" t="s">
        <v>0</v>
      </c>
      <c r="CR24" s="143" t="str">
        <f>IF(BR24="","",IF(BV24="",IF(IFERROR(MATCH(BR24,nat_noviKluboviAliasi,0),0)&gt;0,INDEX(nat_kluboviAliasi,MATCH(BR24,nat_noviKluboviAliasi,0)),BR24),BV24))</f>
        <v>OK Japetić</v>
      </c>
      <c r="CS24" s="47" t="s">
        <v>0</v>
      </c>
      <c r="CT24" s="58" t="str">
        <f>IF(G24="","",G24)</f>
        <v>28:31</v>
      </c>
      <c r="CU24" s="73" t="str">
        <f>IF(H24="","",H24)</f>
        <v>0</v>
      </c>
      <c r="CV24" s="229" t="str">
        <f>IF(CT24="",IF(OR(AL24="",CU24&lt;&gt;"0"),"","GREŠKA"),IF(AND(65535&gt;=VALUE(LEFT(CT24,SEARCH(":",CT24)-1))*60+VALUE(RIGHT(CT24,2)),OR(CU24="0",CU24="1",CU24="2",CU24="3",CU24="4")),"","GREŠKA"))</f>
        <v/>
      </c>
      <c r="CW24" s="230">
        <f t="shared" si="59"/>
        <v>1711</v>
      </c>
      <c r="CX24" s="163">
        <f t="shared" si="24"/>
        <v>1</v>
      </c>
      <c r="CY24" s="47" t="s">
        <v>0</v>
      </c>
      <c r="CZ24" s="222" t="str">
        <f>IF(CV24&lt;&gt;"GREŠKA","",AK24&amp;" "&amp;AL24&amp;" – Molim u OEventu provjeriti i ispraviti rezultat – vrijeme ("&amp;IF(CT24="","nije upisano",CT24)&amp;") i classifier ("&amp;CU24&amp;").")&amp;IF(OR(CV24&lt;&gt;"GREŠKA",CX24&lt;&gt;5),"
","")&amp;IF(CX24&lt;&gt;5,"",AK24&amp;" "&amp;AL24&amp;" – Molim u provjeriti je li natjecatelj zaista diskvalificiran. Ako je koje je obrazloženje, ako nije molim u OEventu ispraviti rezultat")</f>
        <v xml:space="preserve">
</v>
      </c>
      <c r="DA24" s="223">
        <f t="shared" si="60"/>
        <v>6</v>
      </c>
      <c r="DB24" s="47" t="s">
        <v>0</v>
      </c>
      <c r="DC24" s="47"/>
      <c r="DD24" s="47"/>
      <c r="DE24" s="47"/>
      <c r="DF24" s="47" t="s">
        <v>0</v>
      </c>
      <c r="DG24" s="53" t="str">
        <f>IF(BD24="","",IF(DI24="O",1,""))</f>
        <v/>
      </c>
      <c r="DH24" t="s">
        <v>0</v>
      </c>
      <c r="DI24" s="128" t="str">
        <f>IF(Q24="","",LEFT(INDEX(regKategorija_oznaka,MATCH(S24,regKategorija_id,0)),1))</f>
        <v>M</v>
      </c>
      <c r="DJ24" t="s">
        <v>0</v>
      </c>
      <c r="DK24" s="52" t="str">
        <f>IF(BD24="","",IF(M24&lt;&gt;"CRO","","INSERT INTO osoba (id,reg_broj,oib,spol_id,dat_rodjenja) VALUES ("&amp;BD24&amp;",(SELECT max(os.reg_broj)+1 FROM osoba AS os),Null,'"&amp;DI24&amp;"',Null); INSERT INTO osoba_log (id,reg_broj,oib,spol_id,dat_rodjenja,dnevnik_id) SELECT id,reg_broj,oib,spol_id,dat_rodjenja,"&amp;data_dnevnik_id&amp;" FROM osoba WHERE id = "&amp;BD24&amp;";"))</f>
        <v/>
      </c>
      <c r="DL24" s="66" t="str">
        <f>IF(BD24="","","INSERT INTO imeprezime (id,osoba_id,rbr,ime,prezime,klub_id,identitet_id,sintaksa_id,info,aktivno,dnevnik_id) VALUES ("&amp;BD24&amp;","&amp;IF(DK24="","Null",BD24)&amp;",1,'"&amp;IF(AV24&lt;&gt;"",AV24,AK24)&amp;"','"&amp;IF(AW24&lt;&gt;"",AW24,AL24)&amp;"',(SELECT id FROM klub WHERE naziv = '"&amp;CR24&amp;"'),Null,1,'',1,"&amp;data_dnevnik_id&amp;");")</f>
        <v/>
      </c>
      <c r="DM24" t="s">
        <v>0</v>
      </c>
      <c r="DN24" s="19" t="str">
        <f t="shared" si="69"/>
        <v/>
      </c>
      <c r="DO24" s="47" t="s">
        <v>0</v>
      </c>
      <c r="DP24" s="19" t="str">
        <f>IF(BA24="","","INSERT INTO imeprezime_alias(id,alias,imeprezime_id) VALUES ("&amp;BB24&amp;",'"&amp;BA24&amp;"',"&amp;IF(BC24="NEMA",BD24,BC24)&amp;");")</f>
        <v/>
      </c>
      <c r="DQ24" s="47" t="s">
        <v>0</v>
      </c>
      <c r="DR24" s="52" t="str">
        <f>IF(AL24="","",DU24 &amp; IF(Q24="",""," – " &amp; Q24))</f>
        <v>Teo – Mahović – OK Japetić – M14</v>
      </c>
      <c r="DS24" s="53">
        <f t="shared" si="26"/>
        <v>110</v>
      </c>
      <c r="DT24" s="47" t="s">
        <v>0</v>
      </c>
      <c r="DU24" s="52" t="str">
        <f>IF(AL24="","",DX24 &amp; IF(CR24="",""," – " &amp; CR24))</f>
        <v>Teo – Mahović – OK Japetić</v>
      </c>
      <c r="DV24" s="53">
        <f t="shared" si="27"/>
        <v>110</v>
      </c>
      <c r="DW24" s="47" t="s">
        <v>0</v>
      </c>
      <c r="DX24" s="52" t="str">
        <f>IF(BG24="","",BF24&amp;" – "&amp;BG24)</f>
        <v>Teo – Mahović</v>
      </c>
      <c r="DY24" s="53">
        <f t="shared" si="28"/>
        <v>110</v>
      </c>
      <c r="DZ24" s="47" t="s">
        <v>0</v>
      </c>
      <c r="EA24" s="58">
        <f t="shared" si="61"/>
        <v>110</v>
      </c>
      <c r="EB24" s="53" cm="1">
        <f t="array" ref="EB24">IF(EA24&lt;&gt;"",INDEX(regNatjecatelj_id,EA24,0),IF(BD24&lt;&gt;"",BD24,""))</f>
        <v>1095</v>
      </c>
      <c r="EC24" s="47" t="s">
        <v>0</v>
      </c>
      <c r="ED24" s="58" t="str">
        <f>IF(AL24="","",IF(BD24&lt;&gt;"","novo",IF(AN24="","imepre","imepre(ali)")))</f>
        <v>imepre</v>
      </c>
      <c r="EE24" s="73" t="str">
        <f>IF(AL24="","",IF(BL24="",IF(IFERROR(INDEX(regNatjecatelj_klub,MATCH(EB24,regNatjecatelj_id,0)),"NEMA")="","klu",""),IF(OR(AND(BN24&lt;&gt;"",BN24&lt;&gt;"NEMA"),CD24&lt;&gt;""),"klu(ali)",IF(AND(BP24&lt;&gt;"",BP24&lt;&gt;BO24),"(raz-klu)","klu"))))</f>
        <v>klu(ali)</v>
      </c>
      <c r="EF24" s="73" t="str">
        <f>IF(AL24="","","kat"&amp;IF(AND(W24&lt;&gt;Q24,Q24&lt;&gt;"Open"),"(ali)",""))</f>
        <v>kat</v>
      </c>
      <c r="EG24" s="73" t="str">
        <f t="shared" si="29"/>
        <v/>
      </c>
      <c r="EH24" s="66" t="str">
        <f>IF(AL24="","",ED24&amp;IF(ED24="novo","","-"&amp;EE24&amp;"-"&amp;EF24)&amp;IF(EG24="","","-"&amp;EG24))</f>
        <v>imepre-klu(ali)-kat</v>
      </c>
      <c r="EI24" s="47" t="s">
        <v>0</v>
      </c>
      <c r="EJ24" s="58">
        <f>IF(AL24="","",MAX(EJ$12:EJ23)+1)</f>
        <v>202</v>
      </c>
      <c r="EK24" s="73">
        <f>IF(AO24="","",X24)</f>
        <v>24</v>
      </c>
      <c r="EL24" s="73">
        <f t="shared" si="62"/>
        <v>1095</v>
      </c>
      <c r="EM24" s="73">
        <f t="shared" si="30"/>
        <v>1711</v>
      </c>
      <c r="EN24" s="73">
        <f t="shared" si="31"/>
        <v>1</v>
      </c>
      <c r="EO24" s="73">
        <f t="shared" si="63"/>
        <v>1</v>
      </c>
      <c r="EP24" s="73">
        <f t="shared" si="64"/>
        <v>3</v>
      </c>
      <c r="EQ24" s="73" t="str">
        <f t="shared" si="34"/>
        <v>0</v>
      </c>
      <c r="ER24" s="73" t="str">
        <f>IF(OR(AN24="",AN24="NEMA"),BB24,AN24)</f>
        <v/>
      </c>
      <c r="ES24" s="73">
        <f>IF(AND(BN24&lt;&gt;"",BN24&lt;&gt;"NEMA"),BN24,IF(CG24&lt;&gt;"",CG24,IF(AND(CL24&lt;&gt;"",CL24&lt;&gt;"NEMA"),CL24,IF(CM24&lt;&gt;"",CM24,""))))</f>
        <v>1</v>
      </c>
      <c r="ET24" s="53" t="str">
        <f>IF(INDEX(natKategorija_alias_Id,MATCH(S24,natKategorija_katRegId,0))="","",INDEX(natKategorija_alias_Id,MATCH(S24,natKategorija_katRegId,0)))</f>
        <v/>
      </c>
      <c r="EU24" s="47" t="s">
        <v>0</v>
      </c>
      <c r="EV24" s="19" t="str">
        <f t="shared" si="65"/>
        <v>INSERT INTO rezultat(id,stazakategorija_id,imeprezime_id,vrijeme_sec,status_id,registracija,uparivanje_id,originalstatus_id,imeprezimealias_id,klubalias_id,kategorijaalias_id) VALUES (202,24,1095,1711,1,1,3,0,Null,1,Null);</v>
      </c>
      <c r="EW24" s="47" t="s">
        <v>0</v>
      </c>
      <c r="EX24" s="19" t="str">
        <f t="shared" si="66"/>
        <v>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24" s="47" t="s">
        <v>0</v>
      </c>
      <c r="EZ24" s="180" t="str">
        <f>AG24&amp;IF(CP24="","","
")&amp;CP24&amp;IF(CI24="","","
")&amp;CI24&amp;IF(DN24="","","
")&amp;DN24&amp;IF(DP24="","","
")&amp;DP24&amp;IF(EV24="","","
")&amp;EV24&amp;IF(EX24="","","
")&amp;EX24</f>
        <v xml:space="preserve">
INSERT INTO rezultat(id,stazakategorija_id,imeprezime_id,vrijeme_sec,status_id,registracija,uparivanje_id,originalstatus_id,imeprezimealias_id,klubalias_id,kategorijaalias_id) VALUES (202,24,1095,1711,1,1,3,0,Null,1,Null);
UPDATE
	registar
SET
	potvrda = 1
WHERE
	imeprezime_id=1095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24" s="47" t="s">
        <v>0</v>
      </c>
    </row>
    <row r="25" spans="1:169" x14ac:dyDescent="0.25">
      <c r="A25" t="s">
        <v>0</v>
      </c>
      <c r="B25" s="52" t="str">
        <f>IF(csv!F15="","",csv!T15)</f>
        <v>M14</v>
      </c>
      <c r="C25" s="31" t="s">
        <v>0</v>
      </c>
      <c r="D25" s="31" t="str">
        <f>IF(csv!F15="","",csv!F15)</f>
        <v>Luka</v>
      </c>
      <c r="E25" s="31" t="str">
        <f>IF(csv!E15="","",csv!E15)</f>
        <v>Gojmerac</v>
      </c>
      <c r="F25" s="31" t="s">
        <v>0</v>
      </c>
      <c r="G25" s="73" t="str">
        <f>IF(csv!M15="","",csv!M15)</f>
        <v>34:54</v>
      </c>
      <c r="H25" s="73" t="str">
        <f>IF(csv!N15="","",csv!N15)</f>
        <v>0</v>
      </c>
      <c r="I25" s="31" t="s">
        <v>0</v>
      </c>
      <c r="J25" s="31" t="str">
        <f>IF(csv!P15="","",csv!P15)</f>
        <v>OK MERZ CRO</v>
      </c>
      <c r="K25" s="31" t="str">
        <f>IF(csv!Q15="","",csv!Q15)</f>
        <v>OK Ivan Merz</v>
      </c>
      <c r="L25" s="31" t="s">
        <v>0</v>
      </c>
      <c r="M25" s="66" t="str">
        <f>IF(csv!R15="","",csv!R15)</f>
        <v>CRO</v>
      </c>
      <c r="N25" s="47" t="s">
        <v>0</v>
      </c>
      <c r="O25" s="243" t="str">
        <f t="shared" si="36"/>
        <v>ok</v>
      </c>
      <c r="P25" s="47"/>
      <c r="Q25" s="52" t="str">
        <f t="shared" si="37"/>
        <v>M14</v>
      </c>
      <c r="R25" s="73">
        <f>IF(Q25="","",IF(COUNTIF(Q$12:Q24,Q25)=0,R24+1,R24))</f>
        <v>2</v>
      </c>
      <c r="S25" s="73">
        <f t="shared" si="38"/>
        <v>111</v>
      </c>
      <c r="T25" s="73">
        <f t="shared" si="1"/>
        <v>21</v>
      </c>
      <c r="U25" s="66" t="str">
        <f t="shared" si="2"/>
        <v>M14 – Ž14</v>
      </c>
      <c r="V25" s="47" t="s">
        <v>0</v>
      </c>
      <c r="W25" s="222" t="str">
        <f t="shared" si="3"/>
        <v>M14</v>
      </c>
      <c r="X25" s="223">
        <f t="shared" si="4"/>
        <v>24</v>
      </c>
      <c r="Y25" s="47" t="s">
        <v>0</v>
      </c>
      <c r="Z25" s="52" t="str">
        <f t="shared" si="39"/>
        <v>CRO</v>
      </c>
      <c r="AA25" s="73">
        <f t="shared" si="5"/>
        <v>1</v>
      </c>
      <c r="AB25" s="31" t="str">
        <f t="shared" si="40"/>
        <v/>
      </c>
      <c r="AC25" s="66" t="str">
        <f>IF(AB25="","",MAX(AC$12:AC24)+1)</f>
        <v/>
      </c>
      <c r="AD25" s="47" t="s">
        <v>0</v>
      </c>
      <c r="AE25" s="125"/>
      <c r="AF25" s="47" t="s">
        <v>0</v>
      </c>
      <c r="AG25" s="19" t="str">
        <f t="shared" si="41"/>
        <v/>
      </c>
      <c r="AH25" s="47" t="s">
        <v>0</v>
      </c>
      <c r="AI25" s="143" t="str">
        <f t="shared" si="42"/>
        <v>CRO</v>
      </c>
      <c r="AJ25" s="47"/>
      <c r="AK25" s="52" t="str">
        <f t="shared" si="43"/>
        <v>Luka</v>
      </c>
      <c r="AL25" s="31" t="str">
        <f t="shared" si="44"/>
        <v>Gojmerac</v>
      </c>
      <c r="AM25" s="73">
        <f t="shared" si="45"/>
        <v>1285</v>
      </c>
      <c r="AN25" s="73" t="str">
        <f t="shared" si="46"/>
        <v/>
      </c>
      <c r="AO25" s="31" t="str">
        <f t="shared" si="8"/>
        <v>Luka</v>
      </c>
      <c r="AP25" s="66" t="str">
        <f t="shared" si="9"/>
        <v>Gojmerac</v>
      </c>
      <c r="AQ25" s="47" t="s">
        <v>0</v>
      </c>
      <c r="AR25" s="82" t="str">
        <f t="shared" si="47"/>
        <v/>
      </c>
      <c r="AS25" s="47" t="s">
        <v>0</v>
      </c>
      <c r="AT25" s="19" t="str">
        <f t="shared" si="48"/>
        <v/>
      </c>
      <c r="AU25" s="47" t="s">
        <v>0</v>
      </c>
      <c r="AV25" s="103"/>
      <c r="AW25" s="105"/>
      <c r="AX25" s="47" t="s">
        <v>0</v>
      </c>
      <c r="AY25" s="256" t="str">
        <f t="shared" si="68"/>
        <v/>
      </c>
      <c r="AZ25" s="47" t="s">
        <v>0</v>
      </c>
      <c r="BA25" s="52" t="str">
        <f t="shared" si="11"/>
        <v/>
      </c>
      <c r="BB25" s="73" t="str">
        <f>IF(AV25&amp;AW25="","",MAX(BB$12:BB24)+1)</f>
        <v/>
      </c>
      <c r="BC25" s="268" t="str">
        <f t="shared" si="12"/>
        <v/>
      </c>
      <c r="BD25" s="53" t="str">
        <f>IF(AND(AM25="NEMA",AN25="NEMA",OR(AV25&amp;AW25="",BC25="NEMA")),MAX(BD$12:BD24)+1,"")</f>
        <v/>
      </c>
      <c r="BE25" s="47" t="s">
        <v>0</v>
      </c>
      <c r="BF25" s="52" t="str">
        <f t="shared" si="13"/>
        <v>Luka</v>
      </c>
      <c r="BG25" s="31" t="str">
        <f t="shared" si="14"/>
        <v>Gojmerac</v>
      </c>
      <c r="BH25" s="73" t="str">
        <f t="shared" si="49"/>
        <v/>
      </c>
      <c r="BI25" s="53">
        <f t="shared" si="50"/>
        <v>1285</v>
      </c>
      <c r="BJ25" s="47" t="s">
        <v>0</v>
      </c>
      <c r="BK25" s="52" t="str">
        <f t="shared" si="15"/>
        <v>OK MERZ CRO</v>
      </c>
      <c r="BL25" s="31" t="str">
        <f t="shared" si="16"/>
        <v>OK Ivan Merz</v>
      </c>
      <c r="BM25" s="73">
        <f t="shared" si="17"/>
        <v>2</v>
      </c>
      <c r="BN25" s="73" t="str">
        <f t="shared" si="18"/>
        <v/>
      </c>
      <c r="BO25" s="31" t="str" cm="1">
        <f t="array" ref="BO25">IF(BN25="",""&amp;BL25,IF(BN25="NEMA",BL25,INDEX(regKlub_naziv,MATCH(INDEX(regKlub_alias_klubId,BN25),regKlub_id,0))))</f>
        <v>OK Ivan Merz</v>
      </c>
      <c r="BP25" s="31" t="str" cm="1">
        <f t="array" ref="BP25">IFERROR(""&amp;INDEX(regNatjecatelj_klub,DY25),"")</f>
        <v>OK Ivan Merz</v>
      </c>
      <c r="BQ25" s="88" t="str">
        <f t="shared" si="51"/>
        <v/>
      </c>
      <c r="BR25" s="66" t="str">
        <f t="shared" si="52"/>
        <v>OK Ivan Merz</v>
      </c>
      <c r="BS25" s="47" t="s">
        <v>0</v>
      </c>
      <c r="BT25" s="82" t="str">
        <f>IF(BN25&lt;&gt;"NEMA","",IF(IFERROR(MATCH(BL25,BL$12:BL24,0),0)&lt;&gt;0,"",BL25))</f>
        <v/>
      </c>
      <c r="BU25" s="47" t="s">
        <v>0</v>
      </c>
      <c r="BV25" s="125"/>
      <c r="BW25" s="47" t="s">
        <v>0</v>
      </c>
      <c r="BX25" s="58" t="str">
        <f t="shared" si="53"/>
        <v/>
      </c>
      <c r="BY25" s="31" t="str">
        <f t="shared" si="54"/>
        <v/>
      </c>
      <c r="BZ25" s="31" t="str">
        <f>IF(BY25="","",MAX(BZ$12:BZ24)+1)</f>
        <v/>
      </c>
      <c r="CA25" s="31" t="str">
        <f>IF(BY25="","",IF(AA25="","",IF(AA25="NEMA",AC25,AA25)))</f>
        <v/>
      </c>
      <c r="CB25" s="31" t="str">
        <f t="shared" si="55"/>
        <v/>
      </c>
      <c r="CC25" s="31" t="str">
        <f>IF(BV25="","",MAX(CC$12:CC24)+1)</f>
        <v/>
      </c>
      <c r="CD25" s="31" t="str">
        <f t="shared" si="56"/>
        <v/>
      </c>
      <c r="CE25" s="66" t="str">
        <f t="shared" si="57"/>
        <v/>
      </c>
      <c r="CF25" s="47" t="s">
        <v>0</v>
      </c>
      <c r="CG25" s="73" t="str">
        <f>IF(BN25="","",IF(BN25&lt;&gt;"NEMA","",IFERROR(INDEX(nat_klubAliasId,MATCH(BL25,nat_noviKluboviAliasi,0)),"")))</f>
        <v/>
      </c>
      <c r="CH25" s="47"/>
      <c r="CI25" s="19" t="str">
        <f t="shared" si="58"/>
        <v/>
      </c>
      <c r="CJ25" s="47" t="s">
        <v>0</v>
      </c>
      <c r="CK25" s="52" t="str">
        <f>IF(X25&lt;&gt;"NEMA","",IF(IFERROR(MATCH(W25,W$12:W24,0),0)&lt;&gt;0,"",W25))</f>
        <v/>
      </c>
      <c r="CL25" s="73" t="str">
        <f>IF(CK25="","",IFERROR(INDEX(regKlub_alias_id,MATCH(CK25,regKlub_alias_alias,0)),"NEMA"))</f>
        <v/>
      </c>
      <c r="CM25" s="31" t="str">
        <f>IF(OR(CL25="",CL25&lt;&gt;"NEMA"),"",MAX(CM$12:CM24)+1)</f>
        <v/>
      </c>
      <c r="CN25" s="66" t="str">
        <f>IF(OR(CL25="",CL25&lt;&gt;"NEMA"),"",INDEX(regKlub_id,MATCH(CK25,regKlub_naziv,0)))</f>
        <v/>
      </c>
      <c r="CO25" s="47" t="s">
        <v>0</v>
      </c>
      <c r="CP25" s="19" t="str">
        <f>IF(OR(CL25="",CL25&lt;&gt;"NEMA"),"","INSERT INTO klub_alias(id,alias,klub_id) VALUES ("&amp;CM25&amp;",'"&amp;CK25&amp;"',"&amp;CN25&amp;");")</f>
        <v/>
      </c>
      <c r="CQ25" s="47" t="s">
        <v>0</v>
      </c>
      <c r="CR25" s="143" t="str">
        <f>IF(BR25="","",IF(BV25="",IF(IFERROR(MATCH(BR25,nat_noviKluboviAliasi,0),0)&gt;0,INDEX(nat_kluboviAliasi,MATCH(BR25,nat_noviKluboviAliasi,0)),BR25),BV25))</f>
        <v>OK Ivan Merz</v>
      </c>
      <c r="CS25" s="47" t="s">
        <v>0</v>
      </c>
      <c r="CT25" s="58" t="str">
        <f>IF(G25="","",G25)</f>
        <v>34:54</v>
      </c>
      <c r="CU25" s="73" t="str">
        <f>IF(H25="","",H25)</f>
        <v>0</v>
      </c>
      <c r="CV25" s="229" t="str">
        <f>IF(CT25="",IF(OR(AL25="",CU25&lt;&gt;"0"),"","GREŠKA"),IF(AND(65535&gt;=VALUE(LEFT(CT25,SEARCH(":",CT25)-1))*60+VALUE(RIGHT(CT25,2)),OR(CU25="0",CU25="1",CU25="2",CU25="3",CU25="4")),"","GREŠKA"))</f>
        <v/>
      </c>
      <c r="CW25" s="230">
        <f t="shared" si="59"/>
        <v>2094</v>
      </c>
      <c r="CX25" s="163">
        <f t="shared" si="24"/>
        <v>1</v>
      </c>
      <c r="CY25" s="47" t="s">
        <v>0</v>
      </c>
      <c r="CZ25" s="222" t="str">
        <f>IF(CV25&lt;&gt;"GREŠKA","",AK25&amp;" "&amp;AL25&amp;" – Molim u OEventu provjeriti i ispraviti rezultat – vrijeme ("&amp;IF(CT25="","nije upisano",CT25)&amp;") i classifier ("&amp;CU25&amp;").")&amp;IF(OR(CV25&lt;&gt;"GREŠKA",CX25&lt;&gt;5),"
","")&amp;IF(CX25&lt;&gt;5,"",AK25&amp;" "&amp;AL25&amp;" – Molim u provjeriti je li natjecatelj zaista diskvalificiran. Ako je koje je obrazloženje, ako nije molim u OEventu ispraviti rezultat")</f>
        <v xml:space="preserve">
</v>
      </c>
      <c r="DA25" s="223">
        <f t="shared" si="60"/>
        <v>6</v>
      </c>
      <c r="DB25" s="47" t="s">
        <v>0</v>
      </c>
      <c r="DC25" s="47"/>
      <c r="DD25" s="47"/>
      <c r="DE25" s="47"/>
      <c r="DF25" s="47" t="s">
        <v>0</v>
      </c>
      <c r="DG25" s="53" t="str">
        <f>IF(BD25="","",IF(DI25="O",1,""))</f>
        <v/>
      </c>
      <c r="DH25" t="s">
        <v>0</v>
      </c>
      <c r="DI25" s="128" t="str">
        <f>IF(Q25="","",LEFT(INDEX(regKategorija_oznaka,MATCH(S25,regKategorija_id,0)),1))</f>
        <v>M</v>
      </c>
      <c r="DJ25" t="s">
        <v>0</v>
      </c>
      <c r="DK25" s="52" t="str">
        <f>IF(BD25="","",IF(M25&lt;&gt;"CRO","","INSERT INTO osoba (id,reg_broj,oib,spol_id,dat_rodjenja) VALUES ("&amp;BD25&amp;",(SELECT max(os.reg_broj)+1 FROM osoba AS os),Null,'"&amp;DI25&amp;"',Null); INSERT INTO osoba_log (id,reg_broj,oib,spol_id,dat_rodjenja,dnevnik_id) SELECT id,reg_broj,oib,spol_id,dat_rodjenja,"&amp;data_dnevnik_id&amp;" FROM osoba WHERE id = "&amp;BD25&amp;";"))</f>
        <v/>
      </c>
      <c r="DL25" s="66" t="str">
        <f>IF(BD25="","","INSERT INTO imeprezime (id,osoba_id,rbr,ime,prezime,klub_id,identitet_id,sintaksa_id,info,aktivno,dnevnik_id) VALUES ("&amp;BD25&amp;","&amp;IF(DK25="","Null",BD25)&amp;",1,'"&amp;IF(AV25&lt;&gt;"",AV25,AK25)&amp;"','"&amp;IF(AW25&lt;&gt;"",AW25,AL25)&amp;"',(SELECT id FROM klub WHERE naziv = '"&amp;CR25&amp;"'),Null,1,'',1,"&amp;data_dnevnik_id&amp;");")</f>
        <v/>
      </c>
      <c r="DM25" t="s">
        <v>0</v>
      </c>
      <c r="DN25" s="19" t="str">
        <f t="shared" si="69"/>
        <v/>
      </c>
      <c r="DO25" s="47" t="s">
        <v>0</v>
      </c>
      <c r="DP25" s="19" t="str">
        <f>IF(BA25="","","INSERT INTO imeprezime_alias(id,alias,imeprezime_id) VALUES ("&amp;BB25&amp;",'"&amp;BA25&amp;"',"&amp;IF(BC25="NEMA",BD25,BC25)&amp;");")</f>
        <v/>
      </c>
      <c r="DQ25" s="47" t="s">
        <v>0</v>
      </c>
      <c r="DR25" s="52" t="str">
        <f>IF(AL25="","",DU25 &amp; IF(Q25="",""," – " &amp; Q25))</f>
        <v>Luka – Gojmerac – OK Ivan Merz – M14</v>
      </c>
      <c r="DS25" s="53">
        <f t="shared" si="26"/>
        <v>42</v>
      </c>
      <c r="DT25" s="47" t="s">
        <v>0</v>
      </c>
      <c r="DU25" s="52" t="str">
        <f>IF(AL25="","",DX25 &amp; IF(CR25="",""," – " &amp; CR25))</f>
        <v>Luka – Gojmerac – OK Ivan Merz</v>
      </c>
      <c r="DV25" s="53">
        <f t="shared" si="27"/>
        <v>42</v>
      </c>
      <c r="DW25" s="47" t="s">
        <v>0</v>
      </c>
      <c r="DX25" s="52" t="str">
        <f>IF(BG25="","",BF25&amp;" – "&amp;BG25)</f>
        <v>Luka – Gojmerac</v>
      </c>
      <c r="DY25" s="53">
        <f t="shared" si="28"/>
        <v>42</v>
      </c>
      <c r="DZ25" s="47" t="s">
        <v>0</v>
      </c>
      <c r="EA25" s="58">
        <f t="shared" si="61"/>
        <v>42</v>
      </c>
      <c r="EB25" s="53" cm="1">
        <f t="array" ref="EB25">IF(EA25&lt;&gt;"",INDEX(regNatjecatelj_id,EA25,0),IF(BD25&lt;&gt;"",BD25,""))</f>
        <v>1285</v>
      </c>
      <c r="EC25" s="47" t="s">
        <v>0</v>
      </c>
      <c r="ED25" s="58" t="str">
        <f>IF(AL25="","",IF(BD25&lt;&gt;"","novo",IF(AN25="","imepre","imepre(ali)")))</f>
        <v>imepre</v>
      </c>
      <c r="EE25" s="73" t="str">
        <f>IF(AL25="","",IF(BL25="",IF(IFERROR(INDEX(regNatjecatelj_klub,MATCH(EB25,regNatjecatelj_id,0)),"NEMA")="","klu",""),IF(OR(AND(BN25&lt;&gt;"",BN25&lt;&gt;"NEMA"),CD25&lt;&gt;""),"klu(ali)",IF(AND(BP25&lt;&gt;"",BP25&lt;&gt;BO25),"(raz-klu)","klu"))))</f>
        <v>klu</v>
      </c>
      <c r="EF25" s="73" t="str">
        <f>IF(AL25="","","kat"&amp;IF(AND(W25&lt;&gt;Q25,Q25&lt;&gt;"Open"),"(ali)",""))</f>
        <v>kat</v>
      </c>
      <c r="EG25" s="73" t="str">
        <f t="shared" si="29"/>
        <v/>
      </c>
      <c r="EH25" s="66" t="str">
        <f>IF(AL25="","",ED25&amp;IF(ED25="novo","","-"&amp;EE25&amp;"-"&amp;EF25)&amp;IF(EG25="","","-"&amp;EG25))</f>
        <v>imepre-klu-kat</v>
      </c>
      <c r="EI25" s="47" t="s">
        <v>0</v>
      </c>
      <c r="EJ25" s="58">
        <f>IF(AL25="","",MAX(EJ$12:EJ24)+1)</f>
        <v>203</v>
      </c>
      <c r="EK25" s="73">
        <f>IF(AO25="","",X25)</f>
        <v>24</v>
      </c>
      <c r="EL25" s="73">
        <f t="shared" si="62"/>
        <v>1285</v>
      </c>
      <c r="EM25" s="73">
        <f t="shared" si="30"/>
        <v>2094</v>
      </c>
      <c r="EN25" s="73">
        <f t="shared" si="31"/>
        <v>1</v>
      </c>
      <c r="EO25" s="73">
        <f t="shared" si="63"/>
        <v>1</v>
      </c>
      <c r="EP25" s="73">
        <f t="shared" si="64"/>
        <v>1</v>
      </c>
      <c r="EQ25" s="73" t="str">
        <f t="shared" si="34"/>
        <v>0</v>
      </c>
      <c r="ER25" s="73" t="str">
        <f>IF(OR(AN25="",AN25="NEMA"),BB25,AN25)</f>
        <v/>
      </c>
      <c r="ES25" s="73" t="str">
        <f>IF(AND(BN25&lt;&gt;"",BN25&lt;&gt;"NEMA"),BN25,IF(CG25&lt;&gt;"",CG25,IF(AND(CL25&lt;&gt;"",CL25&lt;&gt;"NEMA"),CL25,IF(CM25&lt;&gt;"",CM25,""))))</f>
        <v/>
      </c>
      <c r="ET25" s="53" t="str">
        <f>IF(INDEX(natKategorija_alias_Id,MATCH(S25,natKategorija_katRegId,0))="","",INDEX(natKategorija_alias_Id,MATCH(S25,natKategorija_katRegId,0)))</f>
        <v/>
      </c>
      <c r="EU25" s="47" t="s">
        <v>0</v>
      </c>
      <c r="EV25" s="19" t="str">
        <f t="shared" si="65"/>
        <v>INSERT INTO rezultat(id,stazakategorija_id,imeprezime_id,vrijeme_sec,status_id,registracija,uparivanje_id,originalstatus_id,imeprezimealias_id,klubalias_id,kategorijaalias_id) VALUES (203,24,1285,2094,1,1,1,0,Null,Null,Null);</v>
      </c>
      <c r="EW25" s="47" t="s">
        <v>0</v>
      </c>
      <c r="EX25" s="19" t="str">
        <f t="shared" si="66"/>
        <v>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25" s="47" t="s">
        <v>0</v>
      </c>
      <c r="EZ25" s="180" t="str">
        <f>AG25&amp;IF(CP25="","","
")&amp;CP25&amp;IF(CI25="","","
")&amp;CI25&amp;IF(DN25="","","
")&amp;DN25&amp;IF(DP25="","","
")&amp;DP25&amp;IF(EV25="","","
")&amp;EV25&amp;IF(EX25="","","
")&amp;EX25</f>
        <v xml:space="preserve">
INSERT INTO rezultat(id,stazakategorija_id,imeprezime_id,vrijeme_sec,status_id,registracija,uparivanje_id,originalstatus_id,imeprezimealias_id,klubalias_id,kategorijaalias_id) VALUES (203,24,1285,2094,1,1,1,0,Null,Null,Null);
UPDATE
	registar
SET
	potvrda = 1
WHERE
	imeprezime_id=1285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25" s="47" t="s">
        <v>0</v>
      </c>
    </row>
    <row r="26" spans="1:169" x14ac:dyDescent="0.25">
      <c r="A26" t="s">
        <v>0</v>
      </c>
      <c r="B26" s="52" t="str">
        <f>IF(csv!F16="","",csv!T16)</f>
        <v>M14</v>
      </c>
      <c r="C26" s="31" t="s">
        <v>0</v>
      </c>
      <c r="D26" s="31" t="str">
        <f>IF(csv!F16="","",csv!F16)</f>
        <v>Martin</v>
      </c>
      <c r="E26" s="31" t="str">
        <f>IF(csv!E16="","",csv!E16)</f>
        <v>Meštrović</v>
      </c>
      <c r="F26" s="31" t="s">
        <v>0</v>
      </c>
      <c r="G26" s="73" t="str">
        <f>IF(csv!M16="","",csv!M16)</f>
        <v>54:04</v>
      </c>
      <c r="H26" s="73" t="str">
        <f>IF(csv!N16="","",csv!N16)</f>
        <v>0</v>
      </c>
      <c r="I26" s="31" t="s">
        <v>0</v>
      </c>
      <c r="J26" s="31" t="str">
        <f>IF(csv!P16="","",csv!P16)</f>
        <v>KAP</v>
      </c>
      <c r="K26" s="31" t="str">
        <f>IF(csv!Q16="","",csv!Q16)</f>
        <v>OK Kapela</v>
      </c>
      <c r="L26" s="31" t="s">
        <v>0</v>
      </c>
      <c r="M26" s="66" t="str">
        <f>IF(csv!R16="","",csv!R16)</f>
        <v>CRO</v>
      </c>
      <c r="N26" s="47" t="s">
        <v>0</v>
      </c>
      <c r="O26" s="243" t="str">
        <f t="shared" si="36"/>
        <v>ok</v>
      </c>
      <c r="P26" s="47"/>
      <c r="Q26" s="52" t="str">
        <f t="shared" si="37"/>
        <v>M14</v>
      </c>
      <c r="R26" s="73">
        <f>IF(Q26="","",IF(COUNTIF(Q$12:Q25,Q26)=0,R25+1,R25))</f>
        <v>2</v>
      </c>
      <c r="S26" s="73">
        <f t="shared" si="38"/>
        <v>111</v>
      </c>
      <c r="T26" s="73">
        <f t="shared" si="1"/>
        <v>21</v>
      </c>
      <c r="U26" s="66" t="str">
        <f t="shared" si="2"/>
        <v>M14 – Ž14</v>
      </c>
      <c r="V26" s="47" t="s">
        <v>0</v>
      </c>
      <c r="W26" s="222" t="str">
        <f t="shared" si="3"/>
        <v>M14</v>
      </c>
      <c r="X26" s="223">
        <f t="shared" si="4"/>
        <v>24</v>
      </c>
      <c r="Y26" s="47" t="s">
        <v>0</v>
      </c>
      <c r="Z26" s="52" t="str">
        <f t="shared" si="39"/>
        <v>CRO</v>
      </c>
      <c r="AA26" s="73">
        <f t="shared" si="5"/>
        <v>1</v>
      </c>
      <c r="AB26" s="31" t="str">
        <f t="shared" si="40"/>
        <v/>
      </c>
      <c r="AC26" s="66" t="str">
        <f>IF(AB26="","",MAX(AC$12:AC25)+1)</f>
        <v/>
      </c>
      <c r="AD26" s="47" t="s">
        <v>0</v>
      </c>
      <c r="AE26" s="125"/>
      <c r="AF26" s="47" t="s">
        <v>0</v>
      </c>
      <c r="AG26" s="19" t="str">
        <f t="shared" si="41"/>
        <v/>
      </c>
      <c r="AH26" s="47" t="s">
        <v>0</v>
      </c>
      <c r="AI26" s="143" t="str">
        <f t="shared" si="42"/>
        <v>CRO</v>
      </c>
      <c r="AJ26" s="47"/>
      <c r="AK26" s="52" t="str">
        <f t="shared" si="43"/>
        <v>Martin</v>
      </c>
      <c r="AL26" s="31" t="str">
        <f t="shared" si="44"/>
        <v>Meštrović</v>
      </c>
      <c r="AM26" s="73">
        <f t="shared" si="45"/>
        <v>1108</v>
      </c>
      <c r="AN26" s="73" t="str">
        <f t="shared" si="46"/>
        <v/>
      </c>
      <c r="AO26" s="31" t="str">
        <f t="shared" si="8"/>
        <v>Martin</v>
      </c>
      <c r="AP26" s="66" t="str">
        <f t="shared" si="9"/>
        <v>Meštrović</v>
      </c>
      <c r="AQ26" s="47" t="s">
        <v>0</v>
      </c>
      <c r="AR26" s="82" t="str">
        <f t="shared" si="47"/>
        <v/>
      </c>
      <c r="AS26" s="47" t="s">
        <v>0</v>
      </c>
      <c r="AT26" s="19" t="str">
        <f t="shared" si="48"/>
        <v/>
      </c>
      <c r="AU26" s="47" t="s">
        <v>0</v>
      </c>
      <c r="AV26" s="103"/>
      <c r="AW26" s="105"/>
      <c r="AX26" s="47" t="s">
        <v>0</v>
      </c>
      <c r="AY26" s="256" t="str">
        <f t="shared" si="68"/>
        <v/>
      </c>
      <c r="AZ26" s="47" t="s">
        <v>0</v>
      </c>
      <c r="BA26" s="52" t="str">
        <f t="shared" si="11"/>
        <v/>
      </c>
      <c r="BB26" s="73" t="str">
        <f>IF(AV26&amp;AW26="","",MAX(BB$12:BB25)+1)</f>
        <v/>
      </c>
      <c r="BC26" s="268" t="str">
        <f t="shared" si="12"/>
        <v/>
      </c>
      <c r="BD26" s="53" t="str">
        <f>IF(AND(AM26="NEMA",AN26="NEMA",OR(AV26&amp;AW26="",BC26="NEMA")),MAX(BD$12:BD25)+1,"")</f>
        <v/>
      </c>
      <c r="BE26" s="47" t="s">
        <v>0</v>
      </c>
      <c r="BF26" s="52" t="str">
        <f t="shared" si="13"/>
        <v>Martin</v>
      </c>
      <c r="BG26" s="31" t="str">
        <f t="shared" si="14"/>
        <v>Meštrović</v>
      </c>
      <c r="BH26" s="73" t="str">
        <f t="shared" si="49"/>
        <v/>
      </c>
      <c r="BI26" s="53">
        <f t="shared" si="50"/>
        <v>1108</v>
      </c>
      <c r="BJ26" s="47" t="s">
        <v>0</v>
      </c>
      <c r="BK26" s="52" t="str">
        <f t="shared" si="15"/>
        <v>KAP</v>
      </c>
      <c r="BL26" s="31" t="str">
        <f t="shared" si="16"/>
        <v>OK Kapela</v>
      </c>
      <c r="BM26" s="73">
        <f t="shared" si="17"/>
        <v>5</v>
      </c>
      <c r="BN26" s="73" t="str">
        <f t="shared" si="18"/>
        <v/>
      </c>
      <c r="BO26" s="31" t="str" cm="1">
        <f t="array" ref="BO26">IF(BN26="",""&amp;BL26,IF(BN26="NEMA",BL26,INDEX(regKlub_naziv,MATCH(INDEX(regKlub_alias_klubId,BN26),regKlub_id,0))))</f>
        <v>OK Kapela</v>
      </c>
      <c r="BP26" s="31" t="str" cm="1">
        <f t="array" ref="BP26">IFERROR(""&amp;INDEX(regNatjecatelj_klub,DY26),"")</f>
        <v>OK Kapela</v>
      </c>
      <c r="BQ26" s="88" t="str">
        <f t="shared" si="51"/>
        <v/>
      </c>
      <c r="BR26" s="66" t="str">
        <f t="shared" si="52"/>
        <v>OK Kapela</v>
      </c>
      <c r="BS26" s="47" t="s">
        <v>0</v>
      </c>
      <c r="BT26" s="82" t="str">
        <f>IF(BN26&lt;&gt;"NEMA","",IF(IFERROR(MATCH(BL26,BL$12:BL25,0),0)&lt;&gt;0,"",BL26))</f>
        <v/>
      </c>
      <c r="BU26" s="47" t="s">
        <v>0</v>
      </c>
      <c r="BV26" s="125"/>
      <c r="BW26" s="47" t="s">
        <v>0</v>
      </c>
      <c r="BX26" s="58" t="str">
        <f t="shared" si="53"/>
        <v/>
      </c>
      <c r="BY26" s="31" t="str">
        <f t="shared" si="54"/>
        <v/>
      </c>
      <c r="BZ26" s="31" t="str">
        <f>IF(BY26="","",MAX(BZ$12:BZ25)+1)</f>
        <v/>
      </c>
      <c r="CA26" s="31" t="str">
        <f>IF(BY26="","",IF(AA26="","",IF(AA26="NEMA",AC26,AA26)))</f>
        <v/>
      </c>
      <c r="CB26" s="31" t="str">
        <f t="shared" si="55"/>
        <v/>
      </c>
      <c r="CC26" s="31" t="str">
        <f>IF(BV26="","",MAX(CC$12:CC25)+1)</f>
        <v/>
      </c>
      <c r="CD26" s="31" t="str">
        <f t="shared" si="56"/>
        <v/>
      </c>
      <c r="CE26" s="66" t="str">
        <f t="shared" si="57"/>
        <v/>
      </c>
      <c r="CF26" s="47" t="s">
        <v>0</v>
      </c>
      <c r="CG26" s="73" t="str">
        <f>IF(BN26="","",IF(BN26&lt;&gt;"NEMA","",IFERROR(INDEX(nat_klubAliasId,MATCH(BL26,nat_noviKluboviAliasi,0)),"")))</f>
        <v/>
      </c>
      <c r="CH26" s="47"/>
      <c r="CI26" s="19" t="str">
        <f t="shared" si="58"/>
        <v/>
      </c>
      <c r="CJ26" s="47" t="s">
        <v>0</v>
      </c>
      <c r="CK26" s="52" t="str">
        <f>IF(X26&lt;&gt;"NEMA","",IF(IFERROR(MATCH(W26,W$12:W25,0),0)&lt;&gt;0,"",W26))</f>
        <v/>
      </c>
      <c r="CL26" s="73" t="str">
        <f>IF(CK26="","",IFERROR(INDEX(regKlub_alias_id,MATCH(CK26,regKlub_alias_alias,0)),"NEMA"))</f>
        <v/>
      </c>
      <c r="CM26" s="31" t="str">
        <f>IF(OR(CL26="",CL26&lt;&gt;"NEMA"),"",MAX(CM$12:CM25)+1)</f>
        <v/>
      </c>
      <c r="CN26" s="66" t="str">
        <f>IF(OR(CL26="",CL26&lt;&gt;"NEMA"),"",INDEX(regKlub_id,MATCH(CK26,regKlub_naziv,0)))</f>
        <v/>
      </c>
      <c r="CO26" s="47" t="s">
        <v>0</v>
      </c>
      <c r="CP26" s="19" t="str">
        <f>IF(OR(CL26="",CL26&lt;&gt;"NEMA"),"","INSERT INTO klub_alias(id,alias,klub_id) VALUES ("&amp;CM26&amp;",'"&amp;CK26&amp;"',"&amp;CN26&amp;");")</f>
        <v/>
      </c>
      <c r="CQ26" s="47" t="s">
        <v>0</v>
      </c>
      <c r="CR26" s="143" t="str">
        <f>IF(BR26="","",IF(BV26="",IF(IFERROR(MATCH(BR26,nat_noviKluboviAliasi,0),0)&gt;0,INDEX(nat_kluboviAliasi,MATCH(BR26,nat_noviKluboviAliasi,0)),BR26),BV26))</f>
        <v>OK Kapela</v>
      </c>
      <c r="CS26" s="47" t="s">
        <v>0</v>
      </c>
      <c r="CT26" s="58" t="str">
        <f>IF(G26="","",G26)</f>
        <v>54:04</v>
      </c>
      <c r="CU26" s="73" t="str">
        <f>IF(H26="","",H26)</f>
        <v>0</v>
      </c>
      <c r="CV26" s="229" t="str">
        <f>IF(CT26="",IF(OR(AL26="",CU26&lt;&gt;"0"),"","GREŠKA"),IF(AND(65535&gt;=VALUE(LEFT(CT26,SEARCH(":",CT26)-1))*60+VALUE(RIGHT(CT26,2)),OR(CU26="0",CU26="1",CU26="2",CU26="3",CU26="4")),"","GREŠKA"))</f>
        <v/>
      </c>
      <c r="CW26" s="230">
        <f t="shared" si="59"/>
        <v>3244</v>
      </c>
      <c r="CX26" s="163">
        <f t="shared" si="24"/>
        <v>1</v>
      </c>
      <c r="CY26" s="47" t="s">
        <v>0</v>
      </c>
      <c r="CZ26" s="222" t="str">
        <f>IF(CV26&lt;&gt;"GREŠKA","",AK26&amp;" "&amp;AL26&amp;" – Molim u OEventu provjeriti i ispraviti rezultat – vrijeme ("&amp;IF(CT26="","nije upisano",CT26)&amp;") i classifier ("&amp;CU26&amp;").")&amp;IF(OR(CV26&lt;&gt;"GREŠKA",CX26&lt;&gt;5),"
","")&amp;IF(CX26&lt;&gt;5,"",AK26&amp;" "&amp;AL26&amp;" – Molim u provjeriti je li natjecatelj zaista diskvalificiran. Ako je koje je obrazloženje, ako nije molim u OEventu ispraviti rezultat")</f>
        <v xml:space="preserve">
</v>
      </c>
      <c r="DA26" s="223">
        <f t="shared" si="60"/>
        <v>6</v>
      </c>
      <c r="DB26" s="47" t="s">
        <v>0</v>
      </c>
      <c r="DC26" s="47"/>
      <c r="DD26" s="47"/>
      <c r="DE26" s="47"/>
      <c r="DF26" s="47" t="s">
        <v>0</v>
      </c>
      <c r="DG26" s="53" t="str">
        <f>IF(BD26="","",IF(DI26="O",1,""))</f>
        <v/>
      </c>
      <c r="DH26" t="s">
        <v>0</v>
      </c>
      <c r="DI26" s="128" t="str">
        <f>IF(Q26="","",LEFT(INDEX(regKategorija_oznaka,MATCH(S26,regKategorija_id,0)),1))</f>
        <v>M</v>
      </c>
      <c r="DJ26" t="s">
        <v>0</v>
      </c>
      <c r="DK26" s="52" t="str">
        <f>IF(BD26="","",IF(M26&lt;&gt;"CRO","","INSERT INTO osoba (id,reg_broj,oib,spol_id,dat_rodjenja) VALUES ("&amp;BD26&amp;",(SELECT max(os.reg_broj)+1 FROM osoba AS os),Null,'"&amp;DI26&amp;"',Null); INSERT INTO osoba_log (id,reg_broj,oib,spol_id,dat_rodjenja,dnevnik_id) SELECT id,reg_broj,oib,spol_id,dat_rodjenja,"&amp;data_dnevnik_id&amp;" FROM osoba WHERE id = "&amp;BD26&amp;";"))</f>
        <v/>
      </c>
      <c r="DL26" s="66" t="str">
        <f>IF(BD26="","","INSERT INTO imeprezime (id,osoba_id,rbr,ime,prezime,klub_id,identitet_id,sintaksa_id,info,aktivno,dnevnik_id) VALUES ("&amp;BD26&amp;","&amp;IF(DK26="","Null",BD26)&amp;",1,'"&amp;IF(AV26&lt;&gt;"",AV26,AK26)&amp;"','"&amp;IF(AW26&lt;&gt;"",AW26,AL26)&amp;"',(SELECT id FROM klub WHERE naziv = '"&amp;CR26&amp;"'),Null,1,'',1,"&amp;data_dnevnik_id&amp;");")</f>
        <v/>
      </c>
      <c r="DM26" t="s">
        <v>0</v>
      </c>
      <c r="DN26" s="19" t="str">
        <f t="shared" si="69"/>
        <v/>
      </c>
      <c r="DO26" s="47" t="s">
        <v>0</v>
      </c>
      <c r="DP26" s="19" t="str">
        <f>IF(BA26="","","INSERT INTO imeprezime_alias(id,alias,imeprezime_id) VALUES ("&amp;BB26&amp;",'"&amp;BA26&amp;"',"&amp;IF(BC26="NEMA",BD26,BC26)&amp;");")</f>
        <v/>
      </c>
      <c r="DQ26" s="47" t="s">
        <v>0</v>
      </c>
      <c r="DR26" s="52" t="str">
        <f>IF(AL26="","",DU26 &amp; IF(Q26="",""," – " &amp; Q26))</f>
        <v>Martin – Meštrović – OK Kapela – M14</v>
      </c>
      <c r="DS26" s="53">
        <f t="shared" si="26"/>
        <v>279</v>
      </c>
      <c r="DT26" s="47" t="s">
        <v>0</v>
      </c>
      <c r="DU26" s="52" t="str">
        <f>IF(AL26="","",DX26 &amp; IF(CR26="",""," – " &amp; CR26))</f>
        <v>Martin – Meštrović – OK Kapela</v>
      </c>
      <c r="DV26" s="53">
        <f t="shared" si="27"/>
        <v>279</v>
      </c>
      <c r="DW26" s="47" t="s">
        <v>0</v>
      </c>
      <c r="DX26" s="52" t="str">
        <f>IF(BG26="","",BF26&amp;" – "&amp;BG26)</f>
        <v>Martin – Meštrović</v>
      </c>
      <c r="DY26" s="53">
        <f t="shared" si="28"/>
        <v>279</v>
      </c>
      <c r="DZ26" s="47" t="s">
        <v>0</v>
      </c>
      <c r="EA26" s="58">
        <f t="shared" si="61"/>
        <v>279</v>
      </c>
      <c r="EB26" s="53" cm="1">
        <f t="array" ref="EB26">IF(EA26&lt;&gt;"",INDEX(regNatjecatelj_id,EA26,0),IF(BD26&lt;&gt;"",BD26,""))</f>
        <v>1108</v>
      </c>
      <c r="EC26" s="47" t="s">
        <v>0</v>
      </c>
      <c r="ED26" s="58" t="str">
        <f>IF(AL26="","",IF(BD26&lt;&gt;"","novo",IF(AN26="","imepre","imepre(ali)")))</f>
        <v>imepre</v>
      </c>
      <c r="EE26" s="73" t="str">
        <f>IF(AL26="","",IF(BL26="",IF(IFERROR(INDEX(regNatjecatelj_klub,MATCH(EB26,regNatjecatelj_id,0)),"NEMA")="","klu",""),IF(OR(AND(BN26&lt;&gt;"",BN26&lt;&gt;"NEMA"),CD26&lt;&gt;""),"klu(ali)",IF(AND(BP26&lt;&gt;"",BP26&lt;&gt;BO26),"(raz-klu)","klu"))))</f>
        <v>klu</v>
      </c>
      <c r="EF26" s="73" t="str">
        <f>IF(AL26="","","kat"&amp;IF(AND(W26&lt;&gt;Q26,Q26&lt;&gt;"Open"),"(ali)",""))</f>
        <v>kat</v>
      </c>
      <c r="EG26" s="73" t="str">
        <f t="shared" si="29"/>
        <v/>
      </c>
      <c r="EH26" s="66" t="str">
        <f>IF(AL26="","",ED26&amp;IF(ED26="novo","","-"&amp;EE26&amp;"-"&amp;EF26)&amp;IF(EG26="","","-"&amp;EG26))</f>
        <v>imepre-klu-kat</v>
      </c>
      <c r="EI26" s="47" t="s">
        <v>0</v>
      </c>
      <c r="EJ26" s="58">
        <f>IF(AL26="","",MAX(EJ$12:EJ25)+1)</f>
        <v>204</v>
      </c>
      <c r="EK26" s="73">
        <f>IF(AO26="","",X26)</f>
        <v>24</v>
      </c>
      <c r="EL26" s="73">
        <f t="shared" si="62"/>
        <v>1108</v>
      </c>
      <c r="EM26" s="73">
        <f t="shared" si="30"/>
        <v>3244</v>
      </c>
      <c r="EN26" s="73">
        <f t="shared" si="31"/>
        <v>1</v>
      </c>
      <c r="EO26" s="73">
        <f t="shared" si="63"/>
        <v>1</v>
      </c>
      <c r="EP26" s="73">
        <f t="shared" si="64"/>
        <v>1</v>
      </c>
      <c r="EQ26" s="73" t="str">
        <f t="shared" si="34"/>
        <v>0</v>
      </c>
      <c r="ER26" s="73" t="str">
        <f>IF(OR(AN26="",AN26="NEMA"),BB26,AN26)</f>
        <v/>
      </c>
      <c r="ES26" s="73" t="str">
        <f>IF(AND(BN26&lt;&gt;"",BN26&lt;&gt;"NEMA"),BN26,IF(CG26&lt;&gt;"",CG26,IF(AND(CL26&lt;&gt;"",CL26&lt;&gt;"NEMA"),CL26,IF(CM26&lt;&gt;"",CM26,""))))</f>
        <v/>
      </c>
      <c r="ET26" s="53" t="str">
        <f>IF(INDEX(natKategorija_alias_Id,MATCH(S26,natKategorija_katRegId,0))="","",INDEX(natKategorija_alias_Id,MATCH(S26,natKategorija_katRegId,0)))</f>
        <v/>
      </c>
      <c r="EU26" s="47" t="s">
        <v>0</v>
      </c>
      <c r="EV26" s="19" t="str">
        <f t="shared" si="65"/>
        <v>INSERT INTO rezultat(id,stazakategorija_id,imeprezime_id,vrijeme_sec,status_id,registracija,uparivanje_id,originalstatus_id,imeprezimealias_id,klubalias_id,kategorijaalias_id) VALUES (204,24,1108,3244,1,1,1,0,Null,Null,Null);</v>
      </c>
      <c r="EW26" s="47" t="s">
        <v>0</v>
      </c>
      <c r="EX26" s="19" t="str">
        <f t="shared" si="66"/>
        <v>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26" s="47" t="s">
        <v>0</v>
      </c>
      <c r="EZ26" s="180" t="str">
        <f>AG26&amp;IF(CP26="","","
")&amp;CP26&amp;IF(CI26="","","
")&amp;CI26&amp;IF(DN26="","","
")&amp;DN26&amp;IF(DP26="","","
")&amp;DP26&amp;IF(EV26="","","
")&amp;EV26&amp;IF(EX26="","","
")&amp;EX26</f>
        <v xml:space="preserve">
INSERT INTO rezultat(id,stazakategorija_id,imeprezime_id,vrijeme_sec,status_id,registracija,uparivanje_id,originalstatus_id,imeprezimealias_id,klubalias_id,kategorijaalias_id) VALUES (204,24,1108,3244,1,1,1,0,Null,Null,Null);
UPDATE
	registar
SET
	potvrda = 1
WHERE
	imeprezime_id=1108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26" s="47" t="s">
        <v>0</v>
      </c>
    </row>
    <row r="27" spans="1:169" x14ac:dyDescent="0.25">
      <c r="A27" t="s">
        <v>0</v>
      </c>
      <c r="B27" s="52" t="str">
        <f>IF(csv!F17="","",csv!T17)</f>
        <v>M14</v>
      </c>
      <c r="C27" s="31" t="s">
        <v>0</v>
      </c>
      <c r="D27" s="31" t="str">
        <f>IF(csv!F17="","",csv!F17)</f>
        <v>Mikula</v>
      </c>
      <c r="E27" s="31" t="str">
        <f>IF(csv!E17="","",csv!E17)</f>
        <v>Mazić</v>
      </c>
      <c r="F27" s="31" t="s">
        <v>0</v>
      </c>
      <c r="G27" s="73" t="str">
        <f>IF(csv!M17="","",csv!M17)</f>
        <v>68:39</v>
      </c>
      <c r="H27" s="73" t="str">
        <f>IF(csv!N17="","",csv!N17)</f>
        <v>0</v>
      </c>
      <c r="I27" s="31" t="s">
        <v>0</v>
      </c>
      <c r="J27" s="31" t="str">
        <f>IF(csv!P17="","",csv!P17)</f>
        <v>Vihor</v>
      </c>
      <c r="K27" s="31" t="str">
        <f>IF(csv!Q17="","",csv!Q17)</f>
        <v>OK Vihor</v>
      </c>
      <c r="L27" s="31" t="s">
        <v>0</v>
      </c>
      <c r="M27" s="66" t="str">
        <f>IF(csv!R17="","",csv!R17)</f>
        <v>CRO</v>
      </c>
      <c r="N27" s="47" t="s">
        <v>0</v>
      </c>
      <c r="O27" s="243" t="str">
        <f t="shared" si="36"/>
        <v>ok</v>
      </c>
      <c r="P27" s="47"/>
      <c r="Q27" s="52" t="str">
        <f t="shared" si="37"/>
        <v>M14</v>
      </c>
      <c r="R27" s="73">
        <f>IF(Q27="","",IF(COUNTIF(Q$12:Q26,Q27)=0,R26+1,R26))</f>
        <v>2</v>
      </c>
      <c r="S27" s="73">
        <f t="shared" si="38"/>
        <v>111</v>
      </c>
      <c r="T27" s="73">
        <f t="shared" si="1"/>
        <v>21</v>
      </c>
      <c r="U27" s="66" t="str">
        <f t="shared" si="2"/>
        <v>M14 – Ž14</v>
      </c>
      <c r="V27" s="47" t="s">
        <v>0</v>
      </c>
      <c r="W27" s="222" t="str">
        <f t="shared" si="3"/>
        <v>M14</v>
      </c>
      <c r="X27" s="223">
        <f t="shared" si="4"/>
        <v>24</v>
      </c>
      <c r="Y27" s="47" t="s">
        <v>0</v>
      </c>
      <c r="Z27" s="52" t="str">
        <f t="shared" si="39"/>
        <v>CRO</v>
      </c>
      <c r="AA27" s="73">
        <f t="shared" si="5"/>
        <v>1</v>
      </c>
      <c r="AB27" s="31" t="str">
        <f t="shared" si="40"/>
        <v/>
      </c>
      <c r="AC27" s="66" t="str">
        <f>IF(AB27="","",MAX(AC$12:AC26)+1)</f>
        <v/>
      </c>
      <c r="AD27" s="47" t="s">
        <v>0</v>
      </c>
      <c r="AE27" s="125"/>
      <c r="AF27" s="47" t="s">
        <v>0</v>
      </c>
      <c r="AG27" s="19" t="str">
        <f t="shared" si="41"/>
        <v/>
      </c>
      <c r="AH27" s="47" t="s">
        <v>0</v>
      </c>
      <c r="AI27" s="143" t="str">
        <f t="shared" si="42"/>
        <v>CRO</v>
      </c>
      <c r="AJ27" s="47"/>
      <c r="AK27" s="52" t="str">
        <f t="shared" si="43"/>
        <v>Mikula</v>
      </c>
      <c r="AL27" s="31" t="str">
        <f t="shared" si="44"/>
        <v>Mazić</v>
      </c>
      <c r="AM27" s="73">
        <f t="shared" si="45"/>
        <v>1057</v>
      </c>
      <c r="AN27" s="73" t="str">
        <f t="shared" si="46"/>
        <v/>
      </c>
      <c r="AO27" s="31" t="str">
        <f t="shared" si="8"/>
        <v>Mikula</v>
      </c>
      <c r="AP27" s="66" t="str">
        <f t="shared" si="9"/>
        <v>Mazić</v>
      </c>
      <c r="AQ27" s="47" t="s">
        <v>0</v>
      </c>
      <c r="AR27" s="82" t="str">
        <f t="shared" si="47"/>
        <v/>
      </c>
      <c r="AS27" s="47" t="s">
        <v>0</v>
      </c>
      <c r="AT27" s="19" t="str">
        <f t="shared" si="48"/>
        <v/>
      </c>
      <c r="AU27" s="47" t="s">
        <v>0</v>
      </c>
      <c r="AV27" s="103"/>
      <c r="AW27" s="105"/>
      <c r="AX27" s="47" t="s">
        <v>0</v>
      </c>
      <c r="AY27" s="256" t="str">
        <f t="shared" si="68"/>
        <v/>
      </c>
      <c r="AZ27" s="47" t="s">
        <v>0</v>
      </c>
      <c r="BA27" s="52" t="str">
        <f t="shared" si="11"/>
        <v/>
      </c>
      <c r="BB27" s="73" t="str">
        <f>IF(AV27&amp;AW27="","",MAX(BB$12:BB26)+1)</f>
        <v/>
      </c>
      <c r="BC27" s="268" t="str">
        <f t="shared" si="12"/>
        <v/>
      </c>
      <c r="BD27" s="53" t="str">
        <f>IF(AND(AM27="NEMA",AN27="NEMA",OR(AV27&amp;AW27="",BC27="NEMA")),MAX(BD$12:BD26)+1,"")</f>
        <v/>
      </c>
      <c r="BE27" s="47" t="s">
        <v>0</v>
      </c>
      <c r="BF27" s="52" t="str">
        <f t="shared" si="13"/>
        <v>Mikula</v>
      </c>
      <c r="BG27" s="31" t="str">
        <f t="shared" si="14"/>
        <v>Mazić</v>
      </c>
      <c r="BH27" s="73" t="str">
        <f t="shared" si="49"/>
        <v/>
      </c>
      <c r="BI27" s="53">
        <f t="shared" si="50"/>
        <v>1057</v>
      </c>
      <c r="BJ27" s="47" t="s">
        <v>0</v>
      </c>
      <c r="BK27" s="52" t="str">
        <f t="shared" si="15"/>
        <v>Vihor</v>
      </c>
      <c r="BL27" s="31" t="str">
        <f t="shared" si="16"/>
        <v>OK Vihor</v>
      </c>
      <c r="BM27" s="73">
        <f t="shared" si="17"/>
        <v>12</v>
      </c>
      <c r="BN27" s="73" t="str">
        <f t="shared" si="18"/>
        <v/>
      </c>
      <c r="BO27" s="31" t="str" cm="1">
        <f t="array" ref="BO27">IF(BN27="",""&amp;BL27,IF(BN27="NEMA",BL27,INDEX(regKlub_naziv,MATCH(INDEX(regKlub_alias_klubId,BN27),regKlub_id,0))))</f>
        <v>OK Vihor</v>
      </c>
      <c r="BP27" s="31" t="str" cm="1">
        <f t="array" ref="BP27">IFERROR(""&amp;INDEX(regNatjecatelj_klub,DY27),"")</f>
        <v>OK Vihor</v>
      </c>
      <c r="BQ27" s="88" t="str">
        <f t="shared" si="51"/>
        <v/>
      </c>
      <c r="BR27" s="66" t="str">
        <f t="shared" si="52"/>
        <v>OK Vihor</v>
      </c>
      <c r="BS27" s="47" t="s">
        <v>0</v>
      </c>
      <c r="BT27" s="82" t="str">
        <f>IF(BN27&lt;&gt;"NEMA","",IF(IFERROR(MATCH(BL27,BL$12:BL26,0),0)&lt;&gt;0,"",BL27))</f>
        <v/>
      </c>
      <c r="BU27" s="47" t="s">
        <v>0</v>
      </c>
      <c r="BV27" s="125"/>
      <c r="BW27" s="47" t="s">
        <v>0</v>
      </c>
      <c r="BX27" s="58" t="str">
        <f t="shared" si="53"/>
        <v/>
      </c>
      <c r="BY27" s="31" t="str">
        <f t="shared" si="54"/>
        <v/>
      </c>
      <c r="BZ27" s="31" t="str">
        <f>IF(BY27="","",MAX(BZ$12:BZ26)+1)</f>
        <v/>
      </c>
      <c r="CA27" s="31" t="str">
        <f>IF(BY27="","",IF(AA27="","",IF(AA27="NEMA",AC27,AA27)))</f>
        <v/>
      </c>
      <c r="CB27" s="31" t="str">
        <f t="shared" si="55"/>
        <v/>
      </c>
      <c r="CC27" s="31" t="str">
        <f>IF(BV27="","",MAX(CC$12:CC26)+1)</f>
        <v/>
      </c>
      <c r="CD27" s="31" t="str">
        <f t="shared" si="56"/>
        <v/>
      </c>
      <c r="CE27" s="66" t="str">
        <f t="shared" si="57"/>
        <v/>
      </c>
      <c r="CF27" s="47" t="s">
        <v>0</v>
      </c>
      <c r="CG27" s="73" t="str">
        <f>IF(BN27="","",IF(BN27&lt;&gt;"NEMA","",IFERROR(INDEX(nat_klubAliasId,MATCH(BL27,nat_noviKluboviAliasi,0)),"")))</f>
        <v/>
      </c>
      <c r="CH27" s="47"/>
      <c r="CI27" s="19" t="str">
        <f t="shared" si="58"/>
        <v/>
      </c>
      <c r="CJ27" s="47" t="s">
        <v>0</v>
      </c>
      <c r="CK27" s="52" t="str">
        <f>IF(X27&lt;&gt;"NEMA","",IF(IFERROR(MATCH(W27,W$12:W26,0),0)&lt;&gt;0,"",W27))</f>
        <v/>
      </c>
      <c r="CL27" s="73" t="str">
        <f>IF(CK27="","",IFERROR(INDEX(regKlub_alias_id,MATCH(CK27,regKlub_alias_alias,0)),"NEMA"))</f>
        <v/>
      </c>
      <c r="CM27" s="31" t="str">
        <f>IF(OR(CL27="",CL27&lt;&gt;"NEMA"),"",MAX(CM$12:CM26)+1)</f>
        <v/>
      </c>
      <c r="CN27" s="66" t="str">
        <f>IF(OR(CL27="",CL27&lt;&gt;"NEMA"),"",INDEX(regKlub_id,MATCH(CK27,regKlub_naziv,0)))</f>
        <v/>
      </c>
      <c r="CO27" s="47" t="s">
        <v>0</v>
      </c>
      <c r="CP27" s="19" t="str">
        <f>IF(OR(CL27="",CL27&lt;&gt;"NEMA"),"","INSERT INTO klub_alias(id,alias,klub_id) VALUES ("&amp;CM27&amp;",'"&amp;CK27&amp;"',"&amp;CN27&amp;");")</f>
        <v/>
      </c>
      <c r="CQ27" s="47" t="s">
        <v>0</v>
      </c>
      <c r="CR27" s="143" t="str">
        <f>IF(BR27="","",IF(BV27="",IF(IFERROR(MATCH(BR27,nat_noviKluboviAliasi,0),0)&gt;0,INDEX(nat_kluboviAliasi,MATCH(BR27,nat_noviKluboviAliasi,0)),BR27),BV27))</f>
        <v>OK Vihor</v>
      </c>
      <c r="CS27" s="47" t="s">
        <v>0</v>
      </c>
      <c r="CT27" s="58" t="str">
        <f>IF(G27="","",G27)</f>
        <v>68:39</v>
      </c>
      <c r="CU27" s="73" t="str">
        <f>IF(H27="","",H27)</f>
        <v>0</v>
      </c>
      <c r="CV27" s="229" t="str">
        <f>IF(CT27="",IF(OR(AL27="",CU27&lt;&gt;"0"),"","GREŠKA"),IF(AND(65535&gt;=VALUE(LEFT(CT27,SEARCH(":",CT27)-1))*60+VALUE(RIGHT(CT27,2)),OR(CU27="0",CU27="1",CU27="2",CU27="3",CU27="4")),"","GREŠKA"))</f>
        <v/>
      </c>
      <c r="CW27" s="230">
        <f t="shared" si="59"/>
        <v>4119</v>
      </c>
      <c r="CX27" s="163">
        <f t="shared" si="24"/>
        <v>1</v>
      </c>
      <c r="CY27" s="47" t="s">
        <v>0</v>
      </c>
      <c r="CZ27" s="222" t="str">
        <f>IF(CV27&lt;&gt;"GREŠKA","",AK27&amp;" "&amp;AL27&amp;" – Molim u OEventu provjeriti i ispraviti rezultat – vrijeme ("&amp;IF(CT27="","nije upisano",CT27)&amp;") i classifier ("&amp;CU27&amp;").")&amp;IF(OR(CV27&lt;&gt;"GREŠKA",CX27&lt;&gt;5),"
","")&amp;IF(CX27&lt;&gt;5,"",AK27&amp;" "&amp;AL27&amp;" – Molim u provjeriti je li natjecatelj zaista diskvalificiran. Ako je koje je obrazloženje, ako nije molim u OEventu ispraviti rezultat")</f>
        <v xml:space="preserve">
</v>
      </c>
      <c r="DA27" s="223">
        <f t="shared" si="60"/>
        <v>6</v>
      </c>
      <c r="DB27" s="47" t="s">
        <v>0</v>
      </c>
      <c r="DC27" s="47"/>
      <c r="DD27" s="47"/>
      <c r="DE27" s="47"/>
      <c r="DF27" s="47" t="s">
        <v>0</v>
      </c>
      <c r="DG27" s="53" t="str">
        <f>IF(BD27="","",IF(DI27="O",1,""))</f>
        <v/>
      </c>
      <c r="DH27" t="s">
        <v>0</v>
      </c>
      <c r="DI27" s="128" t="str">
        <f>IF(Q27="","",LEFT(INDEX(regKategorija_oznaka,MATCH(S27,regKategorija_id,0)),1))</f>
        <v>M</v>
      </c>
      <c r="DJ27" t="s">
        <v>0</v>
      </c>
      <c r="DK27" s="52" t="str">
        <f>IF(BD27="","",IF(M27&lt;&gt;"CRO","","INSERT INTO osoba (id,reg_broj,oib,spol_id,dat_rodjenja) VALUES ("&amp;BD27&amp;",(SELECT max(os.reg_broj)+1 FROM osoba AS os),Null,'"&amp;DI27&amp;"',Null); INSERT INTO osoba_log (id,reg_broj,oib,spol_id,dat_rodjenja,dnevnik_id) SELECT id,reg_broj,oib,spol_id,dat_rodjenja,"&amp;data_dnevnik_id&amp;" FROM osoba WHERE id = "&amp;BD27&amp;";"))</f>
        <v/>
      </c>
      <c r="DL27" s="66" t="str">
        <f>IF(BD27="","","INSERT INTO imeprezime (id,osoba_id,rbr,ime,prezime,klub_id,identitet_id,sintaksa_id,info,aktivno,dnevnik_id) VALUES ("&amp;BD27&amp;","&amp;IF(DK27="","Null",BD27)&amp;",1,'"&amp;IF(AV27&lt;&gt;"",AV27,AK27)&amp;"','"&amp;IF(AW27&lt;&gt;"",AW27,AL27)&amp;"',(SELECT id FROM klub WHERE naziv = '"&amp;CR27&amp;"'),Null,1,'',1,"&amp;data_dnevnik_id&amp;");")</f>
        <v/>
      </c>
      <c r="DM27" t="s">
        <v>0</v>
      </c>
      <c r="DN27" s="19" t="str">
        <f t="shared" si="69"/>
        <v/>
      </c>
      <c r="DO27" s="47" t="s">
        <v>0</v>
      </c>
      <c r="DP27" s="19" t="str">
        <f>IF(BA27="","","INSERT INTO imeprezime_alias(id,alias,imeprezime_id) VALUES ("&amp;BB27&amp;",'"&amp;BA27&amp;"',"&amp;IF(BC27="NEMA",BD27,BC27)&amp;");")</f>
        <v/>
      </c>
      <c r="DQ27" s="47" t="s">
        <v>0</v>
      </c>
      <c r="DR27" s="52" t="str">
        <f>IF(AL27="","",DU27 &amp; IF(Q27="",""," – " &amp; Q27))</f>
        <v>Mikula – Mazić – OK Vihor – M14</v>
      </c>
      <c r="DS27" s="53">
        <f t="shared" si="26"/>
        <v>799</v>
      </c>
      <c r="DT27" s="47" t="s">
        <v>0</v>
      </c>
      <c r="DU27" s="52" t="str">
        <f>IF(AL27="","",DX27 &amp; IF(CR27="",""," – " &amp; CR27))</f>
        <v>Mikula – Mazić – OK Vihor</v>
      </c>
      <c r="DV27" s="53">
        <f t="shared" si="27"/>
        <v>799</v>
      </c>
      <c r="DW27" s="47" t="s">
        <v>0</v>
      </c>
      <c r="DX27" s="52" t="str">
        <f>IF(BG27="","",BF27&amp;" – "&amp;BG27)</f>
        <v>Mikula – Mazić</v>
      </c>
      <c r="DY27" s="53">
        <f t="shared" si="28"/>
        <v>799</v>
      </c>
      <c r="DZ27" s="47" t="s">
        <v>0</v>
      </c>
      <c r="EA27" s="58">
        <f t="shared" si="61"/>
        <v>799</v>
      </c>
      <c r="EB27" s="53" cm="1">
        <f t="array" ref="EB27">IF(EA27&lt;&gt;"",INDEX(regNatjecatelj_id,EA27,0),IF(BD27&lt;&gt;"",BD27,""))</f>
        <v>1057</v>
      </c>
      <c r="EC27" s="47" t="s">
        <v>0</v>
      </c>
      <c r="ED27" s="58" t="str">
        <f>IF(AL27="","",IF(BD27&lt;&gt;"","novo",IF(AN27="","imepre","imepre(ali)")))</f>
        <v>imepre</v>
      </c>
      <c r="EE27" s="73" t="str">
        <f>IF(AL27="","",IF(BL27="",IF(IFERROR(INDEX(regNatjecatelj_klub,MATCH(EB27,regNatjecatelj_id,0)),"NEMA")="","klu",""),IF(OR(AND(BN27&lt;&gt;"",BN27&lt;&gt;"NEMA"),CD27&lt;&gt;""),"klu(ali)",IF(AND(BP27&lt;&gt;"",BP27&lt;&gt;BO27),"(raz-klu)","klu"))))</f>
        <v>klu</v>
      </c>
      <c r="EF27" s="73" t="str">
        <f>IF(AL27="","","kat"&amp;IF(AND(W27&lt;&gt;Q27,Q27&lt;&gt;"Open"),"(ali)",""))</f>
        <v>kat</v>
      </c>
      <c r="EG27" s="73" t="str">
        <f t="shared" si="29"/>
        <v/>
      </c>
      <c r="EH27" s="66" t="str">
        <f>IF(AL27="","",ED27&amp;IF(ED27="novo","","-"&amp;EE27&amp;"-"&amp;EF27)&amp;IF(EG27="","","-"&amp;EG27))</f>
        <v>imepre-klu-kat</v>
      </c>
      <c r="EI27" s="47" t="s">
        <v>0</v>
      </c>
      <c r="EJ27" s="58">
        <f>IF(AL27="","",MAX(EJ$12:EJ26)+1)</f>
        <v>205</v>
      </c>
      <c r="EK27" s="73">
        <f>IF(AO27="","",X27)</f>
        <v>24</v>
      </c>
      <c r="EL27" s="73">
        <f t="shared" si="62"/>
        <v>1057</v>
      </c>
      <c r="EM27" s="73">
        <f t="shared" si="30"/>
        <v>4119</v>
      </c>
      <c r="EN27" s="73">
        <f t="shared" si="31"/>
        <v>1</v>
      </c>
      <c r="EO27" s="73">
        <f t="shared" si="63"/>
        <v>1</v>
      </c>
      <c r="EP27" s="73">
        <f t="shared" si="64"/>
        <v>1</v>
      </c>
      <c r="EQ27" s="73" t="str">
        <f t="shared" si="34"/>
        <v>0</v>
      </c>
      <c r="ER27" s="73" t="str">
        <f>IF(OR(AN27="",AN27="NEMA"),BB27,AN27)</f>
        <v/>
      </c>
      <c r="ES27" s="73" t="str">
        <f>IF(AND(BN27&lt;&gt;"",BN27&lt;&gt;"NEMA"),BN27,IF(CG27&lt;&gt;"",CG27,IF(AND(CL27&lt;&gt;"",CL27&lt;&gt;"NEMA"),CL27,IF(CM27&lt;&gt;"",CM27,""))))</f>
        <v/>
      </c>
      <c r="ET27" s="53" t="str">
        <f>IF(INDEX(natKategorija_alias_Id,MATCH(S27,natKategorija_katRegId,0))="","",INDEX(natKategorija_alias_Id,MATCH(S27,natKategorija_katRegId,0)))</f>
        <v/>
      </c>
      <c r="EU27" s="47" t="s">
        <v>0</v>
      </c>
      <c r="EV27" s="19" t="str">
        <f t="shared" si="65"/>
        <v>INSERT INTO rezultat(id,stazakategorija_id,imeprezime_id,vrijeme_sec,status_id,registracija,uparivanje_id,originalstatus_id,imeprezimealias_id,klubalias_id,kategorijaalias_id) VALUES (205,24,1057,4119,1,1,1,0,Null,Null,Null);</v>
      </c>
      <c r="EW27" s="47" t="s">
        <v>0</v>
      </c>
      <c r="EX27" s="19" t="str">
        <f t="shared" si="66"/>
        <v>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27" s="47" t="s">
        <v>0</v>
      </c>
      <c r="EZ27" s="180" t="str">
        <f>AG27&amp;IF(CP27="","","
")&amp;CP27&amp;IF(CI27="","","
")&amp;CI27&amp;IF(DN27="","","
")&amp;DN27&amp;IF(DP27="","","
")&amp;DP27&amp;IF(EV27="","","
")&amp;EV27&amp;IF(EX27="","","
")&amp;EX27</f>
        <v xml:space="preserve">
INSERT INTO rezultat(id,stazakategorija_id,imeprezime_id,vrijeme_sec,status_id,registracija,uparivanje_id,originalstatus_id,imeprezimealias_id,klubalias_id,kategorijaalias_id) VALUES (205,24,1057,4119,1,1,1,0,Null,Null,Null);
UPDATE
	registar
SET
	potvrda = 1
WHERE
	imeprezime_id=1057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27" s="47" t="s">
        <v>0</v>
      </c>
    </row>
    <row r="28" spans="1:169" x14ac:dyDescent="0.25">
      <c r="A28" t="s">
        <v>0</v>
      </c>
      <c r="B28" s="52" t="str">
        <f>IF(csv!F18="","",csv!T18)</f>
        <v>M14</v>
      </c>
      <c r="C28" s="31" t="s">
        <v>0</v>
      </c>
      <c r="D28" s="31" t="str">
        <f>IF(csv!F18="","",csv!F18)</f>
        <v>Adam</v>
      </c>
      <c r="E28" s="31" t="str">
        <f>IF(csv!E18="","",csv!E18)</f>
        <v>Anadolac</v>
      </c>
      <c r="F28" s="31" t="s">
        <v>0</v>
      </c>
      <c r="G28" s="73" t="str">
        <f>IF(csv!M18="","",csv!M18)</f>
        <v>72:05</v>
      </c>
      <c r="H28" s="73" t="str">
        <f>IF(csv!N18="","",csv!N18)</f>
        <v>0</v>
      </c>
      <c r="I28" s="31" t="s">
        <v>0</v>
      </c>
      <c r="J28" s="31" t="str">
        <f>IF(csv!P18="","",csv!P18)</f>
        <v>OK Varaždin</v>
      </c>
      <c r="K28" s="31" t="str">
        <f>IF(csv!Q18="","",csv!Q18)</f>
        <v>OK Varaždin</v>
      </c>
      <c r="L28" s="31" t="s">
        <v>0</v>
      </c>
      <c r="M28" s="66" t="str">
        <f>IF(csv!R18="","",csv!R18)</f>
        <v>CRO</v>
      </c>
      <c r="N28" s="47" t="s">
        <v>0</v>
      </c>
      <c r="O28" s="243" t="str">
        <f t="shared" si="36"/>
        <v>ok</v>
      </c>
      <c r="P28" s="47"/>
      <c r="Q28" s="52" t="str">
        <f t="shared" si="37"/>
        <v>M14</v>
      </c>
      <c r="R28" s="73">
        <f>IF(Q28="","",IF(COUNTIF(Q$12:Q27,Q28)=0,R27+1,R27))</f>
        <v>2</v>
      </c>
      <c r="S28" s="73">
        <f t="shared" si="38"/>
        <v>111</v>
      </c>
      <c r="T28" s="73">
        <f t="shared" si="1"/>
        <v>21</v>
      </c>
      <c r="U28" s="66" t="str">
        <f t="shared" si="2"/>
        <v>M14 – Ž14</v>
      </c>
      <c r="V28" s="47" t="s">
        <v>0</v>
      </c>
      <c r="W28" s="222" t="str">
        <f t="shared" si="3"/>
        <v>M14</v>
      </c>
      <c r="X28" s="223">
        <f t="shared" si="4"/>
        <v>24</v>
      </c>
      <c r="Y28" s="47" t="s">
        <v>0</v>
      </c>
      <c r="Z28" s="52" t="str">
        <f t="shared" si="39"/>
        <v>CRO</v>
      </c>
      <c r="AA28" s="73">
        <f t="shared" si="5"/>
        <v>1</v>
      </c>
      <c r="AB28" s="31" t="str">
        <f t="shared" si="40"/>
        <v/>
      </c>
      <c r="AC28" s="66" t="str">
        <f>IF(AB28="","",MAX(AC$12:AC27)+1)</f>
        <v/>
      </c>
      <c r="AD28" s="47" t="s">
        <v>0</v>
      </c>
      <c r="AE28" s="125"/>
      <c r="AF28" s="47" t="s">
        <v>0</v>
      </c>
      <c r="AG28" s="19" t="str">
        <f t="shared" si="41"/>
        <v/>
      </c>
      <c r="AH28" s="47" t="s">
        <v>0</v>
      </c>
      <c r="AI28" s="143" t="str">
        <f t="shared" si="42"/>
        <v>CRO</v>
      </c>
      <c r="AJ28" s="47"/>
      <c r="AK28" s="52" t="str">
        <f t="shared" si="43"/>
        <v>Adam</v>
      </c>
      <c r="AL28" s="31" t="str">
        <f t="shared" si="44"/>
        <v>Anadolac</v>
      </c>
      <c r="AM28" s="73">
        <f t="shared" si="45"/>
        <v>1050</v>
      </c>
      <c r="AN28" s="73" t="str">
        <f t="shared" si="46"/>
        <v/>
      </c>
      <c r="AO28" s="31" t="str">
        <f t="shared" si="8"/>
        <v>Adam</v>
      </c>
      <c r="AP28" s="66" t="str">
        <f t="shared" si="9"/>
        <v>Anadolac</v>
      </c>
      <c r="AQ28" s="47" t="s">
        <v>0</v>
      </c>
      <c r="AR28" s="82" t="str">
        <f t="shared" si="47"/>
        <v/>
      </c>
      <c r="AS28" s="47" t="s">
        <v>0</v>
      </c>
      <c r="AT28" s="19" t="str">
        <f t="shared" si="48"/>
        <v/>
      </c>
      <c r="AU28" s="47" t="s">
        <v>0</v>
      </c>
      <c r="AV28" s="103"/>
      <c r="AW28" s="105"/>
      <c r="AX28" s="47" t="s">
        <v>0</v>
      </c>
      <c r="AY28" s="256" t="str">
        <f t="shared" si="68"/>
        <v/>
      </c>
      <c r="AZ28" s="47" t="s">
        <v>0</v>
      </c>
      <c r="BA28" s="52" t="str">
        <f t="shared" si="11"/>
        <v/>
      </c>
      <c r="BB28" s="73" t="str">
        <f>IF(AV28&amp;AW28="","",MAX(BB$12:BB27)+1)</f>
        <v/>
      </c>
      <c r="BC28" s="268" t="str">
        <f t="shared" si="12"/>
        <v/>
      </c>
      <c r="BD28" s="53" t="str">
        <f>IF(AND(AM28="NEMA",AN28="NEMA",OR(AV28&amp;AW28="",BC28="NEMA")),MAX(BD$12:BD27)+1,"")</f>
        <v/>
      </c>
      <c r="BE28" s="47" t="s">
        <v>0</v>
      </c>
      <c r="BF28" s="52" t="str">
        <f t="shared" si="13"/>
        <v>Adam</v>
      </c>
      <c r="BG28" s="31" t="str">
        <f t="shared" si="14"/>
        <v>Anadolac</v>
      </c>
      <c r="BH28" s="73" t="str">
        <f t="shared" si="49"/>
        <v/>
      </c>
      <c r="BI28" s="53">
        <f t="shared" si="50"/>
        <v>1050</v>
      </c>
      <c r="BJ28" s="47" t="s">
        <v>0</v>
      </c>
      <c r="BK28" s="52" t="str">
        <f t="shared" si="15"/>
        <v>OK Varaždin</v>
      </c>
      <c r="BL28" s="31" t="str">
        <f t="shared" si="16"/>
        <v>OK Varaždin</v>
      </c>
      <c r="BM28" s="73">
        <f t="shared" si="17"/>
        <v>11</v>
      </c>
      <c r="BN28" s="73" t="str">
        <f t="shared" si="18"/>
        <v/>
      </c>
      <c r="BO28" s="31" t="str" cm="1">
        <f t="array" ref="BO28">IF(BN28="",""&amp;BL28,IF(BN28="NEMA",BL28,INDEX(regKlub_naziv,MATCH(INDEX(regKlub_alias_klubId,BN28),regKlub_id,0))))</f>
        <v>OK Varaždin</v>
      </c>
      <c r="BP28" s="31" t="str" cm="1">
        <f t="array" ref="BP28">IFERROR(""&amp;INDEX(regNatjecatelj_klub,DY28),"")</f>
        <v>OK Varaždin</v>
      </c>
      <c r="BQ28" s="88" t="str">
        <f t="shared" si="51"/>
        <v/>
      </c>
      <c r="BR28" s="66" t="str">
        <f t="shared" si="52"/>
        <v>OK Varaždin</v>
      </c>
      <c r="BS28" s="47" t="s">
        <v>0</v>
      </c>
      <c r="BT28" s="82" t="str">
        <f>IF(BN28&lt;&gt;"NEMA","",IF(IFERROR(MATCH(BL28,BL$12:BL27,0),0)&lt;&gt;0,"",BL28))</f>
        <v/>
      </c>
      <c r="BU28" s="47" t="s">
        <v>0</v>
      </c>
      <c r="BV28" s="125"/>
      <c r="BW28" s="47" t="s">
        <v>0</v>
      </c>
      <c r="BX28" s="58" t="str">
        <f t="shared" si="53"/>
        <v/>
      </c>
      <c r="BY28" s="31" t="str">
        <f t="shared" si="54"/>
        <v/>
      </c>
      <c r="BZ28" s="31" t="str">
        <f>IF(BY28="","",MAX(BZ$12:BZ27)+1)</f>
        <v/>
      </c>
      <c r="CA28" s="31" t="str">
        <f>IF(BY28="","",IF(AA28="","",IF(AA28="NEMA",AC28,AA28)))</f>
        <v/>
      </c>
      <c r="CB28" s="31" t="str">
        <f t="shared" si="55"/>
        <v/>
      </c>
      <c r="CC28" s="31" t="str">
        <f>IF(BV28="","",MAX(CC$12:CC27)+1)</f>
        <v/>
      </c>
      <c r="CD28" s="31" t="str">
        <f t="shared" si="56"/>
        <v/>
      </c>
      <c r="CE28" s="66" t="str">
        <f t="shared" si="57"/>
        <v/>
      </c>
      <c r="CF28" s="47" t="s">
        <v>0</v>
      </c>
      <c r="CG28" s="73" t="str">
        <f>IF(BN28="","",IF(BN28&lt;&gt;"NEMA","",IFERROR(INDEX(nat_klubAliasId,MATCH(BL28,nat_noviKluboviAliasi,0)),"")))</f>
        <v/>
      </c>
      <c r="CH28" s="47"/>
      <c r="CI28" s="19" t="str">
        <f t="shared" si="58"/>
        <v/>
      </c>
      <c r="CJ28" s="47" t="s">
        <v>0</v>
      </c>
      <c r="CK28" s="52" t="str">
        <f>IF(X28&lt;&gt;"NEMA","",IF(IFERROR(MATCH(W28,W$12:W27,0),0)&lt;&gt;0,"",W28))</f>
        <v/>
      </c>
      <c r="CL28" s="73" t="str">
        <f>IF(CK28="","",IFERROR(INDEX(regKlub_alias_id,MATCH(CK28,regKlub_alias_alias,0)),"NEMA"))</f>
        <v/>
      </c>
      <c r="CM28" s="31" t="str">
        <f>IF(OR(CL28="",CL28&lt;&gt;"NEMA"),"",MAX(CM$12:CM27)+1)</f>
        <v/>
      </c>
      <c r="CN28" s="66" t="str">
        <f>IF(OR(CL28="",CL28&lt;&gt;"NEMA"),"",INDEX(regKlub_id,MATCH(CK28,regKlub_naziv,0)))</f>
        <v/>
      </c>
      <c r="CO28" s="47" t="s">
        <v>0</v>
      </c>
      <c r="CP28" s="19" t="str">
        <f>IF(OR(CL28="",CL28&lt;&gt;"NEMA"),"","INSERT INTO klub_alias(id,alias,klub_id) VALUES ("&amp;CM28&amp;",'"&amp;CK28&amp;"',"&amp;CN28&amp;");")</f>
        <v/>
      </c>
      <c r="CQ28" s="47" t="s">
        <v>0</v>
      </c>
      <c r="CR28" s="143" t="str">
        <f>IF(BR28="","",IF(BV28="",IF(IFERROR(MATCH(BR28,nat_noviKluboviAliasi,0),0)&gt;0,INDEX(nat_kluboviAliasi,MATCH(BR28,nat_noviKluboviAliasi,0)),BR28),BV28))</f>
        <v>OK Varaždin</v>
      </c>
      <c r="CS28" s="47" t="s">
        <v>0</v>
      </c>
      <c r="CT28" s="58" t="str">
        <f>IF(G28="","",G28)</f>
        <v>72:05</v>
      </c>
      <c r="CU28" s="73" t="str">
        <f>IF(H28="","",H28)</f>
        <v>0</v>
      </c>
      <c r="CV28" s="229" t="str">
        <f>IF(CT28="",IF(OR(AL28="",CU28&lt;&gt;"0"),"","GREŠKA"),IF(AND(65535&gt;=VALUE(LEFT(CT28,SEARCH(":",CT28)-1))*60+VALUE(RIGHT(CT28,2)),OR(CU28="0",CU28="1",CU28="2",CU28="3",CU28="4")),"","GREŠKA"))</f>
        <v/>
      </c>
      <c r="CW28" s="230">
        <f t="shared" si="59"/>
        <v>4325</v>
      </c>
      <c r="CX28" s="163">
        <f t="shared" si="24"/>
        <v>1</v>
      </c>
      <c r="CY28" s="47" t="s">
        <v>0</v>
      </c>
      <c r="CZ28" s="222" t="str">
        <f>IF(CV28&lt;&gt;"GREŠKA","",AK28&amp;" "&amp;AL28&amp;" – Molim u OEventu provjeriti i ispraviti rezultat – vrijeme ("&amp;IF(CT28="","nije upisano",CT28)&amp;") i classifier ("&amp;CU28&amp;").")&amp;IF(OR(CV28&lt;&gt;"GREŠKA",CX28&lt;&gt;5),"
","")&amp;IF(CX28&lt;&gt;5,"",AK28&amp;" "&amp;AL28&amp;" – Molim u provjeriti je li natjecatelj zaista diskvalificiran. Ako je koje je obrazloženje, ako nije molim u OEventu ispraviti rezultat")</f>
        <v xml:space="preserve">
</v>
      </c>
      <c r="DA28" s="223">
        <f t="shared" si="60"/>
        <v>6</v>
      </c>
      <c r="DB28" s="47" t="s">
        <v>0</v>
      </c>
      <c r="DC28" s="47"/>
      <c r="DD28" s="47"/>
      <c r="DE28" s="47"/>
      <c r="DF28" s="47" t="s">
        <v>0</v>
      </c>
      <c r="DG28" s="53" t="str">
        <f>IF(BD28="","",IF(DI28="O",1,""))</f>
        <v/>
      </c>
      <c r="DH28" t="s">
        <v>0</v>
      </c>
      <c r="DI28" s="128" t="str">
        <f>IF(Q28="","",LEFT(INDEX(regKategorija_oznaka,MATCH(S28,regKategorija_id,0)),1))</f>
        <v>M</v>
      </c>
      <c r="DJ28" t="s">
        <v>0</v>
      </c>
      <c r="DK28" s="52" t="str">
        <f>IF(BD28="","",IF(M28&lt;&gt;"CRO","","INSERT INTO osoba (id,reg_broj,oib,spol_id,dat_rodjenja) VALUES ("&amp;BD28&amp;",(SELECT max(os.reg_broj)+1 FROM osoba AS os),Null,'"&amp;DI28&amp;"',Null); INSERT INTO osoba_log (id,reg_broj,oib,spol_id,dat_rodjenja,dnevnik_id) SELECT id,reg_broj,oib,spol_id,dat_rodjenja,"&amp;data_dnevnik_id&amp;" FROM osoba WHERE id = "&amp;BD28&amp;";"))</f>
        <v/>
      </c>
      <c r="DL28" s="66" t="str">
        <f>IF(BD28="","","INSERT INTO imeprezime (id,osoba_id,rbr,ime,prezime,klub_id,identitet_id,sintaksa_id,info,aktivno,dnevnik_id) VALUES ("&amp;BD28&amp;","&amp;IF(DK28="","Null",BD28)&amp;",1,'"&amp;IF(AV28&lt;&gt;"",AV28,AK28)&amp;"','"&amp;IF(AW28&lt;&gt;"",AW28,AL28)&amp;"',(SELECT id FROM klub WHERE naziv = '"&amp;CR28&amp;"'),Null,1,'',1,"&amp;data_dnevnik_id&amp;");")</f>
        <v/>
      </c>
      <c r="DM28" t="s">
        <v>0</v>
      </c>
      <c r="DN28" s="19" t="str">
        <f t="shared" si="69"/>
        <v/>
      </c>
      <c r="DO28" s="47" t="s">
        <v>0</v>
      </c>
      <c r="DP28" s="19" t="str">
        <f>IF(BA28="","","INSERT INTO imeprezime_alias(id,alias,imeprezime_id) VALUES ("&amp;BB28&amp;",'"&amp;BA28&amp;"',"&amp;IF(BC28="NEMA",BD28,BC28)&amp;");")</f>
        <v/>
      </c>
      <c r="DQ28" s="47" t="s">
        <v>0</v>
      </c>
      <c r="DR28" s="52" t="str">
        <f>IF(AL28="","",DU28 &amp; IF(Q28="",""," – " &amp; Q28))</f>
        <v>Adam – Anadolac – OK Varaždin – M14</v>
      </c>
      <c r="DS28" s="53">
        <f t="shared" si="26"/>
        <v>517</v>
      </c>
      <c r="DT28" s="47" t="s">
        <v>0</v>
      </c>
      <c r="DU28" s="52" t="str">
        <f>IF(AL28="","",DX28 &amp; IF(CR28="",""," – " &amp; CR28))</f>
        <v>Adam – Anadolac – OK Varaždin</v>
      </c>
      <c r="DV28" s="53">
        <f t="shared" si="27"/>
        <v>517</v>
      </c>
      <c r="DW28" s="47" t="s">
        <v>0</v>
      </c>
      <c r="DX28" s="52" t="str">
        <f>IF(BG28="","",BF28&amp;" – "&amp;BG28)</f>
        <v>Adam – Anadolac</v>
      </c>
      <c r="DY28" s="53">
        <f t="shared" si="28"/>
        <v>517</v>
      </c>
      <c r="DZ28" s="47" t="s">
        <v>0</v>
      </c>
      <c r="EA28" s="58">
        <f t="shared" si="61"/>
        <v>517</v>
      </c>
      <c r="EB28" s="53" cm="1">
        <f t="array" ref="EB28">IF(EA28&lt;&gt;"",INDEX(regNatjecatelj_id,EA28,0),IF(BD28&lt;&gt;"",BD28,""))</f>
        <v>1050</v>
      </c>
      <c r="EC28" s="47" t="s">
        <v>0</v>
      </c>
      <c r="ED28" s="58" t="str">
        <f>IF(AL28="","",IF(BD28&lt;&gt;"","novo",IF(AN28="","imepre","imepre(ali)")))</f>
        <v>imepre</v>
      </c>
      <c r="EE28" s="73" t="str">
        <f>IF(AL28="","",IF(BL28="",IF(IFERROR(INDEX(regNatjecatelj_klub,MATCH(EB28,regNatjecatelj_id,0)),"NEMA")="","klu",""),IF(OR(AND(BN28&lt;&gt;"",BN28&lt;&gt;"NEMA"),CD28&lt;&gt;""),"klu(ali)",IF(AND(BP28&lt;&gt;"",BP28&lt;&gt;BO28),"(raz-klu)","klu"))))</f>
        <v>klu</v>
      </c>
      <c r="EF28" s="73" t="str">
        <f>IF(AL28="","","kat"&amp;IF(AND(W28&lt;&gt;Q28,Q28&lt;&gt;"Open"),"(ali)",""))</f>
        <v>kat</v>
      </c>
      <c r="EG28" s="73" t="str">
        <f t="shared" si="29"/>
        <v/>
      </c>
      <c r="EH28" s="66" t="str">
        <f>IF(AL28="","",ED28&amp;IF(ED28="novo","","-"&amp;EE28&amp;"-"&amp;EF28)&amp;IF(EG28="","","-"&amp;EG28))</f>
        <v>imepre-klu-kat</v>
      </c>
      <c r="EI28" s="47" t="s">
        <v>0</v>
      </c>
      <c r="EJ28" s="58">
        <f>IF(AL28="","",MAX(EJ$12:EJ27)+1)</f>
        <v>206</v>
      </c>
      <c r="EK28" s="73">
        <f>IF(AO28="","",X28)</f>
        <v>24</v>
      </c>
      <c r="EL28" s="73">
        <f t="shared" si="62"/>
        <v>1050</v>
      </c>
      <c r="EM28" s="73">
        <f t="shared" si="30"/>
        <v>4325</v>
      </c>
      <c r="EN28" s="73">
        <f t="shared" si="31"/>
        <v>1</v>
      </c>
      <c r="EO28" s="73">
        <f t="shared" si="63"/>
        <v>1</v>
      </c>
      <c r="EP28" s="73">
        <f t="shared" si="64"/>
        <v>1</v>
      </c>
      <c r="EQ28" s="73" t="str">
        <f t="shared" si="34"/>
        <v>0</v>
      </c>
      <c r="ER28" s="73" t="str">
        <f>IF(OR(AN28="",AN28="NEMA"),BB28,AN28)</f>
        <v/>
      </c>
      <c r="ES28" s="73" t="str">
        <f>IF(AND(BN28&lt;&gt;"",BN28&lt;&gt;"NEMA"),BN28,IF(CG28&lt;&gt;"",CG28,IF(AND(CL28&lt;&gt;"",CL28&lt;&gt;"NEMA"),CL28,IF(CM28&lt;&gt;"",CM28,""))))</f>
        <v/>
      </c>
      <c r="ET28" s="53" t="str">
        <f>IF(INDEX(natKategorija_alias_Id,MATCH(S28,natKategorija_katRegId,0))="","",INDEX(natKategorija_alias_Id,MATCH(S28,natKategorija_katRegId,0)))</f>
        <v/>
      </c>
      <c r="EU28" s="47" t="s">
        <v>0</v>
      </c>
      <c r="EV28" s="19" t="str">
        <f t="shared" si="65"/>
        <v>INSERT INTO rezultat(id,stazakategorija_id,imeprezime_id,vrijeme_sec,status_id,registracija,uparivanje_id,originalstatus_id,imeprezimealias_id,klubalias_id,kategorijaalias_id) VALUES (206,24,1050,4325,1,1,1,0,Null,Null,Null);</v>
      </c>
      <c r="EW28" s="47" t="s">
        <v>0</v>
      </c>
      <c r="EX28" s="19" t="str">
        <f t="shared" si="66"/>
        <v>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28" s="47" t="s">
        <v>0</v>
      </c>
      <c r="EZ28" s="180" t="str">
        <f>AG28&amp;IF(CP28="","","
")&amp;CP28&amp;IF(CI28="","","
")&amp;CI28&amp;IF(DN28="","","
")&amp;DN28&amp;IF(DP28="","","
")&amp;DP28&amp;IF(EV28="","","
")&amp;EV28&amp;IF(EX28="","","
")&amp;EX28</f>
        <v xml:space="preserve">
INSERT INTO rezultat(id,stazakategorija_id,imeprezime_id,vrijeme_sec,status_id,registracija,uparivanje_id,originalstatus_id,imeprezimealias_id,klubalias_id,kategorijaalias_id) VALUES (206,24,1050,4325,1,1,1,0,Null,Null,Null);
UPDATE
	registar
SET
	potvrda = 1
WHERE
	imeprezime_id=1050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28" s="47" t="s">
        <v>0</v>
      </c>
    </row>
    <row r="29" spans="1:169" x14ac:dyDescent="0.25">
      <c r="A29" t="s">
        <v>0</v>
      </c>
      <c r="B29" s="52" t="str">
        <f>IF(csv!F19="","",csv!T19)</f>
        <v>M14</v>
      </c>
      <c r="C29" s="31" t="s">
        <v>0</v>
      </c>
      <c r="D29" s="31" t="str">
        <f>IF(csv!F19="","",csv!F19)</f>
        <v>Matko</v>
      </c>
      <c r="E29" s="31" t="str">
        <f>IF(csv!E19="","",csv!E19)</f>
        <v>Nikolić</v>
      </c>
      <c r="F29" s="31" t="s">
        <v>0</v>
      </c>
      <c r="G29" s="73" t="str">
        <f>IF(csv!M19="","",csv!M19)</f>
        <v>75:06</v>
      </c>
      <c r="H29" s="73" t="str">
        <f>IF(csv!N19="","",csv!N19)</f>
        <v>0</v>
      </c>
      <c r="I29" s="31" t="s">
        <v>0</v>
      </c>
      <c r="J29" s="31" t="str">
        <f>IF(csv!P19="","",csv!P19)</f>
        <v>Vihor</v>
      </c>
      <c r="K29" s="31" t="str">
        <f>IF(csv!Q19="","",csv!Q19)</f>
        <v>OK Vihor</v>
      </c>
      <c r="L29" s="31" t="s">
        <v>0</v>
      </c>
      <c r="M29" s="66" t="str">
        <f>IF(csv!R19="","",csv!R19)</f>
        <v>CRO</v>
      </c>
      <c r="N29" s="47" t="s">
        <v>0</v>
      </c>
      <c r="O29" s="243" t="str">
        <f t="shared" si="36"/>
        <v>ok</v>
      </c>
      <c r="P29" s="47"/>
      <c r="Q29" s="52" t="str">
        <f t="shared" si="37"/>
        <v>M14</v>
      </c>
      <c r="R29" s="73">
        <f>IF(Q29="","",IF(COUNTIF(Q$12:Q28,Q29)=0,R28+1,R28))</f>
        <v>2</v>
      </c>
      <c r="S29" s="73">
        <f t="shared" si="38"/>
        <v>111</v>
      </c>
      <c r="T29" s="73">
        <f t="shared" si="1"/>
        <v>21</v>
      </c>
      <c r="U29" s="66" t="str">
        <f t="shared" si="2"/>
        <v>M14 – Ž14</v>
      </c>
      <c r="V29" s="47" t="s">
        <v>0</v>
      </c>
      <c r="W29" s="222" t="str">
        <f t="shared" si="3"/>
        <v>M14</v>
      </c>
      <c r="X29" s="223">
        <f t="shared" si="4"/>
        <v>24</v>
      </c>
      <c r="Y29" s="47" t="s">
        <v>0</v>
      </c>
      <c r="Z29" s="52" t="str">
        <f t="shared" si="39"/>
        <v>CRO</v>
      </c>
      <c r="AA29" s="73">
        <f t="shared" si="5"/>
        <v>1</v>
      </c>
      <c r="AB29" s="31" t="str">
        <f t="shared" si="40"/>
        <v/>
      </c>
      <c r="AC29" s="66" t="str">
        <f>IF(AB29="","",MAX(AC$12:AC28)+1)</f>
        <v/>
      </c>
      <c r="AD29" s="47" t="s">
        <v>0</v>
      </c>
      <c r="AE29" s="125"/>
      <c r="AF29" s="47" t="s">
        <v>0</v>
      </c>
      <c r="AG29" s="19" t="str">
        <f t="shared" si="41"/>
        <v/>
      </c>
      <c r="AH29" s="47" t="s">
        <v>0</v>
      </c>
      <c r="AI29" s="143" t="str">
        <f t="shared" si="42"/>
        <v>CRO</v>
      </c>
      <c r="AJ29" s="47"/>
      <c r="AK29" s="52" t="str">
        <f t="shared" si="43"/>
        <v>Matko</v>
      </c>
      <c r="AL29" s="31" t="str">
        <f t="shared" si="44"/>
        <v>Nikolić</v>
      </c>
      <c r="AM29" s="73">
        <f t="shared" si="45"/>
        <v>1054</v>
      </c>
      <c r="AN29" s="73" t="str">
        <f t="shared" si="46"/>
        <v/>
      </c>
      <c r="AO29" s="31" t="str">
        <f t="shared" si="8"/>
        <v>Matko</v>
      </c>
      <c r="AP29" s="66" t="str">
        <f t="shared" si="9"/>
        <v>Nikolić</v>
      </c>
      <c r="AQ29" s="47" t="s">
        <v>0</v>
      </c>
      <c r="AR29" s="82" t="str">
        <f t="shared" si="47"/>
        <v/>
      </c>
      <c r="AS29" s="47" t="s">
        <v>0</v>
      </c>
      <c r="AT29" s="19" t="str">
        <f t="shared" si="48"/>
        <v/>
      </c>
      <c r="AU29" s="47" t="s">
        <v>0</v>
      </c>
      <c r="AV29" s="103"/>
      <c r="AW29" s="105"/>
      <c r="AX29" s="47" t="s">
        <v>0</v>
      </c>
      <c r="AY29" s="256" t="str">
        <f t="shared" si="68"/>
        <v/>
      </c>
      <c r="AZ29" s="47" t="s">
        <v>0</v>
      </c>
      <c r="BA29" s="52" t="str">
        <f t="shared" si="11"/>
        <v/>
      </c>
      <c r="BB29" s="73" t="str">
        <f>IF(AV29&amp;AW29="","",MAX(BB$12:BB28)+1)</f>
        <v/>
      </c>
      <c r="BC29" s="268" t="str">
        <f t="shared" si="12"/>
        <v/>
      </c>
      <c r="BD29" s="53" t="str">
        <f>IF(AND(AM29="NEMA",AN29="NEMA",OR(AV29&amp;AW29="",BC29="NEMA")),MAX(BD$12:BD28)+1,"")</f>
        <v/>
      </c>
      <c r="BE29" s="47" t="s">
        <v>0</v>
      </c>
      <c r="BF29" s="52" t="str">
        <f t="shared" si="13"/>
        <v>Matko</v>
      </c>
      <c r="BG29" s="31" t="str">
        <f t="shared" si="14"/>
        <v>Nikolić</v>
      </c>
      <c r="BH29" s="73" t="str">
        <f t="shared" si="49"/>
        <v/>
      </c>
      <c r="BI29" s="53">
        <f t="shared" si="50"/>
        <v>1054</v>
      </c>
      <c r="BJ29" s="47" t="s">
        <v>0</v>
      </c>
      <c r="BK29" s="52" t="str">
        <f t="shared" si="15"/>
        <v>Vihor</v>
      </c>
      <c r="BL29" s="31" t="str">
        <f t="shared" si="16"/>
        <v>OK Vihor</v>
      </c>
      <c r="BM29" s="73">
        <f t="shared" si="17"/>
        <v>12</v>
      </c>
      <c r="BN29" s="73" t="str">
        <f t="shared" si="18"/>
        <v/>
      </c>
      <c r="BO29" s="31" t="str" cm="1">
        <f t="array" ref="BO29">IF(BN29="",""&amp;BL29,IF(BN29="NEMA",BL29,INDEX(regKlub_naziv,MATCH(INDEX(regKlub_alias_klubId,BN29),regKlub_id,0))))</f>
        <v>OK Vihor</v>
      </c>
      <c r="BP29" s="31" t="str" cm="1">
        <f t="array" ref="BP29">IFERROR(""&amp;INDEX(regNatjecatelj_klub,DY29),"")</f>
        <v>OK Vihor</v>
      </c>
      <c r="BQ29" s="88" t="str">
        <f t="shared" si="51"/>
        <v/>
      </c>
      <c r="BR29" s="66" t="str">
        <f t="shared" si="52"/>
        <v>OK Vihor</v>
      </c>
      <c r="BS29" s="47" t="s">
        <v>0</v>
      </c>
      <c r="BT29" s="82" t="str">
        <f>IF(BN29&lt;&gt;"NEMA","",IF(IFERROR(MATCH(BL29,BL$12:BL28,0),0)&lt;&gt;0,"",BL29))</f>
        <v/>
      </c>
      <c r="BU29" s="47" t="s">
        <v>0</v>
      </c>
      <c r="BV29" s="125"/>
      <c r="BW29" s="47" t="s">
        <v>0</v>
      </c>
      <c r="BX29" s="58" t="str">
        <f t="shared" si="53"/>
        <v/>
      </c>
      <c r="BY29" s="31" t="str">
        <f t="shared" si="54"/>
        <v/>
      </c>
      <c r="BZ29" s="31" t="str">
        <f>IF(BY29="","",MAX(BZ$12:BZ28)+1)</f>
        <v/>
      </c>
      <c r="CA29" s="31" t="str">
        <f>IF(BY29="","",IF(AA29="","",IF(AA29="NEMA",AC29,AA29)))</f>
        <v/>
      </c>
      <c r="CB29" s="31" t="str">
        <f t="shared" si="55"/>
        <v/>
      </c>
      <c r="CC29" s="31" t="str">
        <f>IF(BV29="","",MAX(CC$12:CC28)+1)</f>
        <v/>
      </c>
      <c r="CD29" s="31" t="str">
        <f t="shared" si="56"/>
        <v/>
      </c>
      <c r="CE29" s="66" t="str">
        <f t="shared" si="57"/>
        <v/>
      </c>
      <c r="CF29" s="47" t="s">
        <v>0</v>
      </c>
      <c r="CG29" s="73" t="str">
        <f>IF(BN29="","",IF(BN29&lt;&gt;"NEMA","",IFERROR(INDEX(nat_klubAliasId,MATCH(BL29,nat_noviKluboviAliasi,0)),"")))</f>
        <v/>
      </c>
      <c r="CH29" s="47"/>
      <c r="CI29" s="19" t="str">
        <f t="shared" si="58"/>
        <v/>
      </c>
      <c r="CJ29" s="47" t="s">
        <v>0</v>
      </c>
      <c r="CK29" s="52" t="str">
        <f>IF(X29&lt;&gt;"NEMA","",IF(IFERROR(MATCH(W29,W$12:W28,0),0)&lt;&gt;0,"",W29))</f>
        <v/>
      </c>
      <c r="CL29" s="73" t="str">
        <f>IF(CK29="","",IFERROR(INDEX(regKlub_alias_id,MATCH(CK29,regKlub_alias_alias,0)),"NEMA"))</f>
        <v/>
      </c>
      <c r="CM29" s="31" t="str">
        <f>IF(OR(CL29="",CL29&lt;&gt;"NEMA"),"",MAX(CM$12:CM28)+1)</f>
        <v/>
      </c>
      <c r="CN29" s="66" t="str">
        <f>IF(OR(CL29="",CL29&lt;&gt;"NEMA"),"",INDEX(regKlub_id,MATCH(CK29,regKlub_naziv,0)))</f>
        <v/>
      </c>
      <c r="CO29" s="47" t="s">
        <v>0</v>
      </c>
      <c r="CP29" s="19" t="str">
        <f>IF(OR(CL29="",CL29&lt;&gt;"NEMA"),"","INSERT INTO klub_alias(id,alias,klub_id) VALUES ("&amp;CM29&amp;",'"&amp;CK29&amp;"',"&amp;CN29&amp;");")</f>
        <v/>
      </c>
      <c r="CQ29" s="47" t="s">
        <v>0</v>
      </c>
      <c r="CR29" s="143" t="str">
        <f>IF(BR29="","",IF(BV29="",IF(IFERROR(MATCH(BR29,nat_noviKluboviAliasi,0),0)&gt;0,INDEX(nat_kluboviAliasi,MATCH(BR29,nat_noviKluboviAliasi,0)),BR29),BV29))</f>
        <v>OK Vihor</v>
      </c>
      <c r="CS29" s="47" t="s">
        <v>0</v>
      </c>
      <c r="CT29" s="58" t="str">
        <f>IF(G29="","",G29)</f>
        <v>75:06</v>
      </c>
      <c r="CU29" s="73" t="str">
        <f>IF(H29="","",H29)</f>
        <v>0</v>
      </c>
      <c r="CV29" s="229" t="str">
        <f>IF(CT29="",IF(OR(AL29="",CU29&lt;&gt;"0"),"","GREŠKA"),IF(AND(65535&gt;=VALUE(LEFT(CT29,SEARCH(":",CT29)-1))*60+VALUE(RIGHT(CT29,2)),OR(CU29="0",CU29="1",CU29="2",CU29="3",CU29="4")),"","GREŠKA"))</f>
        <v/>
      </c>
      <c r="CW29" s="230">
        <f t="shared" si="59"/>
        <v>4506</v>
      </c>
      <c r="CX29" s="163">
        <f t="shared" si="24"/>
        <v>1</v>
      </c>
      <c r="CY29" s="47" t="s">
        <v>0</v>
      </c>
      <c r="CZ29" s="222" t="str">
        <f>IF(CV29&lt;&gt;"GREŠKA","",AK29&amp;" "&amp;AL29&amp;" – Molim u OEventu provjeriti i ispraviti rezultat – vrijeme ("&amp;IF(CT29="","nije upisano",CT29)&amp;") i classifier ("&amp;CU29&amp;").")&amp;IF(OR(CV29&lt;&gt;"GREŠKA",CX29&lt;&gt;5),"
","")&amp;IF(CX29&lt;&gt;5,"",AK29&amp;" "&amp;AL29&amp;" – Molim u provjeriti je li natjecatelj zaista diskvalificiran. Ako je koje je obrazloženje, ako nije molim u OEventu ispraviti rezultat")</f>
        <v xml:space="preserve">
</v>
      </c>
      <c r="DA29" s="223">
        <f t="shared" si="60"/>
        <v>6</v>
      </c>
      <c r="DB29" s="47" t="s">
        <v>0</v>
      </c>
      <c r="DC29" s="47"/>
      <c r="DD29" s="47"/>
      <c r="DE29" s="47"/>
      <c r="DF29" s="47" t="s">
        <v>0</v>
      </c>
      <c r="DG29" s="53" t="str">
        <f>IF(BD29="","",IF(DI29="O",1,""))</f>
        <v/>
      </c>
      <c r="DH29" t="s">
        <v>0</v>
      </c>
      <c r="DI29" s="128" t="str">
        <f>IF(Q29="","",LEFT(INDEX(regKategorija_oznaka,MATCH(S29,regKategorija_id,0)),1))</f>
        <v>M</v>
      </c>
      <c r="DJ29" t="s">
        <v>0</v>
      </c>
      <c r="DK29" s="52" t="str">
        <f>IF(BD29="","",IF(M29&lt;&gt;"CRO","","INSERT INTO osoba (id,reg_broj,oib,spol_id,dat_rodjenja) VALUES ("&amp;BD29&amp;",(SELECT max(os.reg_broj)+1 FROM osoba AS os),Null,'"&amp;DI29&amp;"',Null); INSERT INTO osoba_log (id,reg_broj,oib,spol_id,dat_rodjenja,dnevnik_id) SELECT id,reg_broj,oib,spol_id,dat_rodjenja,"&amp;data_dnevnik_id&amp;" FROM osoba WHERE id = "&amp;BD29&amp;";"))</f>
        <v/>
      </c>
      <c r="DL29" s="66" t="str">
        <f>IF(BD29="","","INSERT INTO imeprezime (id,osoba_id,rbr,ime,prezime,klub_id,identitet_id,sintaksa_id,info,aktivno,dnevnik_id) VALUES ("&amp;BD29&amp;","&amp;IF(DK29="","Null",BD29)&amp;",1,'"&amp;IF(AV29&lt;&gt;"",AV29,AK29)&amp;"','"&amp;IF(AW29&lt;&gt;"",AW29,AL29)&amp;"',(SELECT id FROM klub WHERE naziv = '"&amp;CR29&amp;"'),Null,1,'',1,"&amp;data_dnevnik_id&amp;");")</f>
        <v/>
      </c>
      <c r="DM29" t="s">
        <v>0</v>
      </c>
      <c r="DN29" s="19" t="str">
        <f t="shared" si="69"/>
        <v/>
      </c>
      <c r="DO29" s="47" t="s">
        <v>0</v>
      </c>
      <c r="DP29" s="19" t="str">
        <f>IF(BA29="","","INSERT INTO imeprezime_alias(id,alias,imeprezime_id) VALUES ("&amp;BB29&amp;",'"&amp;BA29&amp;"',"&amp;IF(BC29="NEMA",BD29,BC29)&amp;");")</f>
        <v/>
      </c>
      <c r="DQ29" s="47" t="s">
        <v>0</v>
      </c>
      <c r="DR29" s="52" t="str">
        <f>IF(AL29="","",DU29 &amp; IF(Q29="",""," – " &amp; Q29))</f>
        <v>Matko – Nikolić – OK Vihor – M14</v>
      </c>
      <c r="DS29" s="53">
        <f t="shared" si="26"/>
        <v>820</v>
      </c>
      <c r="DT29" s="47" t="s">
        <v>0</v>
      </c>
      <c r="DU29" s="52" t="str">
        <f>IF(AL29="","",DX29 &amp; IF(CR29="",""," – " &amp; CR29))</f>
        <v>Matko – Nikolić – OK Vihor</v>
      </c>
      <c r="DV29" s="53">
        <f t="shared" si="27"/>
        <v>820</v>
      </c>
      <c r="DW29" s="47" t="s">
        <v>0</v>
      </c>
      <c r="DX29" s="52" t="str">
        <f>IF(BG29="","",BF29&amp;" – "&amp;BG29)</f>
        <v>Matko – Nikolić</v>
      </c>
      <c r="DY29" s="53">
        <f t="shared" si="28"/>
        <v>820</v>
      </c>
      <c r="DZ29" s="47" t="s">
        <v>0</v>
      </c>
      <c r="EA29" s="58">
        <f t="shared" si="61"/>
        <v>820</v>
      </c>
      <c r="EB29" s="53" cm="1">
        <f t="array" ref="EB29">IF(EA29&lt;&gt;"",INDEX(regNatjecatelj_id,EA29,0),IF(BD29&lt;&gt;"",BD29,""))</f>
        <v>1054</v>
      </c>
      <c r="EC29" s="47" t="s">
        <v>0</v>
      </c>
      <c r="ED29" s="58" t="str">
        <f>IF(AL29="","",IF(BD29&lt;&gt;"","novo",IF(AN29="","imepre","imepre(ali)")))</f>
        <v>imepre</v>
      </c>
      <c r="EE29" s="73" t="str">
        <f>IF(AL29="","",IF(BL29="",IF(IFERROR(INDEX(regNatjecatelj_klub,MATCH(EB29,regNatjecatelj_id,0)),"NEMA")="","klu",""),IF(OR(AND(BN29&lt;&gt;"",BN29&lt;&gt;"NEMA"),CD29&lt;&gt;""),"klu(ali)",IF(AND(BP29&lt;&gt;"",BP29&lt;&gt;BO29),"(raz-klu)","klu"))))</f>
        <v>klu</v>
      </c>
      <c r="EF29" s="73" t="str">
        <f>IF(AL29="","","kat"&amp;IF(AND(W29&lt;&gt;Q29,Q29&lt;&gt;"Open"),"(ali)",""))</f>
        <v>kat</v>
      </c>
      <c r="EG29" s="73" t="str">
        <f t="shared" si="29"/>
        <v/>
      </c>
      <c r="EH29" s="66" t="str">
        <f>IF(AL29="","",ED29&amp;IF(ED29="novo","","-"&amp;EE29&amp;"-"&amp;EF29)&amp;IF(EG29="","","-"&amp;EG29))</f>
        <v>imepre-klu-kat</v>
      </c>
      <c r="EI29" s="47" t="s">
        <v>0</v>
      </c>
      <c r="EJ29" s="58">
        <f>IF(AL29="","",MAX(EJ$12:EJ28)+1)</f>
        <v>207</v>
      </c>
      <c r="EK29" s="73">
        <f>IF(AO29="","",X29)</f>
        <v>24</v>
      </c>
      <c r="EL29" s="73">
        <f t="shared" si="62"/>
        <v>1054</v>
      </c>
      <c r="EM29" s="73">
        <f t="shared" si="30"/>
        <v>4506</v>
      </c>
      <c r="EN29" s="73">
        <f t="shared" si="31"/>
        <v>1</v>
      </c>
      <c r="EO29" s="73">
        <f t="shared" si="63"/>
        <v>1</v>
      </c>
      <c r="EP29" s="73">
        <f t="shared" si="64"/>
        <v>1</v>
      </c>
      <c r="EQ29" s="73" t="str">
        <f t="shared" si="34"/>
        <v>0</v>
      </c>
      <c r="ER29" s="73" t="str">
        <f>IF(OR(AN29="",AN29="NEMA"),BB29,AN29)</f>
        <v/>
      </c>
      <c r="ES29" s="73" t="str">
        <f>IF(AND(BN29&lt;&gt;"",BN29&lt;&gt;"NEMA"),BN29,IF(CG29&lt;&gt;"",CG29,IF(AND(CL29&lt;&gt;"",CL29&lt;&gt;"NEMA"),CL29,IF(CM29&lt;&gt;"",CM29,""))))</f>
        <v/>
      </c>
      <c r="ET29" s="53" t="str">
        <f>IF(INDEX(natKategorija_alias_Id,MATCH(S29,natKategorija_katRegId,0))="","",INDEX(natKategorija_alias_Id,MATCH(S29,natKategorija_katRegId,0)))</f>
        <v/>
      </c>
      <c r="EU29" s="47" t="s">
        <v>0</v>
      </c>
      <c r="EV29" s="19" t="str">
        <f t="shared" si="65"/>
        <v>INSERT INTO rezultat(id,stazakategorija_id,imeprezime_id,vrijeme_sec,status_id,registracija,uparivanje_id,originalstatus_id,imeprezimealias_id,klubalias_id,kategorijaalias_id) VALUES (207,24,1054,4506,1,1,1,0,Null,Null,Null);</v>
      </c>
      <c r="EW29" s="47" t="s">
        <v>0</v>
      </c>
      <c r="EX29" s="19" t="str">
        <f t="shared" si="66"/>
        <v>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29" s="47" t="s">
        <v>0</v>
      </c>
      <c r="EZ29" s="180" t="str">
        <f>AG29&amp;IF(CP29="","","
")&amp;CP29&amp;IF(CI29="","","
")&amp;CI29&amp;IF(DN29="","","
")&amp;DN29&amp;IF(DP29="","","
")&amp;DP29&amp;IF(EV29="","","
")&amp;EV29&amp;IF(EX29="","","
")&amp;EX29</f>
        <v xml:space="preserve">
INSERT INTO rezultat(id,stazakategorija_id,imeprezime_id,vrijeme_sec,status_id,registracija,uparivanje_id,originalstatus_id,imeprezimealias_id,klubalias_id,kategorijaalias_id) VALUES (207,24,1054,4506,1,1,1,0,Null,Null,Null);
UPDATE
	registar
SET
	potvrda = 1
WHERE
	imeprezime_id=1054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29" s="47" t="s">
        <v>0</v>
      </c>
    </row>
    <row r="30" spans="1:169" x14ac:dyDescent="0.25">
      <c r="A30" t="s">
        <v>0</v>
      </c>
      <c r="B30" s="52" t="str">
        <f>IF(csv!F20="","",csv!T20)</f>
        <v>M14</v>
      </c>
      <c r="C30" s="31" t="s">
        <v>0</v>
      </c>
      <c r="D30" s="31" t="str">
        <f>IF(csv!F20="","",csv!F20)</f>
        <v>Karlo</v>
      </c>
      <c r="E30" s="31" t="str">
        <f>IF(csv!E20="","",csv!E20)</f>
        <v>Lesjak</v>
      </c>
      <c r="F30" s="31" t="s">
        <v>0</v>
      </c>
      <c r="G30" s="73" t="str">
        <f>IF(csv!M20="","",csv!M20)</f>
        <v>80:20</v>
      </c>
      <c r="H30" s="73" t="str">
        <f>IF(csv!N20="","",csv!N20)</f>
        <v>0</v>
      </c>
      <c r="I30" s="31" t="s">
        <v>0</v>
      </c>
      <c r="J30" s="31" t="str">
        <f>IF(csv!P20="","",csv!P20)</f>
        <v>JAP</v>
      </c>
      <c r="K30" s="31" t="str">
        <f>IF(csv!Q20="","",csv!Q20)</f>
        <v>OK Japetic</v>
      </c>
      <c r="L30" s="31" t="s">
        <v>0</v>
      </c>
      <c r="M30" s="66" t="str">
        <f>IF(csv!R20="","",csv!R20)</f>
        <v>CRO</v>
      </c>
      <c r="N30" s="47" t="s">
        <v>0</v>
      </c>
      <c r="O30" s="243" t="str">
        <f t="shared" si="36"/>
        <v>ok</v>
      </c>
      <c r="P30" s="47"/>
      <c r="Q30" s="52" t="str">
        <f t="shared" si="37"/>
        <v>M14</v>
      </c>
      <c r="R30" s="73">
        <f>IF(Q30="","",IF(COUNTIF(Q$12:Q29,Q30)=0,R29+1,R29))</f>
        <v>2</v>
      </c>
      <c r="S30" s="73">
        <f t="shared" si="38"/>
        <v>111</v>
      </c>
      <c r="T30" s="73">
        <f t="shared" si="1"/>
        <v>21</v>
      </c>
      <c r="U30" s="66" t="str">
        <f t="shared" si="2"/>
        <v>M14 – Ž14</v>
      </c>
      <c r="V30" s="47" t="s">
        <v>0</v>
      </c>
      <c r="W30" s="222" t="str">
        <f t="shared" si="3"/>
        <v>M14</v>
      </c>
      <c r="X30" s="223">
        <f t="shared" si="4"/>
        <v>24</v>
      </c>
      <c r="Y30" s="47" t="s">
        <v>0</v>
      </c>
      <c r="Z30" s="52" t="str">
        <f t="shared" si="39"/>
        <v>CRO</v>
      </c>
      <c r="AA30" s="73">
        <f t="shared" si="5"/>
        <v>1</v>
      </c>
      <c r="AB30" s="31" t="str">
        <f t="shared" si="40"/>
        <v/>
      </c>
      <c r="AC30" s="66" t="str">
        <f>IF(AB30="","",MAX(AC$12:AC29)+1)</f>
        <v/>
      </c>
      <c r="AD30" s="47" t="s">
        <v>0</v>
      </c>
      <c r="AE30" s="125"/>
      <c r="AF30" s="47" t="s">
        <v>0</v>
      </c>
      <c r="AG30" s="19" t="str">
        <f t="shared" si="41"/>
        <v/>
      </c>
      <c r="AH30" s="47" t="s">
        <v>0</v>
      </c>
      <c r="AI30" s="143" t="str">
        <f t="shared" si="42"/>
        <v>CRO</v>
      </c>
      <c r="AJ30" s="47"/>
      <c r="AK30" s="52" t="str">
        <f t="shared" si="43"/>
        <v>Karlo</v>
      </c>
      <c r="AL30" s="31" t="str">
        <f t="shared" si="44"/>
        <v>Lesjak</v>
      </c>
      <c r="AM30" s="73">
        <f t="shared" si="45"/>
        <v>1553</v>
      </c>
      <c r="AN30" s="73" t="str">
        <f t="shared" si="46"/>
        <v/>
      </c>
      <c r="AO30" s="31" t="str">
        <f t="shared" si="8"/>
        <v>Karlo</v>
      </c>
      <c r="AP30" s="66" t="str">
        <f t="shared" si="9"/>
        <v>Lesjak</v>
      </c>
      <c r="AQ30" s="47" t="s">
        <v>0</v>
      </c>
      <c r="AR30" s="82" t="str">
        <f t="shared" si="47"/>
        <v/>
      </c>
      <c r="AS30" s="47" t="s">
        <v>0</v>
      </c>
      <c r="AT30" s="19" t="str">
        <f t="shared" si="48"/>
        <v/>
      </c>
      <c r="AU30" s="47" t="s">
        <v>0</v>
      </c>
      <c r="AV30" s="103"/>
      <c r="AW30" s="105"/>
      <c r="AX30" s="47" t="s">
        <v>0</v>
      </c>
      <c r="AY30" s="256" t="str">
        <f t="shared" si="68"/>
        <v/>
      </c>
      <c r="AZ30" s="47" t="s">
        <v>0</v>
      </c>
      <c r="BA30" s="52" t="str">
        <f t="shared" si="11"/>
        <v/>
      </c>
      <c r="BB30" s="73" t="str">
        <f>IF(AV30&amp;AW30="","",MAX(BB$12:BB29)+1)</f>
        <v/>
      </c>
      <c r="BC30" s="268" t="str">
        <f t="shared" si="12"/>
        <v/>
      </c>
      <c r="BD30" s="53" t="str">
        <f>IF(AND(AM30="NEMA",AN30="NEMA",OR(AV30&amp;AW30="",BC30="NEMA")),MAX(BD$12:BD29)+1,"")</f>
        <v/>
      </c>
      <c r="BE30" s="47" t="s">
        <v>0</v>
      </c>
      <c r="BF30" s="52" t="str">
        <f t="shared" si="13"/>
        <v>Karlo</v>
      </c>
      <c r="BG30" s="31" t="str">
        <f t="shared" si="14"/>
        <v>Lesjak</v>
      </c>
      <c r="BH30" s="73" t="str">
        <f t="shared" si="49"/>
        <v/>
      </c>
      <c r="BI30" s="53">
        <f t="shared" si="50"/>
        <v>1553</v>
      </c>
      <c r="BJ30" s="47" t="s">
        <v>0</v>
      </c>
      <c r="BK30" s="52" t="str">
        <f t="shared" si="15"/>
        <v>JAP</v>
      </c>
      <c r="BL30" s="31" t="str">
        <f t="shared" si="16"/>
        <v>OK Japetic</v>
      </c>
      <c r="BM30" s="73" t="str">
        <f t="shared" si="17"/>
        <v>NEMA</v>
      </c>
      <c r="BN30" s="73">
        <f t="shared" si="18"/>
        <v>1</v>
      </c>
      <c r="BO30" s="31" t="str" cm="1">
        <f t="array" ref="BO30">IF(BN30="",""&amp;BL30,IF(BN30="NEMA",BL30,INDEX(regKlub_naziv,MATCH(INDEX(regKlub_alias_klubId,BN30),regKlub_id,0))))</f>
        <v>OK Japetić</v>
      </c>
      <c r="BP30" s="31" t="str" cm="1">
        <f t="array" ref="BP30">IFERROR(""&amp;INDEX(regNatjecatelj_klub,DY30),"")</f>
        <v>OK Japetić</v>
      </c>
      <c r="BQ30" s="88" t="str">
        <f t="shared" si="51"/>
        <v/>
      </c>
      <c r="BR30" s="66" t="str">
        <f t="shared" si="52"/>
        <v>OK Japetić</v>
      </c>
      <c r="BS30" s="47" t="s">
        <v>0</v>
      </c>
      <c r="BT30" s="82" t="str">
        <f>IF(BN30&lt;&gt;"NEMA","",IF(IFERROR(MATCH(BL30,BL$12:BL29,0),0)&lt;&gt;0,"",BL30))</f>
        <v/>
      </c>
      <c r="BU30" s="47" t="s">
        <v>0</v>
      </c>
      <c r="BV30" s="125"/>
      <c r="BW30" s="47" t="s">
        <v>0</v>
      </c>
      <c r="BX30" s="58" t="str">
        <f t="shared" si="53"/>
        <v/>
      </c>
      <c r="BY30" s="31" t="str">
        <f t="shared" si="54"/>
        <v/>
      </c>
      <c r="BZ30" s="31" t="str">
        <f>IF(BY30="","",MAX(BZ$12:BZ29)+1)</f>
        <v/>
      </c>
      <c r="CA30" s="31" t="str">
        <f>IF(BY30="","",IF(AA30="","",IF(AA30="NEMA",AC30,AA30)))</f>
        <v/>
      </c>
      <c r="CB30" s="31" t="str">
        <f t="shared" si="55"/>
        <v/>
      </c>
      <c r="CC30" s="31" t="str">
        <f>IF(BV30="","",MAX(CC$12:CC29)+1)</f>
        <v/>
      </c>
      <c r="CD30" s="31" t="str">
        <f t="shared" si="56"/>
        <v/>
      </c>
      <c r="CE30" s="66" t="str">
        <f t="shared" si="57"/>
        <v/>
      </c>
      <c r="CF30" s="47" t="s">
        <v>0</v>
      </c>
      <c r="CG30" s="73" t="str">
        <f>IF(BN30="","",IF(BN30&lt;&gt;"NEMA","",IFERROR(INDEX(nat_klubAliasId,MATCH(BL30,nat_noviKluboviAliasi,0)),"")))</f>
        <v/>
      </c>
      <c r="CH30" s="47"/>
      <c r="CI30" s="19" t="str">
        <f t="shared" si="58"/>
        <v/>
      </c>
      <c r="CJ30" s="47" t="s">
        <v>0</v>
      </c>
      <c r="CK30" s="52" t="str">
        <f>IF(X30&lt;&gt;"NEMA","",IF(IFERROR(MATCH(W30,W$12:W29,0),0)&lt;&gt;0,"",W30))</f>
        <v/>
      </c>
      <c r="CL30" s="73" t="str">
        <f>IF(CK30="","",IFERROR(INDEX(regKlub_alias_id,MATCH(CK30,regKlub_alias_alias,0)),"NEMA"))</f>
        <v/>
      </c>
      <c r="CM30" s="31" t="str">
        <f>IF(OR(CL30="",CL30&lt;&gt;"NEMA"),"",MAX(CM$12:CM29)+1)</f>
        <v/>
      </c>
      <c r="CN30" s="66" t="str">
        <f>IF(OR(CL30="",CL30&lt;&gt;"NEMA"),"",INDEX(regKlub_id,MATCH(CK30,regKlub_naziv,0)))</f>
        <v/>
      </c>
      <c r="CO30" s="47" t="s">
        <v>0</v>
      </c>
      <c r="CP30" s="19" t="str">
        <f>IF(OR(CL30="",CL30&lt;&gt;"NEMA"),"","INSERT INTO klub_alias(id,alias,klub_id) VALUES ("&amp;CM30&amp;",'"&amp;CK30&amp;"',"&amp;CN30&amp;");")</f>
        <v/>
      </c>
      <c r="CQ30" s="47" t="s">
        <v>0</v>
      </c>
      <c r="CR30" s="143" t="str">
        <f>IF(BR30="","",IF(BV30="",IF(IFERROR(MATCH(BR30,nat_noviKluboviAliasi,0),0)&gt;0,INDEX(nat_kluboviAliasi,MATCH(BR30,nat_noviKluboviAliasi,0)),BR30),BV30))</f>
        <v>OK Japetić</v>
      </c>
      <c r="CS30" s="47" t="s">
        <v>0</v>
      </c>
      <c r="CT30" s="58" t="str">
        <f>IF(G30="","",G30)</f>
        <v>80:20</v>
      </c>
      <c r="CU30" s="73" t="str">
        <f>IF(H30="","",H30)</f>
        <v>0</v>
      </c>
      <c r="CV30" s="229" t="str">
        <f>IF(CT30="",IF(OR(AL30="",CU30&lt;&gt;"0"),"","GREŠKA"),IF(AND(65535&gt;=VALUE(LEFT(CT30,SEARCH(":",CT30)-1))*60+VALUE(RIGHT(CT30,2)),OR(CU30="0",CU30="1",CU30="2",CU30="3",CU30="4")),"","GREŠKA"))</f>
        <v/>
      </c>
      <c r="CW30" s="230">
        <f t="shared" si="59"/>
        <v>4820</v>
      </c>
      <c r="CX30" s="163">
        <f t="shared" si="24"/>
        <v>1</v>
      </c>
      <c r="CY30" s="47" t="s">
        <v>0</v>
      </c>
      <c r="CZ30" s="222" t="str">
        <f>IF(CV30&lt;&gt;"GREŠKA","",AK30&amp;" "&amp;AL30&amp;" – Molim u OEventu provjeriti i ispraviti rezultat – vrijeme ("&amp;IF(CT30="","nije upisano",CT30)&amp;") i classifier ("&amp;CU30&amp;").")&amp;IF(OR(CV30&lt;&gt;"GREŠKA",CX30&lt;&gt;5),"
","")&amp;IF(CX30&lt;&gt;5,"",AK30&amp;" "&amp;AL30&amp;" – Molim u provjeriti je li natjecatelj zaista diskvalificiran. Ako je koje je obrazloženje, ako nije molim u OEventu ispraviti rezultat")</f>
        <v xml:space="preserve">
</v>
      </c>
      <c r="DA30" s="223">
        <f t="shared" si="60"/>
        <v>6</v>
      </c>
      <c r="DB30" s="47" t="s">
        <v>0</v>
      </c>
      <c r="DC30" s="47"/>
      <c r="DD30" s="47"/>
      <c r="DE30" s="47"/>
      <c r="DF30" s="47" t="s">
        <v>0</v>
      </c>
      <c r="DG30" s="53" t="str">
        <f>IF(BD30="","",IF(DI30="O",1,""))</f>
        <v/>
      </c>
      <c r="DH30" t="s">
        <v>0</v>
      </c>
      <c r="DI30" s="128" t="str">
        <f>IF(Q30="","",LEFT(INDEX(regKategorija_oznaka,MATCH(S30,regKategorija_id,0)),1))</f>
        <v>M</v>
      </c>
      <c r="DJ30" t="s">
        <v>0</v>
      </c>
      <c r="DK30" s="52" t="str">
        <f>IF(BD30="","",IF(M30&lt;&gt;"CRO","","INSERT INTO osoba (id,reg_broj,oib,spol_id,dat_rodjenja) VALUES ("&amp;BD30&amp;",(SELECT max(os.reg_broj)+1 FROM osoba AS os),Null,'"&amp;DI30&amp;"',Null); INSERT INTO osoba_log (id,reg_broj,oib,spol_id,dat_rodjenja,dnevnik_id) SELECT id,reg_broj,oib,spol_id,dat_rodjenja,"&amp;data_dnevnik_id&amp;" FROM osoba WHERE id = "&amp;BD30&amp;";"))</f>
        <v/>
      </c>
      <c r="DL30" s="66" t="str">
        <f>IF(BD30="","","INSERT INTO imeprezime (id,osoba_id,rbr,ime,prezime,klub_id,identitet_id,sintaksa_id,info,aktivno,dnevnik_id) VALUES ("&amp;BD30&amp;","&amp;IF(DK30="","Null",BD30)&amp;",1,'"&amp;IF(AV30&lt;&gt;"",AV30,AK30)&amp;"','"&amp;IF(AW30&lt;&gt;"",AW30,AL30)&amp;"',(SELECT id FROM klub WHERE naziv = '"&amp;CR30&amp;"'),Null,1,'',1,"&amp;data_dnevnik_id&amp;");")</f>
        <v/>
      </c>
      <c r="DM30" t="s">
        <v>0</v>
      </c>
      <c r="DN30" s="19" t="str">
        <f t="shared" si="69"/>
        <v/>
      </c>
      <c r="DO30" s="47" t="s">
        <v>0</v>
      </c>
      <c r="DP30" s="19" t="str">
        <f>IF(BA30="","","INSERT INTO imeprezime_alias(id,alias,imeprezime_id) VALUES ("&amp;BB30&amp;",'"&amp;BA30&amp;"',"&amp;IF(BC30="NEMA",BD30,BC30)&amp;");")</f>
        <v/>
      </c>
      <c r="DQ30" s="47" t="s">
        <v>0</v>
      </c>
      <c r="DR30" s="52" t="str">
        <f>IF(AL30="","",DU30 &amp; IF(Q30="",""," – " &amp; Q30))</f>
        <v>Karlo – Lesjak – OK Japetić – M14</v>
      </c>
      <c r="DS30" s="53">
        <f t="shared" si="26"/>
        <v>107</v>
      </c>
      <c r="DT30" s="47" t="s">
        <v>0</v>
      </c>
      <c r="DU30" s="52" t="str">
        <f>IF(AL30="","",DX30 &amp; IF(CR30="",""," – " &amp; CR30))</f>
        <v>Karlo – Lesjak – OK Japetić</v>
      </c>
      <c r="DV30" s="53">
        <f t="shared" si="27"/>
        <v>107</v>
      </c>
      <c r="DW30" s="47" t="s">
        <v>0</v>
      </c>
      <c r="DX30" s="52" t="str">
        <f>IF(BG30="","",BF30&amp;" – "&amp;BG30)</f>
        <v>Karlo – Lesjak</v>
      </c>
      <c r="DY30" s="53">
        <f t="shared" si="28"/>
        <v>107</v>
      </c>
      <c r="DZ30" s="47" t="s">
        <v>0</v>
      </c>
      <c r="EA30" s="58">
        <f t="shared" si="61"/>
        <v>107</v>
      </c>
      <c r="EB30" s="53" cm="1">
        <f t="array" ref="EB30">IF(EA30&lt;&gt;"",INDEX(regNatjecatelj_id,EA30,0),IF(BD30&lt;&gt;"",BD30,""))</f>
        <v>1553</v>
      </c>
      <c r="EC30" s="47" t="s">
        <v>0</v>
      </c>
      <c r="ED30" s="58" t="str">
        <f>IF(AL30="","",IF(BD30&lt;&gt;"","novo",IF(AN30="","imepre","imepre(ali)")))</f>
        <v>imepre</v>
      </c>
      <c r="EE30" s="73" t="str">
        <f>IF(AL30="","",IF(BL30="",IF(IFERROR(INDEX(regNatjecatelj_klub,MATCH(EB30,regNatjecatelj_id,0)),"NEMA")="","klu",""),IF(OR(AND(BN30&lt;&gt;"",BN30&lt;&gt;"NEMA"),CD30&lt;&gt;""),"klu(ali)",IF(AND(BP30&lt;&gt;"",BP30&lt;&gt;BO30),"(raz-klu)","klu"))))</f>
        <v>klu(ali)</v>
      </c>
      <c r="EF30" s="73" t="str">
        <f>IF(AL30="","","kat"&amp;IF(AND(W30&lt;&gt;Q30,Q30&lt;&gt;"Open"),"(ali)",""))</f>
        <v>kat</v>
      </c>
      <c r="EG30" s="73" t="str">
        <f t="shared" si="29"/>
        <v/>
      </c>
      <c r="EH30" s="66" t="str">
        <f>IF(AL30="","",ED30&amp;IF(ED30="novo","","-"&amp;EE30&amp;"-"&amp;EF30)&amp;IF(EG30="","","-"&amp;EG30))</f>
        <v>imepre-klu(ali)-kat</v>
      </c>
      <c r="EI30" s="47" t="s">
        <v>0</v>
      </c>
      <c r="EJ30" s="58">
        <f>IF(AL30="","",MAX(EJ$12:EJ29)+1)</f>
        <v>208</v>
      </c>
      <c r="EK30" s="73">
        <f>IF(AO30="","",X30)</f>
        <v>24</v>
      </c>
      <c r="EL30" s="73">
        <f t="shared" si="62"/>
        <v>1553</v>
      </c>
      <c r="EM30" s="73">
        <f t="shared" si="30"/>
        <v>4820</v>
      </c>
      <c r="EN30" s="73">
        <f t="shared" si="31"/>
        <v>1</v>
      </c>
      <c r="EO30" s="73">
        <f t="shared" si="63"/>
        <v>1</v>
      </c>
      <c r="EP30" s="73">
        <f t="shared" si="64"/>
        <v>3</v>
      </c>
      <c r="EQ30" s="73" t="str">
        <f t="shared" si="34"/>
        <v>0</v>
      </c>
      <c r="ER30" s="73" t="str">
        <f>IF(OR(AN30="",AN30="NEMA"),BB30,AN30)</f>
        <v/>
      </c>
      <c r="ES30" s="73">
        <f>IF(AND(BN30&lt;&gt;"",BN30&lt;&gt;"NEMA"),BN30,IF(CG30&lt;&gt;"",CG30,IF(AND(CL30&lt;&gt;"",CL30&lt;&gt;"NEMA"),CL30,IF(CM30&lt;&gt;"",CM30,""))))</f>
        <v>1</v>
      </c>
      <c r="ET30" s="53" t="str">
        <f>IF(INDEX(natKategorija_alias_Id,MATCH(S30,natKategorija_katRegId,0))="","",INDEX(natKategorija_alias_Id,MATCH(S30,natKategorija_katRegId,0)))</f>
        <v/>
      </c>
      <c r="EU30" s="47" t="s">
        <v>0</v>
      </c>
      <c r="EV30" s="19" t="str">
        <f t="shared" si="65"/>
        <v>INSERT INTO rezultat(id,stazakategorija_id,imeprezime_id,vrijeme_sec,status_id,registracija,uparivanje_id,originalstatus_id,imeprezimealias_id,klubalias_id,kategorijaalias_id) VALUES (208,24,1553,4820,1,1,3,0,Null,1,Null);</v>
      </c>
      <c r="EW30" s="47" t="s">
        <v>0</v>
      </c>
      <c r="EX30" s="19" t="str">
        <f t="shared" si="66"/>
        <v>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30" s="47" t="s">
        <v>0</v>
      </c>
      <c r="EZ30" s="180" t="str">
        <f>AG30&amp;IF(CP30="","","
")&amp;CP30&amp;IF(CI30="","","
")&amp;CI30&amp;IF(DN30="","","
")&amp;DN30&amp;IF(DP30="","","
")&amp;DP30&amp;IF(EV30="","","
")&amp;EV30&amp;IF(EX30="","","
")&amp;EX30</f>
        <v xml:space="preserve">
INSERT INTO rezultat(id,stazakategorija_id,imeprezime_id,vrijeme_sec,status_id,registracija,uparivanje_id,originalstatus_id,imeprezimealias_id,klubalias_id,kategorijaalias_id) VALUES (208,24,1553,4820,1,1,3,0,Null,1,Null);
UPDATE
	registar
SET
	potvrda = 1
WHERE
	imeprezime_id=1553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30" s="47" t="s">
        <v>0</v>
      </c>
    </row>
    <row r="31" spans="1:169" x14ac:dyDescent="0.25">
      <c r="A31" t="s">
        <v>0</v>
      </c>
      <c r="B31" s="52" t="str">
        <f>IF(csv!F21="","",csv!T21)</f>
        <v>M14</v>
      </c>
      <c r="C31" s="31" t="s">
        <v>0</v>
      </c>
      <c r="D31" s="31" t="str">
        <f>IF(csv!F21="","",csv!F21)</f>
        <v>Marko</v>
      </c>
      <c r="E31" s="31" t="str">
        <f>IF(csv!E21="","",csv!E21)</f>
        <v>Tanković</v>
      </c>
      <c r="F31" s="31" t="s">
        <v>0</v>
      </c>
      <c r="G31" s="73" t="str">
        <f>IF(csv!M21="","",csv!M21)</f>
        <v>95:20</v>
      </c>
      <c r="H31" s="73" t="str">
        <f>IF(csv!N21="","",csv!N21)</f>
        <v>0</v>
      </c>
      <c r="I31" s="31" t="s">
        <v>0</v>
      </c>
      <c r="J31" s="31" t="str">
        <f>IF(csv!P21="","",csv!P21)</f>
        <v>OK Jelen</v>
      </c>
      <c r="K31" s="31" t="str">
        <f>IF(csv!Q21="","",csv!Q21)</f>
        <v>OK Jelen</v>
      </c>
      <c r="L31" s="31" t="s">
        <v>0</v>
      </c>
      <c r="M31" s="66" t="str">
        <f>IF(csv!R21="","",csv!R21)</f>
        <v>CRO</v>
      </c>
      <c r="N31" s="47" t="s">
        <v>0</v>
      </c>
      <c r="O31" s="243" t="str">
        <f t="shared" si="36"/>
        <v>ok</v>
      </c>
      <c r="P31" s="47"/>
      <c r="Q31" s="52" t="str">
        <f t="shared" si="37"/>
        <v>M14</v>
      </c>
      <c r="R31" s="73">
        <f>IF(Q31="","",IF(COUNTIF(Q$12:Q30,Q31)=0,R30+1,R30))</f>
        <v>2</v>
      </c>
      <c r="S31" s="73">
        <f t="shared" si="38"/>
        <v>111</v>
      </c>
      <c r="T31" s="73">
        <f t="shared" si="1"/>
        <v>21</v>
      </c>
      <c r="U31" s="66" t="str">
        <f t="shared" si="2"/>
        <v>M14 – Ž14</v>
      </c>
      <c r="V31" s="47" t="s">
        <v>0</v>
      </c>
      <c r="W31" s="222" t="str">
        <f t="shared" si="3"/>
        <v>M14</v>
      </c>
      <c r="X31" s="223">
        <f t="shared" si="4"/>
        <v>24</v>
      </c>
      <c r="Y31" s="47" t="s">
        <v>0</v>
      </c>
      <c r="Z31" s="52" t="str">
        <f t="shared" si="39"/>
        <v>CRO</v>
      </c>
      <c r="AA31" s="73">
        <f t="shared" si="5"/>
        <v>1</v>
      </c>
      <c r="AB31" s="31" t="str">
        <f t="shared" si="40"/>
        <v/>
      </c>
      <c r="AC31" s="66" t="str">
        <f>IF(AB31="","",MAX(AC$12:AC30)+1)</f>
        <v/>
      </c>
      <c r="AD31" s="47" t="s">
        <v>0</v>
      </c>
      <c r="AE31" s="125"/>
      <c r="AF31" s="47" t="s">
        <v>0</v>
      </c>
      <c r="AG31" s="19" t="str">
        <f t="shared" si="41"/>
        <v/>
      </c>
      <c r="AH31" s="47" t="s">
        <v>0</v>
      </c>
      <c r="AI31" s="143" t="str">
        <f t="shared" si="42"/>
        <v>CRO</v>
      </c>
      <c r="AJ31" s="47"/>
      <c r="AK31" s="52" t="str">
        <f t="shared" si="43"/>
        <v>Marko</v>
      </c>
      <c r="AL31" s="31" t="str">
        <f t="shared" si="44"/>
        <v>Tanković</v>
      </c>
      <c r="AM31" s="73">
        <f t="shared" si="45"/>
        <v>1119</v>
      </c>
      <c r="AN31" s="73" t="str">
        <f t="shared" si="46"/>
        <v/>
      </c>
      <c r="AO31" s="31" t="str">
        <f t="shared" si="8"/>
        <v>Marko</v>
      </c>
      <c r="AP31" s="66" t="str">
        <f t="shared" si="9"/>
        <v>Tanković</v>
      </c>
      <c r="AQ31" s="47" t="s">
        <v>0</v>
      </c>
      <c r="AR31" s="82" t="str">
        <f t="shared" si="47"/>
        <v/>
      </c>
      <c r="AS31" s="47" t="s">
        <v>0</v>
      </c>
      <c r="AT31" s="19" t="str">
        <f t="shared" si="48"/>
        <v/>
      </c>
      <c r="AU31" s="47" t="s">
        <v>0</v>
      </c>
      <c r="AV31" s="103"/>
      <c r="AW31" s="105"/>
      <c r="AX31" s="47" t="s">
        <v>0</v>
      </c>
      <c r="AY31" s="256" t="str">
        <f t="shared" si="68"/>
        <v/>
      </c>
      <c r="AZ31" s="47" t="s">
        <v>0</v>
      </c>
      <c r="BA31" s="52" t="str">
        <f t="shared" si="11"/>
        <v/>
      </c>
      <c r="BB31" s="73" t="str">
        <f>IF(AV31&amp;AW31="","",MAX(BB$12:BB30)+1)</f>
        <v/>
      </c>
      <c r="BC31" s="268" t="str">
        <f t="shared" si="12"/>
        <v/>
      </c>
      <c r="BD31" s="53" t="str">
        <f>IF(AND(AM31="NEMA",AN31="NEMA",OR(AV31&amp;AW31="",BC31="NEMA")),MAX(BD$12:BD30)+1,"")</f>
        <v/>
      </c>
      <c r="BE31" s="47" t="s">
        <v>0</v>
      </c>
      <c r="BF31" s="52" t="str">
        <f t="shared" si="13"/>
        <v>Marko</v>
      </c>
      <c r="BG31" s="31" t="str">
        <f t="shared" si="14"/>
        <v>Tanković</v>
      </c>
      <c r="BH31" s="73" t="str">
        <f t="shared" si="49"/>
        <v/>
      </c>
      <c r="BI31" s="53">
        <f t="shared" si="50"/>
        <v>1119</v>
      </c>
      <c r="BJ31" s="47" t="s">
        <v>0</v>
      </c>
      <c r="BK31" s="52" t="str">
        <f t="shared" si="15"/>
        <v>OK Jelen</v>
      </c>
      <c r="BL31" s="31" t="str">
        <f t="shared" si="16"/>
        <v>OK Jelen</v>
      </c>
      <c r="BM31" s="73">
        <f t="shared" si="17"/>
        <v>4</v>
      </c>
      <c r="BN31" s="73" t="str">
        <f t="shared" si="18"/>
        <v/>
      </c>
      <c r="BO31" s="31" t="str" cm="1">
        <f t="array" ref="BO31">IF(BN31="",""&amp;BL31,IF(BN31="NEMA",BL31,INDEX(regKlub_naziv,MATCH(INDEX(regKlub_alias_klubId,BN31),regKlub_id,0))))</f>
        <v>OK Jelen</v>
      </c>
      <c r="BP31" s="31" t="str" cm="1">
        <f t="array" ref="BP31">IFERROR(""&amp;INDEX(regNatjecatelj_klub,DY31),"")</f>
        <v>OK Jelen</v>
      </c>
      <c r="BQ31" s="88" t="str">
        <f t="shared" si="51"/>
        <v/>
      </c>
      <c r="BR31" s="66" t="str">
        <f t="shared" si="52"/>
        <v>OK Jelen</v>
      </c>
      <c r="BS31" s="47" t="s">
        <v>0</v>
      </c>
      <c r="BT31" s="82" t="str">
        <f>IF(BN31&lt;&gt;"NEMA","",IF(IFERROR(MATCH(BL31,BL$12:BL30,0),0)&lt;&gt;0,"",BL31))</f>
        <v/>
      </c>
      <c r="BU31" s="47" t="s">
        <v>0</v>
      </c>
      <c r="BV31" s="125"/>
      <c r="BW31" s="47" t="s">
        <v>0</v>
      </c>
      <c r="BX31" s="58" t="str">
        <f t="shared" si="53"/>
        <v/>
      </c>
      <c r="BY31" s="31" t="str">
        <f t="shared" si="54"/>
        <v/>
      </c>
      <c r="BZ31" s="31" t="str">
        <f>IF(BY31="","",MAX(BZ$12:BZ30)+1)</f>
        <v/>
      </c>
      <c r="CA31" s="31" t="str">
        <f>IF(BY31="","",IF(AA31="","",IF(AA31="NEMA",AC31,AA31)))</f>
        <v/>
      </c>
      <c r="CB31" s="31" t="str">
        <f t="shared" si="55"/>
        <v/>
      </c>
      <c r="CC31" s="31" t="str">
        <f>IF(BV31="","",MAX(CC$12:CC30)+1)</f>
        <v/>
      </c>
      <c r="CD31" s="31" t="str">
        <f t="shared" si="56"/>
        <v/>
      </c>
      <c r="CE31" s="66" t="str">
        <f t="shared" si="57"/>
        <v/>
      </c>
      <c r="CF31" s="47" t="s">
        <v>0</v>
      </c>
      <c r="CG31" s="73" t="str">
        <f>IF(BN31="","",IF(BN31&lt;&gt;"NEMA","",IFERROR(INDEX(nat_klubAliasId,MATCH(BL31,nat_noviKluboviAliasi,0)),"")))</f>
        <v/>
      </c>
      <c r="CH31" s="47"/>
      <c r="CI31" s="19" t="str">
        <f t="shared" si="58"/>
        <v/>
      </c>
      <c r="CJ31" s="47" t="s">
        <v>0</v>
      </c>
      <c r="CK31" s="52" t="str">
        <f>IF(X31&lt;&gt;"NEMA","",IF(IFERROR(MATCH(W31,W$12:W30,0),0)&lt;&gt;0,"",W31))</f>
        <v/>
      </c>
      <c r="CL31" s="73" t="str">
        <f>IF(CK31="","",IFERROR(INDEX(regKlub_alias_id,MATCH(CK31,regKlub_alias_alias,0)),"NEMA"))</f>
        <v/>
      </c>
      <c r="CM31" s="31" t="str">
        <f>IF(OR(CL31="",CL31&lt;&gt;"NEMA"),"",MAX(CM$12:CM30)+1)</f>
        <v/>
      </c>
      <c r="CN31" s="66" t="str">
        <f>IF(OR(CL31="",CL31&lt;&gt;"NEMA"),"",INDEX(regKlub_id,MATCH(CK31,regKlub_naziv,0)))</f>
        <v/>
      </c>
      <c r="CO31" s="47" t="s">
        <v>0</v>
      </c>
      <c r="CP31" s="19" t="str">
        <f>IF(OR(CL31="",CL31&lt;&gt;"NEMA"),"","INSERT INTO klub_alias(id,alias,klub_id) VALUES ("&amp;CM31&amp;",'"&amp;CK31&amp;"',"&amp;CN31&amp;");")</f>
        <v/>
      </c>
      <c r="CQ31" s="47" t="s">
        <v>0</v>
      </c>
      <c r="CR31" s="143" t="str">
        <f>IF(BR31="","",IF(BV31="",IF(IFERROR(MATCH(BR31,nat_noviKluboviAliasi,0),0)&gt;0,INDEX(nat_kluboviAliasi,MATCH(BR31,nat_noviKluboviAliasi,0)),BR31),BV31))</f>
        <v>OK Jelen</v>
      </c>
      <c r="CS31" s="47" t="s">
        <v>0</v>
      </c>
      <c r="CT31" s="58" t="str">
        <f>IF(G31="","",G31)</f>
        <v>95:20</v>
      </c>
      <c r="CU31" s="73" t="str">
        <f>IF(H31="","",H31)</f>
        <v>0</v>
      </c>
      <c r="CV31" s="229" t="str">
        <f>IF(CT31="",IF(OR(AL31="",CU31&lt;&gt;"0"),"","GREŠKA"),IF(AND(65535&gt;=VALUE(LEFT(CT31,SEARCH(":",CT31)-1))*60+VALUE(RIGHT(CT31,2)),OR(CU31="0",CU31="1",CU31="2",CU31="3",CU31="4")),"","GREŠKA"))</f>
        <v/>
      </c>
      <c r="CW31" s="230">
        <f t="shared" si="59"/>
        <v>5720</v>
      </c>
      <c r="CX31" s="163">
        <f t="shared" si="24"/>
        <v>1</v>
      </c>
      <c r="CY31" s="47" t="s">
        <v>0</v>
      </c>
      <c r="CZ31" s="222" t="str">
        <f>IF(CV31&lt;&gt;"GREŠKA","",AK31&amp;" "&amp;AL31&amp;" – Molim u OEventu provjeriti i ispraviti rezultat – vrijeme ("&amp;IF(CT31="","nije upisano",CT31)&amp;") i classifier ("&amp;CU31&amp;").")&amp;IF(OR(CV31&lt;&gt;"GREŠKA",CX31&lt;&gt;5),"
","")&amp;IF(CX31&lt;&gt;5,"",AK31&amp;" "&amp;AL31&amp;" – Molim u provjeriti je li natjecatelj zaista diskvalificiran. Ako je koje je obrazloženje, ako nije molim u OEventu ispraviti rezultat")</f>
        <v xml:space="preserve">
</v>
      </c>
      <c r="DA31" s="223">
        <f t="shared" si="60"/>
        <v>6</v>
      </c>
      <c r="DB31" s="47" t="s">
        <v>0</v>
      </c>
      <c r="DC31" s="47"/>
      <c r="DD31" s="47"/>
      <c r="DE31" s="47"/>
      <c r="DF31" s="47" t="s">
        <v>0</v>
      </c>
      <c r="DG31" s="53" t="str">
        <f>IF(BD31="","",IF(DI31="O",1,""))</f>
        <v/>
      </c>
      <c r="DH31" t="s">
        <v>0</v>
      </c>
      <c r="DI31" s="128" t="str">
        <f>IF(Q31="","",LEFT(INDEX(regKategorija_oznaka,MATCH(S31,regKategorija_id,0)),1))</f>
        <v>M</v>
      </c>
      <c r="DJ31" t="s">
        <v>0</v>
      </c>
      <c r="DK31" s="52" t="str">
        <f>IF(BD31="","",IF(M31&lt;&gt;"CRO","","INSERT INTO osoba (id,reg_broj,oib,spol_id,dat_rodjenja) VALUES ("&amp;BD31&amp;",(SELECT max(os.reg_broj)+1 FROM osoba AS os),Null,'"&amp;DI31&amp;"',Null); INSERT INTO osoba_log (id,reg_broj,oib,spol_id,dat_rodjenja,dnevnik_id) SELECT id,reg_broj,oib,spol_id,dat_rodjenja,"&amp;data_dnevnik_id&amp;" FROM osoba WHERE id = "&amp;BD31&amp;";"))</f>
        <v/>
      </c>
      <c r="DL31" s="66" t="str">
        <f>IF(BD31="","","INSERT INTO imeprezime (id,osoba_id,rbr,ime,prezime,klub_id,identitet_id,sintaksa_id,info,aktivno,dnevnik_id) VALUES ("&amp;BD31&amp;","&amp;IF(DK31="","Null",BD31)&amp;",1,'"&amp;IF(AV31&lt;&gt;"",AV31,AK31)&amp;"','"&amp;IF(AW31&lt;&gt;"",AW31,AL31)&amp;"',(SELECT id FROM klub WHERE naziv = '"&amp;CR31&amp;"'),Null,1,'',1,"&amp;data_dnevnik_id&amp;");")</f>
        <v/>
      </c>
      <c r="DM31" t="s">
        <v>0</v>
      </c>
      <c r="DN31" s="19" t="str">
        <f t="shared" si="69"/>
        <v/>
      </c>
      <c r="DO31" s="47" t="s">
        <v>0</v>
      </c>
      <c r="DP31" s="19" t="str">
        <f>IF(BA31="","","INSERT INTO imeprezime_alias(id,alias,imeprezime_id) VALUES ("&amp;BB31&amp;",'"&amp;BA31&amp;"',"&amp;IF(BC31="NEMA",BD31,BC31)&amp;");")</f>
        <v/>
      </c>
      <c r="DQ31" s="47" t="s">
        <v>0</v>
      </c>
      <c r="DR31" s="52" t="str">
        <f>IF(AL31="","",DU31 &amp; IF(Q31="",""," – " &amp; Q31))</f>
        <v>Marko – Tanković – OK Jelen – M14</v>
      </c>
      <c r="DS31" s="53">
        <f t="shared" si="26"/>
        <v>198</v>
      </c>
      <c r="DT31" s="47" t="s">
        <v>0</v>
      </c>
      <c r="DU31" s="52" t="str">
        <f>IF(AL31="","",DX31 &amp; IF(CR31="",""," – " &amp; CR31))</f>
        <v>Marko – Tanković – OK Jelen</v>
      </c>
      <c r="DV31" s="53">
        <f t="shared" si="27"/>
        <v>198</v>
      </c>
      <c r="DW31" s="47" t="s">
        <v>0</v>
      </c>
      <c r="DX31" s="52" t="str">
        <f>IF(BG31="","",BF31&amp;" – "&amp;BG31)</f>
        <v>Marko – Tanković</v>
      </c>
      <c r="DY31" s="53">
        <f t="shared" si="28"/>
        <v>198</v>
      </c>
      <c r="DZ31" s="47" t="s">
        <v>0</v>
      </c>
      <c r="EA31" s="58">
        <f t="shared" si="61"/>
        <v>198</v>
      </c>
      <c r="EB31" s="53" cm="1">
        <f t="array" ref="EB31">IF(EA31&lt;&gt;"",INDEX(regNatjecatelj_id,EA31,0),IF(BD31&lt;&gt;"",BD31,""))</f>
        <v>1119</v>
      </c>
      <c r="EC31" s="47" t="s">
        <v>0</v>
      </c>
      <c r="ED31" s="58" t="str">
        <f>IF(AL31="","",IF(BD31&lt;&gt;"","novo",IF(AN31="","imepre","imepre(ali)")))</f>
        <v>imepre</v>
      </c>
      <c r="EE31" s="73" t="str">
        <f>IF(AL31="","",IF(BL31="",IF(IFERROR(INDEX(regNatjecatelj_klub,MATCH(EB31,regNatjecatelj_id,0)),"NEMA")="","klu",""),IF(OR(AND(BN31&lt;&gt;"",BN31&lt;&gt;"NEMA"),CD31&lt;&gt;""),"klu(ali)",IF(AND(BP31&lt;&gt;"",BP31&lt;&gt;BO31),"(raz-klu)","klu"))))</f>
        <v>klu</v>
      </c>
      <c r="EF31" s="73" t="str">
        <f>IF(AL31="","","kat"&amp;IF(AND(W31&lt;&gt;Q31,Q31&lt;&gt;"Open"),"(ali)",""))</f>
        <v>kat</v>
      </c>
      <c r="EG31" s="73" t="str">
        <f t="shared" si="29"/>
        <v/>
      </c>
      <c r="EH31" s="66" t="str">
        <f>IF(AL31="","",ED31&amp;IF(ED31="novo","","-"&amp;EE31&amp;"-"&amp;EF31)&amp;IF(EG31="","","-"&amp;EG31))</f>
        <v>imepre-klu-kat</v>
      </c>
      <c r="EI31" s="47" t="s">
        <v>0</v>
      </c>
      <c r="EJ31" s="58">
        <f>IF(AL31="","",MAX(EJ$12:EJ30)+1)</f>
        <v>209</v>
      </c>
      <c r="EK31" s="73">
        <f>IF(AO31="","",X31)</f>
        <v>24</v>
      </c>
      <c r="EL31" s="73">
        <f t="shared" si="62"/>
        <v>1119</v>
      </c>
      <c r="EM31" s="73">
        <f t="shared" si="30"/>
        <v>5720</v>
      </c>
      <c r="EN31" s="73">
        <f t="shared" si="31"/>
        <v>1</v>
      </c>
      <c r="EO31" s="73">
        <f t="shared" si="63"/>
        <v>1</v>
      </c>
      <c r="EP31" s="73">
        <f t="shared" si="64"/>
        <v>1</v>
      </c>
      <c r="EQ31" s="73" t="str">
        <f t="shared" si="34"/>
        <v>0</v>
      </c>
      <c r="ER31" s="73" t="str">
        <f>IF(OR(AN31="",AN31="NEMA"),BB31,AN31)</f>
        <v/>
      </c>
      <c r="ES31" s="73" t="str">
        <f>IF(AND(BN31&lt;&gt;"",BN31&lt;&gt;"NEMA"),BN31,IF(CG31&lt;&gt;"",CG31,IF(AND(CL31&lt;&gt;"",CL31&lt;&gt;"NEMA"),CL31,IF(CM31&lt;&gt;"",CM31,""))))</f>
        <v/>
      </c>
      <c r="ET31" s="53" t="str">
        <f>IF(INDEX(natKategorija_alias_Id,MATCH(S31,natKategorija_katRegId,0))="","",INDEX(natKategorija_alias_Id,MATCH(S31,natKategorija_katRegId,0)))</f>
        <v/>
      </c>
      <c r="EU31" s="47" t="s">
        <v>0</v>
      </c>
      <c r="EV31" s="19" t="str">
        <f t="shared" si="65"/>
        <v>INSERT INTO rezultat(id,stazakategorija_id,imeprezime_id,vrijeme_sec,status_id,registracija,uparivanje_id,originalstatus_id,imeprezimealias_id,klubalias_id,kategorijaalias_id) VALUES (209,24,1119,5720,1,1,1,0,Null,Null,Null);</v>
      </c>
      <c r="EW31" s="47" t="s">
        <v>0</v>
      </c>
      <c r="EX31" s="19" t="str">
        <f t="shared" si="66"/>
        <v>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31" s="47" t="s">
        <v>0</v>
      </c>
      <c r="EZ31" s="180" t="str">
        <f>AG31&amp;IF(CP31="","","
")&amp;CP31&amp;IF(CI31="","","
")&amp;CI31&amp;IF(DN31="","","
")&amp;DN31&amp;IF(DP31="","","
")&amp;DP31&amp;IF(EV31="","","
")&amp;EV31&amp;IF(EX31="","","
")&amp;EX31</f>
        <v xml:space="preserve">
INSERT INTO rezultat(id,stazakategorija_id,imeprezime_id,vrijeme_sec,status_id,registracija,uparivanje_id,originalstatus_id,imeprezimealias_id,klubalias_id,kategorijaalias_id) VALUES (209,24,1119,5720,1,1,1,0,Null,Null,Null);
UPDATE
	registar
SET
	potvrda = 1
WHERE
	imeprezime_id=1119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31" s="47" t="s">
        <v>0</v>
      </c>
    </row>
    <row r="32" spans="1:169" x14ac:dyDescent="0.25">
      <c r="A32" t="s">
        <v>0</v>
      </c>
      <c r="B32" s="52" t="str">
        <f>IF(csv!F22="","",csv!T22)</f>
        <v>M14</v>
      </c>
      <c r="C32" s="31" t="s">
        <v>0</v>
      </c>
      <c r="D32" s="31" t="str">
        <f>IF(csv!F22="","",csv!F22)</f>
        <v>Luka</v>
      </c>
      <c r="E32" s="31" t="str">
        <f>IF(csv!E22="","",csv!E22)</f>
        <v>Sučić</v>
      </c>
      <c r="F32" s="31" t="s">
        <v>0</v>
      </c>
      <c r="G32" s="73" t="str">
        <f>IF(csv!M22="","",csv!M22)</f>
        <v>102:00</v>
      </c>
      <c r="H32" s="73" t="str">
        <f>IF(csv!N22="","",csv!N22)</f>
        <v>0</v>
      </c>
      <c r="I32" s="31" t="s">
        <v>0</v>
      </c>
      <c r="J32" s="31" t="str">
        <f>IF(csv!P22="","",csv!P22)</f>
        <v>Vihor</v>
      </c>
      <c r="K32" s="31" t="str">
        <f>IF(csv!Q22="","",csv!Q22)</f>
        <v>OK Vihor</v>
      </c>
      <c r="L32" s="31" t="s">
        <v>0</v>
      </c>
      <c r="M32" s="66" t="str">
        <f>IF(csv!R22="","",csv!R22)</f>
        <v>CRO</v>
      </c>
      <c r="N32" s="47" t="s">
        <v>0</v>
      </c>
      <c r="O32" s="243" t="str">
        <f t="shared" si="36"/>
        <v>ok</v>
      </c>
      <c r="P32" s="47"/>
      <c r="Q32" s="52" t="str">
        <f t="shared" si="37"/>
        <v>M14</v>
      </c>
      <c r="R32" s="73">
        <f>IF(Q32="","",IF(COUNTIF(Q$12:Q31,Q32)=0,R31+1,R31))</f>
        <v>2</v>
      </c>
      <c r="S32" s="73">
        <f t="shared" si="38"/>
        <v>111</v>
      </c>
      <c r="T32" s="73">
        <f t="shared" si="1"/>
        <v>21</v>
      </c>
      <c r="U32" s="66" t="str">
        <f t="shared" si="2"/>
        <v>M14 – Ž14</v>
      </c>
      <c r="V32" s="47" t="s">
        <v>0</v>
      </c>
      <c r="W32" s="222" t="str">
        <f t="shared" si="3"/>
        <v>M14</v>
      </c>
      <c r="X32" s="223">
        <f t="shared" si="4"/>
        <v>24</v>
      </c>
      <c r="Y32" s="47" t="s">
        <v>0</v>
      </c>
      <c r="Z32" s="52" t="str">
        <f t="shared" si="39"/>
        <v>CRO</v>
      </c>
      <c r="AA32" s="73">
        <f t="shared" si="5"/>
        <v>1</v>
      </c>
      <c r="AB32" s="31" t="str">
        <f t="shared" si="40"/>
        <v/>
      </c>
      <c r="AC32" s="66" t="str">
        <f>IF(AB32="","",MAX(AC$12:AC31)+1)</f>
        <v/>
      </c>
      <c r="AD32" s="47" t="s">
        <v>0</v>
      </c>
      <c r="AE32" s="125"/>
      <c r="AF32" s="47" t="s">
        <v>0</v>
      </c>
      <c r="AG32" s="19" t="str">
        <f t="shared" si="41"/>
        <v/>
      </c>
      <c r="AH32" s="47" t="s">
        <v>0</v>
      </c>
      <c r="AI32" s="143" t="str">
        <f t="shared" si="42"/>
        <v>CRO</v>
      </c>
      <c r="AJ32" s="47"/>
      <c r="AK32" s="52" t="str">
        <f t="shared" si="43"/>
        <v>Luka</v>
      </c>
      <c r="AL32" s="31" t="str">
        <f t="shared" si="44"/>
        <v>Sučić</v>
      </c>
      <c r="AM32" s="73">
        <f t="shared" si="45"/>
        <v>1304</v>
      </c>
      <c r="AN32" s="73" t="str">
        <f t="shared" si="46"/>
        <v/>
      </c>
      <c r="AO32" s="31" t="str">
        <f t="shared" si="8"/>
        <v>Luka</v>
      </c>
      <c r="AP32" s="66" t="str">
        <f t="shared" si="9"/>
        <v>Sučić</v>
      </c>
      <c r="AQ32" s="47" t="s">
        <v>0</v>
      </c>
      <c r="AR32" s="82" t="str">
        <f t="shared" si="47"/>
        <v/>
      </c>
      <c r="AS32" s="47" t="s">
        <v>0</v>
      </c>
      <c r="AT32" s="19" t="str">
        <f t="shared" si="48"/>
        <v/>
      </c>
      <c r="AU32" s="47" t="s">
        <v>0</v>
      </c>
      <c r="AV32" s="103"/>
      <c r="AW32" s="105"/>
      <c r="AX32" s="47" t="s">
        <v>0</v>
      </c>
      <c r="AY32" s="256" t="str">
        <f t="shared" si="68"/>
        <v/>
      </c>
      <c r="AZ32" s="47" t="s">
        <v>0</v>
      </c>
      <c r="BA32" s="52" t="str">
        <f t="shared" si="11"/>
        <v/>
      </c>
      <c r="BB32" s="73" t="str">
        <f>IF(AV32&amp;AW32="","",MAX(BB$12:BB31)+1)</f>
        <v/>
      </c>
      <c r="BC32" s="268" t="str">
        <f t="shared" si="12"/>
        <v/>
      </c>
      <c r="BD32" s="53" t="str">
        <f>IF(AND(AM32="NEMA",AN32="NEMA",OR(AV32&amp;AW32="",BC32="NEMA")),MAX(BD$12:BD31)+1,"")</f>
        <v/>
      </c>
      <c r="BE32" s="47" t="s">
        <v>0</v>
      </c>
      <c r="BF32" s="52" t="str">
        <f t="shared" si="13"/>
        <v>Luka</v>
      </c>
      <c r="BG32" s="31" t="str">
        <f t="shared" si="14"/>
        <v>Sučić</v>
      </c>
      <c r="BH32" s="73" t="str">
        <f t="shared" si="49"/>
        <v/>
      </c>
      <c r="BI32" s="53">
        <f t="shared" si="50"/>
        <v>1304</v>
      </c>
      <c r="BJ32" s="47" t="s">
        <v>0</v>
      </c>
      <c r="BK32" s="52" t="str">
        <f t="shared" si="15"/>
        <v>Vihor</v>
      </c>
      <c r="BL32" s="31" t="str">
        <f t="shared" si="16"/>
        <v>OK Vihor</v>
      </c>
      <c r="BM32" s="73">
        <f t="shared" si="17"/>
        <v>12</v>
      </c>
      <c r="BN32" s="73" t="str">
        <f t="shared" si="18"/>
        <v/>
      </c>
      <c r="BO32" s="31" t="str" cm="1">
        <f t="array" ref="BO32">IF(BN32="",""&amp;BL32,IF(BN32="NEMA",BL32,INDEX(regKlub_naziv,MATCH(INDEX(regKlub_alias_klubId,BN32),regKlub_id,0))))</f>
        <v>OK Vihor</v>
      </c>
      <c r="BP32" s="31" t="str" cm="1">
        <f t="array" ref="BP32">IFERROR(""&amp;INDEX(regNatjecatelj_klub,DY32),"")</f>
        <v>OK Vihor</v>
      </c>
      <c r="BQ32" s="88" t="str">
        <f t="shared" si="51"/>
        <v/>
      </c>
      <c r="BR32" s="66" t="str">
        <f t="shared" si="52"/>
        <v>OK Vihor</v>
      </c>
      <c r="BS32" s="47" t="s">
        <v>0</v>
      </c>
      <c r="BT32" s="82" t="str">
        <f>IF(BN32&lt;&gt;"NEMA","",IF(IFERROR(MATCH(BL32,BL$12:BL31,0),0)&lt;&gt;0,"",BL32))</f>
        <v/>
      </c>
      <c r="BU32" s="47" t="s">
        <v>0</v>
      </c>
      <c r="BV32" s="125"/>
      <c r="BW32" s="47" t="s">
        <v>0</v>
      </c>
      <c r="BX32" s="58" t="str">
        <f t="shared" si="53"/>
        <v/>
      </c>
      <c r="BY32" s="31" t="str">
        <f t="shared" si="54"/>
        <v/>
      </c>
      <c r="BZ32" s="31" t="str">
        <f>IF(BY32="","",MAX(BZ$12:BZ31)+1)</f>
        <v/>
      </c>
      <c r="CA32" s="31" t="str">
        <f>IF(BY32="","",IF(AA32="","",IF(AA32="NEMA",AC32,AA32)))</f>
        <v/>
      </c>
      <c r="CB32" s="31" t="str">
        <f t="shared" si="55"/>
        <v/>
      </c>
      <c r="CC32" s="31" t="str">
        <f>IF(BV32="","",MAX(CC$12:CC31)+1)</f>
        <v/>
      </c>
      <c r="CD32" s="31" t="str">
        <f t="shared" si="56"/>
        <v/>
      </c>
      <c r="CE32" s="66" t="str">
        <f t="shared" si="57"/>
        <v/>
      </c>
      <c r="CF32" s="47" t="s">
        <v>0</v>
      </c>
      <c r="CG32" s="73" t="str">
        <f>IF(BN32="","",IF(BN32&lt;&gt;"NEMA","",IFERROR(INDEX(nat_klubAliasId,MATCH(BL32,nat_noviKluboviAliasi,0)),"")))</f>
        <v/>
      </c>
      <c r="CH32" s="47"/>
      <c r="CI32" s="19" t="str">
        <f t="shared" si="58"/>
        <v/>
      </c>
      <c r="CJ32" s="47" t="s">
        <v>0</v>
      </c>
      <c r="CK32" s="52" t="str">
        <f>IF(X32&lt;&gt;"NEMA","",IF(IFERROR(MATCH(W32,W$12:W31,0),0)&lt;&gt;0,"",W32))</f>
        <v/>
      </c>
      <c r="CL32" s="73" t="str">
        <f>IF(CK32="","",IFERROR(INDEX(regKlub_alias_id,MATCH(CK32,regKlub_alias_alias,0)),"NEMA"))</f>
        <v/>
      </c>
      <c r="CM32" s="31" t="str">
        <f>IF(OR(CL32="",CL32&lt;&gt;"NEMA"),"",MAX(CM$12:CM31)+1)</f>
        <v/>
      </c>
      <c r="CN32" s="66" t="str">
        <f>IF(OR(CL32="",CL32&lt;&gt;"NEMA"),"",INDEX(regKlub_id,MATCH(CK32,regKlub_naziv,0)))</f>
        <v/>
      </c>
      <c r="CO32" s="47" t="s">
        <v>0</v>
      </c>
      <c r="CP32" s="19" t="str">
        <f>IF(OR(CL32="",CL32&lt;&gt;"NEMA"),"","INSERT INTO klub_alias(id,alias,klub_id) VALUES ("&amp;CM32&amp;",'"&amp;CK32&amp;"',"&amp;CN32&amp;");")</f>
        <v/>
      </c>
      <c r="CQ32" s="47" t="s">
        <v>0</v>
      </c>
      <c r="CR32" s="143" t="str">
        <f>IF(BR32="","",IF(BV32="",IF(IFERROR(MATCH(BR32,nat_noviKluboviAliasi,0),0)&gt;0,INDEX(nat_kluboviAliasi,MATCH(BR32,nat_noviKluboviAliasi,0)),BR32),BV32))</f>
        <v>OK Vihor</v>
      </c>
      <c r="CS32" s="47" t="s">
        <v>0</v>
      </c>
      <c r="CT32" s="58" t="str">
        <f>IF(G32="","",G32)</f>
        <v>102:00</v>
      </c>
      <c r="CU32" s="73" t="str">
        <f>IF(H32="","",H32)</f>
        <v>0</v>
      </c>
      <c r="CV32" s="229" t="str">
        <f>IF(CT32="",IF(OR(AL32="",CU32&lt;&gt;"0"),"","GREŠKA"),IF(AND(65535&gt;=VALUE(LEFT(CT32,SEARCH(":",CT32)-1))*60+VALUE(RIGHT(CT32,2)),OR(CU32="0",CU32="1",CU32="2",CU32="3",CU32="4")),"","GREŠKA"))</f>
        <v/>
      </c>
      <c r="CW32" s="230">
        <f t="shared" si="59"/>
        <v>6120</v>
      </c>
      <c r="CX32" s="163">
        <f t="shared" si="24"/>
        <v>1</v>
      </c>
      <c r="CY32" s="47" t="s">
        <v>0</v>
      </c>
      <c r="CZ32" s="222" t="str">
        <f>IF(CV32&lt;&gt;"GREŠKA","",AK32&amp;" "&amp;AL32&amp;" – Molim u OEventu provjeriti i ispraviti rezultat – vrijeme ("&amp;IF(CT32="","nije upisano",CT32)&amp;") i classifier ("&amp;CU32&amp;").")&amp;IF(OR(CV32&lt;&gt;"GREŠKA",CX32&lt;&gt;5),"
","")&amp;IF(CX32&lt;&gt;5,"",AK32&amp;" "&amp;AL32&amp;" – Molim u provjeriti je li natjecatelj zaista diskvalificiran. Ako je koje je obrazloženje, ako nije molim u OEventu ispraviti rezultat")</f>
        <v xml:space="preserve">
</v>
      </c>
      <c r="DA32" s="223">
        <f t="shared" si="60"/>
        <v>6</v>
      </c>
      <c r="DB32" s="47" t="s">
        <v>0</v>
      </c>
      <c r="DC32" s="47"/>
      <c r="DD32" s="47"/>
      <c r="DE32" s="47"/>
      <c r="DF32" s="47" t="s">
        <v>0</v>
      </c>
      <c r="DG32" s="53" t="str">
        <f>IF(BD32="","",IF(DI32="O",1,""))</f>
        <v/>
      </c>
      <c r="DH32" t="s">
        <v>0</v>
      </c>
      <c r="DI32" s="128" t="str">
        <f>IF(Q32="","",LEFT(INDEX(regKategorija_oznaka,MATCH(S32,regKategorija_id,0)),1))</f>
        <v>M</v>
      </c>
      <c r="DJ32" t="s">
        <v>0</v>
      </c>
      <c r="DK32" s="52" t="str">
        <f>IF(BD32="","",IF(M32&lt;&gt;"CRO","","INSERT INTO osoba (id,reg_broj,oib,spol_id,dat_rodjenja) VALUES ("&amp;BD32&amp;",(SELECT max(os.reg_broj)+1 FROM osoba AS os),Null,'"&amp;DI32&amp;"',Null); INSERT INTO osoba_log (id,reg_broj,oib,spol_id,dat_rodjenja,dnevnik_id) SELECT id,reg_broj,oib,spol_id,dat_rodjenja,"&amp;data_dnevnik_id&amp;" FROM osoba WHERE id = "&amp;BD32&amp;";"))</f>
        <v/>
      </c>
      <c r="DL32" s="66" t="str">
        <f>IF(BD32="","","INSERT INTO imeprezime (id,osoba_id,rbr,ime,prezime,klub_id,identitet_id,sintaksa_id,info,aktivno,dnevnik_id) VALUES ("&amp;BD32&amp;","&amp;IF(DK32="","Null",BD32)&amp;",1,'"&amp;IF(AV32&lt;&gt;"",AV32,AK32)&amp;"','"&amp;IF(AW32&lt;&gt;"",AW32,AL32)&amp;"',(SELECT id FROM klub WHERE naziv = '"&amp;CR32&amp;"'),Null,1,'',1,"&amp;data_dnevnik_id&amp;");")</f>
        <v/>
      </c>
      <c r="DM32" t="s">
        <v>0</v>
      </c>
      <c r="DN32" s="19" t="str">
        <f t="shared" si="69"/>
        <v/>
      </c>
      <c r="DO32" s="47" t="s">
        <v>0</v>
      </c>
      <c r="DP32" s="19" t="str">
        <f>IF(BA32="","","INSERT INTO imeprezime_alias(id,alias,imeprezime_id) VALUES ("&amp;BB32&amp;",'"&amp;BA32&amp;"',"&amp;IF(BC32="NEMA",BD32,BC32)&amp;");")</f>
        <v/>
      </c>
      <c r="DQ32" s="47" t="s">
        <v>0</v>
      </c>
      <c r="DR32" s="52" t="str">
        <f>IF(AL32="","",DU32 &amp; IF(Q32="",""," – " &amp; Q32))</f>
        <v>Luka – Sučić – OK Vihor – M14</v>
      </c>
      <c r="DS32" s="53">
        <f t="shared" si="26"/>
        <v>914</v>
      </c>
      <c r="DT32" s="47" t="s">
        <v>0</v>
      </c>
      <c r="DU32" s="52" t="str">
        <f>IF(AL32="","",DX32 &amp; IF(CR32="",""," – " &amp; CR32))</f>
        <v>Luka – Sučić – OK Vihor</v>
      </c>
      <c r="DV32" s="53">
        <f t="shared" si="27"/>
        <v>914</v>
      </c>
      <c r="DW32" s="47" t="s">
        <v>0</v>
      </c>
      <c r="DX32" s="52" t="str">
        <f>IF(BG32="","",BF32&amp;" – "&amp;BG32)</f>
        <v>Luka – Sučić</v>
      </c>
      <c r="DY32" s="53">
        <f t="shared" si="28"/>
        <v>914</v>
      </c>
      <c r="DZ32" s="47" t="s">
        <v>0</v>
      </c>
      <c r="EA32" s="58">
        <f t="shared" si="61"/>
        <v>914</v>
      </c>
      <c r="EB32" s="53" cm="1">
        <f t="array" ref="EB32">IF(EA32&lt;&gt;"",INDEX(regNatjecatelj_id,EA32,0),IF(BD32&lt;&gt;"",BD32,""))</f>
        <v>1304</v>
      </c>
      <c r="EC32" s="47" t="s">
        <v>0</v>
      </c>
      <c r="ED32" s="58" t="str">
        <f>IF(AL32="","",IF(BD32&lt;&gt;"","novo",IF(AN32="","imepre","imepre(ali)")))</f>
        <v>imepre</v>
      </c>
      <c r="EE32" s="73" t="str">
        <f>IF(AL32="","",IF(BL32="",IF(IFERROR(INDEX(regNatjecatelj_klub,MATCH(EB32,regNatjecatelj_id,0)),"NEMA")="","klu",""),IF(OR(AND(BN32&lt;&gt;"",BN32&lt;&gt;"NEMA"),CD32&lt;&gt;""),"klu(ali)",IF(AND(BP32&lt;&gt;"",BP32&lt;&gt;BO32),"(raz-klu)","klu"))))</f>
        <v>klu</v>
      </c>
      <c r="EF32" s="73" t="str">
        <f>IF(AL32="","","kat"&amp;IF(AND(W32&lt;&gt;Q32,Q32&lt;&gt;"Open"),"(ali)",""))</f>
        <v>kat</v>
      </c>
      <c r="EG32" s="73" t="str">
        <f t="shared" si="29"/>
        <v/>
      </c>
      <c r="EH32" s="66" t="str">
        <f>IF(AL32="","",ED32&amp;IF(ED32="novo","","-"&amp;EE32&amp;"-"&amp;EF32)&amp;IF(EG32="","","-"&amp;EG32))</f>
        <v>imepre-klu-kat</v>
      </c>
      <c r="EI32" s="47" t="s">
        <v>0</v>
      </c>
      <c r="EJ32" s="58">
        <f>IF(AL32="","",MAX(EJ$12:EJ31)+1)</f>
        <v>210</v>
      </c>
      <c r="EK32" s="73">
        <f>IF(AO32="","",X32)</f>
        <v>24</v>
      </c>
      <c r="EL32" s="73">
        <f t="shared" si="62"/>
        <v>1304</v>
      </c>
      <c r="EM32" s="73">
        <f t="shared" si="30"/>
        <v>6120</v>
      </c>
      <c r="EN32" s="73">
        <f t="shared" si="31"/>
        <v>1</v>
      </c>
      <c r="EO32" s="73">
        <f t="shared" si="63"/>
        <v>1</v>
      </c>
      <c r="EP32" s="73">
        <f t="shared" si="64"/>
        <v>1</v>
      </c>
      <c r="EQ32" s="73" t="str">
        <f t="shared" si="34"/>
        <v>0</v>
      </c>
      <c r="ER32" s="73" t="str">
        <f>IF(OR(AN32="",AN32="NEMA"),BB32,AN32)</f>
        <v/>
      </c>
      <c r="ES32" s="73" t="str">
        <f>IF(AND(BN32&lt;&gt;"",BN32&lt;&gt;"NEMA"),BN32,IF(CG32&lt;&gt;"",CG32,IF(AND(CL32&lt;&gt;"",CL32&lt;&gt;"NEMA"),CL32,IF(CM32&lt;&gt;"",CM32,""))))</f>
        <v/>
      </c>
      <c r="ET32" s="53" t="str">
        <f>IF(INDEX(natKategorija_alias_Id,MATCH(S32,natKategorija_katRegId,0))="","",INDEX(natKategorija_alias_Id,MATCH(S32,natKategorija_katRegId,0)))</f>
        <v/>
      </c>
      <c r="EU32" s="47" t="s">
        <v>0</v>
      </c>
      <c r="EV32" s="19" t="str">
        <f t="shared" si="65"/>
        <v>INSERT INTO rezultat(id,stazakategorija_id,imeprezime_id,vrijeme_sec,status_id,registracija,uparivanje_id,originalstatus_id,imeprezimealias_id,klubalias_id,kategorijaalias_id) VALUES (210,24,1304,6120,1,1,1,0,Null,Null,Null);</v>
      </c>
      <c r="EW32" s="47" t="s">
        <v>0</v>
      </c>
      <c r="EX32" s="19" t="str">
        <f t="shared" si="66"/>
        <v>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32" s="47" t="s">
        <v>0</v>
      </c>
      <c r="EZ32" s="180" t="str">
        <f>AG32&amp;IF(CP32="","","
")&amp;CP32&amp;IF(CI32="","","
")&amp;CI32&amp;IF(DN32="","","
")&amp;DN32&amp;IF(DP32="","","
")&amp;DP32&amp;IF(EV32="","","
")&amp;EV32&amp;IF(EX32="","","
")&amp;EX32</f>
        <v xml:space="preserve">
INSERT INTO rezultat(id,stazakategorija_id,imeprezime_id,vrijeme_sec,status_id,registracija,uparivanje_id,originalstatus_id,imeprezimealias_id,klubalias_id,kategorijaalias_id) VALUES (210,24,1304,6120,1,1,1,0,Null,Null,Null);
UPDATE
	registar
SET
	potvrda = 1
WHERE
	imeprezime_id=1304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32" s="47" t="s">
        <v>0</v>
      </c>
    </row>
    <row r="33" spans="1:157" x14ac:dyDescent="0.25">
      <c r="A33" t="s">
        <v>0</v>
      </c>
      <c r="B33" s="52" t="str">
        <f>IF(csv!F23="","",csv!T23)</f>
        <v>M14</v>
      </c>
      <c r="C33" s="31" t="s">
        <v>0</v>
      </c>
      <c r="D33" s="31" t="str">
        <f>IF(csv!F23="","",csv!F23)</f>
        <v>Tristan</v>
      </c>
      <c r="E33" s="31" t="str">
        <f>IF(csv!E23="","",csv!E23)</f>
        <v>Ilić</v>
      </c>
      <c r="F33" s="31" t="s">
        <v>0</v>
      </c>
      <c r="G33" s="73" t="str">
        <f>IF(csv!M23="","",csv!M23)</f>
        <v/>
      </c>
      <c r="H33" s="73" t="str">
        <f>IF(csv!N23="","",csv!N23)</f>
        <v>1</v>
      </c>
      <c r="I33" s="31" t="s">
        <v>0</v>
      </c>
      <c r="J33" s="31" t="str">
        <f>IF(csv!P23="","",csv!P23)</f>
        <v>Vihor</v>
      </c>
      <c r="K33" s="31" t="str">
        <f>IF(csv!Q23="","",csv!Q23)</f>
        <v>OK Vihor</v>
      </c>
      <c r="L33" s="31" t="s">
        <v>0</v>
      </c>
      <c r="M33" s="66" t="str">
        <f>IF(csv!R23="","",csv!R23)</f>
        <v>CRO</v>
      </c>
      <c r="N33" s="47" t="s">
        <v>0</v>
      </c>
      <c r="O33" s="243" t="str">
        <f t="shared" si="36"/>
        <v>ok</v>
      </c>
      <c r="P33" s="47"/>
      <c r="Q33" s="52" t="str">
        <f t="shared" si="37"/>
        <v>M14</v>
      </c>
      <c r="R33" s="73">
        <f>IF(Q33="","",IF(COUNTIF(Q$12:Q32,Q33)=0,R32+1,R32))</f>
        <v>2</v>
      </c>
      <c r="S33" s="73">
        <f t="shared" si="38"/>
        <v>111</v>
      </c>
      <c r="T33" s="73">
        <f t="shared" si="1"/>
        <v>21</v>
      </c>
      <c r="U33" s="66" t="str">
        <f t="shared" si="2"/>
        <v>M14 – Ž14</v>
      </c>
      <c r="V33" s="47" t="s">
        <v>0</v>
      </c>
      <c r="W33" s="222" t="str">
        <f t="shared" si="3"/>
        <v>M14</v>
      </c>
      <c r="X33" s="223">
        <f t="shared" si="4"/>
        <v>24</v>
      </c>
      <c r="Y33" s="47" t="s">
        <v>0</v>
      </c>
      <c r="Z33" s="52" t="str">
        <f t="shared" si="39"/>
        <v>CRO</v>
      </c>
      <c r="AA33" s="73">
        <f t="shared" si="5"/>
        <v>1</v>
      </c>
      <c r="AB33" s="31" t="str">
        <f t="shared" si="40"/>
        <v/>
      </c>
      <c r="AC33" s="66" t="str">
        <f>IF(AB33="","",MAX(AC$12:AC32)+1)</f>
        <v/>
      </c>
      <c r="AD33" s="47" t="s">
        <v>0</v>
      </c>
      <c r="AE33" s="125"/>
      <c r="AF33" s="47" t="s">
        <v>0</v>
      </c>
      <c r="AG33" s="19" t="str">
        <f t="shared" si="41"/>
        <v/>
      </c>
      <c r="AH33" s="47" t="s">
        <v>0</v>
      </c>
      <c r="AI33" s="143" t="str">
        <f t="shared" si="42"/>
        <v>CRO</v>
      </c>
      <c r="AJ33" s="47"/>
      <c r="AK33" s="52" t="str">
        <f t="shared" si="43"/>
        <v>Tristan</v>
      </c>
      <c r="AL33" s="31" t="str">
        <f t="shared" si="44"/>
        <v>Ilić</v>
      </c>
      <c r="AM33" s="73">
        <f t="shared" si="45"/>
        <v>1887</v>
      </c>
      <c r="AN33" s="73" t="str">
        <f t="shared" si="46"/>
        <v/>
      </c>
      <c r="AO33" s="31" t="str">
        <f t="shared" si="8"/>
        <v>Tristan</v>
      </c>
      <c r="AP33" s="66" t="str">
        <f t="shared" si="9"/>
        <v>Ilić</v>
      </c>
      <c r="AQ33" s="47" t="s">
        <v>0</v>
      </c>
      <c r="AR33" s="82" t="str">
        <f t="shared" si="47"/>
        <v/>
      </c>
      <c r="AS33" s="47" t="s">
        <v>0</v>
      </c>
      <c r="AT33" s="19" t="str">
        <f t="shared" si="48"/>
        <v/>
      </c>
      <c r="AU33" s="47" t="s">
        <v>0</v>
      </c>
      <c r="AV33" s="103"/>
      <c r="AW33" s="105"/>
      <c r="AX33" s="47" t="s">
        <v>0</v>
      </c>
      <c r="AY33" s="256" t="str">
        <f t="shared" si="68"/>
        <v/>
      </c>
      <c r="AZ33" s="47" t="s">
        <v>0</v>
      </c>
      <c r="BA33" s="52" t="str">
        <f t="shared" si="11"/>
        <v/>
      </c>
      <c r="BB33" s="73" t="str">
        <f>IF(AV33&amp;AW33="","",MAX(BB$12:BB32)+1)</f>
        <v/>
      </c>
      <c r="BC33" s="268" t="str">
        <f t="shared" si="12"/>
        <v/>
      </c>
      <c r="BD33" s="53" t="str">
        <f>IF(AND(AM33="NEMA",AN33="NEMA",OR(AV33&amp;AW33="",BC33="NEMA")),MAX(BD$12:BD32)+1,"")</f>
        <v/>
      </c>
      <c r="BE33" s="47" t="s">
        <v>0</v>
      </c>
      <c r="BF33" s="52" t="str">
        <f t="shared" si="13"/>
        <v>Tristan</v>
      </c>
      <c r="BG33" s="31" t="str">
        <f t="shared" si="14"/>
        <v>Ilić</v>
      </c>
      <c r="BH33" s="73" t="str">
        <f t="shared" si="49"/>
        <v/>
      </c>
      <c r="BI33" s="53">
        <f t="shared" si="50"/>
        <v>1887</v>
      </c>
      <c r="BJ33" s="47" t="s">
        <v>0</v>
      </c>
      <c r="BK33" s="52" t="str">
        <f t="shared" si="15"/>
        <v>Vihor</v>
      </c>
      <c r="BL33" s="31" t="str">
        <f t="shared" si="16"/>
        <v>OK Vihor</v>
      </c>
      <c r="BM33" s="73">
        <f t="shared" si="17"/>
        <v>12</v>
      </c>
      <c r="BN33" s="73" t="str">
        <f t="shared" si="18"/>
        <v/>
      </c>
      <c r="BO33" s="31" t="str" cm="1">
        <f t="array" ref="BO33">IF(BN33="",""&amp;BL33,IF(BN33="NEMA",BL33,INDEX(regKlub_naziv,MATCH(INDEX(regKlub_alias_klubId,BN33),regKlub_id,0))))</f>
        <v>OK Vihor</v>
      </c>
      <c r="BP33" s="31" t="str" cm="1">
        <f t="array" ref="BP33">IFERROR(""&amp;INDEX(regNatjecatelj_klub,DY33),"")</f>
        <v>OK Vihor</v>
      </c>
      <c r="BQ33" s="88" t="str">
        <f t="shared" si="51"/>
        <v/>
      </c>
      <c r="BR33" s="66" t="str">
        <f t="shared" si="52"/>
        <v>OK Vihor</v>
      </c>
      <c r="BS33" s="47" t="s">
        <v>0</v>
      </c>
      <c r="BT33" s="82" t="str">
        <f>IF(BN33&lt;&gt;"NEMA","",IF(IFERROR(MATCH(BL33,BL$12:BL32,0),0)&lt;&gt;0,"",BL33))</f>
        <v/>
      </c>
      <c r="BU33" s="47" t="s">
        <v>0</v>
      </c>
      <c r="BV33" s="125"/>
      <c r="BW33" s="47" t="s">
        <v>0</v>
      </c>
      <c r="BX33" s="58" t="str">
        <f t="shared" si="53"/>
        <v/>
      </c>
      <c r="BY33" s="31" t="str">
        <f t="shared" si="54"/>
        <v/>
      </c>
      <c r="BZ33" s="31" t="str">
        <f>IF(BY33="","",MAX(BZ$12:BZ32)+1)</f>
        <v/>
      </c>
      <c r="CA33" s="31" t="str">
        <f>IF(BY33="","",IF(AA33="","",IF(AA33="NEMA",AC33,AA33)))</f>
        <v/>
      </c>
      <c r="CB33" s="31" t="str">
        <f t="shared" si="55"/>
        <v/>
      </c>
      <c r="CC33" s="31" t="str">
        <f>IF(BV33="","",MAX(CC$12:CC32)+1)</f>
        <v/>
      </c>
      <c r="CD33" s="31" t="str">
        <f t="shared" si="56"/>
        <v/>
      </c>
      <c r="CE33" s="66" t="str">
        <f t="shared" si="57"/>
        <v/>
      </c>
      <c r="CF33" s="47" t="s">
        <v>0</v>
      </c>
      <c r="CG33" s="73" t="str">
        <f>IF(BN33="","",IF(BN33&lt;&gt;"NEMA","",IFERROR(INDEX(nat_klubAliasId,MATCH(BL33,nat_noviKluboviAliasi,0)),"")))</f>
        <v/>
      </c>
      <c r="CH33" s="47"/>
      <c r="CI33" s="19" t="str">
        <f t="shared" si="58"/>
        <v/>
      </c>
      <c r="CJ33" s="47" t="s">
        <v>0</v>
      </c>
      <c r="CK33" s="52" t="str">
        <f>IF(X33&lt;&gt;"NEMA","",IF(IFERROR(MATCH(W33,W$12:W32,0),0)&lt;&gt;0,"",W33))</f>
        <v/>
      </c>
      <c r="CL33" s="73" t="str">
        <f>IF(CK33="","",IFERROR(INDEX(regKlub_alias_id,MATCH(CK33,regKlub_alias_alias,0)),"NEMA"))</f>
        <v/>
      </c>
      <c r="CM33" s="31" t="str">
        <f>IF(OR(CL33="",CL33&lt;&gt;"NEMA"),"",MAX(CM$12:CM32)+1)</f>
        <v/>
      </c>
      <c r="CN33" s="66" t="str">
        <f>IF(OR(CL33="",CL33&lt;&gt;"NEMA"),"",INDEX(regKlub_id,MATCH(CK33,regKlub_naziv,0)))</f>
        <v/>
      </c>
      <c r="CO33" s="47" t="s">
        <v>0</v>
      </c>
      <c r="CP33" s="19" t="str">
        <f>IF(OR(CL33="",CL33&lt;&gt;"NEMA"),"","INSERT INTO klub_alias(id,alias,klub_id) VALUES ("&amp;CM33&amp;",'"&amp;CK33&amp;"',"&amp;CN33&amp;");")</f>
        <v/>
      </c>
      <c r="CQ33" s="47" t="s">
        <v>0</v>
      </c>
      <c r="CR33" s="143" t="str">
        <f>IF(BR33="","",IF(BV33="",IF(IFERROR(MATCH(BR33,nat_noviKluboviAliasi,0),0)&gt;0,INDEX(nat_kluboviAliasi,MATCH(BR33,nat_noviKluboviAliasi,0)),BR33),BV33))</f>
        <v>OK Vihor</v>
      </c>
      <c r="CS33" s="47" t="s">
        <v>0</v>
      </c>
      <c r="CT33" s="58" t="str">
        <f>IF(G33="","",G33)</f>
        <v/>
      </c>
      <c r="CU33" s="73" t="str">
        <f>IF(H33="","",H33)</f>
        <v>1</v>
      </c>
      <c r="CV33" s="229" t="str">
        <f>IF(CT33="",IF(OR(AL33="",CU33&lt;&gt;"0"),"","GREŠKA"),IF(AND(65535&gt;=VALUE(LEFT(CT33,SEARCH(":",CT33)-1))*60+VALUE(RIGHT(CT33,2)),OR(CU33="0",CU33="1",CU33="2",CU33="3",CU33="4")),"","GREŠKA"))</f>
        <v/>
      </c>
      <c r="CW33" s="230" t="str">
        <f t="shared" si="59"/>
        <v/>
      </c>
      <c r="CX33" s="163">
        <f t="shared" si="24"/>
        <v>6</v>
      </c>
      <c r="CY33" s="47" t="s">
        <v>0</v>
      </c>
      <c r="CZ33" s="222" t="str">
        <f>IF(CV33&lt;&gt;"GREŠKA","",AK33&amp;" "&amp;AL33&amp;" – Molim u OEventu provjeriti i ispraviti rezultat – vrijeme ("&amp;IF(CT33="","nije upisano",CT33)&amp;") i classifier ("&amp;CU33&amp;").")&amp;IF(OR(CV33&lt;&gt;"GREŠKA",CX33&lt;&gt;5),"
","")&amp;IF(CX33&lt;&gt;5,"",AK33&amp;" "&amp;AL33&amp;" – Molim u provjeriti je li natjecatelj zaista diskvalificiran. Ako je koje je obrazloženje, ako nije molim u OEventu ispraviti rezultat")</f>
        <v xml:space="preserve">
</v>
      </c>
      <c r="DA33" s="223" t="e">
        <f t="shared" si="60"/>
        <v>#N/A</v>
      </c>
      <c r="DB33" s="47" t="s">
        <v>0</v>
      </c>
      <c r="DC33" s="47"/>
      <c r="DD33" s="47"/>
      <c r="DE33" s="47"/>
      <c r="DF33" s="47" t="s">
        <v>0</v>
      </c>
      <c r="DG33" s="53" t="str">
        <f>IF(BD33="","",IF(DI33="O",1,""))</f>
        <v/>
      </c>
      <c r="DH33" t="s">
        <v>0</v>
      </c>
      <c r="DI33" s="128" t="str">
        <f>IF(Q33="","",LEFT(INDEX(regKategorija_oznaka,MATCH(S33,regKategorija_id,0)),1))</f>
        <v>M</v>
      </c>
      <c r="DJ33" t="s">
        <v>0</v>
      </c>
      <c r="DK33" s="52" t="str">
        <f>IF(BD33="","",IF(M33&lt;&gt;"CRO","","INSERT INTO osoba (id,reg_broj,oib,spol_id,dat_rodjenja) VALUES ("&amp;BD33&amp;",(SELECT max(os.reg_broj)+1 FROM osoba AS os),Null,'"&amp;DI33&amp;"',Null); INSERT INTO osoba_log (id,reg_broj,oib,spol_id,dat_rodjenja,dnevnik_id) SELECT id,reg_broj,oib,spol_id,dat_rodjenja,"&amp;data_dnevnik_id&amp;" FROM osoba WHERE id = "&amp;BD33&amp;";"))</f>
        <v/>
      </c>
      <c r="DL33" s="66" t="str">
        <f>IF(BD33="","","INSERT INTO imeprezime (id,osoba_id,rbr,ime,prezime,klub_id,identitet_id,sintaksa_id,info,aktivno,dnevnik_id) VALUES ("&amp;BD33&amp;","&amp;IF(DK33="","Null",BD33)&amp;",1,'"&amp;IF(AV33&lt;&gt;"",AV33,AK33)&amp;"','"&amp;IF(AW33&lt;&gt;"",AW33,AL33)&amp;"',(SELECT id FROM klub WHERE naziv = '"&amp;CR33&amp;"'),Null,1,'',1,"&amp;data_dnevnik_id&amp;");")</f>
        <v/>
      </c>
      <c r="DM33" t="s">
        <v>0</v>
      </c>
      <c r="DN33" s="19" t="str">
        <f t="shared" si="69"/>
        <v/>
      </c>
      <c r="DO33" s="47" t="s">
        <v>0</v>
      </c>
      <c r="DP33" s="19" t="str">
        <f>IF(BA33="","","INSERT INTO imeprezime_alias(id,alias,imeprezime_id) VALUES ("&amp;BB33&amp;",'"&amp;BA33&amp;"',"&amp;IF(BC33="NEMA",BD33,BC33)&amp;");")</f>
        <v/>
      </c>
      <c r="DQ33" s="47" t="s">
        <v>0</v>
      </c>
      <c r="DR33" s="52" t="str">
        <f>IF(AL33="","",DU33 &amp; IF(Q33="",""," – " &amp; Q33))</f>
        <v>Tristan – Ilić – OK Vihor – M14</v>
      </c>
      <c r="DS33" s="53">
        <f t="shared" si="26"/>
        <v>703</v>
      </c>
      <c r="DT33" s="47" t="s">
        <v>0</v>
      </c>
      <c r="DU33" s="52" t="str">
        <f>IF(AL33="","",DX33 &amp; IF(CR33="",""," – " &amp; CR33))</f>
        <v>Tristan – Ilić – OK Vihor</v>
      </c>
      <c r="DV33" s="53">
        <f t="shared" si="27"/>
        <v>703</v>
      </c>
      <c r="DW33" s="47" t="s">
        <v>0</v>
      </c>
      <c r="DX33" s="52" t="str">
        <f>IF(BG33="","",BF33&amp;" – "&amp;BG33)</f>
        <v>Tristan – Ilić</v>
      </c>
      <c r="DY33" s="53">
        <f t="shared" si="28"/>
        <v>703</v>
      </c>
      <c r="DZ33" s="47" t="s">
        <v>0</v>
      </c>
      <c r="EA33" s="58">
        <f t="shared" si="61"/>
        <v>703</v>
      </c>
      <c r="EB33" s="53" cm="1">
        <f t="array" ref="EB33">IF(EA33&lt;&gt;"",INDEX(regNatjecatelj_id,EA33,0),IF(BD33&lt;&gt;"",BD33,""))</f>
        <v>1887</v>
      </c>
      <c r="EC33" s="47" t="s">
        <v>0</v>
      </c>
      <c r="ED33" s="58" t="str">
        <f>IF(AL33="","",IF(BD33&lt;&gt;"","novo",IF(AN33="","imepre","imepre(ali)")))</f>
        <v>imepre</v>
      </c>
      <c r="EE33" s="73" t="str">
        <f>IF(AL33="","",IF(BL33="",IF(IFERROR(INDEX(regNatjecatelj_klub,MATCH(EB33,regNatjecatelj_id,0)),"NEMA")="","klu",""),IF(OR(AND(BN33&lt;&gt;"",BN33&lt;&gt;"NEMA"),CD33&lt;&gt;""),"klu(ali)",IF(AND(BP33&lt;&gt;"",BP33&lt;&gt;BO33),"(raz-klu)","klu"))))</f>
        <v>klu</v>
      </c>
      <c r="EF33" s="73" t="str">
        <f>IF(AL33="","","kat"&amp;IF(AND(W33&lt;&gt;Q33,Q33&lt;&gt;"Open"),"(ali)",""))</f>
        <v>kat</v>
      </c>
      <c r="EG33" s="73" t="str">
        <f t="shared" si="29"/>
        <v/>
      </c>
      <c r="EH33" s="66" t="str">
        <f>IF(AL33="","",ED33&amp;IF(ED33="novo","","-"&amp;EE33&amp;"-"&amp;EF33)&amp;IF(EG33="","","-"&amp;EG33))</f>
        <v>imepre-klu-kat</v>
      </c>
      <c r="EI33" s="47" t="s">
        <v>0</v>
      </c>
      <c r="EJ33" s="58">
        <f>IF(AL33="","",MAX(EJ$12:EJ32)+1)</f>
        <v>211</v>
      </c>
      <c r="EK33" s="73">
        <f>IF(AO33="","",X33)</f>
        <v>24</v>
      </c>
      <c r="EL33" s="73">
        <f t="shared" si="62"/>
        <v>1887</v>
      </c>
      <c r="EM33" s="73" t="str">
        <f t="shared" si="30"/>
        <v/>
      </c>
      <c r="EN33" s="73">
        <f t="shared" si="31"/>
        <v>6</v>
      </c>
      <c r="EO33" s="73">
        <f t="shared" si="63"/>
        <v>1</v>
      </c>
      <c r="EP33" s="73">
        <f t="shared" si="64"/>
        <v>1</v>
      </c>
      <c r="EQ33" s="73" t="str">
        <f t="shared" si="34"/>
        <v>1</v>
      </c>
      <c r="ER33" s="73" t="str">
        <f>IF(OR(AN33="",AN33="NEMA"),BB33,AN33)</f>
        <v/>
      </c>
      <c r="ES33" s="73" t="str">
        <f>IF(AND(BN33&lt;&gt;"",BN33&lt;&gt;"NEMA"),BN33,IF(CG33&lt;&gt;"",CG33,IF(AND(CL33&lt;&gt;"",CL33&lt;&gt;"NEMA"),CL33,IF(CM33&lt;&gt;"",CM33,""))))</f>
        <v/>
      </c>
      <c r="ET33" s="53" t="str">
        <f>IF(INDEX(natKategorija_alias_Id,MATCH(S33,natKategorija_katRegId,0))="","",INDEX(natKategorija_alias_Id,MATCH(S33,natKategorija_katRegId,0)))</f>
        <v/>
      </c>
      <c r="EU33" s="47" t="s">
        <v>0</v>
      </c>
      <c r="EV33" s="19" t="str">
        <f t="shared" si="65"/>
        <v>INSERT INTO rezultat(id,stazakategorija_id,imeprezime_id,vrijeme_sec,status_id,registracija,uparivanje_id,originalstatus_id,imeprezimealias_id,klubalias_id,kategorijaalias_id) VALUES (211,24,1887,Null,6,1,1,1,Null,Null,Null);</v>
      </c>
      <c r="EW33" s="47" t="s">
        <v>0</v>
      </c>
      <c r="EX33" s="19" t="str">
        <f t="shared" si="66"/>
        <v>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33" s="47" t="s">
        <v>0</v>
      </c>
      <c r="EZ33" s="180" t="str">
        <f>AG33&amp;IF(CP33="","","
")&amp;CP33&amp;IF(CI33="","","
")&amp;CI33&amp;IF(DN33="","","
")&amp;DN33&amp;IF(DP33="","","
")&amp;DP33&amp;IF(EV33="","","
")&amp;EV33&amp;IF(EX33="","","
")&amp;EX33</f>
        <v xml:space="preserve">
INSERT INTO rezultat(id,stazakategorija_id,imeprezime_id,vrijeme_sec,status_id,registracija,uparivanje_id,originalstatus_id,imeprezimealias_id,klubalias_id,kategorijaalias_id) VALUES (211,24,1887,Null,6,1,1,1,Null,Null,Null);
UPDATE
	registar
SET
	potvrda = 1
WHERE
	imeprezime_id=1887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33" s="47" t="s">
        <v>0</v>
      </c>
    </row>
    <row r="34" spans="1:157" x14ac:dyDescent="0.25">
      <c r="A34" t="s">
        <v>0</v>
      </c>
      <c r="B34" s="52" t="str">
        <f>IF(csv!F24="","",csv!T24)</f>
        <v>M14</v>
      </c>
      <c r="C34" s="31" t="s">
        <v>0</v>
      </c>
      <c r="D34" s="31" t="str">
        <f>IF(csv!F24="","",csv!F24)</f>
        <v>Vacant</v>
      </c>
      <c r="E34" s="31" t="str">
        <f>IF(csv!E24="","",csv!E24)</f>
        <v/>
      </c>
      <c r="F34" s="31" t="s">
        <v>0</v>
      </c>
      <c r="G34" s="73" t="str">
        <f>IF(csv!M24="","",csv!M24)</f>
        <v/>
      </c>
      <c r="H34" s="73" t="str">
        <f>IF(csv!N24="","",csv!N24)</f>
        <v>0</v>
      </c>
      <c r="I34" s="31" t="s">
        <v>0</v>
      </c>
      <c r="J34" s="31" t="str">
        <f>IF(csv!P24="","",csv!P24)</f>
        <v/>
      </c>
      <c r="K34" s="31" t="str">
        <f>IF(csv!Q24="","",csv!Q24)</f>
        <v/>
      </c>
      <c r="L34" s="31" t="s">
        <v>0</v>
      </c>
      <c r="M34" s="66" t="str">
        <f>IF(csv!R24="","",csv!R24)</f>
        <v/>
      </c>
      <c r="N34" s="47" t="s">
        <v>0</v>
      </c>
      <c r="O34" s="243" t="str">
        <f t="shared" si="36"/>
        <v/>
      </c>
      <c r="P34" s="47"/>
      <c r="Q34" s="52" t="str">
        <f t="shared" si="37"/>
        <v>M14</v>
      </c>
      <c r="R34" s="73">
        <f>IF(Q34="","",IF(COUNTIF(Q$12:Q33,Q34)=0,R33+1,R33))</f>
        <v>2</v>
      </c>
      <c r="S34" s="73">
        <f t="shared" si="38"/>
        <v>111</v>
      </c>
      <c r="T34" s="73">
        <f t="shared" si="1"/>
        <v>21</v>
      </c>
      <c r="U34" s="66" t="str">
        <f t="shared" si="2"/>
        <v>M14 – Ž14</v>
      </c>
      <c r="V34" s="47" t="s">
        <v>0</v>
      </c>
      <c r="W34" s="222" t="str">
        <f t="shared" si="3"/>
        <v/>
      </c>
      <c r="X34" s="223" t="str">
        <f t="shared" si="4"/>
        <v/>
      </c>
      <c r="Y34" s="47" t="s">
        <v>0</v>
      </c>
      <c r="Z34" s="52" t="str">
        <f t="shared" si="39"/>
        <v/>
      </c>
      <c r="AA34" s="73" t="str">
        <f t="shared" si="5"/>
        <v/>
      </c>
      <c r="AB34" s="31" t="str">
        <f t="shared" si="40"/>
        <v/>
      </c>
      <c r="AC34" s="66" t="str">
        <f>IF(AB34="","",MAX(AC$12:AC33)+1)</f>
        <v/>
      </c>
      <c r="AD34" s="47" t="s">
        <v>0</v>
      </c>
      <c r="AE34" s="125"/>
      <c r="AF34" s="47" t="s">
        <v>0</v>
      </c>
      <c r="AG34" s="19" t="str">
        <f t="shared" si="41"/>
        <v/>
      </c>
      <c r="AH34" s="47" t="s">
        <v>0</v>
      </c>
      <c r="AI34" s="143" t="str">
        <f t="shared" si="42"/>
        <v/>
      </c>
      <c r="AJ34" s="47"/>
      <c r="AK34" s="52" t="str">
        <f t="shared" si="43"/>
        <v/>
      </c>
      <c r="AL34" s="31" t="str">
        <f t="shared" si="44"/>
        <v/>
      </c>
      <c r="AM34" s="73" t="str">
        <f t="shared" si="45"/>
        <v/>
      </c>
      <c r="AN34" s="73" t="str">
        <f t="shared" si="46"/>
        <v/>
      </c>
      <c r="AO34" s="31" t="str">
        <f t="shared" si="8"/>
        <v/>
      </c>
      <c r="AP34" s="66" t="str">
        <f t="shared" si="9"/>
        <v/>
      </c>
      <c r="AQ34" s="47" t="s">
        <v>0</v>
      </c>
      <c r="AR34" s="82" t="str">
        <f t="shared" si="47"/>
        <v/>
      </c>
      <c r="AS34" s="47" t="s">
        <v>0</v>
      </c>
      <c r="AT34" s="19" t="str">
        <f t="shared" si="48"/>
        <v/>
      </c>
      <c r="AU34" s="47" t="s">
        <v>0</v>
      </c>
      <c r="AV34" s="103"/>
      <c r="AW34" s="105"/>
      <c r="AX34" s="47" t="s">
        <v>0</v>
      </c>
      <c r="AY34" s="256" t="str">
        <f t="shared" si="68"/>
        <v/>
      </c>
      <c r="AZ34" s="47" t="s">
        <v>0</v>
      </c>
      <c r="BA34" s="52" t="str">
        <f t="shared" si="11"/>
        <v/>
      </c>
      <c r="BB34" s="73" t="str">
        <f>IF(AV34&amp;AW34="","",MAX(BB$12:BB33)+1)</f>
        <v/>
      </c>
      <c r="BC34" s="268" t="str">
        <f t="shared" si="12"/>
        <v/>
      </c>
      <c r="BD34" s="53" t="str">
        <f>IF(AND(AM34="NEMA",AN34="NEMA",OR(AV34&amp;AW34="",BC34="NEMA")),MAX(BD$12:BD33)+1,"")</f>
        <v/>
      </c>
      <c r="BE34" s="47" t="s">
        <v>0</v>
      </c>
      <c r="BF34" s="52" t="str">
        <f t="shared" si="13"/>
        <v/>
      </c>
      <c r="BG34" s="31" t="str">
        <f t="shared" si="14"/>
        <v/>
      </c>
      <c r="BH34" s="73" t="str">
        <f t="shared" si="49"/>
        <v/>
      </c>
      <c r="BI34" s="53" t="str">
        <f t="shared" si="50"/>
        <v/>
      </c>
      <c r="BJ34" s="47" t="s">
        <v>0</v>
      </c>
      <c r="BK34" s="52" t="str">
        <f t="shared" si="15"/>
        <v/>
      </c>
      <c r="BL34" s="31" t="str">
        <f t="shared" si="16"/>
        <v/>
      </c>
      <c r="BM34" s="73" t="str">
        <f t="shared" si="17"/>
        <v/>
      </c>
      <c r="BN34" s="73" t="str">
        <f t="shared" si="18"/>
        <v/>
      </c>
      <c r="BO34" s="31" t="str" cm="1">
        <f t="array" ref="BO34">IF(BN34="",""&amp;BL34,IF(BN34="NEMA",BL34,INDEX(regKlub_naziv,MATCH(INDEX(regKlub_alias_klubId,BN34),regKlub_id,0))))</f>
        <v/>
      </c>
      <c r="BP34" s="31" t="str" cm="1">
        <f t="array" ref="BP34">IFERROR(""&amp;INDEX(regNatjecatelj_klub,DY34),"")</f>
        <v/>
      </c>
      <c r="BQ34" s="88" t="str">
        <f t="shared" si="51"/>
        <v/>
      </c>
      <c r="BR34" s="66" t="str">
        <f t="shared" si="52"/>
        <v/>
      </c>
      <c r="BS34" s="47" t="s">
        <v>0</v>
      </c>
      <c r="BT34" s="82" t="str">
        <f>IF(BN34&lt;&gt;"NEMA","",IF(IFERROR(MATCH(BL34,BL$12:BL33,0),0)&lt;&gt;0,"",BL34))</f>
        <v/>
      </c>
      <c r="BU34" s="47" t="s">
        <v>0</v>
      </c>
      <c r="BV34" s="125"/>
      <c r="BW34" s="47" t="s">
        <v>0</v>
      </c>
      <c r="BX34" s="58" t="str">
        <f t="shared" si="53"/>
        <v/>
      </c>
      <c r="BY34" s="31" t="str">
        <f t="shared" si="54"/>
        <v/>
      </c>
      <c r="BZ34" s="31" t="str">
        <f>IF(BY34="","",MAX(BZ$12:BZ33)+1)</f>
        <v/>
      </c>
      <c r="CA34" s="31" t="str">
        <f>IF(BY34="","",IF(AA34="","",IF(AA34="NEMA",AC34,AA34)))</f>
        <v/>
      </c>
      <c r="CB34" s="31" t="str">
        <f t="shared" si="55"/>
        <v/>
      </c>
      <c r="CC34" s="31" t="str">
        <f>IF(BV34="","",MAX(CC$12:CC33)+1)</f>
        <v/>
      </c>
      <c r="CD34" s="31" t="str">
        <f t="shared" si="56"/>
        <v/>
      </c>
      <c r="CE34" s="66" t="str">
        <f t="shared" si="57"/>
        <v/>
      </c>
      <c r="CF34" s="47" t="s">
        <v>0</v>
      </c>
      <c r="CG34" s="73" t="str">
        <f>IF(BN34="","",IF(BN34&lt;&gt;"NEMA","",IFERROR(INDEX(nat_klubAliasId,MATCH(BL34,nat_noviKluboviAliasi,0)),"")))</f>
        <v/>
      </c>
      <c r="CH34" s="47"/>
      <c r="CI34" s="19" t="str">
        <f t="shared" si="58"/>
        <v/>
      </c>
      <c r="CJ34" s="47" t="s">
        <v>0</v>
      </c>
      <c r="CK34" s="52" t="str">
        <f>IF(X34&lt;&gt;"NEMA","",IF(IFERROR(MATCH(W34,W$12:W33,0),0)&lt;&gt;0,"",W34))</f>
        <v/>
      </c>
      <c r="CL34" s="73" t="str">
        <f>IF(CK34="","",IFERROR(INDEX(regKlub_alias_id,MATCH(CK34,regKlub_alias_alias,0)),"NEMA"))</f>
        <v/>
      </c>
      <c r="CM34" s="31" t="str">
        <f>IF(OR(CL34="",CL34&lt;&gt;"NEMA"),"",MAX(CM$12:CM33)+1)</f>
        <v/>
      </c>
      <c r="CN34" s="66" t="str">
        <f>IF(OR(CL34="",CL34&lt;&gt;"NEMA"),"",INDEX(regKlub_id,MATCH(CK34,regKlub_naziv,0)))</f>
        <v/>
      </c>
      <c r="CO34" s="47" t="s">
        <v>0</v>
      </c>
      <c r="CP34" s="19" t="str">
        <f>IF(OR(CL34="",CL34&lt;&gt;"NEMA"),"","INSERT INTO klub_alias(id,alias,klub_id) VALUES ("&amp;CM34&amp;",'"&amp;CK34&amp;"',"&amp;CN34&amp;");")</f>
        <v/>
      </c>
      <c r="CQ34" s="47" t="s">
        <v>0</v>
      </c>
      <c r="CR34" s="143" t="str">
        <f>IF(BR34="","",IF(BV34="",IF(IFERROR(MATCH(BR34,nat_noviKluboviAliasi,0),0)&gt;0,INDEX(nat_kluboviAliasi,MATCH(BR34,nat_noviKluboviAliasi,0)),BR34),BV34))</f>
        <v/>
      </c>
      <c r="CS34" s="47" t="s">
        <v>0</v>
      </c>
      <c r="CT34" s="58" t="str">
        <f>IF(G34="","",G34)</f>
        <v/>
      </c>
      <c r="CU34" s="73" t="str">
        <f>IF(H34="","",H34)</f>
        <v>0</v>
      </c>
      <c r="CV34" s="229" t="str">
        <f>IF(CT34="",IF(OR(AL34="",CU34&lt;&gt;"0"),"","GREŠKA"),IF(AND(65535&gt;=VALUE(LEFT(CT34,SEARCH(":",CT34)-1))*60+VALUE(RIGHT(CT34,2)),OR(CU34="0",CU34="1",CU34="2",CU34="3",CU34="4")),"","GREŠKA"))</f>
        <v/>
      </c>
      <c r="CW34" s="230" t="str">
        <f t="shared" si="59"/>
        <v/>
      </c>
      <c r="CX34" s="163" t="str">
        <f t="shared" si="24"/>
        <v/>
      </c>
      <c r="CY34" s="47" t="s">
        <v>0</v>
      </c>
      <c r="CZ34" s="222" t="str">
        <f>IF(CV34&lt;&gt;"GREŠKA","",AK34&amp;" "&amp;AL34&amp;" – Molim u OEventu provjeriti i ispraviti rezultat – vrijeme ("&amp;IF(CT34="","nije upisano",CT34)&amp;") i classifier ("&amp;CU34&amp;").")&amp;IF(OR(CV34&lt;&gt;"GREŠKA",CX34&lt;&gt;5),"
","")&amp;IF(CX34&lt;&gt;5,"",AK34&amp;" "&amp;AL34&amp;" – Molim u provjeriti je li natjecatelj zaista diskvalificiran. Ako je koje je obrazloženje, ako nije molim u OEventu ispraviti rezultat")</f>
        <v xml:space="preserve">
</v>
      </c>
      <c r="DA34" s="223" t="str">
        <f t="shared" si="60"/>
        <v/>
      </c>
      <c r="DB34" s="47" t="s">
        <v>0</v>
      </c>
      <c r="DC34" s="47"/>
      <c r="DD34" s="47"/>
      <c r="DE34" s="47"/>
      <c r="DF34" s="47" t="s">
        <v>0</v>
      </c>
      <c r="DG34" s="53" t="str">
        <f>IF(BD34="","",IF(DI34="O",1,""))</f>
        <v/>
      </c>
      <c r="DH34" t="s">
        <v>0</v>
      </c>
      <c r="DI34" s="128" t="str">
        <f>IF(Q34="","",LEFT(INDEX(regKategorija_oznaka,MATCH(S34,regKategorija_id,0)),1))</f>
        <v>M</v>
      </c>
      <c r="DJ34" t="s">
        <v>0</v>
      </c>
      <c r="DK34" s="52" t="str">
        <f>IF(BD34="","",IF(M34&lt;&gt;"CRO","","INSERT INTO osoba (id,reg_broj,oib,spol_id,dat_rodjenja) VALUES ("&amp;BD34&amp;",(SELECT max(os.reg_broj)+1 FROM osoba AS os),Null,'"&amp;DI34&amp;"',Null); INSERT INTO osoba_log (id,reg_broj,oib,spol_id,dat_rodjenja,dnevnik_id) SELECT id,reg_broj,oib,spol_id,dat_rodjenja,"&amp;data_dnevnik_id&amp;" FROM osoba WHERE id = "&amp;BD34&amp;";"))</f>
        <v/>
      </c>
      <c r="DL34" s="66" t="str">
        <f>IF(BD34="","","INSERT INTO imeprezime (id,osoba_id,rbr,ime,prezime,klub_id,identitet_id,sintaksa_id,info,aktivno,dnevnik_id) VALUES ("&amp;BD34&amp;","&amp;IF(DK34="","Null",BD34)&amp;",1,'"&amp;IF(AV34&lt;&gt;"",AV34,AK34)&amp;"','"&amp;IF(AW34&lt;&gt;"",AW34,AL34)&amp;"',(SELECT id FROM klub WHERE naziv = '"&amp;CR34&amp;"'),Null,1,'',1,"&amp;data_dnevnik_id&amp;");")</f>
        <v/>
      </c>
      <c r="DM34" t="s">
        <v>0</v>
      </c>
      <c r="DN34" s="19" t="str">
        <f t="shared" si="69"/>
        <v/>
      </c>
      <c r="DO34" s="47" t="s">
        <v>0</v>
      </c>
      <c r="DP34" s="19" t="str">
        <f>IF(BA34="","","INSERT INTO imeprezime_alias(id,alias,imeprezime_id) VALUES ("&amp;BB34&amp;",'"&amp;BA34&amp;"',"&amp;IF(BC34="NEMA",BD34,BC34)&amp;");")</f>
        <v/>
      </c>
      <c r="DQ34" s="47" t="s">
        <v>0</v>
      </c>
      <c r="DR34" s="52" t="str">
        <f>IF(AL34="","",DU34 &amp; IF(Q34="",""," – " &amp; Q34))</f>
        <v/>
      </c>
      <c r="DS34" s="53" t="str">
        <f t="shared" si="26"/>
        <v/>
      </c>
      <c r="DT34" s="47" t="s">
        <v>0</v>
      </c>
      <c r="DU34" s="52" t="str">
        <f>IF(AL34="","",DX34 &amp; IF(CR34="",""," – " &amp; CR34))</f>
        <v/>
      </c>
      <c r="DV34" s="53" t="str">
        <f t="shared" si="27"/>
        <v/>
      </c>
      <c r="DW34" s="47" t="s">
        <v>0</v>
      </c>
      <c r="DX34" s="52" t="str">
        <f>IF(BG34="","",BF34&amp;" – "&amp;BG34)</f>
        <v/>
      </c>
      <c r="DY34" s="53" t="str">
        <f t="shared" si="28"/>
        <v/>
      </c>
      <c r="DZ34" s="47" t="s">
        <v>0</v>
      </c>
      <c r="EA34" s="58" t="str">
        <f t="shared" si="61"/>
        <v/>
      </c>
      <c r="EB34" s="53" t="str" cm="1">
        <f t="array" ref="EB34">IF(EA34&lt;&gt;"",INDEX(regNatjecatelj_id,EA34,0),IF(BD34&lt;&gt;"",BD34,""))</f>
        <v/>
      </c>
      <c r="EC34" s="47" t="s">
        <v>0</v>
      </c>
      <c r="ED34" s="58" t="str">
        <f>IF(AL34="","",IF(BD34&lt;&gt;"","novo",IF(AN34="","imepre","imepre(ali)")))</f>
        <v/>
      </c>
      <c r="EE34" s="73" t="str">
        <f>IF(AL34="","",IF(BL34="",IF(IFERROR(INDEX(regNatjecatelj_klub,MATCH(EB34,regNatjecatelj_id,0)),"NEMA")="","klu",""),IF(OR(AND(BN34&lt;&gt;"",BN34&lt;&gt;"NEMA"),CD34&lt;&gt;""),"klu(ali)",IF(AND(BP34&lt;&gt;"",BP34&lt;&gt;BO34),"(raz-klu)","klu"))))</f>
        <v/>
      </c>
      <c r="EF34" s="73" t="str">
        <f>IF(AL34="","","kat"&amp;IF(AND(W34&lt;&gt;Q34,Q34&lt;&gt;"Open"),"(ali)",""))</f>
        <v/>
      </c>
      <c r="EG34" s="73" t="str">
        <f t="shared" si="29"/>
        <v/>
      </c>
      <c r="EH34" s="66" t="str">
        <f>IF(AL34="","",ED34&amp;IF(ED34="novo","","-"&amp;EE34&amp;"-"&amp;EF34)&amp;IF(EG34="","","-"&amp;EG34))</f>
        <v/>
      </c>
      <c r="EI34" s="47" t="s">
        <v>0</v>
      </c>
      <c r="EJ34" s="58" t="str">
        <f>IF(AL34="","",MAX(EJ$12:EJ33)+1)</f>
        <v/>
      </c>
      <c r="EK34" s="73" t="str">
        <f>IF(AO34="","",X34)</f>
        <v/>
      </c>
      <c r="EL34" s="73" t="str">
        <f t="shared" si="62"/>
        <v/>
      </c>
      <c r="EM34" s="73" t="str">
        <f t="shared" si="30"/>
        <v/>
      </c>
      <c r="EN34" s="73" t="str">
        <f t="shared" si="31"/>
        <v/>
      </c>
      <c r="EO34" s="73" t="str">
        <f t="shared" si="63"/>
        <v/>
      </c>
      <c r="EP34" s="73" t="str">
        <f t="shared" si="64"/>
        <v/>
      </c>
      <c r="EQ34" s="73" t="str">
        <f t="shared" si="34"/>
        <v/>
      </c>
      <c r="ER34" s="73" t="str">
        <f>IF(OR(AN34="",AN34="NEMA"),BB34,AN34)</f>
        <v/>
      </c>
      <c r="ES34" s="73" t="str">
        <f>IF(AND(BN34&lt;&gt;"",BN34&lt;&gt;"NEMA"),BN34,IF(CG34&lt;&gt;"",CG34,IF(AND(CL34&lt;&gt;"",CL34&lt;&gt;"NEMA"),CL34,IF(CM34&lt;&gt;"",CM34,""))))</f>
        <v/>
      </c>
      <c r="ET34" s="53" t="str">
        <f>IF(INDEX(natKategorija_alias_Id,MATCH(S34,natKategorija_katRegId,0))="","",INDEX(natKategorija_alias_Id,MATCH(S34,natKategorija_katRegId,0)))</f>
        <v/>
      </c>
      <c r="EU34" s="47" t="s">
        <v>0</v>
      </c>
      <c r="EV34" s="19" t="str">
        <f t="shared" si="65"/>
        <v/>
      </c>
      <c r="EW34" s="47" t="s">
        <v>0</v>
      </c>
      <c r="EX34" s="19" t="str">
        <f t="shared" si="66"/>
        <v/>
      </c>
      <c r="EY34" s="47" t="s">
        <v>0</v>
      </c>
      <c r="EZ34" s="180" t="str">
        <f>AG34&amp;IF(CP34="","","
")&amp;CP34&amp;IF(CI34="","","
")&amp;CI34&amp;IF(DN34="","","
")&amp;DN34&amp;IF(DP34="","","
")&amp;DP34&amp;IF(EV34="","","
")&amp;EV34&amp;IF(EX34="","","
")&amp;EX34</f>
        <v/>
      </c>
      <c r="FA34" s="47" t="s">
        <v>0</v>
      </c>
    </row>
    <row r="35" spans="1:157" x14ac:dyDescent="0.25">
      <c r="A35" t="s">
        <v>0</v>
      </c>
      <c r="B35" s="52" t="str">
        <f>IF(csv!F25="","",csv!T25)</f>
        <v>M14</v>
      </c>
      <c r="C35" s="31" t="s">
        <v>0</v>
      </c>
      <c r="D35" s="31" t="str">
        <f>IF(csv!F25="","",csv!F25)</f>
        <v>Vacant</v>
      </c>
      <c r="E35" s="31" t="str">
        <f>IF(csv!E25="","",csv!E25)</f>
        <v/>
      </c>
      <c r="F35" s="31" t="s">
        <v>0</v>
      </c>
      <c r="G35" s="73" t="str">
        <f>IF(csv!M25="","",csv!M25)</f>
        <v/>
      </c>
      <c r="H35" s="73" t="str">
        <f>IF(csv!N25="","",csv!N25)</f>
        <v>0</v>
      </c>
      <c r="I35" s="31" t="s">
        <v>0</v>
      </c>
      <c r="J35" s="31" t="str">
        <f>IF(csv!P25="","",csv!P25)</f>
        <v/>
      </c>
      <c r="K35" s="31" t="str">
        <f>IF(csv!Q25="","",csv!Q25)</f>
        <v/>
      </c>
      <c r="L35" s="31" t="s">
        <v>0</v>
      </c>
      <c r="M35" s="66" t="str">
        <f>IF(csv!R25="","",csv!R25)</f>
        <v/>
      </c>
      <c r="N35" s="47" t="s">
        <v>0</v>
      </c>
      <c r="O35" s="243" t="str">
        <f t="shared" si="36"/>
        <v/>
      </c>
      <c r="P35" s="47"/>
      <c r="Q35" s="52" t="str">
        <f t="shared" si="37"/>
        <v>M14</v>
      </c>
      <c r="R35" s="73">
        <f>IF(Q35="","",IF(COUNTIF(Q$12:Q34,Q35)=0,R34+1,R34))</f>
        <v>2</v>
      </c>
      <c r="S35" s="73">
        <f t="shared" si="38"/>
        <v>111</v>
      </c>
      <c r="T35" s="73">
        <f t="shared" si="1"/>
        <v>21</v>
      </c>
      <c r="U35" s="66" t="str">
        <f t="shared" si="2"/>
        <v>M14 – Ž14</v>
      </c>
      <c r="V35" s="47" t="s">
        <v>0</v>
      </c>
      <c r="W35" s="222" t="str">
        <f t="shared" si="3"/>
        <v/>
      </c>
      <c r="X35" s="223" t="str">
        <f t="shared" si="4"/>
        <v/>
      </c>
      <c r="Y35" s="47" t="s">
        <v>0</v>
      </c>
      <c r="Z35" s="52" t="str">
        <f t="shared" si="39"/>
        <v/>
      </c>
      <c r="AA35" s="73" t="str">
        <f t="shared" si="5"/>
        <v/>
      </c>
      <c r="AB35" s="31" t="str">
        <f t="shared" si="40"/>
        <v/>
      </c>
      <c r="AC35" s="66" t="str">
        <f>IF(AB35="","",MAX(AC$12:AC34)+1)</f>
        <v/>
      </c>
      <c r="AD35" s="47" t="s">
        <v>0</v>
      </c>
      <c r="AE35" s="125"/>
      <c r="AF35" s="47" t="s">
        <v>0</v>
      </c>
      <c r="AG35" s="19" t="str">
        <f t="shared" si="41"/>
        <v/>
      </c>
      <c r="AH35" s="47" t="s">
        <v>0</v>
      </c>
      <c r="AI35" s="143" t="str">
        <f t="shared" si="42"/>
        <v/>
      </c>
      <c r="AJ35" s="47"/>
      <c r="AK35" s="52" t="str">
        <f t="shared" si="43"/>
        <v/>
      </c>
      <c r="AL35" s="31" t="str">
        <f t="shared" si="44"/>
        <v/>
      </c>
      <c r="AM35" s="73" t="str">
        <f t="shared" si="45"/>
        <v/>
      </c>
      <c r="AN35" s="73" t="str">
        <f t="shared" si="46"/>
        <v/>
      </c>
      <c r="AO35" s="31" t="str">
        <f t="shared" si="8"/>
        <v/>
      </c>
      <c r="AP35" s="66" t="str">
        <f t="shared" si="9"/>
        <v/>
      </c>
      <c r="AQ35" s="47" t="s">
        <v>0</v>
      </c>
      <c r="AR35" s="82" t="str">
        <f t="shared" si="47"/>
        <v/>
      </c>
      <c r="AS35" s="47" t="s">
        <v>0</v>
      </c>
      <c r="AT35" s="19" t="str">
        <f t="shared" si="48"/>
        <v/>
      </c>
      <c r="AU35" s="47" t="s">
        <v>0</v>
      </c>
      <c r="AV35" s="103"/>
      <c r="AW35" s="105"/>
      <c r="AX35" s="47" t="s">
        <v>0</v>
      </c>
      <c r="AY35" s="256" t="str">
        <f t="shared" si="68"/>
        <v/>
      </c>
      <c r="AZ35" s="47" t="s">
        <v>0</v>
      </c>
      <c r="BA35" s="52" t="str">
        <f t="shared" si="11"/>
        <v/>
      </c>
      <c r="BB35" s="73" t="str">
        <f>IF(AV35&amp;AW35="","",MAX(BB$12:BB34)+1)</f>
        <v/>
      </c>
      <c r="BC35" s="268" t="str">
        <f t="shared" si="12"/>
        <v/>
      </c>
      <c r="BD35" s="53" t="str">
        <f>IF(AND(AM35="NEMA",AN35="NEMA",OR(AV35&amp;AW35="",BC35="NEMA")),MAX(BD$12:BD34)+1,"")</f>
        <v/>
      </c>
      <c r="BE35" s="47" t="s">
        <v>0</v>
      </c>
      <c r="BF35" s="52" t="str">
        <f t="shared" si="13"/>
        <v/>
      </c>
      <c r="BG35" s="31" t="str">
        <f t="shared" si="14"/>
        <v/>
      </c>
      <c r="BH35" s="73" t="str">
        <f t="shared" si="49"/>
        <v/>
      </c>
      <c r="BI35" s="53" t="str">
        <f t="shared" si="50"/>
        <v/>
      </c>
      <c r="BJ35" s="47" t="s">
        <v>0</v>
      </c>
      <c r="BK35" s="52" t="str">
        <f t="shared" si="15"/>
        <v/>
      </c>
      <c r="BL35" s="31" t="str">
        <f t="shared" si="16"/>
        <v/>
      </c>
      <c r="BM35" s="73" t="str">
        <f t="shared" si="17"/>
        <v/>
      </c>
      <c r="BN35" s="73" t="str">
        <f t="shared" si="18"/>
        <v/>
      </c>
      <c r="BO35" s="31" t="str" cm="1">
        <f t="array" ref="BO35">IF(BN35="",""&amp;BL35,IF(BN35="NEMA",BL35,INDEX(regKlub_naziv,MATCH(INDEX(regKlub_alias_klubId,BN35),regKlub_id,0))))</f>
        <v/>
      </c>
      <c r="BP35" s="31" t="str" cm="1">
        <f t="array" ref="BP35">IFERROR(""&amp;INDEX(regNatjecatelj_klub,DY35),"")</f>
        <v/>
      </c>
      <c r="BQ35" s="88" t="str">
        <f t="shared" si="51"/>
        <v/>
      </c>
      <c r="BR35" s="66" t="str">
        <f t="shared" si="52"/>
        <v/>
      </c>
      <c r="BS35" s="47" t="s">
        <v>0</v>
      </c>
      <c r="BT35" s="82" t="str">
        <f>IF(BN35&lt;&gt;"NEMA","",IF(IFERROR(MATCH(BL35,BL$12:BL34,0),0)&lt;&gt;0,"",BL35))</f>
        <v/>
      </c>
      <c r="BU35" s="47" t="s">
        <v>0</v>
      </c>
      <c r="BV35" s="125"/>
      <c r="BW35" s="47" t="s">
        <v>0</v>
      </c>
      <c r="BX35" s="58" t="str">
        <f t="shared" si="53"/>
        <v/>
      </c>
      <c r="BY35" s="31" t="str">
        <f t="shared" si="54"/>
        <v/>
      </c>
      <c r="BZ35" s="31" t="str">
        <f>IF(BY35="","",MAX(BZ$12:BZ34)+1)</f>
        <v/>
      </c>
      <c r="CA35" s="31" t="str">
        <f>IF(BY35="","",IF(AA35="","",IF(AA35="NEMA",AC35,AA35)))</f>
        <v/>
      </c>
      <c r="CB35" s="31" t="str">
        <f t="shared" si="55"/>
        <v/>
      </c>
      <c r="CC35" s="31" t="str">
        <f>IF(BV35="","",MAX(CC$12:CC34)+1)</f>
        <v/>
      </c>
      <c r="CD35" s="31" t="str">
        <f t="shared" si="56"/>
        <v/>
      </c>
      <c r="CE35" s="66" t="str">
        <f t="shared" si="57"/>
        <v/>
      </c>
      <c r="CF35" s="47" t="s">
        <v>0</v>
      </c>
      <c r="CG35" s="73" t="str">
        <f>IF(BN35="","",IF(BN35&lt;&gt;"NEMA","",IFERROR(INDEX(nat_klubAliasId,MATCH(BL35,nat_noviKluboviAliasi,0)),"")))</f>
        <v/>
      </c>
      <c r="CH35" s="47"/>
      <c r="CI35" s="19" t="str">
        <f t="shared" si="58"/>
        <v/>
      </c>
      <c r="CJ35" s="47" t="s">
        <v>0</v>
      </c>
      <c r="CK35" s="52" t="str">
        <f>IF(X35&lt;&gt;"NEMA","",IF(IFERROR(MATCH(W35,W$12:W34,0),0)&lt;&gt;0,"",W35))</f>
        <v/>
      </c>
      <c r="CL35" s="73" t="str">
        <f>IF(CK35="","",IFERROR(INDEX(regKlub_alias_id,MATCH(CK35,regKlub_alias_alias,0)),"NEMA"))</f>
        <v/>
      </c>
      <c r="CM35" s="31" t="str">
        <f>IF(OR(CL35="",CL35&lt;&gt;"NEMA"),"",MAX(CM$12:CM34)+1)</f>
        <v/>
      </c>
      <c r="CN35" s="66" t="str">
        <f>IF(OR(CL35="",CL35&lt;&gt;"NEMA"),"",INDEX(regKlub_id,MATCH(CK35,regKlub_naziv,0)))</f>
        <v/>
      </c>
      <c r="CO35" s="47" t="s">
        <v>0</v>
      </c>
      <c r="CP35" s="19" t="str">
        <f>IF(OR(CL35="",CL35&lt;&gt;"NEMA"),"","INSERT INTO klub_alias(id,alias,klub_id) VALUES ("&amp;CM35&amp;",'"&amp;CK35&amp;"',"&amp;CN35&amp;");")</f>
        <v/>
      </c>
      <c r="CQ35" s="47" t="s">
        <v>0</v>
      </c>
      <c r="CR35" s="143" t="str">
        <f>IF(BR35="","",IF(BV35="",IF(IFERROR(MATCH(BR35,nat_noviKluboviAliasi,0),0)&gt;0,INDEX(nat_kluboviAliasi,MATCH(BR35,nat_noviKluboviAliasi,0)),BR35),BV35))</f>
        <v/>
      </c>
      <c r="CS35" s="47" t="s">
        <v>0</v>
      </c>
      <c r="CT35" s="58" t="str">
        <f>IF(G35="","",G35)</f>
        <v/>
      </c>
      <c r="CU35" s="73" t="str">
        <f>IF(H35="","",H35)</f>
        <v>0</v>
      </c>
      <c r="CV35" s="229" t="str">
        <f>IF(CT35="",IF(OR(AL35="",CU35&lt;&gt;"0"),"","GREŠKA"),IF(AND(65535&gt;=VALUE(LEFT(CT35,SEARCH(":",CT35)-1))*60+VALUE(RIGHT(CT35,2)),OR(CU35="0",CU35="1",CU35="2",CU35="3",CU35="4")),"","GREŠKA"))</f>
        <v/>
      </c>
      <c r="CW35" s="230" t="str">
        <f t="shared" si="59"/>
        <v/>
      </c>
      <c r="CX35" s="163" t="str">
        <f t="shared" si="24"/>
        <v/>
      </c>
      <c r="CY35" s="47" t="s">
        <v>0</v>
      </c>
      <c r="CZ35" s="222" t="str">
        <f>IF(CV35&lt;&gt;"GREŠKA","",AK35&amp;" "&amp;AL35&amp;" – Molim u OEventu provjeriti i ispraviti rezultat – vrijeme ("&amp;IF(CT35="","nije upisano",CT35)&amp;") i classifier ("&amp;CU35&amp;").")&amp;IF(OR(CV35&lt;&gt;"GREŠKA",CX35&lt;&gt;5),"
","")&amp;IF(CX35&lt;&gt;5,"",AK35&amp;" "&amp;AL35&amp;" – Molim u provjeriti je li natjecatelj zaista diskvalificiran. Ako je koje je obrazloženje, ako nije molim u OEventu ispraviti rezultat")</f>
        <v xml:space="preserve">
</v>
      </c>
      <c r="DA35" s="223" t="str">
        <f t="shared" si="60"/>
        <v/>
      </c>
      <c r="DB35" s="47" t="s">
        <v>0</v>
      </c>
      <c r="DC35" s="47"/>
      <c r="DD35" s="47"/>
      <c r="DE35" s="47"/>
      <c r="DF35" s="47" t="s">
        <v>0</v>
      </c>
      <c r="DG35" s="53" t="str">
        <f>IF(BD35="","",IF(DI35="O",1,""))</f>
        <v/>
      </c>
      <c r="DH35" t="s">
        <v>0</v>
      </c>
      <c r="DI35" s="128" t="str">
        <f>IF(Q35="","",LEFT(INDEX(regKategorija_oznaka,MATCH(S35,regKategorija_id,0)),1))</f>
        <v>M</v>
      </c>
      <c r="DJ35" t="s">
        <v>0</v>
      </c>
      <c r="DK35" s="52" t="str">
        <f>IF(BD35="","",IF(M35&lt;&gt;"CRO","","INSERT INTO osoba (id,reg_broj,oib,spol_id,dat_rodjenja) VALUES ("&amp;BD35&amp;",(SELECT max(os.reg_broj)+1 FROM osoba AS os),Null,'"&amp;DI35&amp;"',Null); INSERT INTO osoba_log (id,reg_broj,oib,spol_id,dat_rodjenja,dnevnik_id) SELECT id,reg_broj,oib,spol_id,dat_rodjenja,"&amp;data_dnevnik_id&amp;" FROM osoba WHERE id = "&amp;BD35&amp;";"))</f>
        <v/>
      </c>
      <c r="DL35" s="66" t="str">
        <f>IF(BD35="","","INSERT INTO imeprezime (id,osoba_id,rbr,ime,prezime,klub_id,identitet_id,sintaksa_id,info,aktivno,dnevnik_id) VALUES ("&amp;BD35&amp;","&amp;IF(DK35="","Null",BD35)&amp;",1,'"&amp;IF(AV35&lt;&gt;"",AV35,AK35)&amp;"','"&amp;IF(AW35&lt;&gt;"",AW35,AL35)&amp;"',(SELECT id FROM klub WHERE naziv = '"&amp;CR35&amp;"'),Null,1,'',1,"&amp;data_dnevnik_id&amp;");")</f>
        <v/>
      </c>
      <c r="DM35" t="s">
        <v>0</v>
      </c>
      <c r="DN35" s="19" t="str">
        <f t="shared" si="69"/>
        <v/>
      </c>
      <c r="DO35" s="47" t="s">
        <v>0</v>
      </c>
      <c r="DP35" s="19" t="str">
        <f>IF(BA35="","","INSERT INTO imeprezime_alias(id,alias,imeprezime_id) VALUES ("&amp;BB35&amp;",'"&amp;BA35&amp;"',"&amp;IF(BC35="NEMA",BD35,BC35)&amp;");")</f>
        <v/>
      </c>
      <c r="DQ35" s="47" t="s">
        <v>0</v>
      </c>
      <c r="DR35" s="52" t="str">
        <f>IF(AL35="","",DU35 &amp; IF(Q35="",""," – " &amp; Q35))</f>
        <v/>
      </c>
      <c r="DS35" s="53" t="str">
        <f t="shared" si="26"/>
        <v/>
      </c>
      <c r="DT35" s="47" t="s">
        <v>0</v>
      </c>
      <c r="DU35" s="52" t="str">
        <f>IF(AL35="","",DX35 &amp; IF(CR35="",""," – " &amp; CR35))</f>
        <v/>
      </c>
      <c r="DV35" s="53" t="str">
        <f t="shared" si="27"/>
        <v/>
      </c>
      <c r="DW35" s="47" t="s">
        <v>0</v>
      </c>
      <c r="DX35" s="52" t="str">
        <f>IF(BG35="","",BF35&amp;" – "&amp;BG35)</f>
        <v/>
      </c>
      <c r="DY35" s="53" t="str">
        <f t="shared" si="28"/>
        <v/>
      </c>
      <c r="DZ35" s="47" t="s">
        <v>0</v>
      </c>
      <c r="EA35" s="58" t="str">
        <f t="shared" si="61"/>
        <v/>
      </c>
      <c r="EB35" s="53" t="str" cm="1">
        <f t="array" ref="EB35">IF(EA35&lt;&gt;"",INDEX(regNatjecatelj_id,EA35,0),IF(BD35&lt;&gt;"",BD35,""))</f>
        <v/>
      </c>
      <c r="EC35" s="47" t="s">
        <v>0</v>
      </c>
      <c r="ED35" s="58" t="str">
        <f>IF(AL35="","",IF(BD35&lt;&gt;"","novo",IF(AN35="","imepre","imepre(ali)")))</f>
        <v/>
      </c>
      <c r="EE35" s="73" t="str">
        <f>IF(AL35="","",IF(BL35="",IF(IFERROR(INDEX(regNatjecatelj_klub,MATCH(EB35,regNatjecatelj_id,0)),"NEMA")="","klu",""),IF(OR(AND(BN35&lt;&gt;"",BN35&lt;&gt;"NEMA"),CD35&lt;&gt;""),"klu(ali)",IF(AND(BP35&lt;&gt;"",BP35&lt;&gt;BO35),"(raz-klu)","klu"))))</f>
        <v/>
      </c>
      <c r="EF35" s="73" t="str">
        <f>IF(AL35="","","kat"&amp;IF(AND(W35&lt;&gt;Q35,Q35&lt;&gt;"Open"),"(ali)",""))</f>
        <v/>
      </c>
      <c r="EG35" s="73" t="str">
        <f t="shared" si="29"/>
        <v/>
      </c>
      <c r="EH35" s="66" t="str">
        <f>IF(AL35="","",ED35&amp;IF(ED35="novo","","-"&amp;EE35&amp;"-"&amp;EF35)&amp;IF(EG35="","","-"&amp;EG35))</f>
        <v/>
      </c>
      <c r="EI35" s="47" t="s">
        <v>0</v>
      </c>
      <c r="EJ35" s="58" t="str">
        <f>IF(AL35="","",MAX(EJ$12:EJ34)+1)</f>
        <v/>
      </c>
      <c r="EK35" s="73" t="str">
        <f>IF(AO35="","",X35)</f>
        <v/>
      </c>
      <c r="EL35" s="73" t="str">
        <f t="shared" si="62"/>
        <v/>
      </c>
      <c r="EM35" s="73" t="str">
        <f t="shared" si="30"/>
        <v/>
      </c>
      <c r="EN35" s="73" t="str">
        <f t="shared" si="31"/>
        <v/>
      </c>
      <c r="EO35" s="73" t="str">
        <f t="shared" si="63"/>
        <v/>
      </c>
      <c r="EP35" s="73" t="str">
        <f t="shared" si="64"/>
        <v/>
      </c>
      <c r="EQ35" s="73" t="str">
        <f t="shared" si="34"/>
        <v/>
      </c>
      <c r="ER35" s="73" t="str">
        <f>IF(OR(AN35="",AN35="NEMA"),BB35,AN35)</f>
        <v/>
      </c>
      <c r="ES35" s="73" t="str">
        <f>IF(AND(BN35&lt;&gt;"",BN35&lt;&gt;"NEMA"),BN35,IF(CG35&lt;&gt;"",CG35,IF(AND(CL35&lt;&gt;"",CL35&lt;&gt;"NEMA"),CL35,IF(CM35&lt;&gt;"",CM35,""))))</f>
        <v/>
      </c>
      <c r="ET35" s="53" t="str">
        <f>IF(INDEX(natKategorija_alias_Id,MATCH(S35,natKategorija_katRegId,0))="","",INDEX(natKategorija_alias_Id,MATCH(S35,natKategorija_katRegId,0)))</f>
        <v/>
      </c>
      <c r="EU35" s="47" t="s">
        <v>0</v>
      </c>
      <c r="EV35" s="19" t="str">
        <f t="shared" si="65"/>
        <v/>
      </c>
      <c r="EW35" s="47" t="s">
        <v>0</v>
      </c>
      <c r="EX35" s="19" t="str">
        <f t="shared" si="66"/>
        <v/>
      </c>
      <c r="EY35" s="47" t="s">
        <v>0</v>
      </c>
      <c r="EZ35" s="180" t="str">
        <f>AG35&amp;IF(CP35="","","
")&amp;CP35&amp;IF(CI35="","","
")&amp;CI35&amp;IF(DN35="","","
")&amp;DN35&amp;IF(DP35="","","
")&amp;DP35&amp;IF(EV35="","","
")&amp;EV35&amp;IF(EX35="","","
")&amp;EX35</f>
        <v/>
      </c>
      <c r="FA35" s="47" t="s">
        <v>0</v>
      </c>
    </row>
    <row r="36" spans="1:157" x14ac:dyDescent="0.25">
      <c r="A36" t="s">
        <v>0</v>
      </c>
      <c r="B36" s="52" t="str">
        <f>IF(csv!F26="","",csv!T26)</f>
        <v>M14</v>
      </c>
      <c r="C36" s="31" t="s">
        <v>0</v>
      </c>
      <c r="D36" s="31" t="str">
        <f>IF(csv!F26="","",csv!F26)</f>
        <v>Janko</v>
      </c>
      <c r="E36" s="31" t="str">
        <f>IF(csv!E26="","",csv!E26)</f>
        <v>Hodak</v>
      </c>
      <c r="F36" s="31" t="s">
        <v>0</v>
      </c>
      <c r="G36" s="73" t="str">
        <f>IF(csv!M26="","",csv!M26)</f>
        <v/>
      </c>
      <c r="H36" s="73" t="str">
        <f>IF(csv!N26="","",csv!N26)</f>
        <v>1</v>
      </c>
      <c r="I36" s="31" t="s">
        <v>0</v>
      </c>
      <c r="J36" s="31" t="str">
        <f>IF(csv!P26="","",csv!P26)</f>
        <v>Vihor</v>
      </c>
      <c r="K36" s="31" t="str">
        <f>IF(csv!Q26="","",csv!Q26)</f>
        <v>OK Vihor</v>
      </c>
      <c r="L36" s="31" t="s">
        <v>0</v>
      </c>
      <c r="M36" s="66" t="str">
        <f>IF(csv!R26="","",csv!R26)</f>
        <v>CRO</v>
      </c>
      <c r="N36" s="47" t="s">
        <v>0</v>
      </c>
      <c r="O36" s="243" t="str">
        <f t="shared" si="36"/>
        <v>ok</v>
      </c>
      <c r="P36" s="47"/>
      <c r="Q36" s="52" t="str">
        <f t="shared" si="37"/>
        <v>M14</v>
      </c>
      <c r="R36" s="73">
        <f>IF(Q36="","",IF(COUNTIF(Q$12:Q35,Q36)=0,R35+1,R35))</f>
        <v>2</v>
      </c>
      <c r="S36" s="73">
        <f t="shared" si="38"/>
        <v>111</v>
      </c>
      <c r="T36" s="73">
        <f t="shared" si="1"/>
        <v>21</v>
      </c>
      <c r="U36" s="66" t="str">
        <f t="shared" si="2"/>
        <v>M14 – Ž14</v>
      </c>
      <c r="V36" s="47" t="s">
        <v>0</v>
      </c>
      <c r="W36" s="222" t="str">
        <f t="shared" si="3"/>
        <v>M14</v>
      </c>
      <c r="X36" s="223">
        <f t="shared" si="4"/>
        <v>24</v>
      </c>
      <c r="Y36" s="47" t="s">
        <v>0</v>
      </c>
      <c r="Z36" s="52" t="str">
        <f t="shared" si="39"/>
        <v>CRO</v>
      </c>
      <c r="AA36" s="73">
        <f t="shared" si="5"/>
        <v>1</v>
      </c>
      <c r="AB36" s="31" t="str">
        <f t="shared" si="40"/>
        <v/>
      </c>
      <c r="AC36" s="66" t="str">
        <f>IF(AB36="","",MAX(AC$12:AC35)+1)</f>
        <v/>
      </c>
      <c r="AD36" s="47" t="s">
        <v>0</v>
      </c>
      <c r="AE36" s="125"/>
      <c r="AF36" s="47" t="s">
        <v>0</v>
      </c>
      <c r="AG36" s="19" t="str">
        <f t="shared" si="41"/>
        <v/>
      </c>
      <c r="AH36" s="47" t="s">
        <v>0</v>
      </c>
      <c r="AI36" s="143" t="str">
        <f t="shared" si="42"/>
        <v>CRO</v>
      </c>
      <c r="AJ36" s="47"/>
      <c r="AK36" s="52" t="str">
        <f t="shared" si="43"/>
        <v>Janko</v>
      </c>
      <c r="AL36" s="31" t="str">
        <f t="shared" si="44"/>
        <v>Hodak</v>
      </c>
      <c r="AM36" s="73">
        <f t="shared" si="45"/>
        <v>1557</v>
      </c>
      <c r="AN36" s="73" t="str">
        <f t="shared" si="46"/>
        <v/>
      </c>
      <c r="AO36" s="31" t="str">
        <f t="shared" si="8"/>
        <v>Janko</v>
      </c>
      <c r="AP36" s="66" t="str">
        <f t="shared" si="9"/>
        <v>Hodak</v>
      </c>
      <c r="AQ36" s="47" t="s">
        <v>0</v>
      </c>
      <c r="AR36" s="82" t="str">
        <f t="shared" si="47"/>
        <v/>
      </c>
      <c r="AS36" s="47" t="s">
        <v>0</v>
      </c>
      <c r="AT36" s="19" t="str">
        <f t="shared" si="48"/>
        <v/>
      </c>
      <c r="AU36" s="47" t="s">
        <v>0</v>
      </c>
      <c r="AV36" s="103"/>
      <c r="AW36" s="105"/>
      <c r="AX36" s="47" t="s">
        <v>0</v>
      </c>
      <c r="AY36" s="256" t="str">
        <f t="shared" si="68"/>
        <v/>
      </c>
      <c r="AZ36" s="47" t="s">
        <v>0</v>
      </c>
      <c r="BA36" s="52" t="str">
        <f t="shared" si="11"/>
        <v/>
      </c>
      <c r="BB36" s="73" t="str">
        <f>IF(AV36&amp;AW36="","",MAX(BB$12:BB35)+1)</f>
        <v/>
      </c>
      <c r="BC36" s="268" t="str">
        <f t="shared" si="12"/>
        <v/>
      </c>
      <c r="BD36" s="53" t="str">
        <f>IF(AND(AM36="NEMA",AN36="NEMA",OR(AV36&amp;AW36="",BC36="NEMA")),MAX(BD$12:BD35)+1,"")</f>
        <v/>
      </c>
      <c r="BE36" s="47" t="s">
        <v>0</v>
      </c>
      <c r="BF36" s="52" t="str">
        <f t="shared" si="13"/>
        <v>Janko</v>
      </c>
      <c r="BG36" s="31" t="str">
        <f t="shared" si="14"/>
        <v>Hodak</v>
      </c>
      <c r="BH36" s="73" t="str">
        <f t="shared" si="49"/>
        <v/>
      </c>
      <c r="BI36" s="53">
        <f t="shared" si="50"/>
        <v>1557</v>
      </c>
      <c r="BJ36" s="47" t="s">
        <v>0</v>
      </c>
      <c r="BK36" s="52" t="str">
        <f t="shared" si="15"/>
        <v>Vihor</v>
      </c>
      <c r="BL36" s="31" t="str">
        <f t="shared" si="16"/>
        <v>OK Vihor</v>
      </c>
      <c r="BM36" s="73">
        <f t="shared" si="17"/>
        <v>12</v>
      </c>
      <c r="BN36" s="73" t="str">
        <f t="shared" si="18"/>
        <v/>
      </c>
      <c r="BO36" s="31" t="str" cm="1">
        <f t="array" ref="BO36">IF(BN36="",""&amp;BL36,IF(BN36="NEMA",BL36,INDEX(regKlub_naziv,MATCH(INDEX(regKlub_alias_klubId,BN36),regKlub_id,0))))</f>
        <v>OK Vihor</v>
      </c>
      <c r="BP36" s="31" t="str" cm="1">
        <f t="array" ref="BP36">IFERROR(""&amp;INDEX(regNatjecatelj_klub,DY36),"")</f>
        <v>OK Vihor</v>
      </c>
      <c r="BQ36" s="88" t="str">
        <f t="shared" si="51"/>
        <v/>
      </c>
      <c r="BR36" s="66" t="str">
        <f t="shared" si="52"/>
        <v>OK Vihor</v>
      </c>
      <c r="BS36" s="47" t="s">
        <v>0</v>
      </c>
      <c r="BT36" s="82" t="str">
        <f>IF(BN36&lt;&gt;"NEMA","",IF(IFERROR(MATCH(BL36,BL$12:BL35,0),0)&lt;&gt;0,"",BL36))</f>
        <v/>
      </c>
      <c r="BU36" s="47" t="s">
        <v>0</v>
      </c>
      <c r="BV36" s="125"/>
      <c r="BW36" s="47" t="s">
        <v>0</v>
      </c>
      <c r="BX36" s="58" t="str">
        <f t="shared" si="53"/>
        <v/>
      </c>
      <c r="BY36" s="31" t="str">
        <f t="shared" si="54"/>
        <v/>
      </c>
      <c r="BZ36" s="31" t="str">
        <f>IF(BY36="","",MAX(BZ$12:BZ35)+1)</f>
        <v/>
      </c>
      <c r="CA36" s="31" t="str">
        <f>IF(BY36="","",IF(AA36="","",IF(AA36="NEMA",AC36,AA36)))</f>
        <v/>
      </c>
      <c r="CB36" s="31" t="str">
        <f t="shared" si="55"/>
        <v/>
      </c>
      <c r="CC36" s="31" t="str">
        <f>IF(BV36="","",MAX(CC$12:CC35)+1)</f>
        <v/>
      </c>
      <c r="CD36" s="31" t="str">
        <f t="shared" si="56"/>
        <v/>
      </c>
      <c r="CE36" s="66" t="str">
        <f t="shared" si="57"/>
        <v/>
      </c>
      <c r="CF36" s="47" t="s">
        <v>0</v>
      </c>
      <c r="CG36" s="73" t="str">
        <f>IF(BN36="","",IF(BN36&lt;&gt;"NEMA","",IFERROR(INDEX(nat_klubAliasId,MATCH(BL36,nat_noviKluboviAliasi,0)),"")))</f>
        <v/>
      </c>
      <c r="CH36" s="47"/>
      <c r="CI36" s="19" t="str">
        <f t="shared" si="58"/>
        <v/>
      </c>
      <c r="CJ36" s="47" t="s">
        <v>0</v>
      </c>
      <c r="CK36" s="52" t="str">
        <f>IF(X36&lt;&gt;"NEMA","",IF(IFERROR(MATCH(W36,W$12:W35,0),0)&lt;&gt;0,"",W36))</f>
        <v/>
      </c>
      <c r="CL36" s="73" t="str">
        <f>IF(CK36="","",IFERROR(INDEX(regKlub_alias_id,MATCH(CK36,regKlub_alias_alias,0)),"NEMA"))</f>
        <v/>
      </c>
      <c r="CM36" s="31" t="str">
        <f>IF(OR(CL36="",CL36&lt;&gt;"NEMA"),"",MAX(CM$12:CM35)+1)</f>
        <v/>
      </c>
      <c r="CN36" s="66" t="str">
        <f>IF(OR(CL36="",CL36&lt;&gt;"NEMA"),"",INDEX(regKlub_id,MATCH(CK36,regKlub_naziv,0)))</f>
        <v/>
      </c>
      <c r="CO36" s="47" t="s">
        <v>0</v>
      </c>
      <c r="CP36" s="19" t="str">
        <f>IF(OR(CL36="",CL36&lt;&gt;"NEMA"),"","INSERT INTO klub_alias(id,alias,klub_id) VALUES ("&amp;CM36&amp;",'"&amp;CK36&amp;"',"&amp;CN36&amp;");")</f>
        <v/>
      </c>
      <c r="CQ36" s="47" t="s">
        <v>0</v>
      </c>
      <c r="CR36" s="143" t="str">
        <f>IF(BR36="","",IF(BV36="",IF(IFERROR(MATCH(BR36,nat_noviKluboviAliasi,0),0)&gt;0,INDEX(nat_kluboviAliasi,MATCH(BR36,nat_noviKluboviAliasi,0)),BR36),BV36))</f>
        <v>OK Vihor</v>
      </c>
      <c r="CS36" s="47" t="s">
        <v>0</v>
      </c>
      <c r="CT36" s="58" t="str">
        <f>IF(G36="","",G36)</f>
        <v/>
      </c>
      <c r="CU36" s="73" t="str">
        <f>IF(H36="","",H36)</f>
        <v>1</v>
      </c>
      <c r="CV36" s="229" t="str">
        <f>IF(CT36="",IF(OR(AL36="",CU36&lt;&gt;"0"),"","GREŠKA"),IF(AND(65535&gt;=VALUE(LEFT(CT36,SEARCH(":",CT36)-1))*60+VALUE(RIGHT(CT36,2)),OR(CU36="0",CU36="1",CU36="2",CU36="3",CU36="4")),"","GREŠKA"))</f>
        <v/>
      </c>
      <c r="CW36" s="230" t="str">
        <f t="shared" si="59"/>
        <v/>
      </c>
      <c r="CX36" s="163">
        <f t="shared" si="24"/>
        <v>6</v>
      </c>
      <c r="CY36" s="47" t="s">
        <v>0</v>
      </c>
      <c r="CZ36" s="222" t="str">
        <f>IF(CV36&lt;&gt;"GREŠKA","",AK36&amp;" "&amp;AL36&amp;" – Molim u OEventu provjeriti i ispraviti rezultat – vrijeme ("&amp;IF(CT36="","nije upisano",CT36)&amp;") i classifier ("&amp;CU36&amp;").")&amp;IF(OR(CV36&lt;&gt;"GREŠKA",CX36&lt;&gt;5),"
","")&amp;IF(CX36&lt;&gt;5,"",AK36&amp;" "&amp;AL36&amp;" – Molim u provjeriti je li natjecatelj zaista diskvalificiran. Ako je koje je obrazloženje, ako nije molim u OEventu ispraviti rezultat")</f>
        <v xml:space="preserve">
</v>
      </c>
      <c r="DA36" s="223" t="e">
        <f t="shared" si="60"/>
        <v>#N/A</v>
      </c>
      <c r="DB36" s="47" t="s">
        <v>0</v>
      </c>
      <c r="DC36" s="47"/>
      <c r="DD36" s="47"/>
      <c r="DE36" s="47"/>
      <c r="DF36" s="47" t="s">
        <v>0</v>
      </c>
      <c r="DG36" s="53" t="str">
        <f>IF(BD36="","",IF(DI36="O",1,""))</f>
        <v/>
      </c>
      <c r="DH36" t="s">
        <v>0</v>
      </c>
      <c r="DI36" s="128" t="str">
        <f>IF(Q36="","",LEFT(INDEX(regKategorija_oznaka,MATCH(S36,regKategorija_id,0)),1))</f>
        <v>M</v>
      </c>
      <c r="DJ36" t="s">
        <v>0</v>
      </c>
      <c r="DK36" s="52" t="str">
        <f>IF(BD36="","",IF(M36&lt;&gt;"CRO","","INSERT INTO osoba (id,reg_broj,oib,spol_id,dat_rodjenja) VALUES ("&amp;BD36&amp;",(SELECT max(os.reg_broj)+1 FROM osoba AS os),Null,'"&amp;DI36&amp;"',Null); INSERT INTO osoba_log (id,reg_broj,oib,spol_id,dat_rodjenja,dnevnik_id) SELECT id,reg_broj,oib,spol_id,dat_rodjenja,"&amp;data_dnevnik_id&amp;" FROM osoba WHERE id = "&amp;BD36&amp;";"))</f>
        <v/>
      </c>
      <c r="DL36" s="66" t="str">
        <f>IF(BD36="","","INSERT INTO imeprezime (id,osoba_id,rbr,ime,prezime,klub_id,identitet_id,sintaksa_id,info,aktivno,dnevnik_id) VALUES ("&amp;BD36&amp;","&amp;IF(DK36="","Null",BD36)&amp;",1,'"&amp;IF(AV36&lt;&gt;"",AV36,AK36)&amp;"','"&amp;IF(AW36&lt;&gt;"",AW36,AL36)&amp;"',(SELECT id FROM klub WHERE naziv = '"&amp;CR36&amp;"'),Null,1,'',1,"&amp;data_dnevnik_id&amp;");")</f>
        <v/>
      </c>
      <c r="DM36" t="s">
        <v>0</v>
      </c>
      <c r="DN36" s="19" t="str">
        <f t="shared" si="69"/>
        <v/>
      </c>
      <c r="DO36" s="47" t="s">
        <v>0</v>
      </c>
      <c r="DP36" s="19" t="str">
        <f>IF(BA36="","","INSERT INTO imeprezime_alias(id,alias,imeprezime_id) VALUES ("&amp;BB36&amp;",'"&amp;BA36&amp;"',"&amp;IF(BC36="NEMA",BD36,BC36)&amp;");")</f>
        <v/>
      </c>
      <c r="DQ36" s="47" t="s">
        <v>0</v>
      </c>
      <c r="DR36" s="52" t="str">
        <f>IF(AL36="","",DU36 &amp; IF(Q36="",""," – " &amp; Q36))</f>
        <v>Janko – Hodak – OK Vihor – M14</v>
      </c>
      <c r="DS36" s="53">
        <f t="shared" si="26"/>
        <v>697</v>
      </c>
      <c r="DT36" s="47" t="s">
        <v>0</v>
      </c>
      <c r="DU36" s="52" t="str">
        <f>IF(AL36="","",DX36 &amp; IF(CR36="",""," – " &amp; CR36))</f>
        <v>Janko – Hodak – OK Vihor</v>
      </c>
      <c r="DV36" s="53">
        <f t="shared" si="27"/>
        <v>697</v>
      </c>
      <c r="DW36" s="47" t="s">
        <v>0</v>
      </c>
      <c r="DX36" s="52" t="str">
        <f>IF(BG36="","",BF36&amp;" – "&amp;BG36)</f>
        <v>Janko – Hodak</v>
      </c>
      <c r="DY36" s="53">
        <f t="shared" si="28"/>
        <v>697</v>
      </c>
      <c r="DZ36" s="47" t="s">
        <v>0</v>
      </c>
      <c r="EA36" s="58">
        <f t="shared" si="61"/>
        <v>697</v>
      </c>
      <c r="EB36" s="53" cm="1">
        <f t="array" ref="EB36">IF(EA36&lt;&gt;"",INDEX(regNatjecatelj_id,EA36,0),IF(BD36&lt;&gt;"",BD36,""))</f>
        <v>1557</v>
      </c>
      <c r="EC36" s="47" t="s">
        <v>0</v>
      </c>
      <c r="ED36" s="58" t="str">
        <f>IF(AL36="","",IF(BD36&lt;&gt;"","novo",IF(AN36="","imepre","imepre(ali)")))</f>
        <v>imepre</v>
      </c>
      <c r="EE36" s="73" t="str">
        <f>IF(AL36="","",IF(BL36="",IF(IFERROR(INDEX(regNatjecatelj_klub,MATCH(EB36,regNatjecatelj_id,0)),"NEMA")="","klu",""),IF(OR(AND(BN36&lt;&gt;"",BN36&lt;&gt;"NEMA"),CD36&lt;&gt;""),"klu(ali)",IF(AND(BP36&lt;&gt;"",BP36&lt;&gt;BO36),"(raz-klu)","klu"))))</f>
        <v>klu</v>
      </c>
      <c r="EF36" s="73" t="str">
        <f>IF(AL36="","","kat"&amp;IF(AND(W36&lt;&gt;Q36,Q36&lt;&gt;"Open"),"(ali)",""))</f>
        <v>kat</v>
      </c>
      <c r="EG36" s="73" t="str">
        <f t="shared" si="29"/>
        <v/>
      </c>
      <c r="EH36" s="66" t="str">
        <f>IF(AL36="","",ED36&amp;IF(ED36="novo","","-"&amp;EE36&amp;"-"&amp;EF36)&amp;IF(EG36="","","-"&amp;EG36))</f>
        <v>imepre-klu-kat</v>
      </c>
      <c r="EI36" s="47" t="s">
        <v>0</v>
      </c>
      <c r="EJ36" s="58">
        <f>IF(AL36="","",MAX(EJ$12:EJ35)+1)</f>
        <v>212</v>
      </c>
      <c r="EK36" s="73">
        <f>IF(AO36="","",X36)</f>
        <v>24</v>
      </c>
      <c r="EL36" s="73">
        <f t="shared" si="62"/>
        <v>1557</v>
      </c>
      <c r="EM36" s="73" t="str">
        <f t="shared" si="30"/>
        <v/>
      </c>
      <c r="EN36" s="73">
        <f t="shared" si="31"/>
        <v>6</v>
      </c>
      <c r="EO36" s="73">
        <f t="shared" si="63"/>
        <v>1</v>
      </c>
      <c r="EP36" s="73">
        <f t="shared" si="64"/>
        <v>1</v>
      </c>
      <c r="EQ36" s="73" t="str">
        <f t="shared" si="34"/>
        <v>1</v>
      </c>
      <c r="ER36" s="73" t="str">
        <f>IF(OR(AN36="",AN36="NEMA"),BB36,AN36)</f>
        <v/>
      </c>
      <c r="ES36" s="73" t="str">
        <f>IF(AND(BN36&lt;&gt;"",BN36&lt;&gt;"NEMA"),BN36,IF(CG36&lt;&gt;"",CG36,IF(AND(CL36&lt;&gt;"",CL36&lt;&gt;"NEMA"),CL36,IF(CM36&lt;&gt;"",CM36,""))))</f>
        <v/>
      </c>
      <c r="ET36" s="53" t="str">
        <f>IF(INDEX(natKategorija_alias_Id,MATCH(S36,natKategorija_katRegId,0))="","",INDEX(natKategorija_alias_Id,MATCH(S36,natKategorija_katRegId,0)))</f>
        <v/>
      </c>
      <c r="EU36" s="47" t="s">
        <v>0</v>
      </c>
      <c r="EV36" s="19" t="str">
        <f t="shared" si="65"/>
        <v>INSERT INTO rezultat(id,stazakategorija_id,imeprezime_id,vrijeme_sec,status_id,registracija,uparivanje_id,originalstatus_id,imeprezimealias_id,klubalias_id,kategorijaalias_id) VALUES (212,24,1557,Null,6,1,1,1,Null,Null,Null);</v>
      </c>
      <c r="EW36" s="47" t="s">
        <v>0</v>
      </c>
      <c r="EX36" s="19" t="str">
        <f t="shared" si="66"/>
        <v>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EY36" s="47" t="s">
        <v>0</v>
      </c>
      <c r="EZ36" s="180" t="str">
        <f>AG36&amp;IF(CP36="","","
")&amp;CP36&amp;IF(CI36="","","
")&amp;CI36&amp;IF(DN36="","","
")&amp;DN36&amp;IF(DP36="","","
")&amp;DP36&amp;IF(EV36="","","
")&amp;EV36&amp;IF(EX36="","","
")&amp;EX36</f>
        <v xml:space="preserve">
INSERT INTO rezultat(id,stazakategorija_id,imeprezime_id,vrijeme_sec,status_id,registracija,uparivanje_id,originalstatus_id,imeprezimealias_id,klubalias_id,kategorijaalias_id) VALUES (212,24,1557,Null,6,1,1,1,Null,Null,Null);
UPDATE
	registar
SET
	potvrda = 1
WHERE
	imeprezime_id=1557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24)
                         		AND
                         	kategorija_liga.liga_id = 101)
		AND
	datum_od &lt;= '2021-04-18'
    	AND
    datum_do is Null;</v>
      </c>
      <c r="FA36" s="47" t="s">
        <v>0</v>
      </c>
    </row>
    <row r="37" spans="1:157" x14ac:dyDescent="0.25">
      <c r="A37" t="s">
        <v>0</v>
      </c>
      <c r="B37" s="52" t="str">
        <f>IF(csv!F27="","",csv!T27)</f>
        <v>M16</v>
      </c>
      <c r="C37" s="31" t="s">
        <v>0</v>
      </c>
      <c r="D37" s="31" t="str">
        <f>IF(csv!F27="","",csv!F27)</f>
        <v>Jakov</v>
      </c>
      <c r="E37" s="31" t="str">
        <f>IF(csv!E27="","",csv!E27)</f>
        <v>Lesjak</v>
      </c>
      <c r="F37" s="31" t="s">
        <v>0</v>
      </c>
      <c r="G37" s="73" t="str">
        <f>IF(csv!M27="","",csv!M27)</f>
        <v>37:06</v>
      </c>
      <c r="H37" s="73" t="str">
        <f>IF(csv!N27="","",csv!N27)</f>
        <v>0</v>
      </c>
      <c r="I37" s="31" t="s">
        <v>0</v>
      </c>
      <c r="J37" s="31" t="str">
        <f>IF(csv!P27="","",csv!P27)</f>
        <v>JAP</v>
      </c>
      <c r="K37" s="31" t="str">
        <f>IF(csv!Q27="","",csv!Q27)</f>
        <v>OK Japetic</v>
      </c>
      <c r="L37" s="31" t="s">
        <v>0</v>
      </c>
      <c r="M37" s="66" t="str">
        <f>IF(csv!R27="","",csv!R27)</f>
        <v>CRO</v>
      </c>
      <c r="N37" s="47" t="s">
        <v>0</v>
      </c>
      <c r="O37" s="243" t="str">
        <f t="shared" si="36"/>
        <v>ok</v>
      </c>
      <c r="P37" s="47"/>
      <c r="Q37" s="52" t="str">
        <f t="shared" si="37"/>
        <v>M16</v>
      </c>
      <c r="R37" s="73">
        <f>IF(Q37="","",IF(COUNTIF(Q$12:Q36,Q37)=0,R36+1,R36))</f>
        <v>3</v>
      </c>
      <c r="S37" s="73">
        <f t="shared" si="38"/>
        <v>110</v>
      </c>
      <c r="T37" s="73">
        <f t="shared" si="1"/>
        <v>19</v>
      </c>
      <c r="U37" s="66" t="str">
        <f t="shared" si="2"/>
        <v>M21B – M16</v>
      </c>
      <c r="V37" s="47" t="s">
        <v>0</v>
      </c>
      <c r="W37" s="222" t="str">
        <f t="shared" si="3"/>
        <v>M16</v>
      </c>
      <c r="X37" s="223">
        <f t="shared" si="4"/>
        <v>25</v>
      </c>
      <c r="Y37" s="47" t="s">
        <v>0</v>
      </c>
      <c r="Z37" s="52" t="str">
        <f t="shared" si="39"/>
        <v>CRO</v>
      </c>
      <c r="AA37" s="73">
        <f t="shared" si="5"/>
        <v>1</v>
      </c>
      <c r="AB37" s="31" t="str">
        <f t="shared" si="40"/>
        <v/>
      </c>
      <c r="AC37" s="66" t="str">
        <f>IF(AB37="","",MAX(AC$12:AC36)+1)</f>
        <v/>
      </c>
      <c r="AD37" s="47" t="s">
        <v>0</v>
      </c>
      <c r="AE37" s="125"/>
      <c r="AF37" s="47" t="s">
        <v>0</v>
      </c>
      <c r="AG37" s="19" t="str">
        <f t="shared" si="41"/>
        <v/>
      </c>
      <c r="AH37" s="47" t="s">
        <v>0</v>
      </c>
      <c r="AI37" s="143" t="str">
        <f t="shared" si="42"/>
        <v>CRO</v>
      </c>
      <c r="AJ37" s="47"/>
      <c r="AK37" s="52" t="str">
        <f t="shared" si="43"/>
        <v>Jakov</v>
      </c>
      <c r="AL37" s="31" t="str">
        <f t="shared" si="44"/>
        <v>Lesjak</v>
      </c>
      <c r="AM37" s="73">
        <f t="shared" si="45"/>
        <v>1434</v>
      </c>
      <c r="AN37" s="73" t="str">
        <f t="shared" si="46"/>
        <v/>
      </c>
      <c r="AO37" s="31" t="str">
        <f t="shared" si="8"/>
        <v>Jakov</v>
      </c>
      <c r="AP37" s="66" t="str">
        <f t="shared" si="9"/>
        <v>Lesjak</v>
      </c>
      <c r="AQ37" s="47" t="s">
        <v>0</v>
      </c>
      <c r="AR37" s="82" t="str">
        <f t="shared" si="47"/>
        <v/>
      </c>
      <c r="AS37" s="47" t="s">
        <v>0</v>
      </c>
      <c r="AT37" s="19" t="str">
        <f t="shared" si="48"/>
        <v/>
      </c>
      <c r="AU37" s="47" t="s">
        <v>0</v>
      </c>
      <c r="AV37" s="103"/>
      <c r="AW37" s="105"/>
      <c r="AX37" s="47" t="s">
        <v>0</v>
      </c>
      <c r="AY37" s="256" t="str">
        <f t="shared" si="68"/>
        <v/>
      </c>
      <c r="AZ37" s="47" t="s">
        <v>0</v>
      </c>
      <c r="BA37" s="52" t="str">
        <f t="shared" si="11"/>
        <v/>
      </c>
      <c r="BB37" s="73" t="str">
        <f>IF(AV37&amp;AW37="","",MAX(BB$12:BB36)+1)</f>
        <v/>
      </c>
      <c r="BC37" s="268" t="str">
        <f t="shared" si="12"/>
        <v/>
      </c>
      <c r="BD37" s="53" t="str">
        <f>IF(AND(AM37="NEMA",AN37="NEMA",OR(AV37&amp;AW37="",BC37="NEMA")),MAX(BD$12:BD36)+1,"")</f>
        <v/>
      </c>
      <c r="BE37" s="47" t="s">
        <v>0</v>
      </c>
      <c r="BF37" s="52" t="str">
        <f t="shared" si="13"/>
        <v>Jakov</v>
      </c>
      <c r="BG37" s="31" t="str">
        <f t="shared" si="14"/>
        <v>Lesjak</v>
      </c>
      <c r="BH37" s="73" t="str">
        <f t="shared" si="49"/>
        <v/>
      </c>
      <c r="BI37" s="53">
        <f t="shared" si="50"/>
        <v>1434</v>
      </c>
      <c r="BJ37" s="47" t="s">
        <v>0</v>
      </c>
      <c r="BK37" s="52" t="str">
        <f t="shared" si="15"/>
        <v>JAP</v>
      </c>
      <c r="BL37" s="31" t="str">
        <f t="shared" si="16"/>
        <v>OK Japetic</v>
      </c>
      <c r="BM37" s="73" t="str">
        <f t="shared" si="17"/>
        <v>NEMA</v>
      </c>
      <c r="BN37" s="73">
        <f t="shared" si="18"/>
        <v>1</v>
      </c>
      <c r="BO37" s="31" t="str" cm="1">
        <f t="array" ref="BO37">IF(BN37="",""&amp;BL37,IF(BN37="NEMA",BL37,INDEX(regKlub_naziv,MATCH(INDEX(regKlub_alias_klubId,BN37),regKlub_id,0))))</f>
        <v>OK Japetić</v>
      </c>
      <c r="BP37" s="31" t="str" cm="1">
        <f t="array" ref="BP37">IFERROR(""&amp;INDEX(regNatjecatelj_klub,DY37),"")</f>
        <v>OK Japetić</v>
      </c>
      <c r="BQ37" s="88" t="str">
        <f t="shared" si="51"/>
        <v/>
      </c>
      <c r="BR37" s="66" t="str">
        <f t="shared" si="52"/>
        <v>OK Japetić</v>
      </c>
      <c r="BS37" s="47" t="s">
        <v>0</v>
      </c>
      <c r="BT37" s="82" t="str">
        <f>IF(BN37&lt;&gt;"NEMA","",IF(IFERROR(MATCH(BL37,BL$12:BL36,0),0)&lt;&gt;0,"",BL37))</f>
        <v/>
      </c>
      <c r="BU37" s="47" t="s">
        <v>0</v>
      </c>
      <c r="BV37" s="125"/>
      <c r="BW37" s="47" t="s">
        <v>0</v>
      </c>
      <c r="BX37" s="58" t="str">
        <f t="shared" si="53"/>
        <v/>
      </c>
      <c r="BY37" s="31" t="str">
        <f t="shared" si="54"/>
        <v/>
      </c>
      <c r="BZ37" s="31" t="str">
        <f>IF(BY37="","",MAX(BZ$12:BZ36)+1)</f>
        <v/>
      </c>
      <c r="CA37" s="31" t="str">
        <f>IF(BY37="","",IF(AA37="","",IF(AA37="NEMA",AC37,AA37)))</f>
        <v/>
      </c>
      <c r="CB37" s="31" t="str">
        <f t="shared" si="55"/>
        <v/>
      </c>
      <c r="CC37" s="31" t="str">
        <f>IF(BV37="","",MAX(CC$12:CC36)+1)</f>
        <v/>
      </c>
      <c r="CD37" s="31" t="str">
        <f t="shared" si="56"/>
        <v/>
      </c>
      <c r="CE37" s="66" t="str">
        <f t="shared" si="57"/>
        <v/>
      </c>
      <c r="CF37" s="47" t="s">
        <v>0</v>
      </c>
      <c r="CG37" s="73" t="str">
        <f>IF(BN37="","",IF(BN37&lt;&gt;"NEMA","",IFERROR(INDEX(nat_klubAliasId,MATCH(BL37,nat_noviKluboviAliasi,0)),"")))</f>
        <v/>
      </c>
      <c r="CH37" s="47"/>
      <c r="CI37" s="19" t="str">
        <f t="shared" si="58"/>
        <v/>
      </c>
      <c r="CJ37" s="47" t="s">
        <v>0</v>
      </c>
      <c r="CK37" s="52" t="str">
        <f>IF(X37&lt;&gt;"NEMA","",IF(IFERROR(MATCH(W37,W$12:W36,0),0)&lt;&gt;0,"",W37))</f>
        <v/>
      </c>
      <c r="CL37" s="73" t="str">
        <f>IF(CK37="","",IFERROR(INDEX(regKlub_alias_id,MATCH(CK37,regKlub_alias_alias,0)),"NEMA"))</f>
        <v/>
      </c>
      <c r="CM37" s="31" t="str">
        <f>IF(OR(CL37="",CL37&lt;&gt;"NEMA"),"",MAX(CM$12:CM36)+1)</f>
        <v/>
      </c>
      <c r="CN37" s="66" t="str">
        <f>IF(OR(CL37="",CL37&lt;&gt;"NEMA"),"",INDEX(regKlub_id,MATCH(CK37,regKlub_naziv,0)))</f>
        <v/>
      </c>
      <c r="CO37" s="47" t="s">
        <v>0</v>
      </c>
      <c r="CP37" s="19" t="str">
        <f>IF(OR(CL37="",CL37&lt;&gt;"NEMA"),"","INSERT INTO klub_alias(id,alias,klub_id) VALUES ("&amp;CM37&amp;",'"&amp;CK37&amp;"',"&amp;CN37&amp;");")</f>
        <v/>
      </c>
      <c r="CQ37" s="47" t="s">
        <v>0</v>
      </c>
      <c r="CR37" s="143" t="str">
        <f>IF(BR37="","",IF(BV37="",IF(IFERROR(MATCH(BR37,nat_noviKluboviAliasi,0),0)&gt;0,INDEX(nat_kluboviAliasi,MATCH(BR37,nat_noviKluboviAliasi,0)),BR37),BV37))</f>
        <v>OK Japetić</v>
      </c>
      <c r="CS37" s="47" t="s">
        <v>0</v>
      </c>
      <c r="CT37" s="58" t="str">
        <f>IF(G37="","",G37)</f>
        <v>37:06</v>
      </c>
      <c r="CU37" s="73" t="str">
        <f>IF(H37="","",H37)</f>
        <v>0</v>
      </c>
      <c r="CV37" s="229" t="str">
        <f>IF(CT37="",IF(OR(AL37="",CU37&lt;&gt;"0"),"","GREŠKA"),IF(AND(65535&gt;=VALUE(LEFT(CT37,SEARCH(":",CT37)-1))*60+VALUE(RIGHT(CT37,2)),OR(CU37="0",CU37="1",CU37="2",CU37="3",CU37="4")),"","GREŠKA"))</f>
        <v/>
      </c>
      <c r="CW37" s="230">
        <f t="shared" si="59"/>
        <v>2226</v>
      </c>
      <c r="CX37" s="163">
        <f t="shared" si="24"/>
        <v>1</v>
      </c>
      <c r="CY37" s="47" t="s">
        <v>0</v>
      </c>
      <c r="CZ37" s="222" t="str">
        <f>IF(CV37&lt;&gt;"GREŠKA","",AK37&amp;" "&amp;AL37&amp;" – Molim u OEventu provjeriti i ispraviti rezultat – vrijeme ("&amp;IF(CT37="","nije upisano",CT37)&amp;") i classifier ("&amp;CU37&amp;").")&amp;IF(OR(CV37&lt;&gt;"GREŠKA",CX37&lt;&gt;5),"
","")&amp;IF(CX37&lt;&gt;5,"",AK37&amp;" "&amp;AL37&amp;" – Molim u provjeriti je li natjecatelj zaista diskvalificiran. Ako je koje je obrazloženje, ako nije molim u OEventu ispraviti rezultat")</f>
        <v xml:space="preserve">
</v>
      </c>
      <c r="DA37" s="223">
        <f t="shared" si="60"/>
        <v>6</v>
      </c>
      <c r="DB37" s="47" t="s">
        <v>0</v>
      </c>
      <c r="DC37" s="47"/>
      <c r="DD37" s="47"/>
      <c r="DE37" s="47"/>
      <c r="DF37" s="47" t="s">
        <v>0</v>
      </c>
      <c r="DG37" s="53" t="str">
        <f>IF(BD37="","",IF(DI37="O",1,""))</f>
        <v/>
      </c>
      <c r="DH37" t="s">
        <v>0</v>
      </c>
      <c r="DI37" s="128" t="str">
        <f>IF(Q37="","",LEFT(INDEX(regKategorija_oznaka,MATCH(S37,regKategorija_id,0)),1))</f>
        <v>M</v>
      </c>
      <c r="DJ37" t="s">
        <v>0</v>
      </c>
      <c r="DK37" s="52" t="str">
        <f>IF(BD37="","",IF(M37&lt;&gt;"CRO","","INSERT INTO osoba (id,reg_broj,oib,spol_id,dat_rodjenja) VALUES ("&amp;BD37&amp;",(SELECT max(os.reg_broj)+1 FROM osoba AS os),Null,'"&amp;DI37&amp;"',Null); INSERT INTO osoba_log (id,reg_broj,oib,spol_id,dat_rodjenja,dnevnik_id) SELECT id,reg_broj,oib,spol_id,dat_rodjenja,"&amp;data_dnevnik_id&amp;" FROM osoba WHERE id = "&amp;BD37&amp;";"))</f>
        <v/>
      </c>
      <c r="DL37" s="66" t="str">
        <f>IF(BD37="","","INSERT INTO imeprezime (id,osoba_id,rbr,ime,prezime,klub_id,identitet_id,sintaksa_id,info,aktivno,dnevnik_id) VALUES ("&amp;BD37&amp;","&amp;IF(DK37="","Null",BD37)&amp;",1,'"&amp;IF(AV37&lt;&gt;"",AV37,AK37)&amp;"','"&amp;IF(AW37&lt;&gt;"",AW37,AL37)&amp;"',(SELECT id FROM klub WHERE naziv = '"&amp;CR37&amp;"'),Null,1,'',1,"&amp;data_dnevnik_id&amp;");")</f>
        <v/>
      </c>
      <c r="DM37" t="s">
        <v>0</v>
      </c>
      <c r="DN37" s="19" t="str">
        <f t="shared" si="69"/>
        <v/>
      </c>
      <c r="DO37" s="47" t="s">
        <v>0</v>
      </c>
      <c r="DP37" s="19" t="str">
        <f>IF(BA37="","","INSERT INTO imeprezime_alias(id,alias,imeprezime_id) VALUES ("&amp;BB37&amp;",'"&amp;BA37&amp;"',"&amp;IF(BC37="NEMA",BD37,BC37)&amp;");")</f>
        <v/>
      </c>
      <c r="DQ37" s="47" t="s">
        <v>0</v>
      </c>
      <c r="DR37" s="52" t="str">
        <f>IF(AL37="","",DU37 &amp; IF(Q37="",""," – " &amp; Q37))</f>
        <v>Jakov – Lesjak – OK Japetić – M16</v>
      </c>
      <c r="DS37" s="53">
        <f t="shared" si="26"/>
        <v>105</v>
      </c>
      <c r="DT37" s="47" t="s">
        <v>0</v>
      </c>
      <c r="DU37" s="52" t="str">
        <f>IF(AL37="","",DX37 &amp; IF(CR37="",""," – " &amp; CR37))</f>
        <v>Jakov – Lesjak – OK Japetić</v>
      </c>
      <c r="DV37" s="53">
        <f t="shared" si="27"/>
        <v>105</v>
      </c>
      <c r="DW37" s="47" t="s">
        <v>0</v>
      </c>
      <c r="DX37" s="52" t="str">
        <f>IF(BG37="","",BF37&amp;" – "&amp;BG37)</f>
        <v>Jakov – Lesjak</v>
      </c>
      <c r="DY37" s="53">
        <f t="shared" si="28"/>
        <v>105</v>
      </c>
      <c r="DZ37" s="47" t="s">
        <v>0</v>
      </c>
      <c r="EA37" s="58">
        <f t="shared" si="61"/>
        <v>105</v>
      </c>
      <c r="EB37" s="53" cm="1">
        <f t="array" ref="EB37">IF(EA37&lt;&gt;"",INDEX(regNatjecatelj_id,EA37,0),IF(BD37&lt;&gt;"",BD37,""))</f>
        <v>1434</v>
      </c>
      <c r="EC37" s="47" t="s">
        <v>0</v>
      </c>
      <c r="ED37" s="58" t="str">
        <f>IF(AL37="","",IF(BD37&lt;&gt;"","novo",IF(AN37="","imepre","imepre(ali)")))</f>
        <v>imepre</v>
      </c>
      <c r="EE37" s="73" t="str">
        <f>IF(AL37="","",IF(BL37="",IF(IFERROR(INDEX(regNatjecatelj_klub,MATCH(EB37,regNatjecatelj_id,0)),"NEMA")="","klu",""),IF(OR(AND(BN37&lt;&gt;"",BN37&lt;&gt;"NEMA"),CD37&lt;&gt;""),"klu(ali)",IF(AND(BP37&lt;&gt;"",BP37&lt;&gt;BO37),"(raz-klu)","klu"))))</f>
        <v>klu(ali)</v>
      </c>
      <c r="EF37" s="73" t="str">
        <f>IF(AL37="","","kat"&amp;IF(AND(W37&lt;&gt;Q37,Q37&lt;&gt;"Open"),"(ali)",""))</f>
        <v>kat</v>
      </c>
      <c r="EG37" s="73" t="str">
        <f t="shared" si="29"/>
        <v/>
      </c>
      <c r="EH37" s="66" t="str">
        <f>IF(AL37="","",ED37&amp;IF(ED37="novo","","-"&amp;EE37&amp;"-"&amp;EF37)&amp;IF(EG37="","","-"&amp;EG37))</f>
        <v>imepre-klu(ali)-kat</v>
      </c>
      <c r="EI37" s="47" t="s">
        <v>0</v>
      </c>
      <c r="EJ37" s="58">
        <f>IF(AL37="","",MAX(EJ$12:EJ36)+1)</f>
        <v>213</v>
      </c>
      <c r="EK37" s="73">
        <f>IF(AO37="","",X37)</f>
        <v>25</v>
      </c>
      <c r="EL37" s="73">
        <f t="shared" si="62"/>
        <v>1434</v>
      </c>
      <c r="EM37" s="73">
        <f t="shared" si="30"/>
        <v>2226</v>
      </c>
      <c r="EN37" s="73">
        <f t="shared" si="31"/>
        <v>1</v>
      </c>
      <c r="EO37" s="73">
        <f t="shared" si="63"/>
        <v>1</v>
      </c>
      <c r="EP37" s="73">
        <f t="shared" si="64"/>
        <v>3</v>
      </c>
      <c r="EQ37" s="73" t="str">
        <f t="shared" si="34"/>
        <v>0</v>
      </c>
      <c r="ER37" s="73" t="str">
        <f>IF(OR(AN37="",AN37="NEMA"),BB37,AN37)</f>
        <v/>
      </c>
      <c r="ES37" s="73">
        <f>IF(AND(BN37&lt;&gt;"",BN37&lt;&gt;"NEMA"),BN37,IF(CG37&lt;&gt;"",CG37,IF(AND(CL37&lt;&gt;"",CL37&lt;&gt;"NEMA"),CL37,IF(CM37&lt;&gt;"",CM37,""))))</f>
        <v>1</v>
      </c>
      <c r="ET37" s="53" t="str">
        <f>IF(INDEX(natKategorija_alias_Id,MATCH(S37,natKategorija_katRegId,0))="","",INDEX(natKategorija_alias_Id,MATCH(S37,natKategorija_katRegId,0)))</f>
        <v/>
      </c>
      <c r="EU37" s="47" t="s">
        <v>0</v>
      </c>
      <c r="EV37" s="19" t="str">
        <f t="shared" si="65"/>
        <v>INSERT INTO rezultat(id,stazakategorija_id,imeprezime_id,vrijeme_sec,status_id,registracija,uparivanje_id,originalstatus_id,imeprezimealias_id,klubalias_id,kategorijaalias_id) VALUES (213,25,1434,2226,1,1,3,0,Null,1,Null);</v>
      </c>
      <c r="EW37" s="47" t="s">
        <v>0</v>
      </c>
      <c r="EX37" s="19" t="str">
        <f t="shared" si="66"/>
        <v>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37" s="47" t="s">
        <v>0</v>
      </c>
      <c r="EZ37" s="180" t="str">
        <f>AG37&amp;IF(CP37="","","
")&amp;CP37&amp;IF(CI37="","","
")&amp;CI37&amp;IF(DN37="","","
")&amp;DN37&amp;IF(DP37="","","
")&amp;DP37&amp;IF(EV37="","","
")&amp;EV37&amp;IF(EX37="","","
")&amp;EX37</f>
        <v xml:space="preserve">
INSERT INTO rezultat(id,stazakategorija_id,imeprezime_id,vrijeme_sec,status_id,registracija,uparivanje_id,originalstatus_id,imeprezimealias_id,klubalias_id,kategorijaalias_id) VALUES (213,25,1434,2226,1,1,3,0,Null,1,Null);
UPDATE
	registar
SET
	potvrda = 1
WHERE
	imeprezime_id=1434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37" s="47" t="s">
        <v>0</v>
      </c>
    </row>
    <row r="38" spans="1:157" x14ac:dyDescent="0.25">
      <c r="A38" t="s">
        <v>0</v>
      </c>
      <c r="B38" s="52" t="str">
        <f>IF(csv!F28="","",csv!T28)</f>
        <v>M16</v>
      </c>
      <c r="C38" s="31" t="s">
        <v>0</v>
      </c>
      <c r="D38" s="31" t="str">
        <f>IF(csv!F28="","",csv!F28)</f>
        <v>Vibor</v>
      </c>
      <c r="E38" s="31" t="str">
        <f>IF(csv!E28="","",csv!E28)</f>
        <v>Strmečki</v>
      </c>
      <c r="F38" s="31" t="s">
        <v>0</v>
      </c>
      <c r="G38" s="73" t="str">
        <f>IF(csv!M28="","",csv!M28)</f>
        <v>40:04</v>
      </c>
      <c r="H38" s="73" t="str">
        <f>IF(csv!N28="","",csv!N28)</f>
        <v>0</v>
      </c>
      <c r="I38" s="31" t="s">
        <v>0<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/v>
      </c>
      <c r="M38" s="66" t="str">
        <f>IF(csv!R28="","",csv!R28)</f>
        <v>CRO</v>
      </c>
      <c r="N38" s="47" t="s">
        <v>0</v>
      </c>
      <c r="O38" s="243" t="str">
        <f t="shared" si="36"/>
        <v>ok</v>
      </c>
      <c r="P38" s="47"/>
      <c r="Q38" s="52" t="str">
        <f t="shared" si="37"/>
        <v>M16</v>
      </c>
      <c r="R38" s="73">
        <f>IF(Q38="","",IF(COUNTIF(Q$12:Q37,Q38)=0,R37+1,R37))</f>
        <v>3</v>
      </c>
      <c r="S38" s="73">
        <f t="shared" si="38"/>
        <v>110</v>
      </c>
      <c r="T38" s="73">
        <f t="shared" si="1"/>
        <v>19</v>
      </c>
      <c r="U38" s="66" t="str">
        <f t="shared" si="2"/>
        <v>M21B – M16</v>
      </c>
      <c r="V38" s="47" t="s">
        <v>0</v>
      </c>
      <c r="W38" s="222" t="str">
        <f t="shared" si="3"/>
        <v>M16</v>
      </c>
      <c r="X38" s="223">
        <f t="shared" si="4"/>
        <v>25</v>
      </c>
      <c r="Y38" s="47" t="s">
        <v>0</v>
      </c>
      <c r="Z38" s="52" t="str">
        <f t="shared" si="39"/>
        <v>CRO</v>
      </c>
      <c r="AA38" s="73">
        <f t="shared" si="5"/>
        <v>1</v>
      </c>
      <c r="AB38" s="31" t="str">
        <f t="shared" si="40"/>
        <v/>
      </c>
      <c r="AC38" s="66" t="str">
        <f>IF(AB38="","",MAX(AC$12:AC37)+1)</f>
        <v/>
      </c>
      <c r="AD38" s="47" t="s">
        <v>0</v>
      </c>
      <c r="AE38" s="125"/>
      <c r="AF38" s="47" t="s">
        <v>0</v>
      </c>
      <c r="AG38" s="19" t="str">
        <f t="shared" si="41"/>
        <v/>
      </c>
      <c r="AH38" s="47" t="s">
        <v>0</v>
      </c>
      <c r="AI38" s="143" t="str">
        <f t="shared" si="42"/>
        <v>CRO</v>
      </c>
      <c r="AJ38" s="47"/>
      <c r="AK38" s="52" t="str">
        <f t="shared" si="43"/>
        <v>Vibor</v>
      </c>
      <c r="AL38" s="31" t="str">
        <f t="shared" si="44"/>
        <v>Strmečki</v>
      </c>
      <c r="AM38" s="73">
        <f t="shared" si="45"/>
        <v>1165</v>
      </c>
      <c r="AN38" s="73" t="str">
        <f t="shared" si="46"/>
        <v/>
      </c>
      <c r="AO38" s="31" t="str">
        <f t="shared" si="8"/>
        <v>Vibor</v>
      </c>
      <c r="AP38" s="66" t="str">
        <f t="shared" si="9"/>
        <v>Strmečki</v>
      </c>
      <c r="AQ38" s="47" t="s">
        <v>0</v>
      </c>
      <c r="AR38" s="82" t="str">
        <f t="shared" si="47"/>
        <v/>
      </c>
      <c r="AS38" s="47" t="s">
        <v>0</v>
      </c>
      <c r="AT38" s="19" t="str">
        <f t="shared" si="48"/>
        <v/>
      </c>
      <c r="AU38" s="47" t="s">
        <v>0</v>
      </c>
      <c r="AV38" s="103"/>
      <c r="AW38" s="105"/>
      <c r="AX38" s="47" t="s">
        <v>0</v>
      </c>
      <c r="AY38" s="256" t="str">
        <f t="shared" si="68"/>
        <v/>
      </c>
      <c r="AZ38" s="47" t="s">
        <v>0</v>
      </c>
      <c r="BA38" s="52" t="str">
        <f t="shared" si="11"/>
        <v/>
      </c>
      <c r="BB38" s="73" t="str">
        <f>IF(AV38&amp;AW38="","",MAX(BB$12:BB37)+1)</f>
        <v/>
      </c>
      <c r="BC38" s="268" t="str">
        <f t="shared" si="12"/>
        <v/>
      </c>
      <c r="BD38" s="53" t="str">
        <f>IF(AND(AM38="NEMA",AN38="NEMA",OR(AV38&amp;AW38="",BC38="NEMA")),MAX(BD$12:BD37)+1,"")</f>
        <v/>
      </c>
      <c r="BE38" s="47" t="s">
        <v>0</v>
      </c>
      <c r="BF38" s="52" t="str">
        <f t="shared" si="13"/>
        <v>Vibor</v>
      </c>
      <c r="BG38" s="31" t="str">
        <f t="shared" si="14"/>
        <v>Strmečki</v>
      </c>
      <c r="BH38" s="73" t="str">
        <f t="shared" si="49"/>
        <v/>
      </c>
      <c r="BI38" s="53">
        <f t="shared" si="50"/>
        <v>1165</v>
      </c>
      <c r="BJ38" s="47" t="s">
        <v>0</v>
      </c>
      <c r="BK38" s="52" t="str">
        <f t="shared" si="15"/>
        <v>Maksimir</v>
      </c>
      <c r="BL38" s="31" t="str">
        <f t="shared" si="16"/>
        <v>OK Maksimir</v>
      </c>
      <c r="BM38" s="73">
        <f t="shared" si="17"/>
        <v>6</v>
      </c>
      <c r="BN38" s="73" t="str">
        <f t="shared" si="18"/>
        <v/>
      </c>
      <c r="BO38" s="31" t="str" cm="1">
        <f t="array" ref="BO38">IF(BN38="",""&amp;BL38,IF(BN38="NEMA",BL38,INDEX(regKlub_naziv,MATCH(INDEX(regKlub_alias_klubId,BN38),regKlub_id,0))))</f>
        <v>OK Maksimir</v>
      </c>
      <c r="BP38" s="31" t="str" cm="1">
        <f t="array" ref="BP38">IFERROR(""&amp;INDEX(regNatjecatelj_klub,DY38),"")</f>
        <v>OK Maksimir</v>
      </c>
      <c r="BQ38" s="88" t="str">
        <f t="shared" si="51"/>
        <v/>
      </c>
      <c r="BR38" s="66" t="str">
        <f t="shared" si="52"/>
        <v>OK Maksimir</v>
      </c>
      <c r="BS38" s="47" t="s">
        <v>0</v>
      </c>
      <c r="BT38" s="82" t="str">
        <f>IF(BN38&lt;&gt;"NEMA","",IF(IFERROR(MATCH(BL38,BL$12:BL37,0),0)&lt;&gt;0,"",BL38))</f>
        <v/>
      </c>
      <c r="BU38" s="47" t="s">
        <v>0</v>
      </c>
      <c r="BV38" s="125"/>
      <c r="BW38" s="47" t="s">
        <v>0</v>
      </c>
      <c r="BX38" s="58" t="str">
        <f t="shared" si="53"/>
        <v/>
      </c>
      <c r="BY38" s="31" t="str">
        <f t="shared" si="54"/>
        <v/>
      </c>
      <c r="BZ38" s="31" t="str">
        <f>IF(BY38="","",MAX(BZ$12:BZ37)+1)</f>
        <v/>
      </c>
      <c r="CA38" s="31" t="str">
        <f>IF(BY38="","",IF(AA38="","",IF(AA38="NEMA",AC38,AA38)))</f>
        <v/>
      </c>
      <c r="CB38" s="31" t="str">
        <f t="shared" si="55"/>
        <v/>
      </c>
      <c r="CC38" s="31" t="str">
        <f>IF(BV38="","",MAX(CC$12:CC37)+1)</f>
        <v/>
      </c>
      <c r="CD38" s="31" t="str">
        <f t="shared" si="56"/>
        <v/>
      </c>
      <c r="CE38" s="66" t="str">
        <f t="shared" si="57"/>
        <v/>
      </c>
      <c r="CF38" s="47" t="s">
        <v>0</v>
      </c>
      <c r="CG38" s="73" t="str">
        <f>IF(BN38="","",IF(BN38&lt;&gt;"NEMA","",IFERROR(INDEX(nat_klubAliasId,MATCH(BL38,nat_noviKluboviAliasi,0)),"")))</f>
        <v/>
      </c>
      <c r="CH38" s="47"/>
      <c r="CI38" s="19" t="str">
        <f t="shared" si="58"/>
        <v/>
      </c>
      <c r="CJ38" s="47" t="s">
        <v>0</v>
      </c>
      <c r="CK38" s="52" t="str">
        <f>IF(X38&lt;&gt;"NEMA","",IF(IFERROR(MATCH(W38,W$12:W37,0),0)&lt;&gt;0,"",W38))</f>
        <v/>
      </c>
      <c r="CL38" s="73" t="str">
        <f>IF(CK38="","",IFERROR(INDEX(regKlub_alias_id,MATCH(CK38,regKlub_alias_alias,0)),"NEMA"))</f>
        <v/>
      </c>
      <c r="CM38" s="31" t="str">
        <f>IF(OR(CL38="",CL38&lt;&gt;"NEMA"),"",MAX(CM$12:CM37)+1)</f>
        <v/>
      </c>
      <c r="CN38" s="66" t="str">
        <f>IF(OR(CL38="",CL38&lt;&gt;"NEMA"),"",INDEX(regKlub_id,MATCH(CK38,regKlub_naziv,0)))</f>
        <v/>
      </c>
      <c r="CO38" s="47" t="s">
        <v>0</v>
      </c>
      <c r="CP38" s="19" t="str">
        <f>IF(OR(CL38="",CL38&lt;&gt;"NEMA"),"","INSERT INTO klub_alias(id,alias,klub_id) VALUES ("&amp;CM38&amp;",'"&amp;CK38&amp;"',"&amp;CN38&amp;");")</f>
        <v/>
      </c>
      <c r="CQ38" s="47" t="s">
        <v>0</v>
      </c>
      <c r="CR38" s="143" t="str">
        <f>IF(BR38="","",IF(BV38="",IF(IFERROR(MATCH(BR38,nat_noviKluboviAliasi,0),0)&gt;0,INDEX(nat_kluboviAliasi,MATCH(BR38,nat_noviKluboviAliasi,0)),BR38),BV38))</f>
        <v>OK Maksimir</v>
      </c>
      <c r="CS38" s="47" t="s">
        <v>0</v>
      </c>
      <c r="CT38" s="58" t="str">
        <f>IF(G38="","",G38)</f>
        <v>40:04</v>
      </c>
      <c r="CU38" s="73" t="str">
        <f>IF(H38="","",H38)</f>
        <v>0</v>
      </c>
      <c r="CV38" s="229" t="str">
        <f>IF(CT38="",IF(OR(AL38="",CU38&lt;&gt;"0"),"","GREŠKA"),IF(AND(65535&gt;=VALUE(LEFT(CT38,SEARCH(":",CT38)-1))*60+VALUE(RIGHT(CT38,2)),OR(CU38="0",CU38="1",CU38="2",CU38="3",CU38="4")),"","GREŠKA"))</f>
        <v/>
      </c>
      <c r="CW38" s="230">
        <f t="shared" si="59"/>
        <v>2404</v>
      </c>
      <c r="CX38" s="163">
        <f t="shared" si="24"/>
        <v>1</v>
      </c>
      <c r="CY38" s="47" t="s">
        <v>0</v>
      </c>
      <c r="CZ38" s="222" t="str">
        <f>IF(CV38&lt;&gt;"GREŠKA","",AK38&amp;" "&amp;AL38&amp;" – Molim u OEventu provjeriti i ispraviti rezultat – vrijeme ("&amp;IF(CT38="","nije upisano",CT38)&amp;") i classifier ("&amp;CU38&amp;").")&amp;IF(OR(CV38&lt;&gt;"GREŠKA",CX38&lt;&gt;5),"
","")&amp;IF(CX38&lt;&gt;5,"",AK38&amp;" "&amp;AL38&amp;" – Molim u provjeriti je li natjecatelj zaista diskvalificiran. Ako je koje je obrazloženje, ako nije molim u OEventu ispraviti rezultat")</f>
        <v xml:space="preserve">
</v>
      </c>
      <c r="DA38" s="223">
        <f t="shared" si="60"/>
        <v>6</v>
      </c>
      <c r="DB38" s="47" t="s">
        <v>0</v>
      </c>
      <c r="DC38" s="47"/>
      <c r="DD38" s="47"/>
      <c r="DE38" s="47"/>
      <c r="DF38" s="47" t="s">
        <v>0</v>
      </c>
      <c r="DG38" s="53" t="str">
        <f>IF(BD38="","",IF(DI38="O",1,""))</f>
        <v/>
      </c>
      <c r="DH38" t="s">
        <v>0</v>
      </c>
      <c r="DI38" s="128" t="str">
        <f>IF(Q38="","",LEFT(INDEX(regKategorija_oznaka,MATCH(S38,regKategorija_id,0)),1))</f>
        <v>M</v>
      </c>
      <c r="DJ38" t="s">
        <v>0</v>
      </c>
      <c r="DK38" s="52" t="str">
        <f>IF(BD38="","",IF(M38&lt;&gt;"CRO","","INSERT INTO osoba (id,reg_broj,oib,spol_id,dat_rodjenja) VALUES ("&amp;BD38&amp;",(SELECT max(os.reg_broj)+1 FROM osoba AS os),Null,'"&amp;DI38&amp;"',Null); INSERT INTO osoba_log (id,reg_broj,oib,spol_id,dat_rodjenja,dnevnik_id) SELECT id,reg_broj,oib,spol_id,dat_rodjenja,"&amp;data_dnevnik_id&amp;" FROM osoba WHERE id = "&amp;BD38&amp;";"))</f>
        <v/>
      </c>
      <c r="DL38" s="66" t="str">
        <f>IF(BD38="","","INSERT INTO imeprezime (id,osoba_id,rbr,ime,prezime,klub_id,identitet_id,sintaksa_id,info,aktivno,dnevnik_id) VALUES ("&amp;BD38&amp;","&amp;IF(DK38="","Null",BD38)&amp;",1,'"&amp;IF(AV38&lt;&gt;"",AV38,AK38)&amp;"','"&amp;IF(AW38&lt;&gt;"",AW38,AL38)&amp;"',(SELECT id FROM klub WHERE naziv = '"&amp;CR38&amp;"'),Null,1,'',1,"&amp;data_dnevnik_id&amp;");")</f>
        <v/>
      </c>
      <c r="DM38" t="s">
        <v>0</v>
      </c>
      <c r="DN38" s="19" t="str">
        <f t="shared" si="69"/>
        <v/>
      </c>
      <c r="DO38" s="47" t="s">
        <v>0</v>
      </c>
      <c r="DP38" s="19" t="str">
        <f>IF(BA38="","","INSERT INTO imeprezime_alias(id,alias,imeprezime_id) VALUES ("&amp;BB38&amp;",'"&amp;BA38&amp;"',"&amp;IF(BC38="NEMA",BD38,BC38)&amp;");")</f>
        <v/>
      </c>
      <c r="DQ38" s="47" t="s">
        <v>0</v>
      </c>
      <c r="DR38" s="52" t="str">
        <f>IF(AL38="","",DU38 &amp; IF(Q38="",""," – " &amp; Q38))</f>
        <v>Vibor – Strmečki – OK Maksimir – M16</v>
      </c>
      <c r="DS38" s="53">
        <f t="shared" si="26"/>
        <v>384</v>
      </c>
      <c r="DT38" s="47" t="s">
        <v>0</v>
      </c>
      <c r="DU38" s="52" t="str">
        <f>IF(AL38="","",DX38 &amp; IF(CR38="",""," – " &amp; CR38))</f>
        <v>Vibor – Strmečki – OK Maksimir</v>
      </c>
      <c r="DV38" s="53">
        <f t="shared" si="27"/>
        <v>384</v>
      </c>
      <c r="DW38" s="47" t="s">
        <v>0</v>
      </c>
      <c r="DX38" s="52" t="str">
        <f>IF(BG38="","",BF38&amp;" – "&amp;BG38)</f>
        <v>Vibor – Strmečki</v>
      </c>
      <c r="DY38" s="53">
        <f t="shared" si="28"/>
        <v>384</v>
      </c>
      <c r="DZ38" s="47" t="s">
        <v>0</v>
      </c>
      <c r="EA38" s="58">
        <f t="shared" si="61"/>
        <v>384</v>
      </c>
      <c r="EB38" s="53" cm="1">
        <f t="array" ref="EB38">IF(EA38&lt;&gt;"",INDEX(regNatjecatelj_id,EA38,0),IF(BD38&lt;&gt;"",BD38,""))</f>
        <v>1165</v>
      </c>
      <c r="EC38" s="47" t="s">
        <v>0</v>
      </c>
      <c r="ED38" s="58" t="str">
        <f>IF(AL38="","",IF(BD38&lt;&gt;"","novo",IF(AN38="","imepre","imepre(ali)")))</f>
        <v>imepre</v>
      </c>
      <c r="EE38" s="73" t="str">
        <f>IF(AL38="","",IF(BL38="",IF(IFERROR(INDEX(regNatjecatelj_klub,MATCH(EB38,regNatjecatelj_id,0)),"NEMA")="","klu",""),IF(OR(AND(BN38&lt;&gt;"",BN38&lt;&gt;"NEMA"),CD38&lt;&gt;""),"klu(ali)",IF(AND(BP38&lt;&gt;"",BP38&lt;&gt;BO38),"(raz-klu)","klu"))))</f>
        <v>klu</v>
      </c>
      <c r="EF38" s="73" t="str">
        <f>IF(AL38="","","kat"&amp;IF(AND(W38&lt;&gt;Q38,Q38&lt;&gt;"Open"),"(ali)",""))</f>
        <v>kat</v>
      </c>
      <c r="EG38" s="73" t="str">
        <f t="shared" si="29"/>
        <v/>
      </c>
      <c r="EH38" s="66" t="str">
        <f>IF(AL38="","",ED38&amp;IF(ED38="novo","","-"&amp;EE38&amp;"-"&amp;EF38)&amp;IF(EG38="","","-"&amp;EG38))</f>
        <v>imepre-klu-kat</v>
      </c>
      <c r="EI38" s="47" t="s">
        <v>0</v>
      </c>
      <c r="EJ38" s="58">
        <f>IF(AL38="","",MAX(EJ$12:EJ37)+1)</f>
        <v>214</v>
      </c>
      <c r="EK38" s="73">
        <f>IF(AO38="","",X38)</f>
        <v>25</v>
      </c>
      <c r="EL38" s="73">
        <f t="shared" si="62"/>
        <v>1165</v>
      </c>
      <c r="EM38" s="73">
        <f t="shared" si="30"/>
        <v>2404</v>
      </c>
      <c r="EN38" s="73">
        <f t="shared" si="31"/>
        <v>1</v>
      </c>
      <c r="EO38" s="73">
        <f t="shared" si="63"/>
        <v>1</v>
      </c>
      <c r="EP38" s="73">
        <f t="shared" si="64"/>
        <v>1</v>
      </c>
      <c r="EQ38" s="73" t="str">
        <f t="shared" si="34"/>
        <v>0</v>
      </c>
      <c r="ER38" s="73" t="str">
        <f>IF(OR(AN38="",AN38="NEMA"),BB38,AN38)</f>
        <v/>
      </c>
      <c r="ES38" s="73" t="str">
        <f>IF(AND(BN38&lt;&gt;"",BN38&lt;&gt;"NEMA"),BN38,IF(CG38&lt;&gt;"",CG38,IF(AND(CL38&lt;&gt;"",CL38&lt;&gt;"NEMA"),CL38,IF(CM38&lt;&gt;"",CM38,""))))</f>
        <v/>
      </c>
      <c r="ET38" s="53" t="str">
        <f>IF(INDEX(natKategorija_alias_Id,MATCH(S38,natKategorija_katRegId,0))="","",INDEX(natKategorija_alias_Id,MATCH(S38,natKategorija_katRegId,0)))</f>
        <v/>
      </c>
      <c r="EU38" s="47" t="s">
        <v>0</v>
      </c>
      <c r="EV38" s="19" t="str">
        <f t="shared" si="65"/>
        <v>INSERT INTO rezultat(id,stazakategorija_id,imeprezime_id,vrijeme_sec,status_id,registracija,uparivanje_id,originalstatus_id,imeprezimealias_id,klubalias_id,kategorijaalias_id) VALUES (214,25,1165,2404,1,1,1,0,Null,Null,Null);</v>
      </c>
      <c r="EW38" s="47" t="s">
        <v>0</v>
      </c>
      <c r="EX38" s="19" t="str">
        <f t="shared" si="66"/>
        <v>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38" s="47" t="s">
        <v>0</v>
      </c>
      <c r="EZ38" s="180" t="str">
        <f>AG38&amp;IF(CP38="","","
")&amp;CP38&amp;IF(CI38="","","
")&amp;CI38&amp;IF(DN38="","","
")&amp;DN38&amp;IF(DP38="","","
")&amp;DP38&amp;IF(EV38="","","
")&amp;EV38&amp;IF(EX38="","","
")&amp;EX38</f>
        <v xml:space="preserve">
INSERT INTO rezultat(id,stazakategorija_id,imeprezime_id,vrijeme_sec,status_id,registracija,uparivanje_id,originalstatus_id,imeprezimealias_id,klubalias_id,kategorijaalias_id) VALUES (214,25,1165,2404,1,1,1,0,Null,Null,Null);
UPDATE
	registar
SET
	potvrda = 1
WHERE
	imeprezime_id=1165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38" s="47" t="s">
        <v>0</v>
      </c>
    </row>
    <row r="39" spans="1:157" x14ac:dyDescent="0.25">
      <c r="A39" t="s">
        <v>0</v>
      </c>
      <c r="B39" s="52" t="str">
        <f>IF(csv!F29="","",csv!T29)</f>
        <v>M16</v>
      </c>
      <c r="C39" s="31" t="s">
        <v>0</v>
      </c>
      <c r="D39" s="31" t="str">
        <f>IF(csv!F29="","",csv!F29)</f>
        <v>Patrick</v>
      </c>
      <c r="E39" s="31" t="str">
        <f>IF(csv!E29="","",csv!E29)</f>
        <v>Milković</v>
      </c>
      <c r="F39" s="31" t="s">
        <v>0</v>
      </c>
      <c r="G39" s="73" t="str">
        <f>IF(csv!M29="","",csv!M29)</f>
        <v>50:15</v>
      </c>
      <c r="H39" s="73" t="str">
        <f>IF(csv!N29="","",csv!N29)</f>
        <v>0</v>
      </c>
      <c r="I39" s="31" t="s">
        <v>0</v>
      </c>
      <c r="J39" s="31" t="str">
        <f>IF(csv!P29="","",csv!P29)</f>
        <v>JAP</v>
      </c>
      <c r="K39" s="31" t="str">
        <f>IF(csv!Q29="","",csv!Q29)</f>
        <v>OK Japetic</v>
      </c>
      <c r="L39" s="31" t="s">
        <v>0</v>
      </c>
      <c r="M39" s="66" t="str">
        <f>IF(csv!R29="","",csv!R29)</f>
        <v>CRO</v>
      </c>
      <c r="N39" s="47" t="s">
        <v>0</v>
      </c>
      <c r="O39" s="243" t="str">
        <f t="shared" si="36"/>
        <v>ok</v>
      </c>
      <c r="P39" s="47"/>
      <c r="Q39" s="52" t="str">
        <f t="shared" si="37"/>
        <v>M16</v>
      </c>
      <c r="R39" s="73">
        <f>IF(Q39="","",IF(COUNTIF(Q$12:Q38,Q39)=0,R38+1,R38))</f>
        <v>3</v>
      </c>
      <c r="S39" s="73">
        <f t="shared" si="38"/>
        <v>110</v>
      </c>
      <c r="T39" s="73">
        <f t="shared" si="1"/>
        <v>19</v>
      </c>
      <c r="U39" s="66" t="str">
        <f t="shared" si="2"/>
        <v>M21B – M16</v>
      </c>
      <c r="V39" s="47" t="s">
        <v>0</v>
      </c>
      <c r="W39" s="222" t="str">
        <f t="shared" si="3"/>
        <v>M16</v>
      </c>
      <c r="X39" s="223">
        <f t="shared" si="4"/>
        <v>25</v>
      </c>
      <c r="Y39" s="47" t="s">
        <v>0</v>
      </c>
      <c r="Z39" s="52" t="str">
        <f t="shared" si="39"/>
        <v>CRO</v>
      </c>
      <c r="AA39" s="73">
        <f t="shared" si="5"/>
        <v>1</v>
      </c>
      <c r="AB39" s="31" t="str">
        <f t="shared" si="40"/>
        <v/>
      </c>
      <c r="AC39" s="66" t="str">
        <f>IF(AB39="","",MAX(AC$12:AC38)+1)</f>
        <v/>
      </c>
      <c r="AD39" s="47" t="s">
        <v>0</v>
      </c>
      <c r="AE39" s="125"/>
      <c r="AF39" s="47" t="s">
        <v>0</v>
      </c>
      <c r="AG39" s="19" t="str">
        <f t="shared" si="41"/>
        <v/>
      </c>
      <c r="AH39" s="47" t="s">
        <v>0</v>
      </c>
      <c r="AI39" s="143" t="str">
        <f t="shared" si="42"/>
        <v>CRO</v>
      </c>
      <c r="AJ39" s="47"/>
      <c r="AK39" s="52" t="str">
        <f t="shared" si="43"/>
        <v>Patrick</v>
      </c>
      <c r="AL39" s="31" t="str">
        <f t="shared" si="44"/>
        <v>Milković</v>
      </c>
      <c r="AM39" s="73">
        <f t="shared" si="45"/>
        <v>1169</v>
      </c>
      <c r="AN39" s="73" t="str">
        <f t="shared" si="46"/>
        <v/>
      </c>
      <c r="AO39" s="31" t="str">
        <f t="shared" si="8"/>
        <v>Patrick</v>
      </c>
      <c r="AP39" s="66" t="str">
        <f t="shared" si="9"/>
        <v>Milković</v>
      </c>
      <c r="AQ39" s="47" t="s">
        <v>0</v>
      </c>
      <c r="AR39" s="82" t="str">
        <f t="shared" si="47"/>
        <v/>
      </c>
      <c r="AS39" s="47" t="s">
        <v>0</v>
      </c>
      <c r="AT39" s="19" t="str">
        <f t="shared" si="48"/>
        <v/>
      </c>
      <c r="AU39" s="47" t="s">
        <v>0</v>
      </c>
      <c r="AV39" s="103"/>
      <c r="AW39" s="105"/>
      <c r="AX39" s="47" t="s">
        <v>0</v>
      </c>
      <c r="AY39" s="256" t="str">
        <f t="shared" si="68"/>
        <v/>
      </c>
      <c r="AZ39" s="47" t="s">
        <v>0</v>
      </c>
      <c r="BA39" s="52" t="str">
        <f t="shared" si="11"/>
        <v/>
      </c>
      <c r="BB39" s="73" t="str">
        <f>IF(AV39&amp;AW39="","",MAX(BB$12:BB38)+1)</f>
        <v/>
      </c>
      <c r="BC39" s="268" t="str">
        <f t="shared" si="12"/>
        <v/>
      </c>
      <c r="BD39" s="53" t="str">
        <f>IF(AND(AM39="NEMA",AN39="NEMA",OR(AV39&amp;AW39="",BC39="NEMA")),MAX(BD$12:BD38)+1,"")</f>
        <v/>
      </c>
      <c r="BE39" s="47" t="s">
        <v>0</v>
      </c>
      <c r="BF39" s="52" t="str">
        <f t="shared" si="13"/>
        <v>Patrick</v>
      </c>
      <c r="BG39" s="31" t="str">
        <f t="shared" si="14"/>
        <v>Milković</v>
      </c>
      <c r="BH39" s="73" t="str">
        <f t="shared" si="49"/>
        <v/>
      </c>
      <c r="BI39" s="53">
        <f t="shared" si="50"/>
        <v>1169</v>
      </c>
      <c r="BJ39" s="47" t="s">
        <v>0</v>
      </c>
      <c r="BK39" s="52" t="str">
        <f t="shared" si="15"/>
        <v>JAP</v>
      </c>
      <c r="BL39" s="31" t="str">
        <f t="shared" si="16"/>
        <v>OK Japetic</v>
      </c>
      <c r="BM39" s="73" t="str">
        <f t="shared" si="17"/>
        <v>NEMA</v>
      </c>
      <c r="BN39" s="73">
        <f t="shared" si="18"/>
        <v>1</v>
      </c>
      <c r="BO39" s="31" t="str" cm="1">
        <f t="array" ref="BO39">IF(BN39="",""&amp;BL39,IF(BN39="NEMA",BL39,INDEX(regKlub_naziv,MATCH(INDEX(regKlub_alias_klubId,BN39),regKlub_id,0))))</f>
        <v>OK Japetić</v>
      </c>
      <c r="BP39" s="31" t="str" cm="1">
        <f t="array" ref="BP39">IFERROR(""&amp;INDEX(regNatjecatelj_klub,DY39),"")</f>
        <v>OK Japetić</v>
      </c>
      <c r="BQ39" s="88" t="str">
        <f t="shared" si="51"/>
        <v/>
      </c>
      <c r="BR39" s="66" t="str">
        <f t="shared" si="52"/>
        <v>OK Japetić</v>
      </c>
      <c r="BS39" s="47" t="s">
        <v>0</v>
      </c>
      <c r="BT39" s="82" t="str">
        <f>IF(BN39&lt;&gt;"NEMA","",IF(IFERROR(MATCH(BL39,BL$12:BL38,0),0)&lt;&gt;0,"",BL39))</f>
        <v/>
      </c>
      <c r="BU39" s="47" t="s">
        <v>0</v>
      </c>
      <c r="BV39" s="125"/>
      <c r="BW39" s="47" t="s">
        <v>0</v>
      </c>
      <c r="BX39" s="58" t="str">
        <f t="shared" si="53"/>
        <v/>
      </c>
      <c r="BY39" s="31" t="str">
        <f t="shared" si="54"/>
        <v/>
      </c>
      <c r="BZ39" s="31" t="str">
        <f>IF(BY39="","",MAX(BZ$12:BZ38)+1)</f>
        <v/>
      </c>
      <c r="CA39" s="31" t="str">
        <f>IF(BY39="","",IF(AA39="","",IF(AA39="NEMA",AC39,AA39)))</f>
        <v/>
      </c>
      <c r="CB39" s="31" t="str">
        <f t="shared" si="55"/>
        <v/>
      </c>
      <c r="CC39" s="31" t="str">
        <f>IF(BV39="","",MAX(CC$12:CC38)+1)</f>
        <v/>
      </c>
      <c r="CD39" s="31" t="str">
        <f t="shared" si="56"/>
        <v/>
      </c>
      <c r="CE39" s="66" t="str">
        <f t="shared" si="57"/>
        <v/>
      </c>
      <c r="CF39" s="47" t="s">
        <v>0</v>
      </c>
      <c r="CG39" s="73" t="str">
        <f>IF(BN39="","",IF(BN39&lt;&gt;"NEMA","",IFERROR(INDEX(nat_klubAliasId,MATCH(BL39,nat_noviKluboviAliasi,0)),"")))</f>
        <v/>
      </c>
      <c r="CH39" s="47"/>
      <c r="CI39" s="19" t="str">
        <f t="shared" si="58"/>
        <v/>
      </c>
      <c r="CJ39" s="47" t="s">
        <v>0</v>
      </c>
      <c r="CK39" s="52" t="str">
        <f>IF(X39&lt;&gt;"NEMA","",IF(IFERROR(MATCH(W39,W$12:W38,0),0)&lt;&gt;0,"",W39))</f>
        <v/>
      </c>
      <c r="CL39" s="73" t="str">
        <f>IF(CK39="","",IFERROR(INDEX(regKlub_alias_id,MATCH(CK39,regKlub_alias_alias,0)),"NEMA"))</f>
        <v/>
      </c>
      <c r="CM39" s="31" t="str">
        <f>IF(OR(CL39="",CL39&lt;&gt;"NEMA"),"",MAX(CM$12:CM38)+1)</f>
        <v/>
      </c>
      <c r="CN39" s="66" t="str">
        <f>IF(OR(CL39="",CL39&lt;&gt;"NEMA"),"",INDEX(regKlub_id,MATCH(CK39,regKlub_naziv,0)))</f>
        <v/>
      </c>
      <c r="CO39" s="47" t="s">
        <v>0</v>
      </c>
      <c r="CP39" s="19" t="str">
        <f>IF(OR(CL39="",CL39&lt;&gt;"NEMA"),"","INSERT INTO klub_alias(id,alias,klub_id) VALUES ("&amp;CM39&amp;",'"&amp;CK39&amp;"',"&amp;CN39&amp;");")</f>
        <v/>
      </c>
      <c r="CQ39" s="47" t="s">
        <v>0</v>
      </c>
      <c r="CR39" s="143" t="str">
        <f>IF(BR39="","",IF(BV39="",IF(IFERROR(MATCH(BR39,nat_noviKluboviAliasi,0),0)&gt;0,INDEX(nat_kluboviAliasi,MATCH(BR39,nat_noviKluboviAliasi,0)),BR39),BV39))</f>
        <v>OK Japetić</v>
      </c>
      <c r="CS39" s="47" t="s">
        <v>0</v>
      </c>
      <c r="CT39" s="58" t="str">
        <f>IF(G39="","",G39)</f>
        <v>50:15</v>
      </c>
      <c r="CU39" s="73" t="str">
        <f>IF(H39="","",H39)</f>
        <v>0</v>
      </c>
      <c r="CV39" s="229" t="str">
        <f>IF(CT39="",IF(OR(AL39="",CU39&lt;&gt;"0"),"","GREŠKA"),IF(AND(65535&gt;=VALUE(LEFT(CT39,SEARCH(":",CT39)-1))*60+VALUE(RIGHT(CT39,2)),OR(CU39="0",CU39="1",CU39="2",CU39="3",CU39="4")),"","GREŠKA"))</f>
        <v/>
      </c>
      <c r="CW39" s="230">
        <f t="shared" si="23"/>
        <v>3015</v>
      </c>
      <c r="CX39" s="163">
        <f t="shared" si="24"/>
        <v>1</v>
      </c>
      <c r="CY39" s="47" t="s">
        <v>0</v>
      </c>
      <c r="CZ39" s="222" t="str">
        <f>IF(CV39&lt;&gt;"GREŠKA","",AK39&amp;" "&amp;AL39&amp;" – Molim u OEventu provjeriti i ispraviti rezultat – vrijeme ("&amp;IF(CT39="","nije upisano",CT39)&amp;") i classifier ("&amp;CU39&amp;").")&amp;IF(OR(CV39&lt;&gt;"GREŠKA",CX39&lt;&gt;5),"
","")&amp;IF(CX39&lt;&gt;5,"",AK39&amp;" "&amp;AL39&amp;" – Molim u provjeriti je li natjecatelj zaista diskvalificiran. Ako je koje je obrazloženje, ako nije molim u OEventu ispraviti rezultat")</f>
        <v xml:space="preserve">
</v>
      </c>
      <c r="DA39" s="223">
        <f t="shared" si="60"/>
        <v>6</v>
      </c>
      <c r="DB39" s="47" t="s">
        <v>0</v>
      </c>
      <c r="DC39" s="47"/>
      <c r="DD39" s="47"/>
      <c r="DE39" s="47"/>
      <c r="DF39" s="47" t="s">
        <v>0</v>
      </c>
      <c r="DG39" s="53" t="str">
        <f>IF(BD39="","",IF(DI39="O",1,""))</f>
        <v/>
      </c>
      <c r="DH39" t="s">
        <v>0</v>
      </c>
      <c r="DI39" s="128" t="str">
        <f>IF(Q39="","",LEFT(INDEX(regKategorija_oznaka,MATCH(S39,regKategorija_id,0)),1))</f>
        <v>M</v>
      </c>
      <c r="DJ39" t="s">
        <v>0</v>
      </c>
      <c r="DK39" s="52" t="str">
        <f>IF(BD39="","",IF(M39&lt;&gt;"CRO","","INSERT INTO osoba (id,reg_broj,oib,spol_id,dat_rodjenja) VALUES ("&amp;BD39&amp;",(SELECT max(os.reg_broj)+1 FROM osoba AS os),Null,'"&amp;DI39&amp;"',Null); INSERT INTO osoba_log (id,reg_broj,oib,spol_id,dat_rodjenja,dnevnik_id) SELECT id,reg_broj,oib,spol_id,dat_rodjenja,"&amp;data_dnevnik_id&amp;" FROM osoba WHERE id = "&amp;BD39&amp;";"))</f>
        <v/>
      </c>
      <c r="DL39" s="66" t="str">
        <f>IF(BD39="","","INSERT INTO imeprezime (id,osoba_id,rbr,ime,prezime,klub_id,identitet_id,sintaksa_id,info,aktivno,dnevnik_id) VALUES ("&amp;BD39&amp;","&amp;IF(DK39="","Null",BD39)&amp;",1,'"&amp;IF(AV39&lt;&gt;"",AV39,AK39)&amp;"','"&amp;IF(AW39&lt;&gt;"",AW39,AL39)&amp;"',(SELECT id FROM klub WHERE naziv = '"&amp;CR39&amp;"'),Null,1,'',1,"&amp;data_dnevnik_id&amp;");")</f>
        <v/>
      </c>
      <c r="DM39" t="s">
        <v>0</v>
      </c>
      <c r="DN39" s="19" t="str">
        <f t="shared" si="69"/>
        <v/>
      </c>
      <c r="DO39" s="47" t="s">
        <v>0</v>
      </c>
      <c r="DP39" s="19" t="str">
        <f>IF(BA39="","","INSERT INTO imeprezime_alias(id,alias,imeprezime_id) VALUES ("&amp;BB39&amp;",'"&amp;BA39&amp;"',"&amp;IF(BC39="NEMA",BD39,BC39)&amp;");")</f>
        <v/>
      </c>
      <c r="DQ39" s="47" t="s">
        <v>0</v>
      </c>
      <c r="DR39" s="52" t="str">
        <f>IF(AL39="","",DU39 &amp; IF(Q39="",""," – " &amp; Q39))</f>
        <v>Patrick – Milković – OK Japetić – M16</v>
      </c>
      <c r="DS39" s="53">
        <f t="shared" si="26"/>
        <v>116</v>
      </c>
      <c r="DT39" s="47" t="s">
        <v>0</v>
      </c>
      <c r="DU39" s="52" t="str">
        <f>IF(AL39="","",DX39 &amp; IF(CR39="",""," – " &amp; CR39))</f>
        <v>Patrick – Milković – OK Japetić</v>
      </c>
      <c r="DV39" s="53">
        <f t="shared" si="27"/>
        <v>116</v>
      </c>
      <c r="DW39" s="47" t="s">
        <v>0</v>
      </c>
      <c r="DX39" s="52" t="str">
        <f>IF(BG39="","",BF39&amp;" – "&amp;BG39)</f>
        <v>Patrick – Milković</v>
      </c>
      <c r="DY39" s="53">
        <f t="shared" si="28"/>
        <v>116</v>
      </c>
      <c r="DZ39" s="47" t="s">
        <v>0</v>
      </c>
      <c r="EA39" s="58">
        <f t="shared" si="61"/>
        <v>116</v>
      </c>
      <c r="EB39" s="53" cm="1">
        <f t="array" ref="EB39">IF(EA39&lt;&gt;"",INDEX(regNatjecatelj_id,EA39,0),IF(BD39&lt;&gt;"",BD39,""))</f>
        <v>1169</v>
      </c>
      <c r="EC39" s="47" t="s">
        <v>0</v>
      </c>
      <c r="ED39" s="58" t="str">
        <f>IF(AL39="","",IF(BD39&lt;&gt;"","novo",IF(AN39="","imepre","imepre(ali)")))</f>
        <v>imepre</v>
      </c>
      <c r="EE39" s="73" t="str">
        <f>IF(AL39="","",IF(BL39="",IF(IFERROR(INDEX(regNatjecatelj_klub,MATCH(EB39,regNatjecatelj_id,0)),"NEMA")="","klu",""),IF(OR(AND(BN39&lt;&gt;"",BN39&lt;&gt;"NEMA"),CD39&lt;&gt;""),"klu(ali)",IF(AND(BP39&lt;&gt;"",BP39&lt;&gt;BO39),"(raz-klu)","klu"))))</f>
        <v>klu(ali)</v>
      </c>
      <c r="EF39" s="73" t="str">
        <f>IF(AL39="","","kat"&amp;IF(AND(W39&lt;&gt;Q39,Q39&lt;&gt;"Open"),"(ali)",""))</f>
        <v>kat</v>
      </c>
      <c r="EG39" s="73" t="str">
        <f t="shared" si="29"/>
        <v/>
      </c>
      <c r="EH39" s="66" t="str">
        <f>IF(AL39="","",ED39&amp;IF(ED39="novo","","-"&amp;EE39&amp;"-"&amp;EF39)&amp;IF(EG39="","","-"&amp;EG39))</f>
        <v>imepre-klu(ali)-kat</v>
      </c>
      <c r="EI39" s="47" t="s">
        <v>0</v>
      </c>
      <c r="EJ39" s="58">
        <f>IF(AL39="","",MAX(EJ$12:EJ38)+1)</f>
        <v>215</v>
      </c>
      <c r="EK39" s="73">
        <f>IF(AO39="","",X39)</f>
        <v>25</v>
      </c>
      <c r="EL39" s="73">
        <f t="shared" si="62"/>
        <v>1169</v>
      </c>
      <c r="EM39" s="73">
        <f t="shared" si="30"/>
        <v>3015</v>
      </c>
      <c r="EN39" s="73">
        <f t="shared" si="31"/>
        <v>1</v>
      </c>
      <c r="EO39" s="73">
        <f t="shared" si="63"/>
        <v>1</v>
      </c>
      <c r="EP39" s="73">
        <f t="shared" si="64"/>
        <v>3</v>
      </c>
      <c r="EQ39" s="73" t="str">
        <f t="shared" si="34"/>
        <v>0</v>
      </c>
      <c r="ER39" s="73" t="str">
        <f>IF(OR(AN39="",AN39="NEMA"),BB39,AN39)</f>
        <v/>
      </c>
      <c r="ES39" s="73">
        <f>IF(AND(BN39&lt;&gt;"",BN39&lt;&gt;"NEMA"),BN39,IF(CG39&lt;&gt;"",CG39,IF(AND(CL39&lt;&gt;"",CL39&lt;&gt;"NEMA"),CL39,IF(CM39&lt;&gt;"",CM39,""))))</f>
        <v>1</v>
      </c>
      <c r="ET39" s="53" t="str">
        <f>IF(INDEX(natKategorija_alias_Id,MATCH(S39,natKategorija_katRegId,0))="","",INDEX(natKategorija_alias_Id,MATCH(S39,natKategorija_katRegId,0)))</f>
        <v/>
      </c>
      <c r="EU39" s="47" t="s">
        <v>0</v>
      </c>
      <c r="EV39" s="19" t="str">
        <f t="shared" si="65"/>
        <v>INSERT INTO rezultat(id,stazakategorija_id,imeprezime_id,vrijeme_sec,status_id,registracija,uparivanje_id,originalstatus_id,imeprezimealias_id,klubalias_id,kategorijaalias_id) VALUES (215,25,1169,3015,1,1,3,0,Null,1,Null);</v>
      </c>
      <c r="EW39" s="47" t="s">
        <v>0</v>
      </c>
      <c r="EX39" s="19" t="str">
        <f t="shared" si="66"/>
        <v>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39" s="47" t="s">
        <v>0</v>
      </c>
      <c r="EZ39" s="180" t="str">
        <f>AG39&amp;IF(CP39="","","
")&amp;CP39&amp;IF(CI39="","","
")&amp;CI39&amp;IF(DN39="","","
")&amp;DN39&amp;IF(DP39="","","
")&amp;DP39&amp;IF(EV39="","","
")&amp;EV39&amp;IF(EX39="","","
")&amp;EX39</f>
        <v xml:space="preserve">
INSERT INTO rezultat(id,stazakategorija_id,imeprezime_id,vrijeme_sec,status_id,registracija,uparivanje_id,originalstatus_id,imeprezimealias_id,klubalias_id,kategorijaalias_id) VALUES (215,25,1169,3015,1,1,3,0,Null,1,Null);
UPDATE
	registar
SET
	potvrda = 1
WHERE
	imeprezime_id=1169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39" s="47" t="s">
        <v>0</v>
      </c>
    </row>
    <row r="40" spans="1:157" x14ac:dyDescent="0.25">
      <c r="A40" t="s">
        <v>0</v>
      </c>
      <c r="B40" s="52" t="str">
        <f>IF(csv!F30="","",csv!T30)</f>
        <v>M16</v>
      </c>
      <c r="C40" s="31" t="s">
        <v>0</v>
      </c>
      <c r="D40" s="31" t="str">
        <f>IF(csv!F30="","",csv!F30)</f>
        <v>Petar</v>
      </c>
      <c r="E40" s="31" t="str">
        <f>IF(csv!E30="","",csv!E30)</f>
        <v>Jurač</v>
      </c>
      <c r="F40" s="31" t="s">
        <v>0</v>
      </c>
      <c r="G40" s="73" t="str">
        <f>IF(csv!M30="","",csv!M30)</f>
        <v>73:05</v>
      </c>
      <c r="H40" s="73" t="str">
        <f>IF(csv!N30="","",csv!N30)</f>
        <v>0</v>
      </c>
      <c r="I40" s="31" t="s">
        <v>0</v>
      </c>
      <c r="J40" s="31" t="str">
        <f>IF(csv!P30="","",csv!P30)</f>
        <v>Vihor</v>
      </c>
      <c r="K40" s="31" t="str">
        <f>IF(csv!Q30="","",csv!Q30)</f>
        <v>OK Vihor</v>
      </c>
      <c r="L40" s="31" t="s">
        <v>0</v>
      </c>
      <c r="M40" s="66" t="str">
        <f>IF(csv!R30="","",csv!R30)</f>
        <v>CRO</v>
      </c>
      <c r="N40" s="47" t="s">
        <v>0</v>
      </c>
      <c r="O40" s="243" t="str">
        <f t="shared" si="36"/>
        <v>ok</v>
      </c>
      <c r="P40" s="47"/>
      <c r="Q40" s="52" t="str">
        <f t="shared" si="37"/>
        <v>M16</v>
      </c>
      <c r="R40" s="73">
        <f>IF(Q40="","",IF(COUNTIF(Q$12:Q39,Q40)=0,R39+1,R39))</f>
        <v>3</v>
      </c>
      <c r="S40" s="73">
        <f t="shared" si="38"/>
        <v>110</v>
      </c>
      <c r="T40" s="73">
        <f t="shared" si="1"/>
        <v>19</v>
      </c>
      <c r="U40" s="66" t="str">
        <f t="shared" si="2"/>
        <v>M21B – M16</v>
      </c>
      <c r="V40" s="47" t="s">
        <v>0</v>
      </c>
      <c r="W40" s="222" t="str">
        <f t="shared" si="3"/>
        <v>M16</v>
      </c>
      <c r="X40" s="223">
        <f t="shared" si="4"/>
        <v>25</v>
      </c>
      <c r="Y40" s="47" t="s">
        <v>0</v>
      </c>
      <c r="Z40" s="52" t="str">
        <f t="shared" si="39"/>
        <v>CRO</v>
      </c>
      <c r="AA40" s="73">
        <f t="shared" si="5"/>
        <v>1</v>
      </c>
      <c r="AB40" s="31" t="str">
        <f t="shared" si="40"/>
        <v/>
      </c>
      <c r="AC40" s="66" t="str">
        <f>IF(AB40="","",MAX(AC$12:AC39)+1)</f>
        <v/>
      </c>
      <c r="AD40" s="47" t="s">
        <v>0</v>
      </c>
      <c r="AE40" s="125"/>
      <c r="AF40" s="47" t="s">
        <v>0</v>
      </c>
      <c r="AG40" s="19" t="str">
        <f t="shared" si="41"/>
        <v/>
      </c>
      <c r="AH40" s="47" t="s">
        <v>0</v>
      </c>
      <c r="AI40" s="143" t="str">
        <f t="shared" si="42"/>
        <v>CRO</v>
      </c>
      <c r="AJ40" s="47"/>
      <c r="AK40" s="52" t="str">
        <f t="shared" si="43"/>
        <v>Petar</v>
      </c>
      <c r="AL40" s="31" t="str">
        <f t="shared" si="44"/>
        <v>Jurač</v>
      </c>
      <c r="AM40" s="73">
        <f t="shared" si="45"/>
        <v>1283</v>
      </c>
      <c r="AN40" s="73" t="str">
        <f t="shared" si="46"/>
        <v/>
      </c>
      <c r="AO40" s="31" t="str">
        <f t="shared" si="8"/>
        <v>Petar</v>
      </c>
      <c r="AP40" s="66" t="str">
        <f t="shared" si="9"/>
        <v>Jurač</v>
      </c>
      <c r="AQ40" s="47" t="s">
        <v>0</v>
      </c>
      <c r="AR40" s="82" t="str">
        <f t="shared" si="47"/>
        <v/>
      </c>
      <c r="AS40" s="47" t="s">
        <v>0</v>
      </c>
      <c r="AT40" s="19" t="str">
        <f t="shared" si="48"/>
        <v/>
      </c>
      <c r="AU40" s="47" t="s">
        <v>0</v>
      </c>
      <c r="AV40" s="103"/>
      <c r="AW40" s="105"/>
      <c r="AX40" s="47" t="s">
        <v>0</v>
      </c>
      <c r="AY40" s="256" t="str">
        <f t="shared" si="68"/>
        <v/>
      </c>
      <c r="AZ40" s="47" t="s">
        <v>0</v>
      </c>
      <c r="BA40" s="52" t="str">
        <f t="shared" si="11"/>
        <v/>
      </c>
      <c r="BB40" s="73" t="str">
        <f>IF(AV40&amp;AW40="","",MAX(BB$12:BB39)+1)</f>
        <v/>
      </c>
      <c r="BC40" s="268" t="str">
        <f t="shared" si="12"/>
        <v/>
      </c>
      <c r="BD40" s="53" t="str">
        <f>IF(AND(AM40="NEMA",AN40="NEMA",OR(AV40&amp;AW40="",BC40="NEMA")),MAX(BD$12:BD39)+1,"")</f>
        <v/>
      </c>
      <c r="BE40" s="47" t="s">
        <v>0</v>
      </c>
      <c r="BF40" s="52" t="str">
        <f t="shared" si="13"/>
        <v>Petar</v>
      </c>
      <c r="BG40" s="31" t="str">
        <f t="shared" si="14"/>
        <v>Jurač</v>
      </c>
      <c r="BH40" s="73" t="str">
        <f t="shared" si="49"/>
        <v/>
      </c>
      <c r="BI40" s="53">
        <f t="shared" si="50"/>
        <v>1283</v>
      </c>
      <c r="BJ40" s="47" t="s">
        <v>0</v>
      </c>
      <c r="BK40" s="52" t="str">
        <f t="shared" si="15"/>
        <v>Vihor</v>
      </c>
      <c r="BL40" s="31" t="str">
        <f t="shared" si="16"/>
        <v>OK Vihor</v>
      </c>
      <c r="BM40" s="73">
        <f t="shared" si="17"/>
        <v>12</v>
      </c>
      <c r="BN40" s="73" t="str">
        <f t="shared" si="18"/>
        <v/>
      </c>
      <c r="BO40" s="31" t="str" cm="1">
        <f t="array" ref="BO40">IF(BN40="",""&amp;BL40,IF(BN40="NEMA",BL40,INDEX(regKlub_naziv,MATCH(INDEX(regKlub_alias_klubId,BN40),regKlub_id,0))))</f>
        <v>OK Vihor</v>
      </c>
      <c r="BP40" s="31" t="str" cm="1">
        <f t="array" ref="BP40">IFERROR(""&amp;INDEX(regNatjecatelj_klub,DY40),"")</f>
        <v>OK Vihor</v>
      </c>
      <c r="BQ40" s="88" t="str">
        <f t="shared" si="51"/>
        <v/>
      </c>
      <c r="BR40" s="66" t="str">
        <f t="shared" si="52"/>
        <v>OK Vihor</v>
      </c>
      <c r="BS40" s="47" t="s">
        <v>0</v>
      </c>
      <c r="BT40" s="82" t="str">
        <f>IF(BN40&lt;&gt;"NEMA","",IF(IFERROR(MATCH(BL40,BL$12:BL39,0),0)&lt;&gt;0,"",BL40))</f>
        <v/>
      </c>
      <c r="BU40" s="47" t="s">
        <v>0</v>
      </c>
      <c r="BV40" s="125"/>
      <c r="BW40" s="47" t="s">
        <v>0</v>
      </c>
      <c r="BX40" s="58" t="str">
        <f t="shared" si="53"/>
        <v/>
      </c>
      <c r="BY40" s="31" t="str">
        <f t="shared" si="54"/>
        <v/>
      </c>
      <c r="BZ40" s="31" t="str">
        <f>IF(BY40="","",MAX(BZ$12:BZ39)+1)</f>
        <v/>
      </c>
      <c r="CA40" s="31" t="str">
        <f>IF(BY40="","",IF(AA40="","",IF(AA40="NEMA",AC40,AA40)))</f>
        <v/>
      </c>
      <c r="CB40" s="31" t="str">
        <f t="shared" si="55"/>
        <v/>
      </c>
      <c r="CC40" s="31" t="str">
        <f>IF(BV40="","",MAX(CC$12:CC39)+1)</f>
        <v/>
      </c>
      <c r="CD40" s="31" t="str">
        <f t="shared" si="56"/>
        <v/>
      </c>
      <c r="CE40" s="66" t="str">
        <f t="shared" si="57"/>
        <v/>
      </c>
      <c r="CF40" s="47" t="s">
        <v>0</v>
      </c>
      <c r="CG40" s="73" t="str">
        <f>IF(BN40="","",IF(BN40&lt;&gt;"NEMA","",IFERROR(INDEX(nat_klubAliasId,MATCH(BL40,nat_noviKluboviAliasi,0)),"")))</f>
        <v/>
      </c>
      <c r="CH40" s="47"/>
      <c r="CI40" s="19" t="str">
        <f t="shared" si="58"/>
        <v/>
      </c>
      <c r="CJ40" s="47" t="s">
        <v>0</v>
      </c>
      <c r="CK40" s="52" t="str">
        <f>IF(X40&lt;&gt;"NEMA","",IF(IFERROR(MATCH(W40,W$12:W39,0),0)&lt;&gt;0,"",W40))</f>
        <v/>
      </c>
      <c r="CL40" s="73" t="str">
        <f>IF(CK40="","",IFERROR(INDEX(regKlub_alias_id,MATCH(CK40,regKlub_alias_alias,0)),"NEMA"))</f>
        <v/>
      </c>
      <c r="CM40" s="31" t="str">
        <f>IF(OR(CL40="",CL40&lt;&gt;"NEMA"),"",MAX(CM$12:CM39)+1)</f>
        <v/>
      </c>
      <c r="CN40" s="66" t="str">
        <f>IF(OR(CL40="",CL40&lt;&gt;"NEMA"),"",INDEX(regKlub_id,MATCH(CK40,regKlub_naziv,0)))</f>
        <v/>
      </c>
      <c r="CO40" s="47" t="s">
        <v>0</v>
      </c>
      <c r="CP40" s="19" t="str">
        <f>IF(OR(CL40="",CL40&lt;&gt;"NEMA"),"","INSERT INTO klub_alias(id,alias,klub_id) VALUES ("&amp;CM40&amp;",'"&amp;CK40&amp;"',"&amp;CN40&amp;");")</f>
        <v/>
      </c>
      <c r="CQ40" s="47" t="s">
        <v>0</v>
      </c>
      <c r="CR40" s="143" t="str">
        <f>IF(BR40="","",IF(BV40="",IF(IFERROR(MATCH(BR40,nat_noviKluboviAliasi,0),0)&gt;0,INDEX(nat_kluboviAliasi,MATCH(BR40,nat_noviKluboviAliasi,0)),BR40),BV40))</f>
        <v>OK Vihor</v>
      </c>
      <c r="CS40" s="47" t="s">
        <v>0</v>
      </c>
      <c r="CT40" s="58" t="str">
        <f>IF(G40="","",G40)</f>
        <v>73:05</v>
      </c>
      <c r="CU40" s="73" t="str">
        <f>IF(H40="","",H40)</f>
        <v>0</v>
      </c>
      <c r="CV40" s="229" t="str">
        <f>IF(CT40="",IF(OR(AL40="",CU40&lt;&gt;"0"),"","GREŠKA"),IF(AND(65535&gt;=VALUE(LEFT(CT40,SEARCH(":",CT40)-1))*60+VALUE(RIGHT(CT40,2)),OR(CU40="0",CU40="1",CU40="2",CU40="3",CU40="4")),"","GREŠKA"))</f>
        <v/>
      </c>
      <c r="CW40" s="230">
        <f t="shared" si="23"/>
        <v>4385</v>
      </c>
      <c r="CX40" s="163">
        <f t="shared" si="24"/>
        <v>1</v>
      </c>
      <c r="CY40" s="47" t="s">
        <v>0</v>
      </c>
      <c r="CZ40" s="222" t="str">
        <f>IF(CV40&lt;&gt;"GREŠKA","",AK40&amp;" "&amp;AL40&amp;" – Molim u OEventu provjeriti i ispraviti rezultat – vrijeme ("&amp;IF(CT40="","nije upisano",CT40)&amp;") i classifier ("&amp;CU40&amp;").")&amp;IF(OR(CV40&lt;&gt;"GREŠKA",CX40&lt;&gt;5),"
","")&amp;IF(CX40&lt;&gt;5,"",AK40&amp;" "&amp;AL40&amp;" – Molim u provjeriti je li natjecatelj zaista diskvalificiran. Ako je koje je obrazloženje, ako nije molim u OEventu ispraviti rezultat")</f>
        <v xml:space="preserve">
</v>
      </c>
      <c r="DA40" s="223">
        <f t="shared" si="60"/>
        <v>6</v>
      </c>
      <c r="DB40" s="47" t="s">
        <v>0</v>
      </c>
      <c r="DC40" s="47"/>
      <c r="DD40" s="47"/>
      <c r="DE40" s="47"/>
      <c r="DF40" s="47" t="s">
        <v>0</v>
      </c>
      <c r="DG40" s="53" t="str">
        <f>IF(BD40="","",IF(DI40="O",1,""))</f>
        <v/>
      </c>
      <c r="DH40" t="s">
        <v>0</v>
      </c>
      <c r="DI40" s="128" t="str">
        <f>IF(Q40="","",LEFT(INDEX(regKategorija_oznaka,MATCH(S40,regKategorija_id,0)),1))</f>
        <v>M</v>
      </c>
      <c r="DJ40" t="s">
        <v>0</v>
      </c>
      <c r="DK40" s="52" t="str">
        <f>IF(BD40="","",IF(M40&lt;&gt;"CRO","","INSERT INTO osoba (id,reg_broj,oib,spol_id,dat_rodjenja) VALUES ("&amp;BD40&amp;",(SELECT max(os.reg_broj)+1 FROM osoba AS os),Null,'"&amp;DI40&amp;"',Null); INSERT INTO osoba_log (id,reg_broj,oib,spol_id,dat_rodjenja,dnevnik_id) SELECT id,reg_broj,oib,spol_id,dat_rodjenja,"&amp;data_dnevnik_id&amp;" FROM osoba WHERE id = "&amp;BD40&amp;";"))</f>
        <v/>
      </c>
      <c r="DL40" s="66" t="str">
        <f>IF(BD40="","","INSERT INTO imeprezime (id,osoba_id,rbr,ime,prezime,klub_id,identitet_id,sintaksa_id,info,aktivno,dnevnik_id) VALUES ("&amp;BD40&amp;","&amp;IF(DK40="","Null",BD40)&amp;",1,'"&amp;IF(AV40&lt;&gt;"",AV40,AK40)&amp;"','"&amp;IF(AW40&lt;&gt;"",AW40,AL40)&amp;"',(SELECT id FROM klub WHERE naziv = '"&amp;CR40&amp;"'),Null,1,'',1,"&amp;data_dnevnik_id&amp;");")</f>
        <v/>
      </c>
      <c r="DM40" t="s">
        <v>0</v>
      </c>
      <c r="DN40" s="19" t="str">
        <f t="shared" si="69"/>
        <v/>
      </c>
      <c r="DO40" s="47" t="s">
        <v>0</v>
      </c>
      <c r="DP40" s="19" t="str">
        <f>IF(BA40="","","INSERT INTO imeprezime_alias(id,alias,imeprezime_id) VALUES ("&amp;BB40&amp;",'"&amp;BA40&amp;"',"&amp;IF(BC40="NEMA",BD40,BC40)&amp;");")</f>
        <v/>
      </c>
      <c r="DQ40" s="47" t="s">
        <v>0</v>
      </c>
      <c r="DR40" s="52" t="str">
        <f>IF(AL40="","",DU40 &amp; IF(Q40="",""," – " &amp; Q40))</f>
        <v>Petar – Jurač – OK Vihor – M16</v>
      </c>
      <c r="DS40" s="53">
        <f t="shared" si="26"/>
        <v>720</v>
      </c>
      <c r="DT40" s="47" t="s">
        <v>0</v>
      </c>
      <c r="DU40" s="52" t="str">
        <f>IF(AL40="","",DX40 &amp; IF(CR40="",""," – " &amp; CR40))</f>
        <v>Petar – Jurač – OK Vihor</v>
      </c>
      <c r="DV40" s="53">
        <f t="shared" si="27"/>
        <v>720</v>
      </c>
      <c r="DW40" s="47" t="s">
        <v>0</v>
      </c>
      <c r="DX40" s="52" t="str">
        <f>IF(BG40="","",BF40&amp;" – "&amp;BG40)</f>
        <v>Petar – Jurač</v>
      </c>
      <c r="DY40" s="53">
        <f t="shared" si="28"/>
        <v>720</v>
      </c>
      <c r="DZ40" s="47" t="s">
        <v>0</v>
      </c>
      <c r="EA40" s="58">
        <f t="shared" si="61"/>
        <v>720</v>
      </c>
      <c r="EB40" s="53" cm="1">
        <f t="array" ref="EB40">IF(EA40&lt;&gt;"",INDEX(regNatjecatelj_id,EA40,0),IF(BD40&lt;&gt;"",BD40,""))</f>
        <v>1283</v>
      </c>
      <c r="EC40" s="47" t="s">
        <v>0</v>
      </c>
      <c r="ED40" s="58" t="str">
        <f>IF(AL40="","",IF(BD40&lt;&gt;"","novo",IF(AN40="","imepre","imepre(ali)")))</f>
        <v>imepre</v>
      </c>
      <c r="EE40" s="73" t="str">
        <f>IF(AL40="","",IF(BL40="",IF(IFERROR(INDEX(regNatjecatelj_klub,MATCH(EB40,regNatjecatelj_id,0)),"NEMA")="","klu",""),IF(OR(AND(BN40&lt;&gt;"",BN40&lt;&gt;"NEMA"),CD40&lt;&gt;""),"klu(ali)",IF(AND(BP40&lt;&gt;"",BP40&lt;&gt;BO40),"(raz-klu)","klu"))))</f>
        <v>klu</v>
      </c>
      <c r="EF40" s="73" t="str">
        <f>IF(AL40="","","kat"&amp;IF(AND(W40&lt;&gt;Q40,Q40&lt;&gt;"Open"),"(ali)",""))</f>
        <v>kat</v>
      </c>
      <c r="EG40" s="73" t="str">
        <f t="shared" si="29"/>
        <v/>
      </c>
      <c r="EH40" s="66" t="str">
        <f>IF(AL40="","",ED40&amp;IF(ED40="novo","","-"&amp;EE40&amp;"-"&amp;EF40)&amp;IF(EG40="","","-"&amp;EG40))</f>
        <v>imepre-klu-kat</v>
      </c>
      <c r="EI40" s="47" t="s">
        <v>0</v>
      </c>
      <c r="EJ40" s="58">
        <f>IF(AL40="","",MAX(EJ$12:EJ39)+1)</f>
        <v>216</v>
      </c>
      <c r="EK40" s="73">
        <f>IF(AO40="","",X40)</f>
        <v>25</v>
      </c>
      <c r="EL40" s="73">
        <f t="shared" si="62"/>
        <v>1283</v>
      </c>
      <c r="EM40" s="73">
        <f t="shared" si="30"/>
        <v>4385</v>
      </c>
      <c r="EN40" s="73">
        <f t="shared" si="31"/>
        <v>1</v>
      </c>
      <c r="EO40" s="73">
        <f t="shared" si="63"/>
        <v>1</v>
      </c>
      <c r="EP40" s="73">
        <f t="shared" si="64"/>
        <v>1</v>
      </c>
      <c r="EQ40" s="73" t="str">
        <f t="shared" si="34"/>
        <v>0</v>
      </c>
      <c r="ER40" s="73" t="str">
        <f>IF(OR(AN40="",AN40="NEMA"),BB40,AN40)</f>
        <v/>
      </c>
      <c r="ES40" s="73" t="str">
        <f>IF(AND(BN40&lt;&gt;"",BN40&lt;&gt;"NEMA"),BN40,IF(CG40&lt;&gt;"",CG40,IF(AND(CL40&lt;&gt;"",CL40&lt;&gt;"NEMA"),CL40,IF(CM40&lt;&gt;"",CM40,""))))</f>
        <v/>
      </c>
      <c r="ET40" s="53" t="str">
        <f>IF(INDEX(natKategorija_alias_Id,MATCH(S40,natKategorija_katRegId,0))="","",INDEX(natKategorija_alias_Id,MATCH(S40,natKategorija_katRegId,0)))</f>
        <v/>
      </c>
      <c r="EU40" s="47" t="s">
        <v>0</v>
      </c>
      <c r="EV40" s="19" t="str">
        <f t="shared" si="65"/>
        <v>INSERT INTO rezultat(id,stazakategorija_id,imeprezime_id,vrijeme_sec,status_id,registracija,uparivanje_id,originalstatus_id,imeprezimealias_id,klubalias_id,kategorijaalias_id) VALUES (216,25,1283,4385,1,1,1,0,Null,Null,Null);</v>
      </c>
      <c r="EW40" s="47" t="s">
        <v>0</v>
      </c>
      <c r="EX40" s="19" t="str">
        <f t="shared" si="66"/>
        <v>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40" s="47" t="s">
        <v>0</v>
      </c>
      <c r="EZ40" s="180" t="str">
        <f>AG40&amp;IF(CP40="","","
")&amp;CP40&amp;IF(CI40="","","
")&amp;CI40&amp;IF(DN40="","","
")&amp;DN40&amp;IF(DP40="","","
")&amp;DP40&amp;IF(EV40="","","
")&amp;EV40&amp;IF(EX40="","","
")&amp;EX40</f>
        <v xml:space="preserve">
INSERT INTO rezultat(id,stazakategorija_id,imeprezime_id,vrijeme_sec,status_id,registracija,uparivanje_id,originalstatus_id,imeprezimealias_id,klubalias_id,kategorijaalias_id) VALUES (216,25,1283,4385,1,1,1,0,Null,Null,Null);
UPDATE
	registar
SET
	potvrda = 1
WHERE
	imeprezime_id=1283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40" s="47" t="s">
        <v>0</v>
      </c>
    </row>
    <row r="41" spans="1:157" x14ac:dyDescent="0.25">
      <c r="A41" t="s">
        <v>0</v>
      </c>
      <c r="B41" s="52" t="str">
        <f>IF(csv!F31="","",csv!T31)</f>
        <v>M16</v>
      </c>
      <c r="C41" s="31" t="s">
        <v>0</v>
      </c>
      <c r="D41" s="31" t="str">
        <f>IF(csv!F31="","",csv!F31)</f>
        <v>Borna</v>
      </c>
      <c r="E41" s="31" t="str">
        <f>IF(csv!E31="","",csv!E31)</f>
        <v>Kuzmanić</v>
      </c>
      <c r="F41" s="31" t="s">
        <v>0</v>
      </c>
      <c r="G41" s="73" t="str">
        <f>IF(csv!M31="","",csv!M31)</f>
        <v>75:35</v>
      </c>
      <c r="H41" s="73" t="str">
        <f>IF(csv!N31="","",csv!N31)</f>
        <v>0</v>
      </c>
      <c r="I41" s="31" t="s">
        <v>0</v>
      </c>
      <c r="J41" s="31" t="str">
        <f>IF(csv!P31="","",csv!P31)</f>
        <v>JAP</v>
      </c>
      <c r="K41" s="31" t="str">
        <f>IF(csv!Q31="","",csv!Q31)</f>
        <v>OK Japetic</v>
      </c>
      <c r="L41" s="31" t="s">
        <v>0</v>
      </c>
      <c r="M41" s="66" t="str">
        <f>IF(csv!R31="","",csv!R31)</f>
        <v>CRO</v>
      </c>
      <c r="N41" s="47" t="s">
        <v>0</v>
      </c>
      <c r="O41" s="243" t="str">
        <f t="shared" si="36"/>
        <v>ok</v>
      </c>
      <c r="P41" s="47"/>
      <c r="Q41" s="52" t="str">
        <f t="shared" si="37"/>
        <v>M16</v>
      </c>
      <c r="R41" s="73">
        <f>IF(Q41="","",IF(COUNTIF(Q$12:Q40,Q41)=0,R40+1,R40))</f>
        <v>3</v>
      </c>
      <c r="S41" s="73">
        <f t="shared" si="38"/>
        <v>110</v>
      </c>
      <c r="T41" s="73">
        <f t="shared" si="1"/>
        <v>19</v>
      </c>
      <c r="U41" s="66" t="str">
        <f t="shared" si="2"/>
        <v>M21B – M16</v>
      </c>
      <c r="V41" s="47" t="s">
        <v>0</v>
      </c>
      <c r="W41" s="222" t="str">
        <f t="shared" si="3"/>
        <v>M16</v>
      </c>
      <c r="X41" s="223">
        <f t="shared" si="4"/>
        <v>25</v>
      </c>
      <c r="Y41" s="47" t="s">
        <v>0</v>
      </c>
      <c r="Z41" s="52" t="str">
        <f t="shared" si="39"/>
        <v>CRO</v>
      </c>
      <c r="AA41" s="73">
        <f t="shared" si="5"/>
        <v>1</v>
      </c>
      <c r="AB41" s="31" t="str">
        <f t="shared" si="40"/>
        <v/>
      </c>
      <c r="AC41" s="66" t="str">
        <f>IF(AB41="","",MAX(AC$12:AC40)+1)</f>
        <v/>
      </c>
      <c r="AD41" s="47" t="s">
        <v>0</v>
      </c>
      <c r="AE41" s="125"/>
      <c r="AF41" s="47" t="s">
        <v>0</v>
      </c>
      <c r="AG41" s="19" t="str">
        <f t="shared" si="41"/>
        <v/>
      </c>
      <c r="AH41" s="47" t="s">
        <v>0</v>
      </c>
      <c r="AI41" s="143" t="str">
        <f t="shared" si="42"/>
        <v>CRO</v>
      </c>
      <c r="AJ41" s="47"/>
      <c r="AK41" s="52" t="str">
        <f t="shared" si="43"/>
        <v>Borna</v>
      </c>
      <c r="AL41" s="31" t="str">
        <f t="shared" si="44"/>
        <v>Kuzmanić</v>
      </c>
      <c r="AM41" s="73">
        <f t="shared" si="45"/>
        <v>1451</v>
      </c>
      <c r="AN41" s="73" t="str">
        <f t="shared" si="46"/>
        <v/>
      </c>
      <c r="AO41" s="31" t="str">
        <f t="shared" si="8"/>
        <v>Borna</v>
      </c>
      <c r="AP41" s="66" t="str">
        <f t="shared" si="9"/>
        <v>Kuzmanić</v>
      </c>
      <c r="AQ41" s="47" t="s">
        <v>0</v>
      </c>
      <c r="AR41" s="82" t="str">
        <f t="shared" si="47"/>
        <v/>
      </c>
      <c r="AS41" s="47" t="s">
        <v>0</v>
      </c>
      <c r="AT41" s="19" t="str">
        <f t="shared" si="48"/>
        <v/>
      </c>
      <c r="AU41" s="47" t="s">
        <v>0</v>
      </c>
      <c r="AV41" s="103"/>
      <c r="AW41" s="105"/>
      <c r="AX41" s="47" t="s">
        <v>0</v>
      </c>
      <c r="AY41" s="256" t="str">
        <f t="shared" si="68"/>
        <v/>
      </c>
      <c r="AZ41" s="47" t="s">
        <v>0</v>
      </c>
      <c r="BA41" s="52" t="str">
        <f t="shared" si="11"/>
        <v/>
      </c>
      <c r="BB41" s="73" t="str">
        <f>IF(AV41&amp;AW41="","",MAX(BB$12:BB40)+1)</f>
        <v/>
      </c>
      <c r="BC41" s="268" t="str">
        <f t="shared" si="12"/>
        <v/>
      </c>
      <c r="BD41" s="53" t="str">
        <f>IF(AND(AM41="NEMA",AN41="NEMA",OR(AV41&amp;AW41="",BC41="NEMA")),MAX(BD$12:BD40)+1,"")</f>
        <v/>
      </c>
      <c r="BE41" s="47" t="s">
        <v>0</v>
      </c>
      <c r="BF41" s="52" t="str">
        <f t="shared" si="13"/>
        <v>Borna</v>
      </c>
      <c r="BG41" s="31" t="str">
        <f t="shared" si="14"/>
        <v>Kuzmanić</v>
      </c>
      <c r="BH41" s="73" t="str">
        <f t="shared" si="49"/>
        <v/>
      </c>
      <c r="BI41" s="53">
        <f t="shared" si="50"/>
        <v>1451</v>
      </c>
      <c r="BJ41" s="47" t="s">
        <v>0</v>
      </c>
      <c r="BK41" s="52" t="str">
        <f t="shared" si="15"/>
        <v>JAP</v>
      </c>
      <c r="BL41" s="31" t="str">
        <f t="shared" si="16"/>
        <v>OK Japetic</v>
      </c>
      <c r="BM41" s="73" t="str">
        <f t="shared" si="17"/>
        <v>NEMA</v>
      </c>
      <c r="BN41" s="73">
        <f t="shared" si="18"/>
        <v>1</v>
      </c>
      <c r="BO41" s="31" t="str" cm="1">
        <f t="array" ref="BO41">IF(BN41="",""&amp;BL41,IF(BN41="NEMA",BL41,INDEX(regKlub_naziv,MATCH(INDEX(regKlub_alias_klubId,BN41),regKlub_id,0))))</f>
        <v>OK Japetić</v>
      </c>
      <c r="BP41" s="31" t="str" cm="1">
        <f t="array" ref="BP41">IFERROR(""&amp;INDEX(regNatjecatelj_klub,DY41),"")</f>
        <v>OK Japetić</v>
      </c>
      <c r="BQ41" s="88" t="str">
        <f t="shared" si="51"/>
        <v/>
      </c>
      <c r="BR41" s="66" t="str">
        <f t="shared" si="52"/>
        <v>OK Japetić</v>
      </c>
      <c r="BS41" s="47" t="s">
        <v>0</v>
      </c>
      <c r="BT41" s="82" t="str">
        <f>IF(BN41&lt;&gt;"NEMA","",IF(IFERROR(MATCH(BL41,BL$12:BL40,0),0)&lt;&gt;0,"",BL41))</f>
        <v/>
      </c>
      <c r="BU41" s="47" t="s">
        <v>0</v>
      </c>
      <c r="BV41" s="125"/>
      <c r="BW41" s="47" t="s">
        <v>0</v>
      </c>
      <c r="BX41" s="58" t="str">
        <f t="shared" si="53"/>
        <v/>
      </c>
      <c r="BY41" s="31" t="str">
        <f t="shared" si="54"/>
        <v/>
      </c>
      <c r="BZ41" s="31" t="str">
        <f>IF(BY41="","",MAX(BZ$12:BZ40)+1)</f>
        <v/>
      </c>
      <c r="CA41" s="31" t="str">
        <f>IF(BY41="","",IF(AA41="","",IF(AA41="NEMA",AC41,AA41)))</f>
        <v/>
      </c>
      <c r="CB41" s="31" t="str">
        <f t="shared" si="55"/>
        <v/>
      </c>
      <c r="CC41" s="31" t="str">
        <f>IF(BV41="","",MAX(CC$12:CC40)+1)</f>
        <v/>
      </c>
      <c r="CD41" s="31" t="str">
        <f t="shared" si="56"/>
        <v/>
      </c>
      <c r="CE41" s="66" t="str">
        <f t="shared" si="57"/>
        <v/>
      </c>
      <c r="CF41" s="47" t="s">
        <v>0</v>
      </c>
      <c r="CG41" s="73" t="str">
        <f>IF(BN41="","",IF(BN41&lt;&gt;"NEMA","",IFERROR(INDEX(nat_klubAliasId,MATCH(BL41,nat_noviKluboviAliasi,0)),"")))</f>
        <v/>
      </c>
      <c r="CH41" s="47"/>
      <c r="CI41" s="19" t="str">
        <f t="shared" si="58"/>
        <v/>
      </c>
      <c r="CJ41" s="47" t="s">
        <v>0</v>
      </c>
      <c r="CK41" s="52" t="str">
        <f>IF(X41&lt;&gt;"NEMA","",IF(IFERROR(MATCH(W41,W$12:W40,0),0)&lt;&gt;0,"",W41))</f>
        <v/>
      </c>
      <c r="CL41" s="73" t="str">
        <f>IF(CK41="","",IFERROR(INDEX(regKlub_alias_id,MATCH(CK41,regKlub_alias_alias,0)),"NEMA"))</f>
        <v/>
      </c>
      <c r="CM41" s="31" t="str">
        <f>IF(OR(CL41="",CL41&lt;&gt;"NEMA"),"",MAX(CM$12:CM40)+1)</f>
        <v/>
      </c>
      <c r="CN41" s="66" t="str">
        <f>IF(OR(CL41="",CL41&lt;&gt;"NEMA"),"",INDEX(regKlub_id,MATCH(CK41,regKlub_naziv,0)))</f>
        <v/>
      </c>
      <c r="CO41" s="47" t="s">
        <v>0</v>
      </c>
      <c r="CP41" s="19" t="str">
        <f>IF(OR(CL41="",CL41&lt;&gt;"NEMA"),"","INSERT INTO klub_alias(id,alias,klub_id) VALUES ("&amp;CM41&amp;",'"&amp;CK41&amp;"',"&amp;CN41&amp;");")</f>
        <v/>
      </c>
      <c r="CQ41" s="47" t="s">
        <v>0</v>
      </c>
      <c r="CR41" s="143" t="str">
        <f>IF(BR41="","",IF(BV41="",IF(IFERROR(MATCH(BR41,nat_noviKluboviAliasi,0),0)&gt;0,INDEX(nat_kluboviAliasi,MATCH(BR41,nat_noviKluboviAliasi,0)),BR41),BV41))</f>
        <v>OK Japetić</v>
      </c>
      <c r="CS41" s="47" t="s">
        <v>0</v>
      </c>
      <c r="CT41" s="58" t="str">
        <f>IF(G41="","",G41)</f>
        <v>75:35</v>
      </c>
      <c r="CU41" s="73" t="str">
        <f>IF(H41="","",H41)</f>
        <v>0</v>
      </c>
      <c r="CV41" s="229" t="str">
        <f>IF(CT41="",IF(OR(AL41="",CU41&lt;&gt;"0"),"","GREŠKA"),IF(AND(65535&gt;=VALUE(LEFT(CT41,SEARCH(":",CT41)-1))*60+VALUE(RIGHT(CT41,2)),OR(CU41="0",CU41="1",CU41="2",CU41="3",CU41="4")),"","GREŠKA"))</f>
        <v/>
      </c>
      <c r="CW41" s="230">
        <f t="shared" si="23"/>
        <v>4535</v>
      </c>
      <c r="CX41" s="163">
        <f t="shared" si="24"/>
        <v>1</v>
      </c>
      <c r="CY41" s="47" t="s">
        <v>0</v>
      </c>
      <c r="CZ41" s="222" t="str">
        <f>IF(CV41&lt;&gt;"GREŠKA","",AK41&amp;" "&amp;AL41&amp;" – Molim u OEventu provjeriti i ispraviti rezultat – vrijeme ("&amp;IF(CT41="","nije upisano",CT41)&amp;") i classifier ("&amp;CU41&amp;").")&amp;IF(OR(CV41&lt;&gt;"GREŠKA",CX41&lt;&gt;5),"
","")&amp;IF(CX41&lt;&gt;5,"",AK41&amp;" "&amp;AL41&amp;" – Molim u provjeriti je li natjecatelj zaista diskvalificiran. Ako je koje je obrazloženje, ako nije molim u OEventu ispraviti rezultat")</f>
        <v xml:space="preserve">
</v>
      </c>
      <c r="DA41" s="223">
        <f t="shared" si="60"/>
        <v>6</v>
      </c>
      <c r="DB41" s="47" t="s">
        <v>0</v>
      </c>
      <c r="DC41" s="47"/>
      <c r="DD41" s="47"/>
      <c r="DE41" s="47"/>
      <c r="DF41" s="47" t="s">
        <v>0</v>
      </c>
      <c r="DG41" s="53" t="str">
        <f>IF(BD41="","",IF(DI41="O",1,""))</f>
        <v/>
      </c>
      <c r="DH41" t="s">
        <v>0</v>
      </c>
      <c r="DI41" s="128" t="str">
        <f>IF(Q41="","",LEFT(INDEX(regKategorija_oznaka,MATCH(S41,regKategorija_id,0)),1))</f>
        <v>M</v>
      </c>
      <c r="DJ41" t="s">
        <v>0</v>
      </c>
      <c r="DK41" s="52" t="str">
        <f>IF(BD41="","",IF(M41&lt;&gt;"CRO","","INSERT INTO osoba (id,reg_broj,oib,spol_id,dat_rodjenja) VALUES ("&amp;BD41&amp;",(SELECT max(os.reg_broj)+1 FROM osoba AS os),Null,'"&amp;DI41&amp;"',Null); INSERT INTO osoba_log (id,reg_broj,oib,spol_id,dat_rodjenja,dnevnik_id) SELECT id,reg_broj,oib,spol_id,dat_rodjenja,"&amp;data_dnevnik_id&amp;" FROM osoba WHERE id = "&amp;BD41&amp;";"))</f>
        <v/>
      </c>
      <c r="DL41" s="66" t="str">
        <f>IF(BD41="","","INSERT INTO imeprezime (id,osoba_id,rbr,ime,prezime,klub_id,identitet_id,sintaksa_id,info,aktivno,dnevnik_id) VALUES ("&amp;BD41&amp;","&amp;IF(DK41="","Null",BD41)&amp;",1,'"&amp;IF(AV41&lt;&gt;"",AV41,AK41)&amp;"','"&amp;IF(AW41&lt;&gt;"",AW41,AL41)&amp;"',(SELECT id FROM klub WHERE naziv = '"&amp;CR41&amp;"'),Null,1,'',1,"&amp;data_dnevnik_id&amp;");")</f>
        <v/>
      </c>
      <c r="DM41" t="s">
        <v>0</v>
      </c>
      <c r="DN41" s="19" t="str">
        <f t="shared" si="69"/>
        <v/>
      </c>
      <c r="DO41" s="47" t="s">
        <v>0</v>
      </c>
      <c r="DP41" s="19" t="str">
        <f>IF(BA41="","","INSERT INTO imeprezime_alias(id,alias,imeprezime_id) VALUES ("&amp;BB41&amp;",'"&amp;BA41&amp;"',"&amp;IF(BC41="NEMA",BD41,BC41)&amp;");")</f>
        <v/>
      </c>
      <c r="DQ41" s="47" t="s">
        <v>0</v>
      </c>
      <c r="DR41" s="52" t="str">
        <f>IF(AL41="","",DU41 &amp; IF(Q41="",""," – " &amp; Q41))</f>
        <v>Borna – Kuzmanić – OK Japetić – M16</v>
      </c>
      <c r="DS41" s="53">
        <f t="shared" si="26"/>
        <v>101</v>
      </c>
      <c r="DT41" s="47" t="s">
        <v>0</v>
      </c>
      <c r="DU41" s="52" t="str">
        <f>IF(AL41="","",DX41 &amp; IF(CR41="",""," – " &amp; CR41))</f>
        <v>Borna – Kuzmanić – OK Japetić</v>
      </c>
      <c r="DV41" s="53">
        <f t="shared" si="27"/>
        <v>101</v>
      </c>
      <c r="DW41" s="47" t="s">
        <v>0</v>
      </c>
      <c r="DX41" s="52" t="str">
        <f>IF(BG41="","",BF41&amp;" – "&amp;BG41)</f>
        <v>Borna – Kuzmanić</v>
      </c>
      <c r="DY41" s="53">
        <f t="shared" si="28"/>
        <v>101</v>
      </c>
      <c r="DZ41" s="47" t="s">
        <v>0</v>
      </c>
      <c r="EA41" s="58">
        <f t="shared" si="61"/>
        <v>101</v>
      </c>
      <c r="EB41" s="53" cm="1">
        <f t="array" ref="EB41">IF(EA41&lt;&gt;"",INDEX(regNatjecatelj_id,EA41,0),IF(BD41&lt;&gt;"",BD41,""))</f>
        <v>1451</v>
      </c>
      <c r="EC41" s="47" t="s">
        <v>0</v>
      </c>
      <c r="ED41" s="58" t="str">
        <f>IF(AL41="","",IF(BD41&lt;&gt;"","novo",IF(AN41="","imepre","imepre(ali)")))</f>
        <v>imepre</v>
      </c>
      <c r="EE41" s="73" t="str">
        <f>IF(AL41="","",IF(BL41="",IF(IFERROR(INDEX(regNatjecatelj_klub,MATCH(EB41,regNatjecatelj_id,0)),"NEMA")="","klu",""),IF(OR(AND(BN41&lt;&gt;"",BN41&lt;&gt;"NEMA"),CD41&lt;&gt;""),"klu(ali)",IF(AND(BP41&lt;&gt;"",BP41&lt;&gt;BO41),"(raz-klu)","klu"))))</f>
        <v>klu(ali)</v>
      </c>
      <c r="EF41" s="73" t="str">
        <f>IF(AL41="","","kat"&amp;IF(AND(W41&lt;&gt;Q41,Q41&lt;&gt;"Open"),"(ali)",""))</f>
        <v>kat</v>
      </c>
      <c r="EG41" s="73" t="str">
        <f t="shared" si="29"/>
        <v/>
      </c>
      <c r="EH41" s="66" t="str">
        <f>IF(AL41="","",ED41&amp;IF(ED41="novo","","-"&amp;EE41&amp;"-"&amp;EF41)&amp;IF(EG41="","","-"&amp;EG41))</f>
        <v>imepre-klu(ali)-kat</v>
      </c>
      <c r="EI41" s="47" t="s">
        <v>0</v>
      </c>
      <c r="EJ41" s="58">
        <f>IF(AL41="","",MAX(EJ$12:EJ40)+1)</f>
        <v>217</v>
      </c>
      <c r="EK41" s="73">
        <f>IF(AO41="","",X41)</f>
        <v>25</v>
      </c>
      <c r="EL41" s="73">
        <f t="shared" si="62"/>
        <v>1451</v>
      </c>
      <c r="EM41" s="73">
        <f t="shared" si="30"/>
        <v>4535</v>
      </c>
      <c r="EN41" s="73">
        <f t="shared" si="31"/>
        <v>1</v>
      </c>
      <c r="EO41" s="73">
        <f t="shared" si="63"/>
        <v>1</v>
      </c>
      <c r="EP41" s="73">
        <f t="shared" si="64"/>
        <v>3</v>
      </c>
      <c r="EQ41" s="73" t="str">
        <f t="shared" si="34"/>
        <v>0</v>
      </c>
      <c r="ER41" s="73" t="str">
        <f>IF(OR(AN41="",AN41="NEMA"),BB41,AN41)</f>
        <v/>
      </c>
      <c r="ES41" s="73">
        <f>IF(AND(BN41&lt;&gt;"",BN41&lt;&gt;"NEMA"),BN41,IF(CG41&lt;&gt;"",CG41,IF(AND(CL41&lt;&gt;"",CL41&lt;&gt;"NEMA"),CL41,IF(CM41&lt;&gt;"",CM41,""))))</f>
        <v>1</v>
      </c>
      <c r="ET41" s="53" t="str">
        <f>IF(INDEX(natKategorija_alias_Id,MATCH(S41,natKategorija_katRegId,0))="","",INDEX(natKategorija_alias_Id,MATCH(S41,natKategorija_katRegId,0)))</f>
        <v/>
      </c>
      <c r="EU41" s="47" t="s">
        <v>0</v>
      </c>
      <c r="EV41" s="19" t="str">
        <f t="shared" si="65"/>
        <v>INSERT INTO rezultat(id,stazakategorija_id,imeprezime_id,vrijeme_sec,status_id,registracija,uparivanje_id,originalstatus_id,imeprezimealias_id,klubalias_id,kategorijaalias_id) VALUES (217,25,1451,4535,1,1,3,0,Null,1,Null);</v>
      </c>
      <c r="EW41" s="47" t="s">
        <v>0</v>
      </c>
      <c r="EX41" s="19" t="str">
        <f t="shared" si="66"/>
        <v>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41" s="47" t="s">
        <v>0</v>
      </c>
      <c r="EZ41" s="180" t="str">
        <f>AG41&amp;IF(CP41="","","
")&amp;CP41&amp;IF(CI41="","","
")&amp;CI41&amp;IF(DN41="","","
")&amp;DN41&amp;IF(DP41="","","
")&amp;DP41&amp;IF(EV41="","","
")&amp;EV41&amp;IF(EX41="","","
")&amp;EX41</f>
        <v xml:space="preserve">
INSERT INTO rezultat(id,stazakategorija_id,imeprezime_id,vrijeme_sec,status_id,registracija,uparivanje_id,originalstatus_id,imeprezimealias_id,klubalias_id,kategorijaalias_id) VALUES (217,25,1451,4535,1,1,3,0,Null,1,Null);
UPDATE
	registar
SET
	potvrda = 1
WHERE
	imeprezime_id=1451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41" s="47" t="s">
        <v>0</v>
      </c>
    </row>
    <row r="42" spans="1:157" x14ac:dyDescent="0.25">
      <c r="A42" t="s">
        <v>0</v>
      </c>
      <c r="B42" s="52" t="str">
        <f>IF(csv!F32="","",csv!T32)</f>
        <v>M16</v>
      </c>
      <c r="C42" s="31" t="s">
        <v>0</v>
      </c>
      <c r="D42" s="31" t="str">
        <f>IF(csv!F32="","",csv!F32)</f>
        <v>Juraj</v>
      </c>
      <c r="E42" s="31" t="str">
        <f>IF(csv!E32="","",csv!E32)</f>
        <v>Vukelić</v>
      </c>
      <c r="F42" s="31" t="s">
        <v>0</v>
      </c>
      <c r="G42" s="73" t="str">
        <f>IF(csv!M32="","",csv!M32)</f>
        <v/>
      </c>
      <c r="H42" s="73" t="str">
        <f>IF(csv!N32="","",csv!N32)</f>
        <v>1</v>
      </c>
      <c r="I42" s="31" t="s">
        <v>0</v>
      </c>
      <c r="J42" s="31" t="str">
        <f>IF(csv!P32="","",csv!P32)</f>
        <v>Maksimir</v>
      </c>
      <c r="K42" s="31" t="str">
        <f>IF(csv!Q32="","",csv!Q32)</f>
        <v>OK Maksimir</v>
      </c>
      <c r="L42" s="31" t="s">
        <v>0</v>
      </c>
      <c r="M42" s="66" t="str">
        <f>IF(csv!R32="","",csv!R32)</f>
        <v>CRO</v>
      </c>
      <c r="N42" s="47" t="s">
        <v>0</v>
      </c>
      <c r="O42" s="243" t="str">
        <f t="shared" si="36"/>
        <v>ok</v>
      </c>
      <c r="P42" s="47"/>
      <c r="Q42" s="52" t="str">
        <f t="shared" si="37"/>
        <v>M16</v>
      </c>
      <c r="R42" s="73">
        <f>IF(Q42="","",IF(COUNTIF(Q$12:Q41,Q42)=0,R41+1,R41))</f>
        <v>3</v>
      </c>
      <c r="S42" s="73">
        <f t="shared" si="38"/>
        <v>110</v>
      </c>
      <c r="T42" s="73">
        <f t="shared" si="1"/>
        <v>19</v>
      </c>
      <c r="U42" s="66" t="str">
        <f t="shared" si="2"/>
        <v>M21B – M16</v>
      </c>
      <c r="V42" s="47" t="s">
        <v>0</v>
      </c>
      <c r="W42" s="222" t="str">
        <f t="shared" si="3"/>
        <v>M16</v>
      </c>
      <c r="X42" s="223">
        <f t="shared" si="4"/>
        <v>25</v>
      </c>
      <c r="Y42" s="47" t="s">
        <v>0</v>
      </c>
      <c r="Z42" s="52" t="str">
        <f t="shared" si="39"/>
        <v>CRO</v>
      </c>
      <c r="AA42" s="73">
        <f t="shared" si="5"/>
        <v>1</v>
      </c>
      <c r="AB42" s="31" t="str">
        <f t="shared" si="40"/>
        <v/>
      </c>
      <c r="AC42" s="66" t="str">
        <f>IF(AB42="","",MAX(AC$12:AC41)+1)</f>
        <v/>
      </c>
      <c r="AD42" s="47" t="s">
        <v>0</v>
      </c>
      <c r="AE42" s="125"/>
      <c r="AF42" s="47" t="s">
        <v>0</v>
      </c>
      <c r="AG42" s="19" t="str">
        <f t="shared" si="41"/>
        <v/>
      </c>
      <c r="AH42" s="47" t="s">
        <v>0</v>
      </c>
      <c r="AI42" s="143" t="str">
        <f t="shared" si="42"/>
        <v>CRO</v>
      </c>
      <c r="AJ42" s="47"/>
      <c r="AK42" s="52" t="str">
        <f t="shared" si="43"/>
        <v>Juraj</v>
      </c>
      <c r="AL42" s="31" t="str">
        <f t="shared" si="44"/>
        <v>Vukelić</v>
      </c>
      <c r="AM42" s="73">
        <f t="shared" si="45"/>
        <v>1170</v>
      </c>
      <c r="AN42" s="73" t="str">
        <f t="shared" si="46"/>
        <v/>
      </c>
      <c r="AO42" s="31" t="str">
        <f t="shared" si="8"/>
        <v>Juraj</v>
      </c>
      <c r="AP42" s="66" t="str">
        <f t="shared" si="9"/>
        <v>Vukelić</v>
      </c>
      <c r="AQ42" s="47" t="s">
        <v>0</v>
      </c>
      <c r="AR42" s="82" t="str">
        <f t="shared" si="47"/>
        <v/>
      </c>
      <c r="AS42" s="47" t="s">
        <v>0</v>
      </c>
      <c r="AT42" s="19" t="str">
        <f t="shared" si="48"/>
        <v/>
      </c>
      <c r="AU42" s="47" t="s">
        <v>0</v>
      </c>
      <c r="AV42" s="103"/>
      <c r="AW42" s="105"/>
      <c r="AX42" s="47" t="s">
        <v>0</v>
      </c>
      <c r="AY42" s="256" t="str">
        <f t="shared" si="68"/>
        <v/>
      </c>
      <c r="AZ42" s="47" t="s">
        <v>0</v>
      </c>
      <c r="BA42" s="52" t="str">
        <f t="shared" si="11"/>
        <v/>
      </c>
      <c r="BB42" s="73" t="str">
        <f>IF(AV42&amp;AW42="","",MAX(BB$12:BB41)+1)</f>
        <v/>
      </c>
      <c r="BC42" s="268" t="str">
        <f t="shared" si="12"/>
        <v/>
      </c>
      <c r="BD42" s="53" t="str">
        <f>IF(AND(AM42="NEMA",AN42="NEMA",OR(AV42&amp;AW42="",BC42="NEMA")),MAX(BD$12:BD41)+1,"")</f>
        <v/>
      </c>
      <c r="BE42" s="47" t="s">
        <v>0</v>
      </c>
      <c r="BF42" s="52" t="str">
        <f t="shared" si="13"/>
        <v>Juraj</v>
      </c>
      <c r="BG42" s="31" t="str">
        <f t="shared" si="14"/>
        <v>Vukelić</v>
      </c>
      <c r="BH42" s="73" t="str">
        <f t="shared" si="49"/>
        <v/>
      </c>
      <c r="BI42" s="53">
        <f t="shared" si="50"/>
        <v>1170</v>
      </c>
      <c r="BJ42" s="47" t="s">
        <v>0</v>
      </c>
      <c r="BK42" s="52" t="str">
        <f t="shared" si="15"/>
        <v>Maksimir</v>
      </c>
      <c r="BL42" s="31" t="str">
        <f t="shared" si="16"/>
        <v>OK Maksimir</v>
      </c>
      <c r="BM42" s="73">
        <f t="shared" si="17"/>
        <v>6</v>
      </c>
      <c r="BN42" s="73" t="str">
        <f t="shared" si="18"/>
        <v/>
      </c>
      <c r="BO42" s="31" t="str" cm="1">
        <f t="array" ref="BO42">IF(BN42="",""&amp;BL42,IF(BN42="NEMA",BL42,INDEX(regKlub_naziv,MATCH(INDEX(regKlub_alias_klubId,BN42),regKlub_id,0))))</f>
        <v>OK Maksimir</v>
      </c>
      <c r="BP42" s="31" t="str" cm="1">
        <f t="array" ref="BP42">IFERROR(""&amp;INDEX(regNatjecatelj_klub,DY42),"")</f>
        <v>OK Maksimir</v>
      </c>
      <c r="BQ42" s="88" t="str">
        <f t="shared" si="51"/>
        <v/>
      </c>
      <c r="BR42" s="66" t="str">
        <f t="shared" si="52"/>
        <v>OK Maksimir</v>
      </c>
      <c r="BS42" s="47" t="s">
        <v>0</v>
      </c>
      <c r="BT42" s="82" t="str">
        <f>IF(BN42&lt;&gt;"NEMA","",IF(IFERROR(MATCH(BL42,BL$12:BL41,0),0)&lt;&gt;0,"",BL42))</f>
        <v/>
      </c>
      <c r="BU42" s="47" t="s">
        <v>0</v>
      </c>
      <c r="BV42" s="125"/>
      <c r="BW42" s="47" t="s">
        <v>0</v>
      </c>
      <c r="BX42" s="58" t="str">
        <f t="shared" si="53"/>
        <v/>
      </c>
      <c r="BY42" s="31" t="str">
        <f t="shared" si="54"/>
        <v/>
      </c>
      <c r="BZ42" s="31" t="str">
        <f>IF(BY42="","",MAX(BZ$12:BZ41)+1)</f>
        <v/>
      </c>
      <c r="CA42" s="31" t="str">
        <f>IF(BY42="","",IF(AA42="","",IF(AA42="NEMA",AC42,AA42)))</f>
        <v/>
      </c>
      <c r="CB42" s="31" t="str">
        <f t="shared" si="55"/>
        <v/>
      </c>
      <c r="CC42" s="31" t="str">
        <f>IF(BV42="","",MAX(CC$12:CC41)+1)</f>
        <v/>
      </c>
      <c r="CD42" s="31" t="str">
        <f t="shared" si="56"/>
        <v/>
      </c>
      <c r="CE42" s="66" t="str">
        <f t="shared" si="57"/>
        <v/>
      </c>
      <c r="CF42" s="47" t="s">
        <v>0</v>
      </c>
      <c r="CG42" s="73" t="str">
        <f>IF(BN42="","",IF(BN42&lt;&gt;"NEMA","",IFERROR(INDEX(nat_klubAliasId,MATCH(BL42,nat_noviKluboviAliasi,0)),"")))</f>
        <v/>
      </c>
      <c r="CH42" s="47"/>
      <c r="CI42" s="19" t="str">
        <f t="shared" si="58"/>
        <v/>
      </c>
      <c r="CJ42" s="47" t="s">
        <v>0</v>
      </c>
      <c r="CK42" s="52" t="str">
        <f>IF(X42&lt;&gt;"NEMA","",IF(IFERROR(MATCH(W42,W$12:W41,0),0)&lt;&gt;0,"",W42))</f>
        <v/>
      </c>
      <c r="CL42" s="73" t="str">
        <f>IF(CK42="","",IFERROR(INDEX(regKlub_alias_id,MATCH(CK42,regKlub_alias_alias,0)),"NEMA"))</f>
        <v/>
      </c>
      <c r="CM42" s="31" t="str">
        <f>IF(OR(CL42="",CL42&lt;&gt;"NEMA"),"",MAX(CM$12:CM41)+1)</f>
        <v/>
      </c>
      <c r="CN42" s="66" t="str">
        <f>IF(OR(CL42="",CL42&lt;&gt;"NEMA"),"",INDEX(regKlub_id,MATCH(CK42,regKlub_naziv,0)))</f>
        <v/>
      </c>
      <c r="CO42" s="47" t="s">
        <v>0</v>
      </c>
      <c r="CP42" s="19" t="str">
        <f>IF(OR(CL42="",CL42&lt;&gt;"NEMA"),"","INSERT INTO klub_alias(id,alias,klub_id) VALUES ("&amp;CM42&amp;",'"&amp;CK42&amp;"',"&amp;CN42&amp;");")</f>
        <v/>
      </c>
      <c r="CQ42" s="47" t="s">
        <v>0</v>
      </c>
      <c r="CR42" s="143" t="str">
        <f>IF(BR42="","",IF(BV42="",IF(IFERROR(MATCH(BR42,nat_noviKluboviAliasi,0),0)&gt;0,INDEX(nat_kluboviAliasi,MATCH(BR42,nat_noviKluboviAliasi,0)),BR42),BV42))</f>
        <v>OK Maksimir</v>
      </c>
      <c r="CS42" s="47" t="s">
        <v>0</v>
      </c>
      <c r="CT42" s="58" t="str">
        <f>IF(G42="","",G42)</f>
        <v/>
      </c>
      <c r="CU42" s="73" t="str">
        <f>IF(H42="","",H42)</f>
        <v>1</v>
      </c>
      <c r="CV42" s="229" t="str">
        <f>IF(CT42="",IF(OR(AL42="",CU42&lt;&gt;"0"),"","GREŠKA"),IF(AND(65535&gt;=VALUE(LEFT(CT42,SEARCH(":",CT42)-1))*60+VALUE(RIGHT(CT42,2)),OR(CU42="0",CU42="1",CU42="2",CU42="3",CU42="4")),"","GREŠKA"))</f>
        <v/>
      </c>
      <c r="CW42" s="230" t="str">
        <f t="shared" si="23"/>
        <v/>
      </c>
      <c r="CX42" s="163">
        <f t="shared" si="24"/>
        <v>6</v>
      </c>
      <c r="CY42" s="47" t="s">
        <v>0</v>
      </c>
      <c r="CZ42" s="222" t="str">
        <f>IF(CV42&lt;&gt;"GREŠKA","",AK42&amp;" "&amp;AL42&amp;" – Molim u OEventu provjeriti i ispraviti rezultat – vrijeme ("&amp;IF(CT42="","nije upisano",CT42)&amp;") i classifier ("&amp;CU42&amp;").")&amp;IF(OR(CV42&lt;&gt;"GREŠKA",CX42&lt;&gt;5),"
","")&amp;IF(CX42&lt;&gt;5,"",AK42&amp;" "&amp;AL42&amp;" – Molim u provjeriti je li natjecatelj zaista diskvalificiran. Ako je koje je obrazloženje, ako nije molim u OEventu ispraviti rezultat")</f>
        <v xml:space="preserve">
</v>
      </c>
      <c r="DA42" s="223" t="e">
        <f t="shared" si="60"/>
        <v>#N/A</v>
      </c>
      <c r="DB42" s="47" t="s">
        <v>0</v>
      </c>
      <c r="DC42" s="47"/>
      <c r="DD42" s="47"/>
      <c r="DE42" s="47"/>
      <c r="DF42" s="47" t="s">
        <v>0</v>
      </c>
      <c r="DG42" s="53" t="str">
        <f>IF(BD42="","",IF(DI42="O",1,""))</f>
        <v/>
      </c>
      <c r="DH42" t="s">
        <v>0</v>
      </c>
      <c r="DI42" s="128" t="str">
        <f>IF(Q42="","",LEFT(INDEX(regKategorija_oznaka,MATCH(S42,regKategorija_id,0)),1))</f>
        <v>M</v>
      </c>
      <c r="DJ42" t="s">
        <v>0</v>
      </c>
      <c r="DK42" s="52" t="str">
        <f>IF(BD42="","",IF(M42&lt;&gt;"CRO","","INSERT INTO osoba (id,reg_broj,oib,spol_id,dat_rodjenja) VALUES ("&amp;BD42&amp;",(SELECT max(os.reg_broj)+1 FROM osoba AS os),Null,'"&amp;DI42&amp;"',Null); INSERT INTO osoba_log (id,reg_broj,oib,spol_id,dat_rodjenja,dnevnik_id) SELECT id,reg_broj,oib,spol_id,dat_rodjenja,"&amp;data_dnevnik_id&amp;" FROM osoba WHERE id = "&amp;BD42&amp;";"))</f>
        <v/>
      </c>
      <c r="DL42" s="66" t="str">
        <f>IF(BD42="","","INSERT INTO imeprezime (id,osoba_id,rbr,ime,prezime,klub_id,identitet_id,sintaksa_id,info,aktivno,dnevnik_id) VALUES ("&amp;BD42&amp;","&amp;IF(DK42="","Null",BD42)&amp;",1,'"&amp;IF(AV42&lt;&gt;"",AV42,AK42)&amp;"','"&amp;IF(AW42&lt;&gt;"",AW42,AL42)&amp;"',(SELECT id FROM klub WHERE naziv = '"&amp;CR42&amp;"'),Null,1,'',1,"&amp;data_dnevnik_id&amp;");")</f>
        <v/>
      </c>
      <c r="DM42" t="s">
        <v>0</v>
      </c>
      <c r="DN42" s="19" t="str">
        <f t="shared" si="69"/>
        <v/>
      </c>
      <c r="DO42" s="47" t="s">
        <v>0</v>
      </c>
      <c r="DP42" s="19" t="str">
        <f>IF(BA42="","","INSERT INTO imeprezime_alias(id,alias,imeprezime_id) VALUES ("&amp;BB42&amp;",'"&amp;BA42&amp;"',"&amp;IF(BC42="NEMA",BD42,BC42)&amp;");")</f>
        <v/>
      </c>
      <c r="DQ42" s="47" t="s">
        <v>0</v>
      </c>
      <c r="DR42" s="52" t="str">
        <f>IF(AL42="","",DU42 &amp; IF(Q42="",""," – " &amp; Q42))</f>
        <v>Juraj – Vukelić – OK Maksimir – M16</v>
      </c>
      <c r="DS42" s="53">
        <f t="shared" si="26"/>
        <v>393</v>
      </c>
      <c r="DT42" s="47" t="s">
        <v>0</v>
      </c>
      <c r="DU42" s="52" t="str">
        <f>IF(AL42="","",DX42 &amp; IF(CR42="",""," – " &amp; CR42))</f>
        <v>Juraj – Vukelić – OK Maksimir</v>
      </c>
      <c r="DV42" s="53">
        <f t="shared" si="27"/>
        <v>393</v>
      </c>
      <c r="DW42" s="47" t="s">
        <v>0</v>
      </c>
      <c r="DX42" s="52" t="str">
        <f>IF(BG42="","",BF42&amp;" – "&amp;BG42)</f>
        <v>Juraj – Vukelić</v>
      </c>
      <c r="DY42" s="53">
        <f t="shared" si="28"/>
        <v>393</v>
      </c>
      <c r="DZ42" s="47" t="s">
        <v>0</v>
      </c>
      <c r="EA42" s="58">
        <f t="shared" si="61"/>
        <v>393</v>
      </c>
      <c r="EB42" s="53" cm="1">
        <f t="array" ref="EB42">IF(EA42&lt;&gt;"",INDEX(regNatjecatelj_id,EA42,0),IF(BD42&lt;&gt;"",BD42,""))</f>
        <v>1170</v>
      </c>
      <c r="EC42" s="47" t="s">
        <v>0</v>
      </c>
      <c r="ED42" s="58" t="str">
        <f>IF(AL42="","",IF(BD42&lt;&gt;"","novo",IF(AN42="","imepre","imepre(ali)")))</f>
        <v>imepre</v>
      </c>
      <c r="EE42" s="73" t="str">
        <f>IF(AL42="","",IF(BL42="",IF(IFERROR(INDEX(regNatjecatelj_klub,MATCH(EB42,regNatjecatelj_id,0)),"NEMA")="","klu",""),IF(OR(AND(BN42&lt;&gt;"",BN42&lt;&gt;"NEMA"),CD42&lt;&gt;""),"klu(ali)",IF(AND(BP42&lt;&gt;"",BP42&lt;&gt;BO42),"(raz-klu)","klu"))))</f>
        <v>klu</v>
      </c>
      <c r="EF42" s="73" t="str">
        <f>IF(AL42="","","kat"&amp;IF(AND(W42&lt;&gt;Q42,Q42&lt;&gt;"Open"),"(ali)",""))</f>
        <v>kat</v>
      </c>
      <c r="EG42" s="73" t="str">
        <f t="shared" si="29"/>
        <v/>
      </c>
      <c r="EH42" s="66" t="str">
        <f>IF(AL42="","",ED42&amp;IF(ED42="novo","","-"&amp;EE42&amp;"-"&amp;EF42)&amp;IF(EG42="","","-"&amp;EG42))</f>
        <v>imepre-klu-kat</v>
      </c>
      <c r="EI42" s="47" t="s">
        <v>0</v>
      </c>
      <c r="EJ42" s="58">
        <f>IF(AL42="","",MAX(EJ$12:EJ41)+1)</f>
        <v>218</v>
      </c>
      <c r="EK42" s="73">
        <f>IF(AO42="","",X42)</f>
        <v>25</v>
      </c>
      <c r="EL42" s="73">
        <f t="shared" si="62"/>
        <v>1170</v>
      </c>
      <c r="EM42" s="73" t="str">
        <f t="shared" si="30"/>
        <v/>
      </c>
      <c r="EN42" s="73">
        <f t="shared" si="31"/>
        <v>6</v>
      </c>
      <c r="EO42" s="73">
        <f t="shared" si="63"/>
        <v>1</v>
      </c>
      <c r="EP42" s="73">
        <f t="shared" si="64"/>
        <v>1</v>
      </c>
      <c r="EQ42" s="73" t="str">
        <f t="shared" si="34"/>
        <v>1</v>
      </c>
      <c r="ER42" s="73" t="str">
        <f>IF(OR(AN42="",AN42="NEMA"),BB42,AN42)</f>
        <v/>
      </c>
      <c r="ES42" s="73" t="str">
        <f>IF(AND(BN42&lt;&gt;"",BN42&lt;&gt;"NEMA"),BN42,IF(CG42&lt;&gt;"",CG42,IF(AND(CL42&lt;&gt;"",CL42&lt;&gt;"NEMA"),CL42,IF(CM42&lt;&gt;"",CM42,""))))</f>
        <v/>
      </c>
      <c r="ET42" s="53" t="str">
        <f>IF(INDEX(natKategorija_alias_Id,MATCH(S42,natKategorija_katRegId,0))="","",INDEX(natKategorija_alias_Id,MATCH(S42,natKategorija_katRegId,0)))</f>
        <v/>
      </c>
      <c r="EU42" s="47" t="s">
        <v>0</v>
      </c>
      <c r="EV42" s="19" t="str">
        <f t="shared" si="65"/>
        <v>INSERT INTO rezultat(id,stazakategorija_id,imeprezime_id,vrijeme_sec,status_id,registracija,uparivanje_id,originalstatus_id,imeprezimealias_id,klubalias_id,kategorijaalias_id) VALUES (218,25,1170,Null,6,1,1,1,Null,Null,Null);</v>
      </c>
      <c r="EW42" s="47" t="s">
        <v>0</v>
      </c>
      <c r="EX42" s="19" t="str">
        <f t="shared" si="66"/>
        <v>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42" s="47" t="s">
        <v>0</v>
      </c>
      <c r="EZ42" s="180" t="str">
        <f>AG42&amp;IF(CP42="","","
")&amp;CP42&amp;IF(CI42="","","
")&amp;CI42&amp;IF(DN42="","","
")&amp;DN42&amp;IF(DP42="","","
")&amp;DP42&amp;IF(EV42="","","
")&amp;EV42&amp;IF(EX42="","","
")&amp;EX42</f>
        <v xml:space="preserve">
INSERT INTO rezultat(id,stazakategorija_id,imeprezime_id,vrijeme_sec,status_id,registracija,uparivanje_id,originalstatus_id,imeprezimealias_id,klubalias_id,kategorijaalias_id) VALUES (218,25,1170,Null,6,1,1,1,Null,Null,Null);
UPDATE
	registar
SET
	potvrda = 1
WHERE
	imeprezime_id=1170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42" s="47" t="s">
        <v>0</v>
      </c>
    </row>
    <row r="43" spans="1:157" x14ac:dyDescent="0.25">
      <c r="A43" t="s">
        <v>0</v>
      </c>
      <c r="B43" s="52" t="str">
        <f>IF(csv!F33="","",csv!T33)</f>
        <v>M16</v>
      </c>
      <c r="C43" s="31" t="s">
        <v>0</v>
      </c>
      <c r="D43" s="31" t="str">
        <f>IF(csv!F33="","",csv!F33)</f>
        <v>Mark</v>
      </c>
      <c r="E43" s="31" t="str">
        <f>IF(csv!E33="","",csv!E33)</f>
        <v>Jelinić</v>
      </c>
      <c r="F43" s="31" t="s">
        <v>0</v>
      </c>
      <c r="G43" s="73" t="str">
        <f>IF(csv!M33="","",csv!M33)</f>
        <v/>
      </c>
      <c r="H43" s="73" t="str">
        <f>IF(csv!N33="","",csv!N33)</f>
        <v>1</v>
      </c>
      <c r="I43" s="31" t="s">
        <v>0</v>
      </c>
      <c r="J43" s="31" t="str">
        <f>IF(csv!P33="","",csv!P33)</f>
        <v>JAP</v>
      </c>
      <c r="K43" s="31" t="str">
        <f>IF(csv!Q33="","",csv!Q33)</f>
        <v>OK Japetic</v>
      </c>
      <c r="L43" s="31" t="s">
        <v>0</v>
      </c>
      <c r="M43" s="66" t="str">
        <f>IF(csv!R33="","",csv!R33)</f>
        <v>CRO</v>
      </c>
      <c r="N43" s="47" t="s">
        <v>0</v>
      </c>
      <c r="O43" s="243" t="str">
        <f t="shared" si="36"/>
        <v>ok</v>
      </c>
      <c r="P43" s="47"/>
      <c r="Q43" s="52" t="str">
        <f t="shared" si="37"/>
        <v>M16</v>
      </c>
      <c r="R43" s="73">
        <f>IF(Q43="","",IF(COUNTIF(Q$12:Q42,Q43)=0,R42+1,R42))</f>
        <v>3</v>
      </c>
      <c r="S43" s="73">
        <f t="shared" si="38"/>
        <v>110</v>
      </c>
      <c r="T43" s="73">
        <f t="shared" si="1"/>
        <v>19</v>
      </c>
      <c r="U43" s="66" t="str">
        <f t="shared" si="2"/>
        <v>M21B – M16</v>
      </c>
      <c r="V43" s="47" t="s">
        <v>0</v>
      </c>
      <c r="W43" s="222" t="str">
        <f t="shared" si="3"/>
        <v>M16</v>
      </c>
      <c r="X43" s="223">
        <f t="shared" si="4"/>
        <v>25</v>
      </c>
      <c r="Y43" s="47" t="s">
        <v>0</v>
      </c>
      <c r="Z43" s="52" t="str">
        <f t="shared" si="39"/>
        <v>CRO</v>
      </c>
      <c r="AA43" s="73">
        <f t="shared" si="5"/>
        <v>1</v>
      </c>
      <c r="AB43" s="31" t="str">
        <f t="shared" si="40"/>
        <v/>
      </c>
      <c r="AC43" s="66" t="str">
        <f>IF(AB43="","",MAX(AC$12:AC42)+1)</f>
        <v/>
      </c>
      <c r="AD43" s="47" t="s">
        <v>0</v>
      </c>
      <c r="AE43" s="125"/>
      <c r="AF43" s="47" t="s">
        <v>0</v>
      </c>
      <c r="AG43" s="19" t="str">
        <f t="shared" si="41"/>
        <v/>
      </c>
      <c r="AH43" s="47" t="s">
        <v>0</v>
      </c>
      <c r="AI43" s="143" t="str">
        <f t="shared" si="42"/>
        <v>CRO</v>
      </c>
      <c r="AJ43" s="47"/>
      <c r="AK43" s="52" t="str">
        <f t="shared" si="43"/>
        <v>Mark</v>
      </c>
      <c r="AL43" s="31" t="str">
        <f t="shared" si="44"/>
        <v>Jelinić</v>
      </c>
      <c r="AM43" s="73">
        <f t="shared" si="45"/>
        <v>1665</v>
      </c>
      <c r="AN43" s="73" t="str">
        <f t="shared" si="46"/>
        <v/>
      </c>
      <c r="AO43" s="31" t="str">
        <f t="shared" si="8"/>
        <v>Mark</v>
      </c>
      <c r="AP43" s="66" t="str">
        <f t="shared" si="9"/>
        <v>Jelinić</v>
      </c>
      <c r="AQ43" s="47" t="s">
        <v>0</v>
      </c>
      <c r="AR43" s="82" t="str">
        <f t="shared" si="47"/>
        <v/>
      </c>
      <c r="AS43" s="47" t="s">
        <v>0</v>
      </c>
      <c r="AT43" s="19" t="str">
        <f t="shared" si="48"/>
        <v/>
      </c>
      <c r="AU43" s="47" t="s">
        <v>0</v>
      </c>
      <c r="AV43" s="103"/>
      <c r="AW43" s="105"/>
      <c r="AX43" s="47" t="s">
        <v>0</v>
      </c>
      <c r="AY43" s="256" t="str">
        <f t="shared" si="68"/>
        <v/>
      </c>
      <c r="AZ43" s="47" t="s">
        <v>0</v>
      </c>
      <c r="BA43" s="52" t="str">
        <f t="shared" si="11"/>
        <v/>
      </c>
      <c r="BB43" s="73" t="str">
        <f>IF(AV43&amp;AW43="","",MAX(BB$12:BB42)+1)</f>
        <v/>
      </c>
      <c r="BC43" s="268" t="str">
        <f t="shared" si="12"/>
        <v/>
      </c>
      <c r="BD43" s="53" t="str">
        <f>IF(AND(AM43="NEMA",AN43="NEMA",OR(AV43&amp;AW43="",BC43="NEMA")),MAX(BD$12:BD42)+1,"")</f>
        <v/>
      </c>
      <c r="BE43" s="47" t="s">
        <v>0</v>
      </c>
      <c r="BF43" s="52" t="str">
        <f t="shared" si="13"/>
        <v>Mark</v>
      </c>
      <c r="BG43" s="31" t="str">
        <f t="shared" si="14"/>
        <v>Jelinić</v>
      </c>
      <c r="BH43" s="73" t="str">
        <f t="shared" si="49"/>
        <v/>
      </c>
      <c r="BI43" s="53">
        <f t="shared" si="50"/>
        <v>1665</v>
      </c>
      <c r="BJ43" s="47" t="s">
        <v>0</v>
      </c>
      <c r="BK43" s="52" t="str">
        <f t="shared" si="15"/>
        <v>JAP</v>
      </c>
      <c r="BL43" s="31" t="str">
        <f t="shared" si="16"/>
        <v>OK Japetic</v>
      </c>
      <c r="BM43" s="73" t="str">
        <f t="shared" si="17"/>
        <v>NEMA</v>
      </c>
      <c r="BN43" s="73">
        <f t="shared" si="18"/>
        <v>1</v>
      </c>
      <c r="BO43" s="31" t="str" cm="1">
        <f t="array" ref="BO43">IF(BN43="",""&amp;BL43,IF(BN43="NEMA",BL43,INDEX(regKlub_naziv,MATCH(INDEX(regKlub_alias_klubId,BN43),regKlub_id,0))))</f>
        <v>OK Japetić</v>
      </c>
      <c r="BP43" s="31" t="str" cm="1">
        <f t="array" ref="BP43">IFERROR(""&amp;INDEX(regNatjecatelj_klub,DY43),"")</f>
        <v>OK Japetić</v>
      </c>
      <c r="BQ43" s="88" t="str">
        <f t="shared" si="51"/>
        <v/>
      </c>
      <c r="BR43" s="66" t="str">
        <f t="shared" si="52"/>
        <v>OK Japetić</v>
      </c>
      <c r="BS43" s="47" t="s">
        <v>0</v>
      </c>
      <c r="BT43" s="82" t="str">
        <f>IF(BN43&lt;&gt;"NEMA","",IF(IFERROR(MATCH(BL43,BL$12:BL42,0),0)&lt;&gt;0,"",BL43))</f>
        <v/>
      </c>
      <c r="BU43" s="47" t="s">
        <v>0</v>
      </c>
      <c r="BV43" s="125"/>
      <c r="BW43" s="47" t="s">
        <v>0</v>
      </c>
      <c r="BX43" s="58" t="str">
        <f t="shared" si="53"/>
        <v/>
      </c>
      <c r="BY43" s="31" t="str">
        <f t="shared" si="54"/>
        <v/>
      </c>
      <c r="BZ43" s="31" t="str">
        <f>IF(BY43="","",MAX(BZ$12:BZ42)+1)</f>
        <v/>
      </c>
      <c r="CA43" s="31" t="str">
        <f>IF(BY43="","",IF(AA43="","",IF(AA43="NEMA",AC43,AA43)))</f>
        <v/>
      </c>
      <c r="CB43" s="31" t="str">
        <f t="shared" si="55"/>
        <v/>
      </c>
      <c r="CC43" s="31" t="str">
        <f>IF(BV43="","",MAX(CC$12:CC42)+1)</f>
        <v/>
      </c>
      <c r="CD43" s="31" t="str">
        <f t="shared" si="56"/>
        <v/>
      </c>
      <c r="CE43" s="66" t="str">
        <f t="shared" si="57"/>
        <v/>
      </c>
      <c r="CF43" s="47" t="s">
        <v>0</v>
      </c>
      <c r="CG43" s="73" t="str">
        <f>IF(BN43="","",IF(BN43&lt;&gt;"NEMA","",IFERROR(INDEX(nat_klubAliasId,MATCH(BL43,nat_noviKluboviAliasi,0)),"")))</f>
        <v/>
      </c>
      <c r="CH43" s="47"/>
      <c r="CI43" s="19" t="str">
        <f t="shared" si="58"/>
        <v/>
      </c>
      <c r="CJ43" s="47" t="s">
        <v>0</v>
      </c>
      <c r="CK43" s="52" t="str">
        <f>IF(X43&lt;&gt;"NEMA","",IF(IFERROR(MATCH(W43,W$12:W42,0),0)&lt;&gt;0,"",W43))</f>
        <v/>
      </c>
      <c r="CL43" s="73" t="str">
        <f>IF(CK43="","",IFERROR(INDEX(regKlub_alias_id,MATCH(CK43,regKlub_alias_alias,0)),"NEMA"))</f>
        <v/>
      </c>
      <c r="CM43" s="31" t="str">
        <f>IF(OR(CL43="",CL43&lt;&gt;"NEMA"),"",MAX(CM$12:CM42)+1)</f>
        <v/>
      </c>
      <c r="CN43" s="66" t="str">
        <f>IF(OR(CL43="",CL43&lt;&gt;"NEMA"),"",INDEX(regKlub_id,MATCH(CK43,regKlub_naziv,0)))</f>
        <v/>
      </c>
      <c r="CO43" s="47" t="s">
        <v>0</v>
      </c>
      <c r="CP43" s="19" t="str">
        <f>IF(OR(CL43="",CL43&lt;&gt;"NEMA"),"","INSERT INTO klub_alias(id,alias,klub_id) VALUES ("&amp;CM43&amp;",'"&amp;CK43&amp;"',"&amp;CN43&amp;");")</f>
        <v/>
      </c>
      <c r="CQ43" s="47" t="s">
        <v>0</v>
      </c>
      <c r="CR43" s="143" t="str">
        <f>IF(BR43="","",IF(BV43="",IF(IFERROR(MATCH(BR43,nat_noviKluboviAliasi,0),0)&gt;0,INDEX(nat_kluboviAliasi,MATCH(BR43,nat_noviKluboviAliasi,0)),BR43),BV43))</f>
        <v>OK Japetić</v>
      </c>
      <c r="CS43" s="47" t="s">
        <v>0</v>
      </c>
      <c r="CT43" s="58" t="str">
        <f>IF(G43="","",G43)</f>
        <v/>
      </c>
      <c r="CU43" s="73" t="str">
        <f>IF(H43="","",H43)</f>
        <v>1</v>
      </c>
      <c r="CV43" s="229" t="str">
        <f>IF(CT43="",IF(OR(AL43="",CU43&lt;&gt;"0"),"","GREŠKA"),IF(AND(65535&gt;=VALUE(LEFT(CT43,SEARCH(":",CT43)-1))*60+VALUE(RIGHT(CT43,2)),OR(CU43="0",CU43="1",CU43="2",CU43="3",CU43="4")),"","GREŠKA"))</f>
        <v/>
      </c>
      <c r="CW43" s="230" t="str">
        <f t="shared" si="23"/>
        <v/>
      </c>
      <c r="CX43" s="163">
        <f t="shared" si="24"/>
        <v>6</v>
      </c>
      <c r="CY43" s="47" t="s">
        <v>0</v>
      </c>
      <c r="CZ43" s="222" t="str">
        <f>IF(CV43&lt;&gt;"GREŠKA","",AK43&amp;" "&amp;AL43&amp;" – Molim u OEventu provjeriti i ispraviti rezultat – vrijeme ("&amp;IF(CT43="","nije upisano",CT43)&amp;") i classifier ("&amp;CU43&amp;").")&amp;IF(OR(CV43&lt;&gt;"GREŠKA",CX43&lt;&gt;5),"
","")&amp;IF(CX43&lt;&gt;5,"",AK43&amp;" "&amp;AL43&amp;" – Molim u provjeriti je li natjecatelj zaista diskvalificiran. Ako je koje je obrazloženje, ako nije molim u OEventu ispraviti rezultat")</f>
        <v xml:space="preserve">
</v>
      </c>
      <c r="DA43" s="223" t="e">
        <f t="shared" si="60"/>
        <v>#N/A</v>
      </c>
      <c r="DB43" s="47" t="s">
        <v>0</v>
      </c>
      <c r="DC43" s="47"/>
      <c r="DD43" s="47"/>
      <c r="DE43" s="47"/>
      <c r="DF43" s="47" t="s">
        <v>0</v>
      </c>
      <c r="DG43" s="53" t="str">
        <f>IF(BD43="","",IF(DI43="O",1,""))</f>
        <v/>
      </c>
      <c r="DH43" t="s">
        <v>0</v>
      </c>
      <c r="DI43" s="128" t="str">
        <f>IF(Q43="","",LEFT(INDEX(regKategorija_oznaka,MATCH(S43,regKategorija_id,0)),1))</f>
        <v>M</v>
      </c>
      <c r="DJ43" t="s">
        <v>0</v>
      </c>
      <c r="DK43" s="52" t="str">
        <f>IF(BD43="","",IF(M43&lt;&gt;"CRO","","INSERT INTO osoba (id,reg_broj,oib,spol_id,dat_rodjenja) VALUES ("&amp;BD43&amp;",(SELECT max(os.reg_broj)+1 FROM osoba AS os),Null,'"&amp;DI43&amp;"',Null); INSERT INTO osoba_log (id,reg_broj,oib,spol_id,dat_rodjenja,dnevnik_id) SELECT id,reg_broj,oib,spol_id,dat_rodjenja,"&amp;data_dnevnik_id&amp;" FROM osoba WHERE id = "&amp;BD43&amp;";"))</f>
        <v/>
      </c>
      <c r="DL43" s="66" t="str">
        <f>IF(BD43="","","INSERT INTO imeprezime (id,osoba_id,rbr,ime,prezime,klub_id,identitet_id,sintaksa_id,info,aktivno,dnevnik_id) VALUES ("&amp;BD43&amp;","&amp;IF(DK43="","Null",BD43)&amp;",1,'"&amp;IF(AV43&lt;&gt;"",AV43,AK43)&amp;"','"&amp;IF(AW43&lt;&gt;"",AW43,AL43)&amp;"',(SELECT id FROM klub WHERE naziv = '"&amp;CR43&amp;"'),Null,1,'',1,"&amp;data_dnevnik_id&amp;");")</f>
        <v/>
      </c>
      <c r="DM43" t="s">
        <v>0</v>
      </c>
      <c r="DN43" s="19" t="str">
        <f t="shared" si="69"/>
        <v/>
      </c>
      <c r="DO43" s="47" t="s">
        <v>0</v>
      </c>
      <c r="DP43" s="19" t="str">
        <f>IF(BA43="","","INSERT INTO imeprezime_alias(id,alias,imeprezime_id) VALUES ("&amp;BB43&amp;",'"&amp;BA43&amp;"',"&amp;IF(BC43="NEMA",BD43,BC43)&amp;");")</f>
        <v/>
      </c>
      <c r="DQ43" s="47" t="s">
        <v>0</v>
      </c>
      <c r="DR43" s="52" t="str">
        <f>IF(AL43="","",DU43 &amp; IF(Q43="",""," – " &amp; Q43))</f>
        <v>Mark – Jelinić – OK Japetić – M16</v>
      </c>
      <c r="DS43" s="53">
        <f t="shared" si="26"/>
        <v>97</v>
      </c>
      <c r="DT43" s="47" t="s">
        <v>0</v>
      </c>
      <c r="DU43" s="52" t="str">
        <f>IF(AL43="","",DX43 &amp; IF(CR43="",""," – " &amp; CR43))</f>
        <v>Mark – Jelinić – OK Japetić</v>
      </c>
      <c r="DV43" s="53">
        <f t="shared" si="27"/>
        <v>97</v>
      </c>
      <c r="DW43" s="47" t="s">
        <v>0</v>
      </c>
      <c r="DX43" s="52" t="str">
        <f>IF(BG43="","",BF43&amp;" – "&amp;BG43)</f>
        <v>Mark – Jelinić</v>
      </c>
      <c r="DY43" s="53">
        <f t="shared" si="28"/>
        <v>97</v>
      </c>
      <c r="DZ43" s="47" t="s">
        <v>0</v>
      </c>
      <c r="EA43" s="58">
        <f t="shared" si="61"/>
        <v>97</v>
      </c>
      <c r="EB43" s="53" cm="1">
        <f t="array" ref="EB43">IF(EA43&lt;&gt;"",INDEX(regNatjecatelj_id,EA43,0),IF(BD43&lt;&gt;"",BD43,""))</f>
        <v>1665</v>
      </c>
      <c r="EC43" s="47" t="s">
        <v>0</v>
      </c>
      <c r="ED43" s="58" t="str">
        <f>IF(AL43="","",IF(BD43&lt;&gt;"","novo",IF(AN43="","imepre","imepre(ali)")))</f>
        <v>imepre</v>
      </c>
      <c r="EE43" s="73" t="str">
        <f>IF(AL43="","",IF(BL43="",IF(IFERROR(INDEX(regNatjecatelj_klub,MATCH(EB43,regNatjecatelj_id,0)),"NEMA")="","klu",""),IF(OR(AND(BN43&lt;&gt;"",BN43&lt;&gt;"NEMA"),CD43&lt;&gt;""),"klu(ali)",IF(AND(BP43&lt;&gt;"",BP43&lt;&gt;BO43),"(raz-klu)","klu"))))</f>
        <v>klu(ali)</v>
      </c>
      <c r="EF43" s="73" t="str">
        <f>IF(AL43="","","kat"&amp;IF(AND(W43&lt;&gt;Q43,Q43&lt;&gt;"Open"),"(ali)",""))</f>
        <v>kat</v>
      </c>
      <c r="EG43" s="73" t="str">
        <f t="shared" si="29"/>
        <v/>
      </c>
      <c r="EH43" s="66" t="str">
        <f>IF(AL43="","",ED43&amp;IF(ED43="novo","","-"&amp;EE43&amp;"-"&amp;EF43)&amp;IF(EG43="","","-"&amp;EG43))</f>
        <v>imepre-klu(ali)-kat</v>
      </c>
      <c r="EI43" s="47" t="s">
        <v>0</v>
      </c>
      <c r="EJ43" s="58">
        <f>IF(AL43="","",MAX(EJ$12:EJ42)+1)</f>
        <v>219</v>
      </c>
      <c r="EK43" s="73">
        <f>IF(AO43="","",X43)</f>
        <v>25</v>
      </c>
      <c r="EL43" s="73">
        <f t="shared" si="62"/>
        <v>1665</v>
      </c>
      <c r="EM43" s="73" t="str">
        <f t="shared" si="30"/>
        <v/>
      </c>
      <c r="EN43" s="73">
        <f t="shared" si="31"/>
        <v>6</v>
      </c>
      <c r="EO43" s="73">
        <f t="shared" si="63"/>
        <v>1</v>
      </c>
      <c r="EP43" s="73">
        <f t="shared" si="64"/>
        <v>3</v>
      </c>
      <c r="EQ43" s="73" t="str">
        <f t="shared" si="34"/>
        <v>1</v>
      </c>
      <c r="ER43" s="73" t="str">
        <f>IF(OR(AN43="",AN43="NEMA"),BB43,AN43)</f>
        <v/>
      </c>
      <c r="ES43" s="73">
        <f>IF(AND(BN43&lt;&gt;"",BN43&lt;&gt;"NEMA"),BN43,IF(CG43&lt;&gt;"",CG43,IF(AND(CL43&lt;&gt;"",CL43&lt;&gt;"NEMA"),CL43,IF(CM43&lt;&gt;"",CM43,""))))</f>
        <v>1</v>
      </c>
      <c r="ET43" s="53" t="str">
        <f>IF(INDEX(natKategorija_alias_Id,MATCH(S43,natKategorija_katRegId,0))="","",INDEX(natKategorija_alias_Id,MATCH(S43,natKategorija_katRegId,0)))</f>
        <v/>
      </c>
      <c r="EU43" s="47" t="s">
        <v>0</v>
      </c>
      <c r="EV43" s="19" t="str">
        <f t="shared" si="65"/>
        <v>INSERT INTO rezultat(id,stazakategorija_id,imeprezime_id,vrijeme_sec,status_id,registracija,uparivanje_id,originalstatus_id,imeprezimealias_id,klubalias_id,kategorijaalias_id) VALUES (219,25,1665,Null,6,1,3,1,Null,1,Null);</v>
      </c>
      <c r="EW43" s="47" t="s">
        <v>0</v>
      </c>
      <c r="EX43" s="19" t="str">
        <f t="shared" si="66"/>
        <v>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43" s="47" t="s">
        <v>0</v>
      </c>
      <c r="EZ43" s="180" t="str">
        <f>AG43&amp;IF(CP43="","","
")&amp;CP43&amp;IF(CI43="","","
")&amp;CI43&amp;IF(DN43="","","
")&amp;DN43&amp;IF(DP43="","","
")&amp;DP43&amp;IF(EV43="","","
")&amp;EV43&amp;IF(EX43="","","
")&amp;EX43</f>
        <v xml:space="preserve">
INSERT INTO rezultat(id,stazakategorija_id,imeprezime_id,vrijeme_sec,status_id,registracija,uparivanje_id,originalstatus_id,imeprezimealias_id,klubalias_id,kategorijaalias_id) VALUES (219,25,1665,Null,6,1,3,1,Null,1,Null);
UPDATE
	registar
SET
	potvrda = 1
WHERE
	imeprezime_id=1665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43" s="47" t="s">
        <v>0</v>
      </c>
    </row>
    <row r="44" spans="1:157" x14ac:dyDescent="0.25">
      <c r="A44" t="s">
        <v>0</v>
      </c>
      <c r="B44" s="52" t="str">
        <f>IF(csv!F34="","",csv!T34)</f>
        <v>M16</v>
      </c>
      <c r="C44" s="31" t="s">
        <v>0</v>
      </c>
      <c r="D44" s="31" t="str">
        <f>IF(csv!F34="","",csv!F34)</f>
        <v>Vacant</v>
      </c>
      <c r="E44" s="31" t="str">
        <f>IF(csv!E34="","",csv!E34)</f>
        <v/>
      </c>
      <c r="F44" s="31" t="s">
        <v>0</v>
      </c>
      <c r="G44" s="73" t="str">
        <f>IF(csv!M34="","",csv!M34)</f>
        <v/>
      </c>
      <c r="H44" s="73" t="str">
        <f>IF(csv!N34="","",csv!N34)</f>
        <v>0</v>
      </c>
      <c r="I44" s="31" t="s">
        <v>0</v>
      </c>
      <c r="J44" s="31" t="str">
        <f>IF(csv!P34="","",csv!P34)</f>
        <v/>
      </c>
      <c r="K44" s="31" t="str">
        <f>IF(csv!Q34="","",csv!Q34)</f>
        <v/>
      </c>
      <c r="L44" s="31" t="s">
        <v>0</v>
      </c>
      <c r="M44" s="66" t="str">
        <f>IF(csv!R34="","",csv!R34)</f>
        <v/>
      </c>
      <c r="N44" s="47" t="s">
        <v>0</v>
      </c>
      <c r="O44" s="243" t="str">
        <f t="shared" si="36"/>
        <v/>
      </c>
      <c r="P44" s="47"/>
      <c r="Q44" s="52" t="str">
        <f t="shared" si="37"/>
        <v>M16</v>
      </c>
      <c r="R44" s="73">
        <f>IF(Q44="","",IF(COUNTIF(Q$12:Q43,Q44)=0,R43+1,R43))</f>
        <v>3</v>
      </c>
      <c r="S44" s="73">
        <f t="shared" si="38"/>
        <v>110</v>
      </c>
      <c r="T44" s="73">
        <f t="shared" si="1"/>
        <v>19</v>
      </c>
      <c r="U44" s="66" t="str">
        <f t="shared" si="2"/>
        <v>M21B – M16</v>
      </c>
      <c r="V44" s="47" t="s">
        <v>0</v>
      </c>
      <c r="W44" s="222" t="str">
        <f t="shared" si="3"/>
        <v/>
      </c>
      <c r="X44" s="223" t="str">
        <f t="shared" si="4"/>
        <v/>
      </c>
      <c r="Y44" s="47" t="s">
        <v>0</v>
      </c>
      <c r="Z44" s="52" t="str">
        <f t="shared" si="39"/>
        <v/>
      </c>
      <c r="AA44" s="73" t="str">
        <f t="shared" si="5"/>
        <v/>
      </c>
      <c r="AB44" s="31" t="str">
        <f t="shared" si="40"/>
        <v/>
      </c>
      <c r="AC44" s="66" t="str">
        <f>IF(AB44="","",MAX(AC$12:AC43)+1)</f>
        <v/>
      </c>
      <c r="AD44" s="47" t="s">
        <v>0</v>
      </c>
      <c r="AE44" s="125"/>
      <c r="AF44" s="47" t="s">
        <v>0</v>
      </c>
      <c r="AG44" s="19" t="str">
        <f t="shared" si="41"/>
        <v/>
      </c>
      <c r="AH44" s="47" t="s">
        <v>0</v>
      </c>
      <c r="AI44" s="143" t="str">
        <f t="shared" si="42"/>
        <v/>
      </c>
      <c r="AJ44" s="47"/>
      <c r="AK44" s="52" t="str">
        <f t="shared" si="43"/>
        <v/>
      </c>
      <c r="AL44" s="31" t="str">
        <f t="shared" si="44"/>
        <v/>
      </c>
      <c r="AM44" s="73" t="str">
        <f t="shared" si="45"/>
        <v/>
      </c>
      <c r="AN44" s="73" t="str">
        <f t="shared" si="46"/>
        <v/>
      </c>
      <c r="AO44" s="31" t="str">
        <f t="shared" si="8"/>
        <v/>
      </c>
      <c r="AP44" s="66" t="str">
        <f t="shared" si="9"/>
        <v/>
      </c>
      <c r="AQ44" s="47" t="s">
        <v>0</v>
      </c>
      <c r="AR44" s="82" t="str">
        <f t="shared" si="47"/>
        <v/>
      </c>
      <c r="AS44" s="47" t="s">
        <v>0</v>
      </c>
      <c r="AT44" s="19" t="str">
        <f t="shared" si="48"/>
        <v/>
      </c>
      <c r="AU44" s="47" t="s">
        <v>0</v>
      </c>
      <c r="AV44" s="103"/>
      <c r="AW44" s="105"/>
      <c r="AX44" s="47" t="s">
        <v>0</v>
      </c>
      <c r="AY44" s="256" t="str">
        <f t="shared" si="68"/>
        <v/>
      </c>
      <c r="AZ44" s="47" t="s">
        <v>0</v>
      </c>
      <c r="BA44" s="52" t="str">
        <f t="shared" si="11"/>
        <v/>
      </c>
      <c r="BB44" s="73" t="str">
        <f>IF(AV44&amp;AW44="","",MAX(BB$12:BB43)+1)</f>
        <v/>
      </c>
      <c r="BC44" s="268" t="str">
        <f t="shared" si="12"/>
        <v/>
      </c>
      <c r="BD44" s="53" t="str">
        <f>IF(AND(AM44="NEMA",AN44="NEMA",OR(AV44&amp;AW44="",BC44="NEMA")),MAX(BD$12:BD43)+1,"")</f>
        <v/>
      </c>
      <c r="BE44" s="47" t="s">
        <v>0</v>
      </c>
      <c r="BF44" s="52" t="str">
        <f t="shared" si="13"/>
        <v/>
      </c>
      <c r="BG44" s="31" t="str">
        <f t="shared" si="14"/>
        <v/>
      </c>
      <c r="BH44" s="73" t="str">
        <f t="shared" si="49"/>
        <v/>
      </c>
      <c r="BI44" s="53" t="str">
        <f t="shared" si="50"/>
        <v/>
      </c>
      <c r="BJ44" s="47" t="s">
        <v>0</v>
      </c>
      <c r="BK44" s="52" t="str">
        <f t="shared" si="15"/>
        <v/>
      </c>
      <c r="BL44" s="31" t="str">
        <f t="shared" si="16"/>
        <v/>
      </c>
      <c r="BM44" s="73" t="str">
        <f t="shared" si="17"/>
        <v/>
      </c>
      <c r="BN44" s="73" t="str">
        <f t="shared" si="18"/>
        <v/>
      </c>
      <c r="BO44" s="31" t="str" cm="1">
        <f t="array" ref="BO44">IF(BN44="",""&amp;BL44,IF(BN44="NEMA",BL44,INDEX(regKlub_naziv,MATCH(INDEX(regKlub_alias_klubId,BN44),regKlub_id,0))))</f>
        <v/>
      </c>
      <c r="BP44" s="31" t="str" cm="1">
        <f t="array" ref="BP44">IFERROR(""&amp;INDEX(regNatjecatelj_klub,DY44),"")</f>
        <v/>
      </c>
      <c r="BQ44" s="88" t="str">
        <f t="shared" si="51"/>
        <v/>
      </c>
      <c r="BR44" s="66" t="str">
        <f t="shared" si="52"/>
        <v/>
      </c>
      <c r="BS44" s="47" t="s">
        <v>0</v>
      </c>
      <c r="BT44" s="82" t="str">
        <f>IF(BN44&lt;&gt;"NEMA","",IF(IFERROR(MATCH(BL44,BL$12:BL43,0),0)&lt;&gt;0,"",BL44))</f>
        <v/>
      </c>
      <c r="BU44" s="47" t="s">
        <v>0</v>
      </c>
      <c r="BV44" s="125"/>
      <c r="BW44" s="47" t="s">
        <v>0</v>
      </c>
      <c r="BX44" s="58" t="str">
        <f t="shared" si="53"/>
        <v/>
      </c>
      <c r="BY44" s="31" t="str">
        <f t="shared" si="54"/>
        <v/>
      </c>
      <c r="BZ44" s="31" t="str">
        <f>IF(BY44="","",MAX(BZ$12:BZ43)+1)</f>
        <v/>
      </c>
      <c r="CA44" s="31" t="str">
        <f>IF(BY44="","",IF(AA44="","",IF(AA44="NEMA",AC44,AA44)))</f>
        <v/>
      </c>
      <c r="CB44" s="31" t="str">
        <f t="shared" si="55"/>
        <v/>
      </c>
      <c r="CC44" s="31" t="str">
        <f>IF(BV44="","",MAX(CC$12:CC43)+1)</f>
        <v/>
      </c>
      <c r="CD44" s="31" t="str">
        <f t="shared" si="56"/>
        <v/>
      </c>
      <c r="CE44" s="66" t="str">
        <f t="shared" si="57"/>
        <v/>
      </c>
      <c r="CF44" s="47" t="s">
        <v>0</v>
      </c>
      <c r="CG44" s="73" t="str">
        <f>IF(BN44="","",IF(BN44&lt;&gt;"NEMA","",IFERROR(INDEX(nat_klubAliasId,MATCH(BL44,nat_noviKluboviAliasi,0)),"")))</f>
        <v/>
      </c>
      <c r="CH44" s="47"/>
      <c r="CI44" s="19" t="str">
        <f t="shared" si="58"/>
        <v/>
      </c>
      <c r="CJ44" s="47" t="s">
        <v>0</v>
      </c>
      <c r="CK44" s="52" t="str">
        <f>IF(X44&lt;&gt;"NEMA","",IF(IFERROR(MATCH(W44,W$12:W43,0),0)&lt;&gt;0,"",W44))</f>
        <v/>
      </c>
      <c r="CL44" s="73" t="str">
        <f>IF(CK44="","",IFERROR(INDEX(regKlub_alias_id,MATCH(CK44,regKlub_alias_alias,0)),"NEMA"))</f>
        <v/>
      </c>
      <c r="CM44" s="31" t="str">
        <f>IF(OR(CL44="",CL44&lt;&gt;"NEMA"),"",MAX(CM$12:CM43)+1)</f>
        <v/>
      </c>
      <c r="CN44" s="66" t="str">
        <f>IF(OR(CL44="",CL44&lt;&gt;"NEMA"),"",INDEX(regKlub_id,MATCH(CK44,regKlub_naziv,0)))</f>
        <v/>
      </c>
      <c r="CO44" s="47" t="s">
        <v>0</v>
      </c>
      <c r="CP44" s="19" t="str">
        <f>IF(OR(CL44="",CL44&lt;&gt;"NEMA"),"","INSERT INTO klub_alias(id,alias,klub_id) VALUES ("&amp;CM44&amp;",'"&amp;CK44&amp;"',"&amp;CN44&amp;");")</f>
        <v/>
      </c>
      <c r="CQ44" s="47" t="s">
        <v>0</v>
      </c>
      <c r="CR44" s="143" t="str">
        <f>IF(BR44="","",IF(BV44="",IF(IFERROR(MATCH(BR44,nat_noviKluboviAliasi,0),0)&gt;0,INDEX(nat_kluboviAliasi,MATCH(BR44,nat_noviKluboviAliasi,0)),BR44),BV44))</f>
        <v/>
      </c>
      <c r="CS44" s="47" t="s">
        <v>0</v>
      </c>
      <c r="CT44" s="58" t="str">
        <f>IF(G44="","",G44)</f>
        <v/>
      </c>
      <c r="CU44" s="73" t="str">
        <f>IF(H44="","",H44)</f>
        <v>0</v>
      </c>
      <c r="CV44" s="229" t="str">
        <f>IF(CT44="",IF(OR(AL44="",CU44&lt;&gt;"0"),"","GREŠKA"),IF(AND(65535&gt;=VALUE(LEFT(CT44,SEARCH(":",CT44)-1))*60+VALUE(RIGHT(CT44,2)),OR(CU44="0",CU44="1",CU44="2",CU44="3",CU44="4")),"","GREŠKA"))</f>
        <v/>
      </c>
      <c r="CW44" s="230" t="str">
        <f t="shared" si="23"/>
        <v/>
      </c>
      <c r="CX44" s="163" t="str">
        <f t="shared" si="24"/>
        <v/>
      </c>
      <c r="CY44" s="47" t="s">
        <v>0</v>
      </c>
      <c r="CZ44" s="222" t="str">
        <f>IF(CV44&lt;&gt;"GREŠKA","",AK44&amp;" "&amp;AL44&amp;" – Molim u OEventu provjeriti i ispraviti rezultat – vrijeme ("&amp;IF(CT44="","nije upisano",CT44)&amp;") i classifier ("&amp;CU44&amp;").")&amp;IF(OR(CV44&lt;&gt;"GREŠKA",CX44&lt;&gt;5),"
","")&amp;IF(CX44&lt;&gt;5,"",AK44&amp;" "&amp;AL44&amp;" – Molim u provjeriti je li natjecatelj zaista diskvalificiran. Ako je koje je obrazloženje, ako nije molim u OEventu ispraviti rezultat")</f>
        <v xml:space="preserve">
</v>
      </c>
      <c r="DA44" s="223" t="str">
        <f t="shared" si="60"/>
        <v/>
      </c>
      <c r="DB44" s="47" t="s">
        <v>0</v>
      </c>
      <c r="DC44" s="47"/>
      <c r="DD44" s="47"/>
      <c r="DE44" s="47"/>
      <c r="DF44" s="47" t="s">
        <v>0</v>
      </c>
      <c r="DG44" s="53" t="str">
        <f>IF(BD44="","",IF(DI44="O",1,""))</f>
        <v/>
      </c>
      <c r="DH44" t="s">
        <v>0</v>
      </c>
      <c r="DI44" s="128" t="str">
        <f>IF(Q44="","",LEFT(INDEX(regKategorija_oznaka,MATCH(S44,regKategorija_id,0)),1))</f>
        <v>M</v>
      </c>
      <c r="DJ44" t="s">
        <v>0</v>
      </c>
      <c r="DK44" s="52" t="str">
        <f>IF(BD44="","",IF(M44&lt;&gt;"CRO","","INSERT INTO osoba (id,reg_broj,oib,spol_id,dat_rodjenja) VALUES ("&amp;BD44&amp;",(SELECT max(os.reg_broj)+1 FROM osoba AS os),Null,'"&amp;DI44&amp;"',Null); INSERT INTO osoba_log (id,reg_broj,oib,spol_id,dat_rodjenja,dnevnik_id) SELECT id,reg_broj,oib,spol_id,dat_rodjenja,"&amp;data_dnevnik_id&amp;" FROM osoba WHERE id = "&amp;BD44&amp;";"))</f>
        <v/>
      </c>
      <c r="DL44" s="66" t="str">
        <f>IF(BD44="","","INSERT INTO imeprezime (id,osoba_id,rbr,ime,prezime,klub_id,identitet_id,sintaksa_id,info,aktivno,dnevnik_id) VALUES ("&amp;BD44&amp;","&amp;IF(DK44="","Null",BD44)&amp;",1,'"&amp;IF(AV44&lt;&gt;"",AV44,AK44)&amp;"','"&amp;IF(AW44&lt;&gt;"",AW44,AL44)&amp;"',(SELECT id FROM klub WHERE naziv = '"&amp;CR44&amp;"'),Null,1,'',1,"&amp;data_dnevnik_id&amp;");")</f>
        <v/>
      </c>
      <c r="DM44" t="s">
        <v>0</v>
      </c>
      <c r="DN44" s="19" t="str">
        <f t="shared" si="69"/>
        <v/>
      </c>
      <c r="DO44" s="47" t="s">
        <v>0</v>
      </c>
      <c r="DP44" s="19" t="str">
        <f>IF(BA44="","","INSERT INTO imeprezime_alias(id,alias,imeprezime_id) VALUES ("&amp;BB44&amp;",'"&amp;BA44&amp;"',"&amp;IF(BC44="NEMA",BD44,BC44)&amp;");")</f>
        <v/>
      </c>
      <c r="DQ44" s="47" t="s">
        <v>0</v>
      </c>
      <c r="DR44" s="52" t="str">
        <f>IF(AL44="","",DU44 &amp; IF(Q44="",""," – " &amp; Q44))</f>
        <v/>
      </c>
      <c r="DS44" s="53" t="str">
        <f t="shared" si="26"/>
        <v/>
      </c>
      <c r="DT44" s="47" t="s">
        <v>0</v>
      </c>
      <c r="DU44" s="52" t="str">
        <f>IF(AL44="","",DX44 &amp; IF(CR44="",""," – " &amp; CR44))</f>
        <v/>
      </c>
      <c r="DV44" s="53" t="str">
        <f t="shared" si="27"/>
        <v/>
      </c>
      <c r="DW44" s="47" t="s">
        <v>0</v>
      </c>
      <c r="DX44" s="52" t="str">
        <f>IF(BG44="","",BF44&amp;" – "&amp;BG44)</f>
        <v/>
      </c>
      <c r="DY44" s="53" t="str">
        <f t="shared" si="28"/>
        <v/>
      </c>
      <c r="DZ44" s="47" t="s">
        <v>0</v>
      </c>
      <c r="EA44" s="58" t="str">
        <f t="shared" si="61"/>
        <v/>
      </c>
      <c r="EB44" s="53" t="str" cm="1">
        <f t="array" ref="EB44">IF(EA44&lt;&gt;"",INDEX(regNatjecatelj_id,EA44,0),IF(BD44&lt;&gt;"",BD44,""))</f>
        <v/>
      </c>
      <c r="EC44" s="47" t="s">
        <v>0</v>
      </c>
      <c r="ED44" s="58" t="str">
        <f>IF(AL44="","",IF(BD44&lt;&gt;"","novo",IF(AN44="","imepre","imepre(ali)")))</f>
        <v/>
      </c>
      <c r="EE44" s="73" t="str">
        <f>IF(AL44="","",IF(BL44="",IF(IFERROR(INDEX(regNatjecatelj_klub,MATCH(EB44,regNatjecatelj_id,0)),"NEMA")="","klu",""),IF(OR(AND(BN44&lt;&gt;"",BN44&lt;&gt;"NEMA"),CD44&lt;&gt;""),"klu(ali)",IF(AND(BP44&lt;&gt;"",BP44&lt;&gt;BO44),"(raz-klu)","klu"))))</f>
        <v/>
      </c>
      <c r="EF44" s="73" t="str">
        <f>IF(AL44="","","kat"&amp;IF(AND(W44&lt;&gt;Q44,Q44&lt;&gt;"Open"),"(ali)",""))</f>
        <v/>
      </c>
      <c r="EG44" s="73" t="str">
        <f t="shared" si="29"/>
        <v/>
      </c>
      <c r="EH44" s="66" t="str">
        <f>IF(AL44="","",ED44&amp;IF(ED44="novo","","-"&amp;EE44&amp;"-"&amp;EF44)&amp;IF(EG44="","","-"&amp;EG44))</f>
        <v/>
      </c>
      <c r="EI44" s="47" t="s">
        <v>0</v>
      </c>
      <c r="EJ44" s="58" t="str">
        <f>IF(AL44="","",MAX(EJ$12:EJ43)+1)</f>
        <v/>
      </c>
      <c r="EK44" s="73" t="str">
        <f>IF(AO44="","",X44)</f>
        <v/>
      </c>
      <c r="EL44" s="73" t="str">
        <f t="shared" si="62"/>
        <v/>
      </c>
      <c r="EM44" s="73" t="str">
        <f t="shared" si="30"/>
        <v/>
      </c>
      <c r="EN44" s="73" t="str">
        <f t="shared" si="31"/>
        <v/>
      </c>
      <c r="EO44" s="73" t="str">
        <f t="shared" si="63"/>
        <v/>
      </c>
      <c r="EP44" s="73" t="str">
        <f t="shared" si="64"/>
        <v/>
      </c>
      <c r="EQ44" s="73" t="str">
        <f t="shared" si="34"/>
        <v/>
      </c>
      <c r="ER44" s="73" t="str">
        <f>IF(OR(AN44="",AN44="NEMA"),BB44,AN44)</f>
        <v/>
      </c>
      <c r="ES44" s="73" t="str">
        <f>IF(AND(BN44&lt;&gt;"",BN44&lt;&gt;"NEMA"),BN44,IF(CG44&lt;&gt;"",CG44,IF(AND(CL44&lt;&gt;"",CL44&lt;&gt;"NEMA"),CL44,IF(CM44&lt;&gt;"",CM44,""))))</f>
        <v/>
      </c>
      <c r="ET44" s="53" t="str">
        <f>IF(INDEX(natKategorija_alias_Id,MATCH(S44,natKategorija_katRegId,0))="","",INDEX(natKategorija_alias_Id,MATCH(S44,natKategorija_katRegId,0)))</f>
        <v/>
      </c>
      <c r="EU44" s="47" t="s">
        <v>0</v>
      </c>
      <c r="EV44" s="19" t="str">
        <f t="shared" si="65"/>
        <v/>
      </c>
      <c r="EW44" s="47" t="s">
        <v>0</v>
      </c>
      <c r="EX44" s="19" t="str">
        <f t="shared" si="66"/>
        <v/>
      </c>
      <c r="EY44" s="47" t="s">
        <v>0</v>
      </c>
      <c r="EZ44" s="180" t="str">
        <f>AG44&amp;IF(CP44="","","
")&amp;CP44&amp;IF(CI44="","","
")&amp;CI44&amp;IF(DN44="","","
")&amp;DN44&amp;IF(DP44="","","
")&amp;DP44&amp;IF(EV44="","","
")&amp;EV44&amp;IF(EX44="","","
")&amp;EX44</f>
        <v/>
      </c>
      <c r="FA44" s="47" t="s">
        <v>0</v>
      </c>
    </row>
    <row r="45" spans="1:157" x14ac:dyDescent="0.25">
      <c r="A45" t="s">
        <v>0</v>
      </c>
      <c r="B45" s="52" t="str">
        <f>IF(csv!F35="","",csv!T35)</f>
        <v>M16</v>
      </c>
      <c r="C45" s="31" t="s">
        <v>0</v>
      </c>
      <c r="D45" s="31" t="str">
        <f>IF(csv!F35="","",csv!F35)</f>
        <v>Goran</v>
      </c>
      <c r="E45" s="31" t="str">
        <f>IF(csv!E35="","",csv!E35)</f>
        <v>Jandras</v>
      </c>
      <c r="F45" s="31" t="s">
        <v>0</v>
      </c>
      <c r="G45" s="73" t="str">
        <f>IF(csv!M35="","",csv!M35)</f>
        <v>51:32</v>
      </c>
      <c r="H45" s="73" t="str">
        <f>IF(csv!N35="","",csv!N35)</f>
        <v>3</v>
      </c>
      <c r="I45" s="31" t="s">
        <v>0</v>
      </c>
      <c r="J45" s="31" t="str">
        <f>IF(csv!P35="","",csv!P35)</f>
        <v>Vihor</v>
      </c>
      <c r="K45" s="31" t="str">
        <f>IF(csv!Q35="","",csv!Q35)</f>
        <v>OK Vihor</v>
      </c>
      <c r="L45" s="31" t="s">
        <v>0</v>
      </c>
      <c r="M45" s="66" t="str">
        <f>IF(csv!R35="","",csv!R35)</f>
        <v>CRO</v>
      </c>
      <c r="N45" s="47" t="s">
        <v>0</v>
      </c>
      <c r="O45" s="243" t="str">
        <f t="shared" si="36"/>
        <v>ok</v>
      </c>
      <c r="P45" s="47"/>
      <c r="Q45" s="52" t="str">
        <f t="shared" si="37"/>
        <v>M16</v>
      </c>
      <c r="R45" s="73">
        <f>IF(Q45="","",IF(COUNTIF(Q$12:Q44,Q45)=0,R44+1,R44))</f>
        <v>3</v>
      </c>
      <c r="S45" s="73">
        <f t="shared" si="38"/>
        <v>110</v>
      </c>
      <c r="T45" s="73">
        <f t="shared" si="1"/>
        <v>19</v>
      </c>
      <c r="U45" s="66" t="str">
        <f t="shared" si="2"/>
        <v>M21B – M16</v>
      </c>
      <c r="V45" s="47" t="s">
        <v>0</v>
      </c>
      <c r="W45" s="222" t="str">
        <f t="shared" si="3"/>
        <v>M16</v>
      </c>
      <c r="X45" s="223">
        <f t="shared" si="4"/>
        <v>25</v>
      </c>
      <c r="Y45" s="47" t="s">
        <v>0</v>
      </c>
      <c r="Z45" s="52" t="str">
        <f t="shared" si="39"/>
        <v>CRO</v>
      </c>
      <c r="AA45" s="73">
        <f t="shared" si="5"/>
        <v>1</v>
      </c>
      <c r="AB45" s="31" t="str">
        <f t="shared" si="40"/>
        <v/>
      </c>
      <c r="AC45" s="66" t="str">
        <f>IF(AB45="","",MAX(AC$12:AC44)+1)</f>
        <v/>
      </c>
      <c r="AD45" s="47" t="s">
        <v>0</v>
      </c>
      <c r="AE45" s="125"/>
      <c r="AF45" s="47" t="s">
        <v>0</v>
      </c>
      <c r="AG45" s="19" t="str">
        <f t="shared" si="41"/>
        <v/>
      </c>
      <c r="AH45" s="47" t="s">
        <v>0</v>
      </c>
      <c r="AI45" s="143" t="str">
        <f t="shared" si="42"/>
        <v>CRO</v>
      </c>
      <c r="AJ45" s="47"/>
      <c r="AK45" s="52" t="str">
        <f t="shared" si="43"/>
        <v>Goran</v>
      </c>
      <c r="AL45" s="31" t="str">
        <f t="shared" si="44"/>
        <v>Jandras</v>
      </c>
      <c r="AM45" s="73">
        <f t="shared" si="45"/>
        <v>1889</v>
      </c>
      <c r="AN45" s="73" t="str">
        <f t="shared" si="46"/>
        <v/>
      </c>
      <c r="AO45" s="31" t="str">
        <f t="shared" si="8"/>
        <v>Goran</v>
      </c>
      <c r="AP45" s="66" t="str">
        <f t="shared" si="9"/>
        <v>Jandras</v>
      </c>
      <c r="AQ45" s="47" t="s">
        <v>0</v>
      </c>
      <c r="AR45" s="82" t="str">
        <f t="shared" si="47"/>
        <v/>
      </c>
      <c r="AS45" s="47" t="s">
        <v>0</v>
      </c>
      <c r="AT45" s="19" t="str">
        <f t="shared" si="48"/>
        <v/>
      </c>
      <c r="AU45" s="47" t="s">
        <v>0</v>
      </c>
      <c r="AV45" s="103"/>
      <c r="AW45" s="105"/>
      <c r="AX45" s="47" t="s">
        <v>0</v>
      </c>
      <c r="AY45" s="256" t="str">
        <f t="shared" si="68"/>
        <v/>
      </c>
      <c r="AZ45" s="47" t="s">
        <v>0</v>
      </c>
      <c r="BA45" s="52" t="str">
        <f t="shared" si="11"/>
        <v/>
      </c>
      <c r="BB45" s="73" t="str">
        <f>IF(AV45&amp;AW45="","",MAX(BB$12:BB44)+1)</f>
        <v/>
      </c>
      <c r="BC45" s="268" t="str">
        <f t="shared" si="12"/>
        <v/>
      </c>
      <c r="BD45" s="53" t="str">
        <f>IF(AND(AM45="NEMA",AN45="NEMA",OR(AV45&amp;AW45="",BC45="NEMA")),MAX(BD$12:BD44)+1,"")</f>
        <v/>
      </c>
      <c r="BE45" s="47" t="s">
        <v>0</v>
      </c>
      <c r="BF45" s="52" t="str">
        <f t="shared" si="13"/>
        <v>Goran</v>
      </c>
      <c r="BG45" s="31" t="str">
        <f t="shared" si="14"/>
        <v>Jandras</v>
      </c>
      <c r="BH45" s="73" t="str">
        <f t="shared" si="49"/>
        <v/>
      </c>
      <c r="BI45" s="53">
        <f t="shared" si="50"/>
        <v>1889</v>
      </c>
      <c r="BJ45" s="47" t="s">
        <v>0</v>
      </c>
      <c r="BK45" s="52" t="str">
        <f t="shared" si="15"/>
        <v>Vihor</v>
      </c>
      <c r="BL45" s="31" t="str">
        <f t="shared" si="16"/>
        <v>OK Vihor</v>
      </c>
      <c r="BM45" s="73">
        <f t="shared" si="17"/>
        <v>12</v>
      </c>
      <c r="BN45" s="73" t="str">
        <f t="shared" si="18"/>
        <v/>
      </c>
      <c r="BO45" s="31" t="str" cm="1">
        <f t="array" ref="BO45">IF(BN45="",""&amp;BL45,IF(BN45="NEMA",BL45,INDEX(regKlub_naziv,MATCH(INDEX(regKlub_alias_klubId,BN45),regKlub_id,0))))</f>
        <v>OK Vihor</v>
      </c>
      <c r="BP45" s="31" t="str" cm="1">
        <f t="array" ref="BP45">IFERROR(""&amp;INDEX(regNatjecatelj_klub,DY45),"")</f>
        <v>OK Vihor</v>
      </c>
      <c r="BQ45" s="88" t="str">
        <f t="shared" si="51"/>
        <v/>
      </c>
      <c r="BR45" s="66" t="str">
        <f t="shared" si="52"/>
        <v>OK Vihor</v>
      </c>
      <c r="BS45" s="47" t="s">
        <v>0</v>
      </c>
      <c r="BT45" s="82" t="str">
        <f>IF(BN45&lt;&gt;"NEMA","",IF(IFERROR(MATCH(BL45,BL$12:BL44,0),0)&lt;&gt;0,"",BL45))</f>
        <v/>
      </c>
      <c r="BU45" s="47" t="s">
        <v>0</v>
      </c>
      <c r="BV45" s="125"/>
      <c r="BW45" s="47" t="s">
        <v>0</v>
      </c>
      <c r="BX45" s="58" t="str">
        <f t="shared" si="53"/>
        <v/>
      </c>
      <c r="BY45" s="31" t="str">
        <f t="shared" si="54"/>
        <v/>
      </c>
      <c r="BZ45" s="31" t="str">
        <f>IF(BY45="","",MAX(BZ$12:BZ44)+1)</f>
        <v/>
      </c>
      <c r="CA45" s="31" t="str">
        <f>IF(BY45="","",IF(AA45="","",IF(AA45="NEMA",AC45,AA45)))</f>
        <v/>
      </c>
      <c r="CB45" s="31" t="str">
        <f t="shared" si="55"/>
        <v/>
      </c>
      <c r="CC45" s="31" t="str">
        <f>IF(BV45="","",MAX(CC$12:CC44)+1)</f>
        <v/>
      </c>
      <c r="CD45" s="31" t="str">
        <f t="shared" si="56"/>
        <v/>
      </c>
      <c r="CE45" s="66" t="str">
        <f t="shared" si="57"/>
        <v/>
      </c>
      <c r="CF45" s="47" t="s">
        <v>0</v>
      </c>
      <c r="CG45" s="73" t="str">
        <f>IF(BN45="","",IF(BN45&lt;&gt;"NEMA","",IFERROR(INDEX(nat_klubAliasId,MATCH(BL45,nat_noviKluboviAliasi,0)),"")))</f>
        <v/>
      </c>
      <c r="CH45" s="47"/>
      <c r="CI45" s="19" t="str">
        <f t="shared" si="58"/>
        <v/>
      </c>
      <c r="CJ45" s="47" t="s">
        <v>0</v>
      </c>
      <c r="CK45" s="52" t="str">
        <f>IF(X45&lt;&gt;"NEMA","",IF(IFERROR(MATCH(W45,W$12:W44,0),0)&lt;&gt;0,"",W45))</f>
        <v/>
      </c>
      <c r="CL45" s="73" t="str">
        <f>IF(CK45="","",IFERROR(INDEX(regKlub_alias_id,MATCH(CK45,regKlub_alias_alias,0)),"NEMA"))</f>
        <v/>
      </c>
      <c r="CM45" s="31" t="str">
        <f>IF(OR(CL45="",CL45&lt;&gt;"NEMA"),"",MAX(CM$12:CM44)+1)</f>
        <v/>
      </c>
      <c r="CN45" s="66" t="str">
        <f>IF(OR(CL45="",CL45&lt;&gt;"NEMA"),"",INDEX(regKlub_id,MATCH(CK45,regKlub_naziv,0)))</f>
        <v/>
      </c>
      <c r="CO45" s="47" t="s">
        <v>0</v>
      </c>
      <c r="CP45" s="19" t="str">
        <f>IF(OR(CL45="",CL45&lt;&gt;"NEMA"),"","INSERT INTO klub_alias(id,alias,klub_id) VALUES ("&amp;CM45&amp;",'"&amp;CK45&amp;"',"&amp;CN45&amp;");")</f>
        <v/>
      </c>
      <c r="CQ45" s="47" t="s">
        <v>0</v>
      </c>
      <c r="CR45" s="143" t="str">
        <f>IF(BR45="","",IF(BV45="",IF(IFERROR(MATCH(BR45,nat_noviKluboviAliasi,0),0)&gt;0,INDEX(nat_kluboviAliasi,MATCH(BR45,nat_noviKluboviAliasi,0)),BR45),BV45))</f>
        <v>OK Vihor</v>
      </c>
      <c r="CS45" s="47" t="s">
        <v>0</v>
      </c>
      <c r="CT45" s="58" t="str">
        <f>IF(G45="","",G45)</f>
        <v>51:32</v>
      </c>
      <c r="CU45" s="73" t="str">
        <f>IF(H45="","",H45)</f>
        <v>3</v>
      </c>
      <c r="CV45" s="229" t="str">
        <f>IF(CT45="",IF(OR(AL45="",CU45&lt;&gt;"0"),"","GREŠKA"),IF(AND(65535&gt;=VALUE(LEFT(CT45,SEARCH(":",CT45)-1))*60+VALUE(RIGHT(CT45,2)),OR(CU45="0",CU45="1",CU45="2",CU45="3",CU45="4")),"","GREŠKA"))</f>
        <v/>
      </c>
      <c r="CW45" s="230">
        <f t="shared" si="23"/>
        <v>3092</v>
      </c>
      <c r="CX45" s="163">
        <f t="shared" si="24"/>
        <v>3</v>
      </c>
      <c r="CY45" s="47" t="s">
        <v>0</v>
      </c>
      <c r="CZ45" s="222" t="str">
        <f>IF(CV45&lt;&gt;"GREŠKA","",AK45&amp;" "&amp;AL45&amp;" – Molim u OEventu provjeriti i ispraviti rezultat – vrijeme ("&amp;IF(CT45="","nije upisano",CT45)&amp;") i classifier ("&amp;CU45&amp;").")&amp;IF(OR(CV45&lt;&gt;"GREŠKA",CX45&lt;&gt;5),"
","")&amp;IF(CX45&lt;&gt;5,"",AK45&amp;" "&amp;AL45&amp;" – Molim u provjeriti je li natjecatelj zaista diskvalificiran. Ako je koje je obrazloženje, ako nije molim u OEventu ispraviti rezultat")</f>
        <v xml:space="preserve">
</v>
      </c>
      <c r="DA45" s="223">
        <f t="shared" si="60"/>
        <v>3</v>
      </c>
      <c r="DB45" s="47" t="s">
        <v>0</v>
      </c>
      <c r="DC45" s="47"/>
      <c r="DD45" s="47"/>
      <c r="DE45" s="47"/>
      <c r="DF45" s="47" t="s">
        <v>0</v>
      </c>
      <c r="DG45" s="53" t="str">
        <f>IF(BD45="","",IF(DI45="O",1,""))</f>
        <v/>
      </c>
      <c r="DH45" t="s">
        <v>0</v>
      </c>
      <c r="DI45" s="128" t="str">
        <f>IF(Q45="","",LEFT(INDEX(regKategorija_oznaka,MATCH(S45,regKategorija_id,0)),1))</f>
        <v>M</v>
      </c>
      <c r="DJ45" t="s">
        <v>0</v>
      </c>
      <c r="DK45" s="52" t="str">
        <f>IF(BD45="","",IF(M45&lt;&gt;"CRO","","INSERT INTO osoba (id,reg_broj,oib,spol_id,dat_rodjenja) VALUES ("&amp;BD45&amp;",(SELECT max(os.reg_broj)+1 FROM osoba AS os),Null,'"&amp;DI45&amp;"',Null); INSERT INTO osoba_log (id,reg_broj,oib,spol_id,dat_rodjenja,dnevnik_id) SELECT id,reg_broj,oib,spol_id,dat_rodjenja,"&amp;data_dnevnik_id&amp;" FROM osoba WHERE id = "&amp;BD45&amp;";"))</f>
        <v/>
      </c>
      <c r="DL45" s="66" t="str">
        <f>IF(BD45="","","INSERT INTO imeprezime (id,osoba_id,rbr,ime,prezime,klub_id,identitet_id,sintaksa_id,info,aktivno,dnevnik_id) VALUES ("&amp;BD45&amp;","&amp;IF(DK45="","Null",BD45)&amp;",1,'"&amp;IF(AV45&lt;&gt;"",AV45,AK45)&amp;"','"&amp;IF(AW45&lt;&gt;"",AW45,AL45)&amp;"',(SELECT id FROM klub WHERE naziv = '"&amp;CR45&amp;"'),Null,1,'',1,"&amp;data_dnevnik_id&amp;");")</f>
        <v/>
      </c>
      <c r="DM45" t="s">
        <v>0</v>
      </c>
      <c r="DN45" s="19" t="str">
        <f t="shared" si="69"/>
        <v/>
      </c>
      <c r="DO45" s="47" t="s">
        <v>0</v>
      </c>
      <c r="DP45" s="19" t="str">
        <f>IF(BA45="","","INSERT INTO imeprezime_alias(id,alias,imeprezime_id) VALUES ("&amp;BB45&amp;",'"&amp;BA45&amp;"',"&amp;IF(BC45="NEMA",BD45,BC45)&amp;");")</f>
        <v/>
      </c>
      <c r="DQ45" s="47" t="s">
        <v>0</v>
      </c>
      <c r="DR45" s="52" t="str">
        <f>IF(AL45="","",DU45 &amp; IF(Q45="",""," – " &amp; Q45))</f>
        <v>Goran – Jandras – OK Vihor – M16</v>
      </c>
      <c r="DS45" s="53">
        <f t="shared" si="26"/>
        <v>710</v>
      </c>
      <c r="DT45" s="47" t="s">
        <v>0</v>
      </c>
      <c r="DU45" s="52" t="str">
        <f>IF(AL45="","",DX45 &amp; IF(CR45="",""," – " &amp; CR45))</f>
        <v>Goran – Jandras – OK Vihor</v>
      </c>
      <c r="DV45" s="53">
        <f t="shared" si="27"/>
        <v>710</v>
      </c>
      <c r="DW45" s="47" t="s">
        <v>0</v>
      </c>
      <c r="DX45" s="52" t="str">
        <f>IF(BG45="","",BF45&amp;" – "&amp;BG45)</f>
        <v>Goran – Jandras</v>
      </c>
      <c r="DY45" s="53">
        <f t="shared" si="28"/>
        <v>710</v>
      </c>
      <c r="DZ45" s="47" t="s">
        <v>0</v>
      </c>
      <c r="EA45" s="58">
        <f t="shared" si="61"/>
        <v>710</v>
      </c>
      <c r="EB45" s="53" cm="1">
        <f t="array" ref="EB45">IF(EA45&lt;&gt;"",INDEX(regNatjecatelj_id,EA45,0),IF(BD45&lt;&gt;"",BD45,""))</f>
        <v>1889</v>
      </c>
      <c r="EC45" s="47" t="s">
        <v>0</v>
      </c>
      <c r="ED45" s="58" t="str">
        <f>IF(AL45="","",IF(BD45&lt;&gt;"","novo",IF(AN45="","imepre","imepre(ali)")))</f>
        <v>imepre</v>
      </c>
      <c r="EE45" s="73" t="str">
        <f>IF(AL45="","",IF(BL45="",IF(IFERROR(INDEX(regNatjecatelj_klub,MATCH(EB45,regNatjecatelj_id,0)),"NEMA")="","klu",""),IF(OR(AND(BN45&lt;&gt;"",BN45&lt;&gt;"NEMA"),CD45&lt;&gt;""),"klu(ali)",IF(AND(BP45&lt;&gt;"",BP45&lt;&gt;BO45),"(raz-klu)","klu"))))</f>
        <v>klu</v>
      </c>
      <c r="EF45" s="73" t="str">
        <f>IF(AL45="","","kat"&amp;IF(AND(W45&lt;&gt;Q45,Q45&lt;&gt;"Open"),"(ali)",""))</f>
        <v>kat</v>
      </c>
      <c r="EG45" s="73" t="str">
        <f t="shared" si="29"/>
        <v/>
      </c>
      <c r="EH45" s="66" t="str">
        <f>IF(AL45="","",ED45&amp;IF(ED45="novo","","-"&amp;EE45&amp;"-"&amp;EF45)&amp;IF(EG45="","","-"&amp;EG45))</f>
        <v>imepre-klu-kat</v>
      </c>
      <c r="EI45" s="47" t="s">
        <v>0</v>
      </c>
      <c r="EJ45" s="58">
        <f>IF(AL45="","",MAX(EJ$12:EJ44)+1)</f>
        <v>220</v>
      </c>
      <c r="EK45" s="73">
        <f>IF(AO45="","",X45)</f>
        <v>25</v>
      </c>
      <c r="EL45" s="73">
        <f t="shared" si="62"/>
        <v>1889</v>
      </c>
      <c r="EM45" s="73">
        <f t="shared" si="30"/>
        <v>3092</v>
      </c>
      <c r="EN45" s="73">
        <f t="shared" si="31"/>
        <v>3</v>
      </c>
      <c r="EO45" s="73">
        <f t="shared" si="63"/>
        <v>1</v>
      </c>
      <c r="EP45" s="73">
        <f t="shared" si="64"/>
        <v>1</v>
      </c>
      <c r="EQ45" s="73" t="str">
        <f t="shared" si="34"/>
        <v>3</v>
      </c>
      <c r="ER45" s="73" t="str">
        <f>IF(OR(AN45="",AN45="NEMA"),BB45,AN45)</f>
        <v/>
      </c>
      <c r="ES45" s="73" t="str">
        <f>IF(AND(BN45&lt;&gt;"",BN45&lt;&gt;"NEMA"),BN45,IF(CG45&lt;&gt;"",CG45,IF(AND(CL45&lt;&gt;"",CL45&lt;&gt;"NEMA"),CL45,IF(CM45&lt;&gt;"",CM45,""))))</f>
        <v/>
      </c>
      <c r="ET45" s="53" t="str">
        <f>IF(INDEX(natKategorija_alias_Id,MATCH(S45,natKategorija_katRegId,0))="","",INDEX(natKategorija_alias_Id,MATCH(S45,natKategorija_katRegId,0)))</f>
        <v/>
      </c>
      <c r="EU45" s="47" t="s">
        <v>0</v>
      </c>
      <c r="EV45" s="19" t="str">
        <f t="shared" si="65"/>
        <v>INSERT INTO rezultat(id,stazakategorija_id,imeprezime_id,vrijeme_sec,status_id,registracija,uparivanje_id,originalstatus_id,imeprezimealias_id,klubalias_id,kategorijaalias_id) VALUES (220,25,1889,3092,3,1,1,3,Null,Null,Null);</v>
      </c>
      <c r="EW45" s="47" t="s">
        <v>0</v>
      </c>
      <c r="EX45" s="19" t="str">
        <f t="shared" si="66"/>
        <v>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45" s="47" t="s">
        <v>0</v>
      </c>
      <c r="EZ45" s="180" t="str">
        <f>AG45&amp;IF(CP45="","","
")&amp;CP45&amp;IF(CI45="","","
")&amp;CI45&amp;IF(DN45="","","
")&amp;DN45&amp;IF(DP45="","","
")&amp;DP45&amp;IF(EV45="","","
")&amp;EV45&amp;IF(EX45="","","
")&amp;EX45</f>
        <v xml:space="preserve">
INSERT INTO rezultat(id,stazakategorija_id,imeprezime_id,vrijeme_sec,status_id,registracija,uparivanje_id,originalstatus_id,imeprezimealias_id,klubalias_id,kategorijaalias_id) VALUES (220,25,1889,3092,3,1,1,3,Null,Null,Null);
UPDATE
	registar
SET
	potvrda = 1
WHERE
	imeprezime_id=1889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45" s="47" t="s">
        <v>0</v>
      </c>
    </row>
    <row r="46" spans="1:157" x14ac:dyDescent="0.25">
      <c r="A46" t="s">
        <v>0</v>
      </c>
      <c r="B46" s="52" t="str">
        <f>IF(csv!F36="","",csv!T36)</f>
        <v>M16</v>
      </c>
      <c r="C46" s="31" t="s">
        <v>0</v>
      </c>
      <c r="D46" s="31" t="str">
        <f>IF(csv!F36="","",csv!F36)</f>
        <v>Kaan</v>
      </c>
      <c r="E46" s="31" t="str">
        <f>IF(csv!E36="","",csv!E36)</f>
        <v>Yelen</v>
      </c>
      <c r="F46" s="31" t="s">
        <v>0</v>
      </c>
      <c r="G46" s="73" t="str">
        <f>IF(csv!M36="","",csv!M36)</f>
        <v>115:18</v>
      </c>
      <c r="H46" s="73" t="str">
        <f>IF(csv!N36="","",csv!N36)</f>
        <v>3</v>
      </c>
      <c r="I46" s="31" t="s">
        <v>0</v>
      </c>
      <c r="J46" s="31" t="str">
        <f>IF(csv!P36="","",csv!P36)</f>
        <v>Vihor</v>
      </c>
      <c r="K46" s="31" t="str">
        <f>IF(csv!Q36="","",csv!Q36)</f>
        <v>OK Vihor</v>
      </c>
      <c r="L46" s="31" t="s">
        <v>0</v>
      </c>
      <c r="M46" s="66" t="str">
        <f>IF(csv!R36="","",csv!R36)</f>
        <v>CRO</v>
      </c>
      <c r="N46" s="47" t="s">
        <v>0</v>
      </c>
      <c r="O46" s="243" t="str">
        <f t="shared" si="36"/>
        <v>ok</v>
      </c>
      <c r="P46" s="47"/>
      <c r="Q46" s="52" t="str">
        <f t="shared" si="37"/>
        <v>M16</v>
      </c>
      <c r="R46" s="73">
        <f>IF(Q46="","",IF(COUNTIF(Q$12:Q45,Q46)=0,R45+1,R45))</f>
        <v>3</v>
      </c>
      <c r="S46" s="73">
        <f t="shared" si="38"/>
        <v>110</v>
      </c>
      <c r="T46" s="73">
        <f t="shared" si="1"/>
        <v>19</v>
      </c>
      <c r="U46" s="66" t="str">
        <f t="shared" si="2"/>
        <v>M21B – M16</v>
      </c>
      <c r="V46" s="47" t="s">
        <v>0</v>
      </c>
      <c r="W46" s="222" t="str">
        <f t="shared" si="3"/>
        <v>M16</v>
      </c>
      <c r="X46" s="223">
        <f t="shared" si="4"/>
        <v>25</v>
      </c>
      <c r="Y46" s="47" t="s">
        <v>0</v>
      </c>
      <c r="Z46" s="52" t="str">
        <f t="shared" si="39"/>
        <v>CRO</v>
      </c>
      <c r="AA46" s="73">
        <f t="shared" si="5"/>
        <v>1</v>
      </c>
      <c r="AB46" s="31" t="str">
        <f t="shared" si="40"/>
        <v/>
      </c>
      <c r="AC46" s="66" t="str">
        <f>IF(AB46="","",MAX(AC$12:AC45)+1)</f>
        <v/>
      </c>
      <c r="AD46" s="47" t="s">
        <v>0</v>
      </c>
      <c r="AE46" s="125"/>
      <c r="AF46" s="47" t="s">
        <v>0</v>
      </c>
      <c r="AG46" s="19" t="str">
        <f t="shared" si="41"/>
        <v/>
      </c>
      <c r="AH46" s="47" t="s">
        <v>0</v>
      </c>
      <c r="AI46" s="143" t="str">
        <f t="shared" si="42"/>
        <v>CRO</v>
      </c>
      <c r="AJ46" s="47"/>
      <c r="AK46" s="52" t="str">
        <f t="shared" si="43"/>
        <v>Kaan</v>
      </c>
      <c r="AL46" s="31" t="str">
        <f t="shared" si="44"/>
        <v>Yelen</v>
      </c>
      <c r="AM46" s="73">
        <f t="shared" si="45"/>
        <v>1911</v>
      </c>
      <c r="AN46" s="73" t="str">
        <f t="shared" si="46"/>
        <v/>
      </c>
      <c r="AO46" s="31" t="str">
        <f t="shared" si="8"/>
        <v>Kaan</v>
      </c>
      <c r="AP46" s="66" t="str">
        <f t="shared" si="9"/>
        <v>Yelen</v>
      </c>
      <c r="AQ46" s="47" t="s">
        <v>0</v>
      </c>
      <c r="AR46" s="82" t="str">
        <f t="shared" si="47"/>
        <v/>
      </c>
      <c r="AS46" s="47" t="s">
        <v>0</v>
      </c>
      <c r="AT46" s="19" t="str">
        <f t="shared" si="48"/>
        <v/>
      </c>
      <c r="AU46" s="47" t="s">
        <v>0</v>
      </c>
      <c r="AV46" s="103"/>
      <c r="AW46" s="105"/>
      <c r="AX46" s="47" t="s">
        <v>0</v>
      </c>
      <c r="AY46" s="256" t="str">
        <f t="shared" si="68"/>
        <v/>
      </c>
      <c r="AZ46" s="47" t="s">
        <v>0</v>
      </c>
      <c r="BA46" s="52" t="str">
        <f t="shared" si="11"/>
        <v/>
      </c>
      <c r="BB46" s="73" t="str">
        <f>IF(AV46&amp;AW46="","",MAX(BB$12:BB45)+1)</f>
        <v/>
      </c>
      <c r="BC46" s="268" t="str">
        <f t="shared" si="12"/>
        <v/>
      </c>
      <c r="BD46" s="53" t="str">
        <f>IF(AND(AM46="NEMA",AN46="NEMA",OR(AV46&amp;AW46="",BC46="NEMA")),MAX(BD$12:BD45)+1,"")</f>
        <v/>
      </c>
      <c r="BE46" s="47" t="s">
        <v>0</v>
      </c>
      <c r="BF46" s="52" t="str">
        <f t="shared" si="13"/>
        <v>Kaan</v>
      </c>
      <c r="BG46" s="31" t="str">
        <f t="shared" si="14"/>
        <v>Yelen</v>
      </c>
      <c r="BH46" s="73" t="str">
        <f t="shared" si="49"/>
        <v/>
      </c>
      <c r="BI46" s="53">
        <f t="shared" si="50"/>
        <v>1911</v>
      </c>
      <c r="BJ46" s="47" t="s">
        <v>0</v>
      </c>
      <c r="BK46" s="52" t="str">
        <f t="shared" si="15"/>
        <v>Vihor</v>
      </c>
      <c r="BL46" s="31" t="str">
        <f t="shared" si="16"/>
        <v>OK Vihor</v>
      </c>
      <c r="BM46" s="73">
        <f t="shared" si="17"/>
        <v>12</v>
      </c>
      <c r="BN46" s="73" t="str">
        <f t="shared" si="18"/>
        <v/>
      </c>
      <c r="BO46" s="31" t="str" cm="1">
        <f t="array" ref="BO46">IF(BN46="",""&amp;BL46,IF(BN46="NEMA",BL46,INDEX(regKlub_naziv,MATCH(INDEX(regKlub_alias_klubId,BN46),regKlub_id,0))))</f>
        <v>OK Vihor</v>
      </c>
      <c r="BP46" s="31" t="str" cm="1">
        <f t="array" ref="BP46">IFERROR(""&amp;INDEX(regNatjecatelj_klub,DY46),"")</f>
        <v>OK Vihor</v>
      </c>
      <c r="BQ46" s="88" t="str">
        <f t="shared" si="51"/>
        <v/>
      </c>
      <c r="BR46" s="66" t="str">
        <f t="shared" si="52"/>
        <v>OK Vihor</v>
      </c>
      <c r="BS46" s="47" t="s">
        <v>0</v>
      </c>
      <c r="BT46" s="82" t="str">
        <f>IF(BN46&lt;&gt;"NEMA","",IF(IFERROR(MATCH(BL46,BL$12:BL45,0),0)&lt;&gt;0,"",BL46))</f>
        <v/>
      </c>
      <c r="BU46" s="47" t="s">
        <v>0</v>
      </c>
      <c r="BV46" s="125"/>
      <c r="BW46" s="47" t="s">
        <v>0</v>
      </c>
      <c r="BX46" s="58" t="str">
        <f t="shared" si="53"/>
        <v/>
      </c>
      <c r="BY46" s="31" t="str">
        <f t="shared" si="54"/>
        <v/>
      </c>
      <c r="BZ46" s="31" t="str">
        <f>IF(BY46="","",MAX(BZ$12:BZ45)+1)</f>
        <v/>
      </c>
      <c r="CA46" s="31" t="str">
        <f>IF(BY46="","",IF(AA46="","",IF(AA46="NEMA",AC46,AA46)))</f>
        <v/>
      </c>
      <c r="CB46" s="31" t="str">
        <f t="shared" si="55"/>
        <v/>
      </c>
      <c r="CC46" s="31" t="str">
        <f>IF(BV46="","",MAX(CC$12:CC45)+1)</f>
        <v/>
      </c>
      <c r="CD46" s="31" t="str">
        <f t="shared" si="56"/>
        <v/>
      </c>
      <c r="CE46" s="66" t="str">
        <f t="shared" si="57"/>
        <v/>
      </c>
      <c r="CF46" s="47" t="s">
        <v>0</v>
      </c>
      <c r="CG46" s="73" t="str">
        <f>IF(BN46="","",IF(BN46&lt;&gt;"NEMA","",IFERROR(INDEX(nat_klubAliasId,MATCH(BL46,nat_noviKluboviAliasi,0)),"")))</f>
        <v/>
      </c>
      <c r="CH46" s="47"/>
      <c r="CI46" s="19" t="str">
        <f t="shared" si="58"/>
        <v/>
      </c>
      <c r="CJ46" s="47" t="s">
        <v>0</v>
      </c>
      <c r="CK46" s="52" t="str">
        <f>IF(X46&lt;&gt;"NEMA","",IF(IFERROR(MATCH(W46,W$12:W45,0),0)&lt;&gt;0,"",W46))</f>
        <v/>
      </c>
      <c r="CL46" s="73" t="str">
        <f>IF(CK46="","",IFERROR(INDEX(regKlub_alias_id,MATCH(CK46,regKlub_alias_alias,0)),"NEMA"))</f>
        <v/>
      </c>
      <c r="CM46" s="31" t="str">
        <f>IF(OR(CL46="",CL46&lt;&gt;"NEMA"),"",MAX(CM$12:CM45)+1)</f>
        <v/>
      </c>
      <c r="CN46" s="66" t="str">
        <f>IF(OR(CL46="",CL46&lt;&gt;"NEMA"),"",INDEX(regKlub_id,MATCH(CK46,regKlub_naziv,0)))</f>
        <v/>
      </c>
      <c r="CO46" s="47" t="s">
        <v>0</v>
      </c>
      <c r="CP46" s="19" t="str">
        <f>IF(OR(CL46="",CL46&lt;&gt;"NEMA"),"","INSERT INTO klub_alias(id,alias,klub_id) VALUES ("&amp;CM46&amp;",'"&amp;CK46&amp;"',"&amp;CN46&amp;");")</f>
        <v/>
      </c>
      <c r="CQ46" s="47" t="s">
        <v>0</v>
      </c>
      <c r="CR46" s="143" t="str">
        <f>IF(BR46="","",IF(BV46="",IF(IFERROR(MATCH(BR46,nat_noviKluboviAliasi,0),0)&gt;0,INDEX(nat_kluboviAliasi,MATCH(BR46,nat_noviKluboviAliasi,0)),BR46),BV46))</f>
        <v>OK Vihor</v>
      </c>
      <c r="CS46" s="47" t="s">
        <v>0</v>
      </c>
      <c r="CT46" s="58" t="str">
        <f>IF(G46="","",G46)</f>
        <v>115:18</v>
      </c>
      <c r="CU46" s="73" t="str">
        <f>IF(H46="","",H46)</f>
        <v>3</v>
      </c>
      <c r="CV46" s="229" t="str">
        <f>IF(CT46="",IF(OR(AL46="",CU46&lt;&gt;"0"),"","GREŠKA"),IF(AND(65535&gt;=VALUE(LEFT(CT46,SEARCH(":",CT46)-1))*60+VALUE(RIGHT(CT46,2)),OR(CU46="0",CU46="1",CU46="2",CU46="3",CU46="4")),"","GREŠKA"))</f>
        <v/>
      </c>
      <c r="CW46" s="230">
        <f t="shared" si="23"/>
        <v>6918</v>
      </c>
      <c r="CX46" s="163">
        <f t="shared" si="24"/>
        <v>3</v>
      </c>
      <c r="CY46" s="47" t="s">
        <v>0</v>
      </c>
      <c r="CZ46" s="222" t="str">
        <f>IF(CV46&lt;&gt;"GREŠKA","",AK46&amp;" "&amp;AL46&amp;" – Molim u OEventu provjeriti i ispraviti rezultat – vrijeme ("&amp;IF(CT46="","nije upisano",CT46)&amp;") i classifier ("&amp;CU46&amp;").")&amp;IF(OR(CV46&lt;&gt;"GREŠKA",CX46&lt;&gt;5),"
","")&amp;IF(CX46&lt;&gt;5,"",AK46&amp;" "&amp;AL46&amp;" – Molim u provjeriti je li natjecatelj zaista diskvalificiran. Ako je koje je obrazloženje, ako nije molim u OEventu ispraviti rezultat")</f>
        <v xml:space="preserve">
</v>
      </c>
      <c r="DA46" s="223">
        <f t="shared" si="60"/>
        <v>3</v>
      </c>
      <c r="DB46" s="47" t="s">
        <v>0</v>
      </c>
      <c r="DC46" s="47"/>
      <c r="DD46" s="47"/>
      <c r="DE46" s="47"/>
      <c r="DF46" s="47" t="s">
        <v>0</v>
      </c>
      <c r="DG46" s="53" t="str">
        <f>IF(BD46="","",IF(DI46="O",1,""))</f>
        <v/>
      </c>
      <c r="DH46" t="s">
        <v>0</v>
      </c>
      <c r="DI46" s="128" t="str">
        <f>IF(Q46="","",LEFT(INDEX(regKategorija_oznaka,MATCH(S46,regKategorija_id,0)),1))</f>
        <v>M</v>
      </c>
      <c r="DJ46" t="s">
        <v>0</v>
      </c>
      <c r="DK46" s="52" t="str">
        <f>IF(BD46="","",IF(M46&lt;&gt;"CRO","","INSERT INTO osoba (id,reg_broj,oib,spol_id,dat_rodjenja) VALUES ("&amp;BD46&amp;",(SELECT max(os.reg_broj)+1 FROM osoba AS os),Null,'"&amp;DI46&amp;"',Null); INSERT INTO osoba_log (id,reg_broj,oib,spol_id,dat_rodjenja,dnevnik_id) SELECT id,reg_broj,oib,spol_id,dat_rodjenja,"&amp;data_dnevnik_id&amp;" FROM osoba WHERE id = "&amp;BD46&amp;";"))</f>
        <v/>
      </c>
      <c r="DL46" s="66" t="str">
        <f>IF(BD46="","","INSERT INTO imeprezime (id,osoba_id,rbr,ime,prezime,klub_id,identitet_id,sintaksa_id,info,aktivno,dnevnik_id) VALUES ("&amp;BD46&amp;","&amp;IF(DK46="","Null",BD46)&amp;",1,'"&amp;IF(AV46&lt;&gt;"",AV46,AK46)&amp;"','"&amp;IF(AW46&lt;&gt;"",AW46,AL46)&amp;"',(SELECT id FROM klub WHERE naziv = '"&amp;CR46&amp;"'),Null,1,'',1,"&amp;data_dnevnik_id&amp;");")</f>
        <v/>
      </c>
      <c r="DM46" t="s">
        <v>0</v>
      </c>
      <c r="DN46" s="19" t="str">
        <f t="shared" si="69"/>
        <v/>
      </c>
      <c r="DO46" s="47" t="s">
        <v>0</v>
      </c>
      <c r="DP46" s="19" t="str">
        <f>IF(BA46="","","INSERT INTO imeprezime_alias(id,alias,imeprezime_id) VALUES ("&amp;BB46&amp;",'"&amp;BA46&amp;"',"&amp;IF(BC46="NEMA",BD46,BC46)&amp;");")</f>
        <v/>
      </c>
      <c r="DQ46" s="47" t="s">
        <v>0</v>
      </c>
      <c r="DR46" s="52" t="str">
        <f>IF(AL46="","",DU46 &amp; IF(Q46="",""," – " &amp; Q46))</f>
        <v>Kaan – Yelen – OK Vihor – M16</v>
      </c>
      <c r="DS46" s="53">
        <f t="shared" si="26"/>
        <v>945</v>
      </c>
      <c r="DT46" s="47" t="s">
        <v>0</v>
      </c>
      <c r="DU46" s="52" t="str">
        <f>IF(AL46="","",DX46 &amp; IF(CR46="",""," – " &amp; CR46))</f>
        <v>Kaan – Yelen – OK Vihor</v>
      </c>
      <c r="DV46" s="53">
        <f t="shared" si="27"/>
        <v>945</v>
      </c>
      <c r="DW46" s="47" t="s">
        <v>0</v>
      </c>
      <c r="DX46" s="52" t="str">
        <f>IF(BG46="","",BF46&amp;" – "&amp;BG46)</f>
        <v>Kaan – Yelen</v>
      </c>
      <c r="DY46" s="53">
        <f t="shared" si="28"/>
        <v>945</v>
      </c>
      <c r="DZ46" s="47" t="s">
        <v>0</v>
      </c>
      <c r="EA46" s="58">
        <f t="shared" si="61"/>
        <v>945</v>
      </c>
      <c r="EB46" s="53" cm="1">
        <f t="array" ref="EB46">IF(EA46&lt;&gt;"",INDEX(regNatjecatelj_id,EA46,0),IF(BD46&lt;&gt;"",BD46,""))</f>
        <v>1911</v>
      </c>
      <c r="EC46" s="47" t="s">
        <v>0</v>
      </c>
      <c r="ED46" s="58" t="str">
        <f>IF(AL46="","",IF(BD46&lt;&gt;"","novo",IF(AN46="","imepre","imepre(ali)")))</f>
        <v>imepre</v>
      </c>
      <c r="EE46" s="73" t="str">
        <f>IF(AL46="","",IF(BL46="",IF(IFERROR(INDEX(regNatjecatelj_klub,MATCH(EB46,regNatjecatelj_id,0)),"NEMA")="","klu",""),IF(OR(AND(BN46&lt;&gt;"",BN46&lt;&gt;"NEMA"),CD46&lt;&gt;""),"klu(ali)",IF(AND(BP46&lt;&gt;"",BP46&lt;&gt;BO46),"(raz-klu)","klu"))))</f>
        <v>klu</v>
      </c>
      <c r="EF46" s="73" t="str">
        <f>IF(AL46="","","kat"&amp;IF(AND(W46&lt;&gt;Q46,Q46&lt;&gt;"Open"),"(ali)",""))</f>
        <v>kat</v>
      </c>
      <c r="EG46" s="73" t="str">
        <f t="shared" si="29"/>
        <v/>
      </c>
      <c r="EH46" s="66" t="str">
        <f>IF(AL46="","",ED46&amp;IF(ED46="novo","","-"&amp;EE46&amp;"-"&amp;EF46)&amp;IF(EG46="","","-"&amp;EG46))</f>
        <v>imepre-klu-kat</v>
      </c>
      <c r="EI46" s="47" t="s">
        <v>0</v>
      </c>
      <c r="EJ46" s="58">
        <f>IF(AL46="","",MAX(EJ$12:EJ45)+1)</f>
        <v>221</v>
      </c>
      <c r="EK46" s="73">
        <f>IF(AO46="","",X46)</f>
        <v>25</v>
      </c>
      <c r="EL46" s="73">
        <f t="shared" si="62"/>
        <v>1911</v>
      </c>
      <c r="EM46" s="73">
        <f t="shared" si="30"/>
        <v>6918</v>
      </c>
      <c r="EN46" s="73">
        <f t="shared" si="31"/>
        <v>3</v>
      </c>
      <c r="EO46" s="73">
        <f t="shared" si="63"/>
        <v>1</v>
      </c>
      <c r="EP46" s="73">
        <f t="shared" si="64"/>
        <v>1</v>
      </c>
      <c r="EQ46" s="73" t="str">
        <f t="shared" si="34"/>
        <v>3</v>
      </c>
      <c r="ER46" s="73" t="str">
        <f>IF(OR(AN46="",AN46="NEMA"),BB46,AN46)</f>
        <v/>
      </c>
      <c r="ES46" s="73" t="str">
        <f>IF(AND(BN46&lt;&gt;"",BN46&lt;&gt;"NEMA"),BN46,IF(CG46&lt;&gt;"",CG46,IF(AND(CL46&lt;&gt;"",CL46&lt;&gt;"NEMA"),CL46,IF(CM46&lt;&gt;"",CM46,""))))</f>
        <v/>
      </c>
      <c r="ET46" s="53" t="str">
        <f>IF(INDEX(natKategorija_alias_Id,MATCH(S46,natKategorija_katRegId,0))="","",INDEX(natKategorija_alias_Id,MATCH(S46,natKategorija_katRegId,0)))</f>
        <v/>
      </c>
      <c r="EU46" s="47" t="s">
        <v>0</v>
      </c>
      <c r="EV46" s="19" t="str">
        <f t="shared" si="65"/>
        <v>INSERT INTO rezultat(id,stazakategorija_id,imeprezime_id,vrijeme_sec,status_id,registracija,uparivanje_id,originalstatus_id,imeprezimealias_id,klubalias_id,kategorijaalias_id) VALUES (221,25,1911,6918,3,1,1,3,Null,Null,Null);</v>
      </c>
      <c r="EW46" s="47" t="s">
        <v>0</v>
      </c>
      <c r="EX46" s="19" t="str">
        <f t="shared" si="66"/>
        <v>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EY46" s="47" t="s">
        <v>0</v>
      </c>
      <c r="EZ46" s="180" t="str">
        <f>AG46&amp;IF(CP46="","","
")&amp;CP46&amp;IF(CI46="","","
")&amp;CI46&amp;IF(DN46="","","
")&amp;DN46&amp;IF(DP46="","","
")&amp;DP46&amp;IF(EV46="","","
")&amp;EV46&amp;IF(EX46="","","
")&amp;EX46</f>
        <v xml:space="preserve">
INSERT INTO rezultat(id,stazakategorija_id,imeprezime_id,vrijeme_sec,status_id,registracija,uparivanje_id,originalstatus_id,imeprezimealias_id,klubalias_id,kategorijaalias_id) VALUES (221,25,1911,6918,3,1,1,3,Null,Null,Null);
UPDATE
	registar
SET
	potvrda = 1
WHERE
	imeprezime_id=1911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25)
                         		AND
                         	kategorija_liga.liga_id = 101)
		AND
	datum_od &lt;= '2021-04-18'
    	AND
    datum_do is Null;</v>
      </c>
      <c r="FA46" s="47" t="s">
        <v>0</v>
      </c>
    </row>
    <row r="47" spans="1:157" x14ac:dyDescent="0.25">
      <c r="A47" t="s">
        <v>0</v>
      </c>
      <c r="B47" s="52" t="str">
        <f>IF(csv!F37="","",csv!T37)</f>
        <v>M16</v>
      </c>
      <c r="C47" s="31" t="s">
        <v>0</v>
      </c>
      <c r="D47" s="31" t="str">
        <f>IF(csv!F37="","",csv!F37)</f>
        <v>Vacant</v>
      </c>
      <c r="E47" s="31" t="str">
        <f>IF(csv!E37="","",csv!E37)</f>
        <v/>
      </c>
      <c r="F47" s="31" t="s">
        <v>0</v>
      </c>
      <c r="G47" s="73" t="str">
        <f>IF(csv!M37="","",csv!M37)</f>
        <v/>
      </c>
      <c r="H47" s="73" t="str">
        <f>IF(csv!N37="","",csv!N37)</f>
        <v>0</v>
      </c>
      <c r="I47" s="31" t="s">
        <v>0</v>
      </c>
      <c r="J47" s="31" t="str">
        <f>IF(csv!P37="","",csv!P37)</f>
        <v/>
      </c>
      <c r="K47" s="31" t="str">
        <f>IF(csv!Q37="","",csv!Q37)</f>
        <v/>
      </c>
      <c r="L47" s="31" t="s">
        <v>0</v>
      </c>
      <c r="M47" s="66" t="str">
        <f>IF(csv!R37="","",csv!R37)</f>
        <v/>
      </c>
      <c r="N47" s="47" t="s">
        <v>0</v>
      </c>
      <c r="O47" s="243" t="str">
        <f t="shared" si="36"/>
        <v/>
      </c>
      <c r="P47" s="47"/>
      <c r="Q47" s="52" t="str">
        <f t="shared" si="37"/>
        <v>M16</v>
      </c>
      <c r="R47" s="73">
        <f>IF(Q47="","",IF(COUNTIF(Q$12:Q46,Q47)=0,R46+1,R46))</f>
        <v>3</v>
      </c>
      <c r="S47" s="73">
        <f t="shared" si="38"/>
        <v>110</v>
      </c>
      <c r="T47" s="73">
        <f t="shared" si="1"/>
        <v>19</v>
      </c>
      <c r="U47" s="66" t="str">
        <f t="shared" si="2"/>
        <v>M21B – M16</v>
      </c>
      <c r="V47" s="47" t="s">
        <v>0</v>
      </c>
      <c r="W47" s="222" t="str">
        <f t="shared" si="3"/>
        <v/>
      </c>
      <c r="X47" s="223" t="str">
        <f t="shared" si="4"/>
        <v/>
      </c>
      <c r="Y47" s="47" t="s">
        <v>0</v>
      </c>
      <c r="Z47" s="52" t="str">
        <f t="shared" si="39"/>
        <v/>
      </c>
      <c r="AA47" s="73" t="str">
        <f t="shared" si="5"/>
        <v/>
      </c>
      <c r="AB47" s="31" t="str">
        <f t="shared" si="40"/>
        <v/>
      </c>
      <c r="AC47" s="66" t="str">
        <f>IF(AB47="","",MAX(AC$12:AC46)+1)</f>
        <v/>
      </c>
      <c r="AD47" s="47" t="s">
        <v>0</v>
      </c>
      <c r="AE47" s="125"/>
      <c r="AF47" s="47" t="s">
        <v>0</v>
      </c>
      <c r="AG47" s="19" t="str">
        <f t="shared" si="41"/>
        <v/>
      </c>
      <c r="AH47" s="47" t="s">
        <v>0</v>
      </c>
      <c r="AI47" s="143" t="str">
        <f t="shared" si="42"/>
        <v/>
      </c>
      <c r="AJ47" s="47"/>
      <c r="AK47" s="52" t="str">
        <f t="shared" si="43"/>
        <v/>
      </c>
      <c r="AL47" s="31" t="str">
        <f t="shared" si="44"/>
        <v/>
      </c>
      <c r="AM47" s="73" t="str">
        <f t="shared" si="45"/>
        <v/>
      </c>
      <c r="AN47" s="73" t="str">
        <f t="shared" si="46"/>
        <v/>
      </c>
      <c r="AO47" s="31" t="str">
        <f t="shared" si="8"/>
        <v/>
      </c>
      <c r="AP47" s="66" t="str">
        <f t="shared" si="9"/>
        <v/>
      </c>
      <c r="AQ47" s="47" t="s">
        <v>0</v>
      </c>
      <c r="AR47" s="82" t="str">
        <f t="shared" si="47"/>
        <v/>
      </c>
      <c r="AS47" s="47" t="s">
        <v>0</v>
      </c>
      <c r="AT47" s="19" t="str">
        <f t="shared" si="48"/>
        <v/>
      </c>
      <c r="AU47" s="47" t="s">
        <v>0</v>
      </c>
      <c r="AV47" s="103"/>
      <c r="AW47" s="105"/>
      <c r="AX47" s="47" t="s">
        <v>0</v>
      </c>
      <c r="AY47" s="256" t="str">
        <f t="shared" si="68"/>
        <v/>
      </c>
      <c r="AZ47" s="47" t="s">
        <v>0</v>
      </c>
      <c r="BA47" s="52" t="str">
        <f t="shared" si="11"/>
        <v/>
      </c>
      <c r="BB47" s="73" t="str">
        <f>IF(AV47&amp;AW47="","",MAX(BB$12:BB46)+1)</f>
        <v/>
      </c>
      <c r="BC47" s="268" t="str">
        <f t="shared" si="12"/>
        <v/>
      </c>
      <c r="BD47" s="53" t="str">
        <f>IF(AND(AM47="NEMA",AN47="NEMA",OR(AV47&amp;AW47="",BC47="NEMA")),MAX(BD$12:BD46)+1,"")</f>
        <v/>
      </c>
      <c r="BE47" s="47" t="s">
        <v>0</v>
      </c>
      <c r="BF47" s="52" t="str">
        <f t="shared" si="13"/>
        <v/>
      </c>
      <c r="BG47" s="31" t="str">
        <f t="shared" si="14"/>
        <v/>
      </c>
      <c r="BH47" s="73" t="str">
        <f t="shared" si="49"/>
        <v/>
      </c>
      <c r="BI47" s="53" t="str">
        <f t="shared" si="50"/>
        <v/>
      </c>
      <c r="BJ47" s="47" t="s">
        <v>0</v>
      </c>
      <c r="BK47" s="52" t="str">
        <f t="shared" si="15"/>
        <v/>
      </c>
      <c r="BL47" s="31" t="str">
        <f t="shared" si="16"/>
        <v/>
      </c>
      <c r="BM47" s="73" t="str">
        <f t="shared" si="17"/>
        <v/>
      </c>
      <c r="BN47" s="73" t="str">
        <f t="shared" si="18"/>
        <v/>
      </c>
      <c r="BO47" s="31" t="str" cm="1">
        <f t="array" ref="BO47">IF(BN47="",""&amp;BL47,IF(BN47="NEMA",BL47,INDEX(regKlub_naziv,MATCH(INDEX(regKlub_alias_klubId,BN47),regKlub_id,0))))</f>
        <v/>
      </c>
      <c r="BP47" s="31" t="str" cm="1">
        <f t="array" ref="BP47">IFERROR(""&amp;INDEX(regNatjecatelj_klub,DY47),"")</f>
        <v/>
      </c>
      <c r="BQ47" s="88" t="str">
        <f t="shared" si="51"/>
        <v/>
      </c>
      <c r="BR47" s="66" t="str">
        <f t="shared" si="52"/>
        <v/>
      </c>
      <c r="BS47" s="47" t="s">
        <v>0</v>
      </c>
      <c r="BT47" s="82" t="str">
        <f>IF(BN47&lt;&gt;"NEMA","",IF(IFERROR(MATCH(BL47,BL$12:BL46,0),0)&lt;&gt;0,"",BL47))</f>
        <v/>
      </c>
      <c r="BU47" s="47" t="s">
        <v>0</v>
      </c>
      <c r="BV47" s="125"/>
      <c r="BW47" s="47" t="s">
        <v>0</v>
      </c>
      <c r="BX47" s="58" t="str">
        <f t="shared" si="53"/>
        <v/>
      </c>
      <c r="BY47" s="31" t="str">
        <f t="shared" si="54"/>
        <v/>
      </c>
      <c r="BZ47" s="31" t="str">
        <f>IF(BY47="","",MAX(BZ$12:BZ46)+1)</f>
        <v/>
      </c>
      <c r="CA47" s="31" t="str">
        <f>IF(BY47="","",IF(AA47="","",IF(AA47="NEMA",AC47,AA47)))</f>
        <v/>
      </c>
      <c r="CB47" s="31" t="str">
        <f t="shared" si="55"/>
        <v/>
      </c>
      <c r="CC47" s="31" t="str">
        <f>IF(BV47="","",MAX(CC$12:CC46)+1)</f>
        <v/>
      </c>
      <c r="CD47" s="31" t="str">
        <f t="shared" si="56"/>
        <v/>
      </c>
      <c r="CE47" s="66" t="str">
        <f t="shared" si="57"/>
        <v/>
      </c>
      <c r="CF47" s="47" t="s">
        <v>0</v>
      </c>
      <c r="CG47" s="73" t="str">
        <f>IF(BN47="","",IF(BN47&lt;&gt;"NEMA","",IFERROR(INDEX(nat_klubAliasId,MATCH(BL47,nat_noviKluboviAliasi,0)),"")))</f>
        <v/>
      </c>
      <c r="CH47" s="47"/>
      <c r="CI47" s="19" t="str">
        <f t="shared" si="58"/>
        <v/>
      </c>
      <c r="CJ47" s="47" t="s">
        <v>0</v>
      </c>
      <c r="CK47" s="52" t="str">
        <f>IF(X47&lt;&gt;"NEMA","",IF(IFERROR(MATCH(W47,W$12:W46,0),0)&lt;&gt;0,"",W47))</f>
        <v/>
      </c>
      <c r="CL47" s="73" t="str">
        <f>IF(CK47="","",IFERROR(INDEX(regKlub_alias_id,MATCH(CK47,regKlub_alias_alias,0)),"NEMA"))</f>
        <v/>
      </c>
      <c r="CM47" s="31" t="str">
        <f>IF(OR(CL47="",CL47&lt;&gt;"NEMA"),"",MAX(CM$12:CM46)+1)</f>
        <v/>
      </c>
      <c r="CN47" s="66" t="str">
        <f>IF(OR(CL47="",CL47&lt;&gt;"NEMA"),"",INDEX(regKlub_id,MATCH(CK47,regKlub_naziv,0)))</f>
        <v/>
      </c>
      <c r="CO47" s="47" t="s">
        <v>0</v>
      </c>
      <c r="CP47" s="19" t="str">
        <f>IF(OR(CL47="",CL47&lt;&gt;"NEMA"),"","INSERT INTO klub_alias(id,alias,klub_id) VALUES ("&amp;CM47&amp;",'"&amp;CK47&amp;"',"&amp;CN47&amp;");")</f>
        <v/>
      </c>
      <c r="CQ47" s="47" t="s">
        <v>0</v>
      </c>
      <c r="CR47" s="143" t="str">
        <f>IF(BR47="","",IF(BV47="",IF(IFERROR(MATCH(BR47,nat_noviKluboviAliasi,0),0)&gt;0,INDEX(nat_kluboviAliasi,MATCH(BR47,nat_noviKluboviAliasi,0)),BR47),BV47))</f>
        <v/>
      </c>
      <c r="CS47" s="47" t="s">
        <v>0</v>
      </c>
      <c r="CT47" s="58" t="str">
        <f>IF(G47="","",G47)</f>
        <v/>
      </c>
      <c r="CU47" s="73" t="str">
        <f>IF(H47="","",H47)</f>
        <v>0</v>
      </c>
      <c r="CV47" s="229" t="str">
        <f>IF(CT47="",IF(OR(AL47="",CU47&lt;&gt;"0"),"","GREŠKA"),IF(AND(65535&gt;=VALUE(LEFT(CT47,SEARCH(":",CT47)-1))*60+VALUE(RIGHT(CT47,2)),OR(CU47="0",CU47="1",CU47="2",CU47="3",CU47="4")),"","GREŠKA"))</f>
        <v/>
      </c>
      <c r="CW47" s="230" t="str">
        <f t="shared" si="23"/>
        <v/>
      </c>
      <c r="CX47" s="163" t="str">
        <f t="shared" si="24"/>
        <v/>
      </c>
      <c r="CY47" s="47" t="s">
        <v>0</v>
      </c>
      <c r="CZ47" s="222" t="str">
        <f>IF(CV47&lt;&gt;"GREŠKA","",AK47&amp;" "&amp;AL47&amp;" – Molim u OEventu provjeriti i ispraviti rezultat – vrijeme ("&amp;IF(CT47="","nije upisano",CT47)&amp;") i classifier ("&amp;CU47&amp;").")&amp;IF(OR(CV47&lt;&gt;"GREŠKA",CX47&lt;&gt;5),"
","")&amp;IF(CX47&lt;&gt;5,"",AK47&amp;" "&amp;AL47&amp;" – Molim u provjeriti je li natjecatelj zaista diskvalificiran. Ako je koje je obrazloženje, ako nije molim u OEventu ispraviti rezultat")</f>
        <v xml:space="preserve">
</v>
      </c>
      <c r="DA47" s="223" t="str">
        <f t="shared" si="60"/>
        <v/>
      </c>
      <c r="DB47" s="47" t="s">
        <v>0</v>
      </c>
      <c r="DC47" s="47"/>
      <c r="DD47" s="47"/>
      <c r="DE47" s="47"/>
      <c r="DF47" s="47" t="s">
        <v>0</v>
      </c>
      <c r="DG47" s="53" t="str">
        <f>IF(BD47="","",IF(DI47="O",1,""))</f>
        <v/>
      </c>
      <c r="DH47" t="s">
        <v>0</v>
      </c>
      <c r="DI47" s="128" t="str">
        <f>IF(Q47="","",LEFT(INDEX(regKategorija_oznaka,MATCH(S47,regKategorija_id,0)),1))</f>
        <v>M</v>
      </c>
      <c r="DJ47" t="s">
        <v>0</v>
      </c>
      <c r="DK47" s="52" t="str">
        <f>IF(BD47="","",IF(M47&lt;&gt;"CRO","","INSERT INTO osoba (id,reg_broj,oib,spol_id,dat_rodjenja) VALUES ("&amp;BD47&amp;",(SELECT max(os.reg_broj)+1 FROM osoba AS os),Null,'"&amp;DI47&amp;"',Null); INSERT INTO osoba_log (id,reg_broj,oib,spol_id,dat_rodjenja,dnevnik_id) SELECT id,reg_broj,oib,spol_id,dat_rodjenja,"&amp;data_dnevnik_id&amp;" FROM osoba WHERE id = "&amp;BD47&amp;";"))</f>
        <v/>
      </c>
      <c r="DL47" s="66" t="str">
        <f>IF(BD47="","","INSERT INTO imeprezime (id,osoba_id,rbr,ime,prezime,klub_id,identitet_id,sintaksa_id,info,aktivno,dnevnik_id) VALUES ("&amp;BD47&amp;","&amp;IF(DK47="","Null",BD47)&amp;",1,'"&amp;IF(AV47&lt;&gt;"",AV47,AK47)&amp;"','"&amp;IF(AW47&lt;&gt;"",AW47,AL47)&amp;"',(SELECT id FROM klub WHERE naziv = '"&amp;CR47&amp;"'),Null,1,'',1,"&amp;data_dnevnik_id&amp;");")</f>
        <v/>
      </c>
      <c r="DM47" t="s">
        <v>0</v>
      </c>
      <c r="DN47" s="19" t="str">
        <f t="shared" si="69"/>
        <v/>
      </c>
      <c r="DO47" s="47" t="s">
        <v>0</v>
      </c>
      <c r="DP47" s="19" t="str">
        <f>IF(BA47="","","INSERT INTO imeprezime_alias(id,alias,imeprezime_id) VALUES ("&amp;BB47&amp;",'"&amp;BA47&amp;"',"&amp;IF(BC47="NEMA",BD47,BC47)&amp;");")</f>
        <v/>
      </c>
      <c r="DQ47" s="47" t="s">
        <v>0</v>
      </c>
      <c r="DR47" s="52" t="str">
        <f>IF(AL47="","",DU47 &amp; IF(Q47="",""," – " &amp; Q47))</f>
        <v/>
      </c>
      <c r="DS47" s="53" t="str">
        <f t="shared" si="26"/>
        <v/>
      </c>
      <c r="DT47" s="47" t="s">
        <v>0</v>
      </c>
      <c r="DU47" s="52" t="str">
        <f>IF(AL47="","",DX47 &amp; IF(CR47="",""," – " &amp; CR47))</f>
        <v/>
      </c>
      <c r="DV47" s="53" t="str">
        <f t="shared" si="27"/>
        <v/>
      </c>
      <c r="DW47" s="47" t="s">
        <v>0</v>
      </c>
      <c r="DX47" s="52" t="str">
        <f>IF(BG47="","",BF47&amp;" – "&amp;BG47)</f>
        <v/>
      </c>
      <c r="DY47" s="53" t="str">
        <f t="shared" si="28"/>
        <v/>
      </c>
      <c r="DZ47" s="47" t="s">
        <v>0</v>
      </c>
      <c r="EA47" s="58" t="str">
        <f t="shared" si="61"/>
        <v/>
      </c>
      <c r="EB47" s="53" t="str" cm="1">
        <f t="array" ref="EB47">IF(EA47&lt;&gt;"",INDEX(regNatjecatelj_id,EA47,0),IF(BD47&lt;&gt;"",BD47,""))</f>
        <v/>
      </c>
      <c r="EC47" s="47" t="s">
        <v>0</v>
      </c>
      <c r="ED47" s="58" t="str">
        <f>IF(AL47="","",IF(BD47&lt;&gt;"","novo",IF(AN47="","imepre","imepre(ali)")))</f>
        <v/>
      </c>
      <c r="EE47" s="73" t="str">
        <f>IF(AL47="","",IF(BL47="",IF(IFERROR(INDEX(regNatjecatelj_klub,MATCH(EB47,regNatjecatelj_id,0)),"NEMA")="","klu",""),IF(OR(AND(BN47&lt;&gt;"",BN47&lt;&gt;"NEMA"),CD47&lt;&gt;""),"klu(ali)",IF(AND(BP47&lt;&gt;"",BP47&lt;&gt;BO47),"(raz-klu)","klu"))))</f>
        <v/>
      </c>
      <c r="EF47" s="73" t="str">
        <f>IF(AL47="","","kat"&amp;IF(AND(W47&lt;&gt;Q47,Q47&lt;&gt;"Open"),"(ali)",""))</f>
        <v/>
      </c>
      <c r="EG47" s="73" t="str">
        <f t="shared" si="29"/>
        <v/>
      </c>
      <c r="EH47" s="66" t="str">
        <f>IF(AL47="","",ED47&amp;IF(ED47="novo","","-"&amp;EE47&amp;"-"&amp;EF47)&amp;IF(EG47="","","-"&amp;EG47))</f>
        <v/>
      </c>
      <c r="EI47" s="47" t="s">
        <v>0</v>
      </c>
      <c r="EJ47" s="58" t="str">
        <f>IF(AL47="","",MAX(EJ$12:EJ46)+1)</f>
        <v/>
      </c>
      <c r="EK47" s="73" t="str">
        <f>IF(AO47="","",X47)</f>
        <v/>
      </c>
      <c r="EL47" s="73" t="str">
        <f t="shared" si="62"/>
        <v/>
      </c>
      <c r="EM47" s="73" t="str">
        <f t="shared" si="30"/>
        <v/>
      </c>
      <c r="EN47" s="73" t="str">
        <f t="shared" si="31"/>
        <v/>
      </c>
      <c r="EO47" s="73" t="str">
        <f t="shared" si="63"/>
        <v/>
      </c>
      <c r="EP47" s="73" t="str">
        <f t="shared" si="64"/>
        <v/>
      </c>
      <c r="EQ47" s="73" t="str">
        <f t="shared" si="34"/>
        <v/>
      </c>
      <c r="ER47" s="73" t="str">
        <f>IF(OR(AN47="",AN47="NEMA"),BB47,AN47)</f>
        <v/>
      </c>
      <c r="ES47" s="73" t="str">
        <f>IF(AND(BN47&lt;&gt;"",BN47&lt;&gt;"NEMA"),BN47,IF(CG47&lt;&gt;"",CG47,IF(AND(CL47&lt;&gt;"",CL47&lt;&gt;"NEMA"),CL47,IF(CM47&lt;&gt;"",CM47,""))))</f>
        <v/>
      </c>
      <c r="ET47" s="53" t="str">
        <f>IF(INDEX(natKategorija_alias_Id,MATCH(S47,natKategorija_katRegId,0))="","",INDEX(natKategorija_alias_Id,MATCH(S47,natKategorija_katRegId,0)))</f>
        <v/>
      </c>
      <c r="EU47" s="47" t="s">
        <v>0</v>
      </c>
      <c r="EV47" s="19" t="str">
        <f t="shared" si="65"/>
        <v/>
      </c>
      <c r="EW47" s="47" t="s">
        <v>0</v>
      </c>
      <c r="EX47" s="19" t="str">
        <f t="shared" si="66"/>
        <v/>
      </c>
      <c r="EY47" s="47" t="s">
        <v>0</v>
      </c>
      <c r="EZ47" s="180" t="str">
        <f>AG47&amp;IF(CP47="","","
")&amp;CP47&amp;IF(CI47="","","
")&amp;CI47&amp;IF(DN47="","","
")&amp;DN47&amp;IF(DP47="","","
")&amp;DP47&amp;IF(EV47="","","
")&amp;EV47&amp;IF(EX47="","","
")&amp;EX47</f>
        <v/>
      </c>
      <c r="FA47" s="47" t="s">
        <v>0</v>
      </c>
    </row>
    <row r="48" spans="1:157" x14ac:dyDescent="0.25">
      <c r="A48" t="s">
        <v>0</v>
      </c>
      <c r="B48" s="52" t="str">
        <f>IF(csv!F38="","",csv!T38)</f>
        <v>M20</v>
      </c>
      <c r="C48" s="31" t="s">
        <v>0</v>
      </c>
      <c r="D48" s="31" t="str">
        <f>IF(csv!F38="","",csv!F38)</f>
        <v>Jan</v>
      </c>
      <c r="E48" s="31" t="str">
        <f>IF(csv!E38="","",csv!E38)</f>
        <v>Gobec</v>
      </c>
      <c r="F48" s="31" t="s">
        <v>0</v>
      </c>
      <c r="G48" s="73" t="str">
        <f>IF(csv!M38="","",csv!M38)</f>
        <v>51:38</v>
      </c>
      <c r="H48" s="73" t="str">
        <f>IF(csv!N38="","",csv!N38)</f>
        <v>0</v>
      </c>
      <c r="I48" s="31" t="s">
        <v>0</v>
      </c>
      <c r="J48" s="31" t="str">
        <f>IF(csv!P38="","",csv!P38)</f>
        <v>Vihor</v>
      </c>
      <c r="K48" s="31" t="str">
        <f>IF(csv!Q38="","",csv!Q38)</f>
        <v>OK Vihor</v>
      </c>
      <c r="L48" s="31" t="s">
        <v>0</v>
      </c>
      <c r="M48" s="66" t="str">
        <f>IF(csv!R38="","",csv!R38)</f>
        <v>CRO</v>
      </c>
      <c r="N48" s="47" t="s">
        <v>0</v>
      </c>
      <c r="O48" s="243" t="str">
        <f t="shared" si="36"/>
        <v>ok</v>
      </c>
      <c r="P48" s="47"/>
      <c r="Q48" s="52" t="str">
        <f t="shared" si="37"/>
        <v>M20</v>
      </c>
      <c r="R48" s="73">
        <f>IF(Q48="","",IF(COUNTIF(Q$12:Q47,Q48)=0,R47+1,R47))</f>
        <v>4</v>
      </c>
      <c r="S48" s="73">
        <f t="shared" si="38"/>
        <v>109</v>
      </c>
      <c r="T48" s="73">
        <f t="shared" si="1"/>
        <v>20</v>
      </c>
      <c r="U48" s="66" t="str">
        <f t="shared" si="2"/>
        <v>M20</v>
      </c>
      <c r="V48" s="47" t="s">
        <v>0</v>
      </c>
      <c r="W48" s="222" t="str">
        <f t="shared" si="3"/>
        <v>M20</v>
      </c>
      <c r="X48" s="223">
        <f t="shared" si="4"/>
        <v>26</v>
      </c>
      <c r="Y48" s="47" t="s">
        <v>0</v>
      </c>
      <c r="Z48" s="52" t="str">
        <f t="shared" si="39"/>
        <v>CRO</v>
      </c>
      <c r="AA48" s="73">
        <f t="shared" si="5"/>
        <v>1</v>
      </c>
      <c r="AB48" s="31" t="str">
        <f t="shared" si="40"/>
        <v/>
      </c>
      <c r="AC48" s="66" t="str">
        <f>IF(AB48="","",MAX(AC$12:AC47)+1)</f>
        <v/>
      </c>
      <c r="AD48" s="47" t="s">
        <v>0</v>
      </c>
      <c r="AE48" s="125"/>
      <c r="AF48" s="47" t="s">
        <v>0</v>
      </c>
      <c r="AG48" s="19" t="str">
        <f t="shared" si="41"/>
        <v/>
      </c>
      <c r="AH48" s="47" t="s">
        <v>0</v>
      </c>
      <c r="AI48" s="143" t="str">
        <f t="shared" si="42"/>
        <v>CRO</v>
      </c>
      <c r="AJ48" s="47"/>
      <c r="AK48" s="52" t="str">
        <f t="shared" si="43"/>
        <v>Jan</v>
      </c>
      <c r="AL48" s="31" t="str">
        <f t="shared" si="44"/>
        <v>Gobec</v>
      </c>
      <c r="AM48" s="73">
        <f t="shared" si="45"/>
        <v>1522</v>
      </c>
      <c r="AN48" s="73" t="str">
        <f t="shared" si="46"/>
        <v/>
      </c>
      <c r="AO48" s="31" t="str">
        <f t="shared" si="8"/>
        <v>Jan</v>
      </c>
      <c r="AP48" s="66" t="str">
        <f t="shared" si="9"/>
        <v>Gobec</v>
      </c>
      <c r="AQ48" s="47" t="s">
        <v>0</v>
      </c>
      <c r="AR48" s="82" t="str">
        <f t="shared" si="47"/>
        <v/>
      </c>
      <c r="AS48" s="47" t="s">
        <v>0</v>
      </c>
      <c r="AT48" s="19" t="str">
        <f t="shared" si="48"/>
        <v/>
      </c>
      <c r="AU48" s="47" t="s">
        <v>0</v>
      </c>
      <c r="AV48" s="103"/>
      <c r="AW48" s="105"/>
      <c r="AX48" s="47" t="s">
        <v>0</v>
      </c>
      <c r="AY48" s="256" t="str">
        <f t="shared" si="68"/>
        <v/>
      </c>
      <c r="AZ48" s="47" t="s">
        <v>0</v>
      </c>
      <c r="BA48" s="52" t="str">
        <f t="shared" si="11"/>
        <v/>
      </c>
      <c r="BB48" s="73" t="str">
        <f>IF(AV48&amp;AW48="","",MAX(BB$12:BB47)+1)</f>
        <v/>
      </c>
      <c r="BC48" s="268" t="str">
        <f t="shared" si="12"/>
        <v/>
      </c>
      <c r="BD48" s="53" t="str">
        <f>IF(AND(AM48="NEMA",AN48="NEMA",OR(AV48&amp;AW48="",BC48="NEMA")),MAX(BD$12:BD47)+1,"")</f>
        <v/>
      </c>
      <c r="BE48" s="47" t="s">
        <v>0</v>
      </c>
      <c r="BF48" s="52" t="str">
        <f t="shared" si="13"/>
        <v>Jan</v>
      </c>
      <c r="BG48" s="31" t="str">
        <f t="shared" si="14"/>
        <v>Gobec</v>
      </c>
      <c r="BH48" s="73" t="str">
        <f t="shared" si="49"/>
        <v/>
      </c>
      <c r="BI48" s="53">
        <f t="shared" si="50"/>
        <v>1522</v>
      </c>
      <c r="BJ48" s="47" t="s">
        <v>0</v>
      </c>
      <c r="BK48" s="52" t="str">
        <f t="shared" si="15"/>
        <v>Vihor</v>
      </c>
      <c r="BL48" s="31" t="str">
        <f t="shared" si="16"/>
        <v>OK Vihor</v>
      </c>
      <c r="BM48" s="73">
        <f t="shared" si="17"/>
        <v>12</v>
      </c>
      <c r="BN48" s="73" t="str">
        <f t="shared" si="18"/>
        <v/>
      </c>
      <c r="BO48" s="31" t="str" cm="1">
        <f t="array" ref="BO48">IF(BN48="",""&amp;BL48,IF(BN48="NEMA",BL48,INDEX(regKlub_naziv,MATCH(INDEX(regKlub_alias_klubId,BN48),regKlub_id,0))))</f>
        <v>OK Vihor</v>
      </c>
      <c r="BP48" s="31" t="str" cm="1">
        <f t="array" ref="BP48">IFERROR(""&amp;INDEX(regNatjecatelj_klub,DY48),"")</f>
        <v>OK Vihor</v>
      </c>
      <c r="BQ48" s="88" t="str">
        <f t="shared" si="51"/>
        <v/>
      </c>
      <c r="BR48" s="66" t="str">
        <f t="shared" si="52"/>
        <v>OK Vihor</v>
      </c>
      <c r="BS48" s="47" t="s">
        <v>0</v>
      </c>
      <c r="BT48" s="82" t="str">
        <f>IF(BN48&lt;&gt;"NEMA","",IF(IFERROR(MATCH(BL48,BL$12:BL47,0),0)&lt;&gt;0,"",BL48))</f>
        <v/>
      </c>
      <c r="BU48" s="47" t="s">
        <v>0</v>
      </c>
      <c r="BV48" s="125"/>
      <c r="BW48" s="47" t="s">
        <v>0</v>
      </c>
      <c r="BX48" s="58" t="str">
        <f t="shared" si="53"/>
        <v/>
      </c>
      <c r="BY48" s="31" t="str">
        <f t="shared" si="54"/>
        <v/>
      </c>
      <c r="BZ48" s="31" t="str">
        <f>IF(BY48="","",MAX(BZ$12:BZ47)+1)</f>
        <v/>
      </c>
      <c r="CA48" s="31" t="str">
        <f>IF(BY48="","",IF(AA48="","",IF(AA48="NEMA",AC48,AA48)))</f>
        <v/>
      </c>
      <c r="CB48" s="31" t="str">
        <f t="shared" si="55"/>
        <v/>
      </c>
      <c r="CC48" s="31" t="str">
        <f>IF(BV48="","",MAX(CC$12:CC47)+1)</f>
        <v/>
      </c>
      <c r="CD48" s="31" t="str">
        <f t="shared" si="56"/>
        <v/>
      </c>
      <c r="CE48" s="66" t="str">
        <f t="shared" si="57"/>
        <v/>
      </c>
      <c r="CF48" s="47" t="s">
        <v>0</v>
      </c>
      <c r="CG48" s="73" t="str">
        <f>IF(BN48="","",IF(BN48&lt;&gt;"NEMA","",IFERROR(INDEX(nat_klubAliasId,MATCH(BL48,nat_noviKluboviAliasi,0)),"")))</f>
        <v/>
      </c>
      <c r="CH48" s="47"/>
      <c r="CI48" s="19" t="str">
        <f t="shared" si="58"/>
        <v/>
      </c>
      <c r="CJ48" s="47" t="s">
        <v>0</v>
      </c>
      <c r="CK48" s="52" t="str">
        <f>IF(X48&lt;&gt;"NEMA","",IF(IFERROR(MATCH(W48,W$12:W47,0),0)&lt;&gt;0,"",W48))</f>
        <v/>
      </c>
      <c r="CL48" s="73" t="str">
        <f>IF(CK48="","",IFERROR(INDEX(regKlub_alias_id,MATCH(CK48,regKlub_alias_alias,0)),"NEMA"))</f>
        <v/>
      </c>
      <c r="CM48" s="31" t="str">
        <f>IF(OR(CL48="",CL48&lt;&gt;"NEMA"),"",MAX(CM$12:CM47)+1)</f>
        <v/>
      </c>
      <c r="CN48" s="66" t="str">
        <f>IF(OR(CL48="",CL48&lt;&gt;"NEMA"),"",INDEX(regKlub_id,MATCH(CK48,regKlub_naziv,0)))</f>
        <v/>
      </c>
      <c r="CO48" s="47" t="s">
        <v>0</v>
      </c>
      <c r="CP48" s="19" t="str">
        <f>IF(OR(CL48="",CL48&lt;&gt;"NEMA"),"","INSERT INTO klub_alias(id,alias,klub_id) VALUES ("&amp;CM48&amp;",'"&amp;CK48&amp;"',"&amp;CN48&amp;");")</f>
        <v/>
      </c>
      <c r="CQ48" s="47" t="s">
        <v>0</v>
      </c>
      <c r="CR48" s="143" t="str">
        <f>IF(BR48="","",IF(BV48="",IF(IFERROR(MATCH(BR48,nat_noviKluboviAliasi,0),0)&gt;0,INDEX(nat_kluboviAliasi,MATCH(BR48,nat_noviKluboviAliasi,0)),BR48),BV48))</f>
        <v>OK Vihor</v>
      </c>
      <c r="CS48" s="47" t="s">
        <v>0</v>
      </c>
      <c r="CT48" s="58" t="str">
        <f>IF(G48="","",G48)</f>
        <v>51:38</v>
      </c>
      <c r="CU48" s="73" t="str">
        <f>IF(H48="","",H48)</f>
        <v>0</v>
      </c>
      <c r="CV48" s="229" t="str">
        <f>IF(CT48="",IF(OR(AL48="",CU48&lt;&gt;"0"),"","GREŠKA"),IF(AND(65535&gt;=VALUE(LEFT(CT48,SEARCH(":",CT48)-1))*60+VALUE(RIGHT(CT48,2)),OR(CU48="0",CU48="1",CU48="2",CU48="3",CU48="4")),"","GREŠKA"))</f>
        <v/>
      </c>
      <c r="CW48" s="230">
        <f t="shared" si="23"/>
        <v>3098</v>
      </c>
      <c r="CX48" s="163">
        <f t="shared" si="24"/>
        <v>1</v>
      </c>
      <c r="CY48" s="47" t="s">
        <v>0</v>
      </c>
      <c r="CZ48" s="222" t="str">
        <f>IF(CV48&lt;&gt;"GREŠKA","",AK48&amp;" "&amp;AL48&amp;" – Molim u OEventu provjeriti i ispraviti rezultat – vrijeme ("&amp;IF(CT48="","nije upisano",CT48)&amp;") i classifier ("&amp;CU48&amp;").")&amp;IF(OR(CV48&lt;&gt;"GREŠKA",CX48&lt;&gt;5),"
","")&amp;IF(CX48&lt;&gt;5,"",AK48&amp;" "&amp;AL48&amp;" – Molim u provjeriti je li natjecatelj zaista diskvalificiran. Ako je koje je obrazloženje, ako nije molim u OEventu ispraviti rezultat")</f>
        <v xml:space="preserve">
</v>
      </c>
      <c r="DA48" s="223">
        <f t="shared" si="60"/>
        <v>6</v>
      </c>
      <c r="DB48" s="47" t="s">
        <v>0</v>
      </c>
      <c r="DC48" s="47"/>
      <c r="DD48" s="47"/>
      <c r="DE48" s="47"/>
      <c r="DF48" s="47" t="s">
        <v>0</v>
      </c>
      <c r="DG48" s="53" t="str">
        <f>IF(BD48="","",IF(DI48="O",1,""))</f>
        <v/>
      </c>
      <c r="DH48" t="s">
        <v>0</v>
      </c>
      <c r="DI48" s="128" t="str">
        <f>IF(Q48="","",LEFT(INDEX(regKategorija_oznaka,MATCH(S48,regKategorija_id,0)),1))</f>
        <v>M</v>
      </c>
      <c r="DJ48" t="s">
        <v>0</v>
      </c>
      <c r="DK48" s="52" t="str">
        <f>IF(BD48="","",IF(M48&lt;&gt;"CRO","","INSERT INTO osoba (id,reg_broj,oib,spol_id,dat_rodjenja) VALUES ("&amp;BD48&amp;",(SELECT max(os.reg_broj)+1 FROM osoba AS os),Null,'"&amp;DI48&amp;"',Null); INSERT INTO osoba_log (id,reg_broj,oib,spol_id,dat_rodjenja,dnevnik_id) SELECT id,reg_broj,oib,spol_id,dat_rodjenja,"&amp;data_dnevnik_id&amp;" FROM osoba WHERE id = "&amp;BD48&amp;";"))</f>
        <v/>
      </c>
      <c r="DL48" s="66" t="str">
        <f>IF(BD48="","","INSERT INTO imeprezime (id,osoba_id,rbr,ime,prezime,klub_id,identitet_id,sintaksa_id,info,aktivno,dnevnik_id) VALUES ("&amp;BD48&amp;","&amp;IF(DK48="","Null",BD48)&amp;",1,'"&amp;IF(AV48&lt;&gt;"",AV48,AK48)&amp;"','"&amp;IF(AW48&lt;&gt;"",AW48,AL48)&amp;"',(SELECT id FROM klub WHERE naziv = '"&amp;CR48&amp;"'),Null,1,'',1,"&amp;data_dnevnik_id&amp;");")</f>
        <v/>
      </c>
      <c r="DM48" t="s">
        <v>0</v>
      </c>
      <c r="DN48" s="19" t="str">
        <f t="shared" si="69"/>
        <v/>
      </c>
      <c r="DO48" s="47" t="s">
        <v>0</v>
      </c>
      <c r="DP48" s="19" t="str">
        <f>IF(BA48="","","INSERT INTO imeprezime_alias(id,alias,imeprezime_id) VALUES ("&amp;BB48&amp;",'"&amp;BA48&amp;"',"&amp;IF(BC48="NEMA",BD48,BC48)&amp;");")</f>
        <v/>
      </c>
      <c r="DQ48" s="47" t="s">
        <v>0</v>
      </c>
      <c r="DR48" s="52" t="str">
        <f>IF(AL48="","",DU48 &amp; IF(Q48="",""," – " &amp; Q48))</f>
        <v>Jan – Gobec – OK Vihor – M20</v>
      </c>
      <c r="DS48" s="53">
        <f t="shared" si="26"/>
        <v>674</v>
      </c>
      <c r="DT48" s="47" t="s">
        <v>0</v>
      </c>
      <c r="DU48" s="52" t="str">
        <f>IF(AL48="","",DX48 &amp; IF(CR48="",""," – " &amp; CR48))</f>
        <v>Jan – Gobec – OK Vihor</v>
      </c>
      <c r="DV48" s="53">
        <f t="shared" si="27"/>
        <v>674</v>
      </c>
      <c r="DW48" s="47" t="s">
        <v>0</v>
      </c>
      <c r="DX48" s="52" t="str">
        <f>IF(BG48="","",BF48&amp;" – "&amp;BG48)</f>
        <v>Jan – Gobec</v>
      </c>
      <c r="DY48" s="53">
        <f t="shared" si="28"/>
        <v>674</v>
      </c>
      <c r="DZ48" s="47" t="s">
        <v>0</v>
      </c>
      <c r="EA48" s="58">
        <f t="shared" si="61"/>
        <v>674</v>
      </c>
      <c r="EB48" s="53" cm="1">
        <f t="array" ref="EB48">IF(EA48&lt;&gt;"",INDEX(regNatjecatelj_id,EA48,0),IF(BD48&lt;&gt;"",BD48,""))</f>
        <v>1522</v>
      </c>
      <c r="EC48" s="47" t="s">
        <v>0</v>
      </c>
      <c r="ED48" s="58" t="str">
        <f>IF(AL48="","",IF(BD48&lt;&gt;"","novo",IF(AN48="","imepre","imepre(ali)")))</f>
        <v>imepre</v>
      </c>
      <c r="EE48" s="73" t="str">
        <f>IF(AL48="","",IF(BL48="",IF(IFERROR(INDEX(regNatjecatelj_klub,MATCH(EB48,regNatjecatelj_id,0)),"NEMA")="","klu",""),IF(OR(AND(BN48&lt;&gt;"",BN48&lt;&gt;"NEMA"),CD48&lt;&gt;""),"klu(ali)",IF(AND(BP48&lt;&gt;"",BP48&lt;&gt;BO48),"(raz-klu)","klu"))))</f>
        <v>klu</v>
      </c>
      <c r="EF48" s="73" t="str">
        <f>IF(AL48="","","kat"&amp;IF(AND(W48&lt;&gt;Q48,Q48&lt;&gt;"Open"),"(ali)",""))</f>
        <v>kat</v>
      </c>
      <c r="EG48" s="73" t="str">
        <f t="shared" si="29"/>
        <v/>
      </c>
      <c r="EH48" s="66" t="str">
        <f>IF(AL48="","",ED48&amp;IF(ED48="novo","","-"&amp;EE48&amp;"-"&amp;EF48)&amp;IF(EG48="","","-"&amp;EG48))</f>
        <v>imepre-klu-kat</v>
      </c>
      <c r="EI48" s="47" t="s">
        <v>0</v>
      </c>
      <c r="EJ48" s="58">
        <f>IF(AL48="","",MAX(EJ$12:EJ47)+1)</f>
        <v>222</v>
      </c>
      <c r="EK48" s="73">
        <f>IF(AO48="","",X48)</f>
        <v>26</v>
      </c>
      <c r="EL48" s="73">
        <f t="shared" si="62"/>
        <v>1522</v>
      </c>
      <c r="EM48" s="73">
        <f t="shared" si="30"/>
        <v>3098</v>
      </c>
      <c r="EN48" s="73">
        <f t="shared" si="31"/>
        <v>1</v>
      </c>
      <c r="EO48" s="73">
        <f t="shared" si="63"/>
        <v>1</v>
      </c>
      <c r="EP48" s="73">
        <f t="shared" si="64"/>
        <v>1</v>
      </c>
      <c r="EQ48" s="73" t="str">
        <f t="shared" si="34"/>
        <v>0</v>
      </c>
      <c r="ER48" s="73" t="str">
        <f>IF(OR(AN48="",AN48="NEMA"),BB48,AN48)</f>
        <v/>
      </c>
      <c r="ES48" s="73" t="str">
        <f>IF(AND(BN48&lt;&gt;"",BN48&lt;&gt;"NEMA"),BN48,IF(CG48&lt;&gt;"",CG48,IF(AND(CL48&lt;&gt;"",CL48&lt;&gt;"NEMA"),CL48,IF(CM48&lt;&gt;"",CM48,""))))</f>
        <v/>
      </c>
      <c r="ET48" s="53" t="str">
        <f>IF(INDEX(natKategorija_alias_Id,MATCH(S48,natKategorija_katRegId,0))="","",INDEX(natKategorija_alias_Id,MATCH(S48,natKategorija_katRegId,0)))</f>
        <v/>
      </c>
      <c r="EU48" s="47" t="s">
        <v>0</v>
      </c>
      <c r="EV48" s="19" t="str">
        <f t="shared" si="65"/>
        <v>INSERT INTO rezultat(id,stazakategorija_id,imeprezime_id,vrijeme_sec,status_id,registracija,uparivanje_id,originalstatus_id,imeprezimealias_id,klubalias_id,kategorijaalias_id) VALUES (222,26,1522,3098,1,1,1,0,Null,Null,Null);</v>
      </c>
      <c r="EW48" s="47" t="s">
        <v>0</v>
      </c>
      <c r="EX48" s="19" t="str">
        <f t="shared" si="66"/>
        <v>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Y48" s="47" t="s">
        <v>0</v>
      </c>
      <c r="EZ48" s="180" t="str">
        <f>AG48&amp;IF(CP48="","","
")&amp;CP48&amp;IF(CI48="","","
")&amp;CI48&amp;IF(DN48="","","
")&amp;DN48&amp;IF(DP48="","","
")&amp;DP48&amp;IF(EV48="","","
")&amp;EV48&amp;IF(EX48="","","
")&amp;EX48</f>
        <v xml:space="preserve">
INSERT INTO rezultat(id,stazakategorija_id,imeprezime_id,vrijeme_sec,status_id,registracija,uparivanje_id,originalstatus_id,imeprezimealias_id,klubalias_id,kategorijaalias_id) VALUES (222,26,1522,3098,1,1,1,0,Null,Null,Null);
UPDATE
	registar
SET
	potvrda = 1
WHERE
	imeprezime_id=1522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FA48" s="47" t="s">
        <v>0</v>
      </c>
    </row>
    <row r="49" spans="1:157" x14ac:dyDescent="0.25">
      <c r="A49" t="s">
        <v>0</v>
      </c>
      <c r="B49" s="52" t="str">
        <f>IF(csv!F39="","",csv!T39)</f>
        <v>M20</v>
      </c>
      <c r="C49" s="31" t="s">
        <v>0</v>
      </c>
      <c r="D49" s="31" t="str">
        <f>IF(csv!F39="","",csv!F39)</f>
        <v>Jura</v>
      </c>
      <c r="E49" s="31" t="str">
        <f>IF(csv!E39="","",csv!E39)</f>
        <v>Kukec</v>
      </c>
      <c r="F49" s="31" t="s">
        <v>0</v>
      </c>
      <c r="G49" s="73" t="str">
        <f>IF(csv!M39="","",csv!M39)</f>
        <v>65:33</v>
      </c>
      <c r="H49" s="73" t="str">
        <f>IF(csv!N39="","",csv!N39)</f>
        <v>0</v>
      </c>
      <c r="I49" s="31" t="s">
        <v>0</v>
      </c>
      <c r="J49" s="31" t="str">
        <f>IF(csv!P39="","",csv!P39)</f>
        <v>Vihor</v>
      </c>
      <c r="K49" s="31" t="str">
        <f>IF(csv!Q39="","",csv!Q39)</f>
        <v>OK Vihor</v>
      </c>
      <c r="L49" s="31" t="s">
        <v>0</v>
      </c>
      <c r="M49" s="66" t="str">
        <f>IF(csv!R39="","",csv!R39)</f>
        <v>CRO</v>
      </c>
      <c r="N49" s="47" t="s">
        <v>0</v>
      </c>
      <c r="O49" s="243" t="str">
        <f t="shared" si="36"/>
        <v>ok</v>
      </c>
      <c r="P49" s="47"/>
      <c r="Q49" s="52" t="str">
        <f t="shared" si="37"/>
        <v>M20</v>
      </c>
      <c r="R49" s="73">
        <f>IF(Q49="","",IF(COUNTIF(Q$12:Q48,Q49)=0,R48+1,R48))</f>
        <v>4</v>
      </c>
      <c r="S49" s="73">
        <f t="shared" si="38"/>
        <v>109</v>
      </c>
      <c r="T49" s="73">
        <f t="shared" si="1"/>
        <v>20</v>
      </c>
      <c r="U49" s="66" t="str">
        <f t="shared" si="2"/>
        <v>M20</v>
      </c>
      <c r="V49" s="47" t="s">
        <v>0</v>
      </c>
      <c r="W49" s="222" t="str">
        <f t="shared" si="3"/>
        <v>M20</v>
      </c>
      <c r="X49" s="223">
        <f t="shared" si="4"/>
        <v>26</v>
      </c>
      <c r="Y49" s="47" t="s">
        <v>0</v>
      </c>
      <c r="Z49" s="52" t="str">
        <f t="shared" si="39"/>
        <v>CRO</v>
      </c>
      <c r="AA49" s="73">
        <f t="shared" si="5"/>
        <v>1</v>
      </c>
      <c r="AB49" s="31" t="str">
        <f t="shared" si="40"/>
        <v/>
      </c>
      <c r="AC49" s="66" t="str">
        <f>IF(AB49="","",MAX(AC$12:AC48)+1)</f>
        <v/>
      </c>
      <c r="AD49" s="47" t="s">
        <v>0</v>
      </c>
      <c r="AE49" s="125"/>
      <c r="AF49" s="47" t="s">
        <v>0</v>
      </c>
      <c r="AG49" s="19" t="str">
        <f t="shared" si="41"/>
        <v/>
      </c>
      <c r="AH49" s="47" t="s">
        <v>0</v>
      </c>
      <c r="AI49" s="143" t="str">
        <f t="shared" si="42"/>
        <v>CRO</v>
      </c>
      <c r="AJ49" s="47"/>
      <c r="AK49" s="52" t="str">
        <f t="shared" si="43"/>
        <v>Jura</v>
      </c>
      <c r="AL49" s="31" t="str">
        <f t="shared" si="44"/>
        <v>Kukec</v>
      </c>
      <c r="AM49" s="73">
        <f t="shared" si="45"/>
        <v>1105</v>
      </c>
      <c r="AN49" s="73" t="str">
        <f t="shared" si="46"/>
        <v/>
      </c>
      <c r="AO49" s="31" t="str">
        <f t="shared" si="8"/>
        <v>Jura</v>
      </c>
      <c r="AP49" s="66" t="str">
        <f t="shared" si="9"/>
        <v>Kukec</v>
      </c>
      <c r="AQ49" s="47" t="s">
        <v>0</v>
      </c>
      <c r="AR49" s="82" t="str">
        <f t="shared" si="47"/>
        <v/>
      </c>
      <c r="AS49" s="47" t="s">
        <v>0</v>
      </c>
      <c r="AT49" s="19" t="str">
        <f t="shared" si="48"/>
        <v/>
      </c>
      <c r="AU49" s="47" t="s">
        <v>0</v>
      </c>
      <c r="AV49" s="103"/>
      <c r="AW49" s="105"/>
      <c r="AX49" s="47" t="s">
        <v>0</v>
      </c>
      <c r="AY49" s="256" t="str">
        <f t="shared" si="68"/>
        <v/>
      </c>
      <c r="AZ49" s="47" t="s">
        <v>0</v>
      </c>
      <c r="BA49" s="52" t="str">
        <f t="shared" si="11"/>
        <v/>
      </c>
      <c r="BB49" s="73" t="str">
        <f>IF(AV49&amp;AW49="","",MAX(BB$12:BB48)+1)</f>
        <v/>
      </c>
      <c r="BC49" s="268" t="str">
        <f t="shared" si="12"/>
        <v/>
      </c>
      <c r="BD49" s="53" t="str">
        <f>IF(AND(AM49="NEMA",AN49="NEMA",OR(AV49&amp;AW49="",BC49="NEMA")),MAX(BD$12:BD48)+1,"")</f>
        <v/>
      </c>
      <c r="BE49" s="47" t="s">
        <v>0</v>
      </c>
      <c r="BF49" s="52" t="str">
        <f t="shared" si="13"/>
        <v>Jura</v>
      </c>
      <c r="BG49" s="31" t="str">
        <f t="shared" si="14"/>
        <v>Kukec</v>
      </c>
      <c r="BH49" s="73" t="str">
        <f t="shared" si="49"/>
        <v/>
      </c>
      <c r="BI49" s="53">
        <f t="shared" si="50"/>
        <v>1105</v>
      </c>
      <c r="BJ49" s="47" t="s">
        <v>0</v>
      </c>
      <c r="BK49" s="52" t="str">
        <f t="shared" si="15"/>
        <v>Vihor</v>
      </c>
      <c r="BL49" s="31" t="str">
        <f t="shared" si="16"/>
        <v>OK Vihor</v>
      </c>
      <c r="BM49" s="73">
        <f t="shared" si="17"/>
        <v>12</v>
      </c>
      <c r="BN49" s="73" t="str">
        <f t="shared" si="18"/>
        <v/>
      </c>
      <c r="BO49" s="31" t="str" cm="1">
        <f t="array" ref="BO49">IF(BN49="",""&amp;BL49,IF(BN49="NEMA",BL49,INDEX(regKlub_naziv,MATCH(INDEX(regKlub_alias_klubId,BN49),regKlub_id,0))))</f>
        <v>OK Vihor</v>
      </c>
      <c r="BP49" s="31" t="str" cm="1">
        <f t="array" ref="BP49">IFERROR(""&amp;INDEX(regNatjecatelj_klub,DY49),"")</f>
        <v>OK Vihor</v>
      </c>
      <c r="BQ49" s="88" t="str">
        <f t="shared" si="51"/>
        <v/>
      </c>
      <c r="BR49" s="66" t="str">
        <f t="shared" si="52"/>
        <v>OK Vihor</v>
      </c>
      <c r="BS49" s="47" t="s">
        <v>0</v>
      </c>
      <c r="BT49" s="82" t="str">
        <f>IF(BN49&lt;&gt;"NEMA","",IF(IFERROR(MATCH(BL49,BL$12:BL48,0),0)&lt;&gt;0,"",BL49))</f>
        <v/>
      </c>
      <c r="BU49" s="47" t="s">
        <v>0</v>
      </c>
      <c r="BV49" s="125"/>
      <c r="BW49" s="47" t="s">
        <v>0</v>
      </c>
      <c r="BX49" s="58" t="str">
        <f t="shared" si="53"/>
        <v/>
      </c>
      <c r="BY49" s="31" t="str">
        <f t="shared" si="54"/>
        <v/>
      </c>
      <c r="BZ49" s="31" t="str">
        <f>IF(BY49="","",MAX(BZ$12:BZ48)+1)</f>
        <v/>
      </c>
      <c r="CA49" s="31" t="str">
        <f>IF(BY49="","",IF(AA49="","",IF(AA49="NEMA",AC49,AA49)))</f>
        <v/>
      </c>
      <c r="CB49" s="31" t="str">
        <f t="shared" si="55"/>
        <v/>
      </c>
      <c r="CC49" s="31" t="str">
        <f>IF(BV49="","",MAX(CC$12:CC48)+1)</f>
        <v/>
      </c>
      <c r="CD49" s="31" t="str">
        <f t="shared" si="56"/>
        <v/>
      </c>
      <c r="CE49" s="66" t="str">
        <f t="shared" si="57"/>
        <v/>
      </c>
      <c r="CF49" s="47" t="s">
        <v>0</v>
      </c>
      <c r="CG49" s="73" t="str">
        <f>IF(BN49="","",IF(BN49&lt;&gt;"NEMA","",IFERROR(INDEX(nat_klubAliasId,MATCH(BL49,nat_noviKluboviAliasi,0)),"")))</f>
        <v/>
      </c>
      <c r="CH49" s="47"/>
      <c r="CI49" s="19" t="str">
        <f t="shared" si="58"/>
        <v/>
      </c>
      <c r="CJ49" s="47" t="s">
        <v>0</v>
      </c>
      <c r="CK49" s="52" t="str">
        <f>IF(X49&lt;&gt;"NEMA","",IF(IFERROR(MATCH(W49,W$12:W48,0),0)&lt;&gt;0,"",W49))</f>
        <v/>
      </c>
      <c r="CL49" s="73" t="str">
        <f>IF(CK49="","",IFERROR(INDEX(regKlub_alias_id,MATCH(CK49,regKlub_alias_alias,0)),"NEMA"))</f>
        <v/>
      </c>
      <c r="CM49" s="31" t="str">
        <f>IF(OR(CL49="",CL49&lt;&gt;"NEMA"),"",MAX(CM$12:CM48)+1)</f>
        <v/>
      </c>
      <c r="CN49" s="66" t="str">
        <f>IF(OR(CL49="",CL49&lt;&gt;"NEMA"),"",INDEX(regKlub_id,MATCH(CK49,regKlub_naziv,0)))</f>
        <v/>
      </c>
      <c r="CO49" s="47" t="s">
        <v>0</v>
      </c>
      <c r="CP49" s="19" t="str">
        <f>IF(OR(CL49="",CL49&lt;&gt;"NEMA"),"","INSERT INTO klub_alias(id,alias,klub_id) VALUES ("&amp;CM49&amp;",'"&amp;CK49&amp;"',"&amp;CN49&amp;");")</f>
        <v/>
      </c>
      <c r="CQ49" s="47" t="s">
        <v>0</v>
      </c>
      <c r="CR49" s="143" t="str">
        <f>IF(BR49="","",IF(BV49="",IF(IFERROR(MATCH(BR49,nat_noviKluboviAliasi,0),0)&gt;0,INDEX(nat_kluboviAliasi,MATCH(BR49,nat_noviKluboviAliasi,0)),BR49),BV49))</f>
        <v>OK Vihor</v>
      </c>
      <c r="CS49" s="47" t="s">
        <v>0</v>
      </c>
      <c r="CT49" s="58" t="str">
        <f>IF(G49="","",G49)</f>
        <v>65:33</v>
      </c>
      <c r="CU49" s="73" t="str">
        <f>IF(H49="","",H49)</f>
        <v>0</v>
      </c>
      <c r="CV49" s="229" t="str">
        <f>IF(CT49="",IF(OR(AL49="",CU49&lt;&gt;"0"),"","GREŠKA"),IF(AND(65535&gt;=VALUE(LEFT(CT49,SEARCH(":",CT49)-1))*60+VALUE(RIGHT(CT49,2)),OR(CU49="0",CU49="1",CU49="2",CU49="3",CU49="4")),"","GREŠKA"))</f>
        <v/>
      </c>
      <c r="CW49" s="230">
        <f t="shared" si="23"/>
        <v>3933</v>
      </c>
      <c r="CX49" s="163">
        <f t="shared" si="24"/>
        <v>1</v>
      </c>
      <c r="CY49" s="47" t="s">
        <v>0</v>
      </c>
      <c r="CZ49" s="222" t="str">
        <f>IF(CV49&lt;&gt;"GREŠKA","",AK49&amp;" "&amp;AL49&amp;" – Molim u OEventu provjeriti i ispraviti rezultat – vrijeme ("&amp;IF(CT49="","nije upisano",CT49)&amp;") i classifier ("&amp;CU49&amp;").")&amp;IF(OR(CV49&lt;&gt;"GREŠKA",CX49&lt;&gt;5),"
","")&amp;IF(CX49&lt;&gt;5,"",AK49&amp;" "&amp;AL49&amp;" – Molim u provjeriti je li natjecatelj zaista diskvalificiran. Ako je koje je obrazloženje, ako nije molim u OEventu ispraviti rezultat")</f>
        <v xml:space="preserve">
</v>
      </c>
      <c r="DA49" s="223">
        <f t="shared" si="60"/>
        <v>6</v>
      </c>
      <c r="DB49" s="47" t="s">
        <v>0</v>
      </c>
      <c r="DC49" s="47"/>
      <c r="DD49" s="47"/>
      <c r="DE49" s="47"/>
      <c r="DF49" s="47" t="s">
        <v>0</v>
      </c>
      <c r="DG49" s="53" t="str">
        <f>IF(BD49="","",IF(DI49="O",1,""))</f>
        <v/>
      </c>
      <c r="DH49" t="s">
        <v>0</v>
      </c>
      <c r="DI49" s="128" t="str">
        <f>IF(Q49="","",LEFT(INDEX(regKategorija_oznaka,MATCH(S49,regKategorija_id,0)),1))</f>
        <v>M</v>
      </c>
      <c r="DJ49" t="s">
        <v>0</v>
      </c>
      <c r="DK49" s="52" t="str">
        <f>IF(BD49="","",IF(M49&lt;&gt;"CRO","","INSERT INTO osoba (id,reg_broj,oib,spol_id,dat_rodjenja) VALUES ("&amp;BD49&amp;",(SELECT max(os.reg_broj)+1 FROM osoba AS os),Null,'"&amp;DI49&amp;"',Null); INSERT INTO osoba_log (id,reg_broj,oib,spol_id,dat_rodjenja,dnevnik_id) SELECT id,reg_broj,oib,spol_id,dat_rodjenja,"&amp;data_dnevnik_id&amp;" FROM osoba WHERE id = "&amp;BD49&amp;";"))</f>
        <v/>
      </c>
      <c r="DL49" s="66" t="str">
        <f>IF(BD49="","","INSERT INTO imeprezime (id,osoba_id,rbr,ime,prezime,klub_id,identitet_id,sintaksa_id,info,aktivno,dnevnik_id) VALUES ("&amp;BD49&amp;","&amp;IF(DK49="","Null",BD49)&amp;",1,'"&amp;IF(AV49&lt;&gt;"",AV49,AK49)&amp;"','"&amp;IF(AW49&lt;&gt;"",AW49,AL49)&amp;"',(SELECT id FROM klub WHERE naziv = '"&amp;CR49&amp;"'),Null,1,'',1,"&amp;data_dnevnik_id&amp;");")</f>
        <v/>
      </c>
      <c r="DM49" t="s">
        <v>0</v>
      </c>
      <c r="DN49" s="19" t="str">
        <f t="shared" si="69"/>
        <v/>
      </c>
      <c r="DO49" s="47" t="s">
        <v>0</v>
      </c>
      <c r="DP49" s="19" t="str">
        <f>IF(BA49="","","INSERT INTO imeprezime_alias(id,alias,imeprezime_id) VALUES ("&amp;BB49&amp;",'"&amp;BA49&amp;"',"&amp;IF(BC49="NEMA",BD49,BC49)&amp;");")</f>
        <v/>
      </c>
      <c r="DQ49" s="47" t="s">
        <v>0</v>
      </c>
      <c r="DR49" s="52" t="str">
        <f>IF(AL49="","",DU49 &amp; IF(Q49="",""," – " &amp; Q49))</f>
        <v>Jura – Kukec – OK Vihor – M20</v>
      </c>
      <c r="DS49" s="53">
        <f t="shared" si="26"/>
        <v>764</v>
      </c>
      <c r="DT49" s="47" t="s">
        <v>0</v>
      </c>
      <c r="DU49" s="52" t="str">
        <f>IF(AL49="","",DX49 &amp; IF(CR49="",""," – " &amp; CR49))</f>
        <v>Jura – Kukec – OK Vihor</v>
      </c>
      <c r="DV49" s="53">
        <f t="shared" si="27"/>
        <v>764</v>
      </c>
      <c r="DW49" s="47" t="s">
        <v>0</v>
      </c>
      <c r="DX49" s="52" t="str">
        <f>IF(BG49="","",BF49&amp;" – "&amp;BG49)</f>
        <v>Jura – Kukec</v>
      </c>
      <c r="DY49" s="53">
        <f t="shared" si="28"/>
        <v>764</v>
      </c>
      <c r="DZ49" s="47" t="s">
        <v>0</v>
      </c>
      <c r="EA49" s="58">
        <f t="shared" si="61"/>
        <v>764</v>
      </c>
      <c r="EB49" s="53" cm="1">
        <f t="array" ref="EB49">IF(EA49&lt;&gt;"",INDEX(regNatjecatelj_id,EA49,0),IF(BD49&lt;&gt;"",BD49,""))</f>
        <v>1105</v>
      </c>
      <c r="EC49" s="47" t="s">
        <v>0</v>
      </c>
      <c r="ED49" s="58" t="str">
        <f>IF(AL49="","",IF(BD49&lt;&gt;"","novo",IF(AN49="","imepre","imepre(ali)")))</f>
        <v>imepre</v>
      </c>
      <c r="EE49" s="73" t="str">
        <f>IF(AL49="","",IF(BL49="",IF(IFERROR(INDEX(regNatjecatelj_klub,MATCH(EB49,regNatjecatelj_id,0)),"NEMA")="","klu",""),IF(OR(AND(BN49&lt;&gt;"",BN49&lt;&gt;"NEMA"),CD49&lt;&gt;""),"klu(ali)",IF(AND(BP49&lt;&gt;"",BP49&lt;&gt;BO49),"(raz-klu)","klu"))))</f>
        <v>klu</v>
      </c>
      <c r="EF49" s="73" t="str">
        <f>IF(AL49="","","kat"&amp;IF(AND(W49&lt;&gt;Q49,Q49&lt;&gt;"Open"),"(ali)",""))</f>
        <v>kat</v>
      </c>
      <c r="EG49" s="73" t="str">
        <f t="shared" si="29"/>
        <v/>
      </c>
      <c r="EH49" s="66" t="str">
        <f>IF(AL49="","",ED49&amp;IF(ED49="novo","","-"&amp;EE49&amp;"-"&amp;EF49)&amp;IF(EG49="","","-"&amp;EG49))</f>
        <v>imepre-klu-kat</v>
      </c>
      <c r="EI49" s="47" t="s">
        <v>0</v>
      </c>
      <c r="EJ49" s="58">
        <f>IF(AL49="","",MAX(EJ$12:EJ48)+1)</f>
        <v>223</v>
      </c>
      <c r="EK49" s="73">
        <f>IF(AO49="","",X49)</f>
        <v>26</v>
      </c>
      <c r="EL49" s="73">
        <f t="shared" si="62"/>
        <v>1105</v>
      </c>
      <c r="EM49" s="73">
        <f t="shared" si="30"/>
        <v>3933</v>
      </c>
      <c r="EN49" s="73">
        <f t="shared" si="31"/>
        <v>1</v>
      </c>
      <c r="EO49" s="73">
        <f t="shared" si="63"/>
        <v>1</v>
      </c>
      <c r="EP49" s="73">
        <f t="shared" si="64"/>
        <v>1</v>
      </c>
      <c r="EQ49" s="73" t="str">
        <f t="shared" si="34"/>
        <v>0</v>
      </c>
      <c r="ER49" s="73" t="str">
        <f>IF(OR(AN49="",AN49="NEMA"),BB49,AN49)</f>
        <v/>
      </c>
      <c r="ES49" s="73" t="str">
        <f>IF(AND(BN49&lt;&gt;"",BN49&lt;&gt;"NEMA"),BN49,IF(CG49&lt;&gt;"",CG49,IF(AND(CL49&lt;&gt;"",CL49&lt;&gt;"NEMA"),CL49,IF(CM49&lt;&gt;"",CM49,""))))</f>
        <v/>
      </c>
      <c r="ET49" s="53" t="str">
        <f>IF(INDEX(natKategorija_alias_Id,MATCH(S49,natKategorija_katRegId,0))="","",INDEX(natKategorija_alias_Id,MATCH(S49,natKategorija_katRegId,0)))</f>
        <v/>
      </c>
      <c r="EU49" s="47" t="s">
        <v>0</v>
      </c>
      <c r="EV49" s="19" t="str">
        <f t="shared" si="65"/>
        <v>INSERT INTO rezultat(id,stazakategorija_id,imeprezime_id,vrijeme_sec,status_id,registracija,uparivanje_id,originalstatus_id,imeprezimealias_id,klubalias_id,kategorijaalias_id) VALUES (223,26,1105,3933,1,1,1,0,Null,Null,Null);</v>
      </c>
      <c r="EW49" s="47" t="s">
        <v>0</v>
      </c>
      <c r="EX49" s="19" t="str">
        <f t="shared" si="66"/>
        <v>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Y49" s="47" t="s">
        <v>0</v>
      </c>
      <c r="EZ49" s="180" t="str">
        <f>AG49&amp;IF(CP49="","","
")&amp;CP49&amp;IF(CI49="","","
")&amp;CI49&amp;IF(DN49="","","
")&amp;DN49&amp;IF(DP49="","","
")&amp;DP49&amp;IF(EV49="","","
")&amp;EV49&amp;IF(EX49="","","
")&amp;EX49</f>
        <v xml:space="preserve">
INSERT INTO rezultat(id,stazakategorija_id,imeprezime_id,vrijeme_sec,status_id,registracija,uparivanje_id,originalstatus_id,imeprezimealias_id,klubalias_id,kategorijaalias_id) VALUES (223,26,1105,3933,1,1,1,0,Null,Null,Null);
UPDATE
	registar
SET
	potvrda = 1
WHERE
	imeprezime_id=1105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FA49" s="47" t="s">
        <v>0</v>
      </c>
    </row>
    <row r="50" spans="1:157" x14ac:dyDescent="0.25">
      <c r="A50" t="s">
        <v>0</v>
      </c>
      <c r="B50" s="52" t="str">
        <f>IF(csv!F40="","",csv!T40)</f>
        <v>M20</v>
      </c>
      <c r="C50" s="31" t="s">
        <v>0</v>
      </c>
      <c r="D50" s="31" t="str">
        <f>IF(csv!F40="","",csv!F40)</f>
        <v>Marko</v>
      </c>
      <c r="E50" s="31" t="str">
        <f>IF(csv!E40="","",csv!E40)</f>
        <v>Jurač</v>
      </c>
      <c r="F50" s="31" t="s">
        <v>0</v>
      </c>
      <c r="G50" s="73" t="str">
        <f>IF(csv!M40="","",csv!M40)</f>
        <v>73:48</v>
      </c>
      <c r="H50" s="73" t="str">
        <f>IF(csv!N40="","",csv!N40)</f>
        <v>0</v>
      </c>
      <c r="I50" s="31" t="s">
        <v>0</v>
      </c>
      <c r="J50" s="31" t="str">
        <f>IF(csv!P40="","",csv!P40)</f>
        <v>Vihor</v>
      </c>
      <c r="K50" s="31" t="str">
        <f>IF(csv!Q40="","",csv!Q40)</f>
        <v>OK Vihor</v>
      </c>
      <c r="L50" s="31" t="s">
        <v>0</v>
      </c>
      <c r="M50" s="66" t="str">
        <f>IF(csv!R40="","",csv!R40)</f>
        <v>CRO</v>
      </c>
      <c r="N50" s="47" t="s">
        <v>0</v>
      </c>
      <c r="O50" s="243" t="str">
        <f t="shared" si="36"/>
        <v>ok</v>
      </c>
      <c r="P50" s="47"/>
      <c r="Q50" s="52" t="str">
        <f t="shared" si="37"/>
        <v>M20</v>
      </c>
      <c r="R50" s="73">
        <f>IF(Q50="","",IF(COUNTIF(Q$12:Q49,Q50)=0,R49+1,R49))</f>
        <v>4</v>
      </c>
      <c r="S50" s="73">
        <f t="shared" si="38"/>
        <v>109</v>
      </c>
      <c r="T50" s="73">
        <f t="shared" si="1"/>
        <v>20</v>
      </c>
      <c r="U50" s="66" t="str">
        <f t="shared" si="2"/>
        <v>M20</v>
      </c>
      <c r="V50" s="47" t="s">
        <v>0</v>
      </c>
      <c r="W50" s="222" t="str">
        <f t="shared" si="3"/>
        <v>M20</v>
      </c>
      <c r="X50" s="223">
        <f t="shared" si="4"/>
        <v>26</v>
      </c>
      <c r="Y50" s="47" t="s">
        <v>0</v>
      </c>
      <c r="Z50" s="52" t="str">
        <f t="shared" si="39"/>
        <v>CRO</v>
      </c>
      <c r="AA50" s="73">
        <f t="shared" si="5"/>
        <v>1</v>
      </c>
      <c r="AB50" s="31" t="str">
        <f t="shared" si="40"/>
        <v/>
      </c>
      <c r="AC50" s="66" t="str">
        <f>IF(AB50="","",MAX(AC$12:AC49)+1)</f>
        <v/>
      </c>
      <c r="AD50" s="47" t="s">
        <v>0</v>
      </c>
      <c r="AE50" s="125"/>
      <c r="AF50" s="47" t="s">
        <v>0</v>
      </c>
      <c r="AG50" s="19" t="str">
        <f t="shared" si="41"/>
        <v/>
      </c>
      <c r="AH50" s="47" t="s">
        <v>0</v>
      </c>
      <c r="AI50" s="143" t="str">
        <f t="shared" si="42"/>
        <v>CRO</v>
      </c>
      <c r="AJ50" s="47"/>
      <c r="AK50" s="52" t="str">
        <f t="shared" si="43"/>
        <v>Marko</v>
      </c>
      <c r="AL50" s="31" t="str">
        <f t="shared" si="44"/>
        <v>Jurač</v>
      </c>
      <c r="AM50" s="73">
        <f t="shared" si="45"/>
        <v>1521</v>
      </c>
      <c r="AN50" s="73" t="str">
        <f t="shared" si="46"/>
        <v/>
      </c>
      <c r="AO50" s="31" t="str">
        <f t="shared" si="8"/>
        <v>Marko</v>
      </c>
      <c r="AP50" s="66" t="str">
        <f t="shared" si="9"/>
        <v>Jurač</v>
      </c>
      <c r="AQ50" s="47" t="s">
        <v>0</v>
      </c>
      <c r="AR50" s="82" t="str">
        <f t="shared" si="47"/>
        <v/>
      </c>
      <c r="AS50" s="47" t="s">
        <v>0</v>
      </c>
      <c r="AT50" s="19" t="str">
        <f t="shared" si="48"/>
        <v/>
      </c>
      <c r="AU50" s="47" t="s">
        <v>0</v>
      </c>
      <c r="AV50" s="103"/>
      <c r="AW50" s="105"/>
      <c r="AX50" s="47" t="s">
        <v>0</v>
      </c>
      <c r="AY50" s="256" t="str">
        <f t="shared" si="68"/>
        <v/>
      </c>
      <c r="AZ50" s="47" t="s">
        <v>0</v>
      </c>
      <c r="BA50" s="52" t="str">
        <f t="shared" si="11"/>
        <v/>
      </c>
      <c r="BB50" s="73" t="str">
        <f>IF(AV50&amp;AW50="","",MAX(BB$12:BB49)+1)</f>
        <v/>
      </c>
      <c r="BC50" s="268" t="str">
        <f t="shared" si="12"/>
        <v/>
      </c>
      <c r="BD50" s="53" t="str">
        <f>IF(AND(AM50="NEMA",AN50="NEMA",OR(AV50&amp;AW50="",BC50="NEMA")),MAX(BD$12:BD49)+1,"")</f>
        <v/>
      </c>
      <c r="BE50" s="47" t="s">
        <v>0</v>
      </c>
      <c r="BF50" s="52" t="str">
        <f t="shared" si="13"/>
        <v>Marko</v>
      </c>
      <c r="BG50" s="31" t="str">
        <f t="shared" si="14"/>
        <v>Jurač</v>
      </c>
      <c r="BH50" s="73" t="str">
        <f t="shared" si="49"/>
        <v/>
      </c>
      <c r="BI50" s="53">
        <f t="shared" si="50"/>
        <v>1521</v>
      </c>
      <c r="BJ50" s="47" t="s">
        <v>0</v>
      </c>
      <c r="BK50" s="52" t="str">
        <f t="shared" si="15"/>
        <v>Vihor</v>
      </c>
      <c r="BL50" s="31" t="str">
        <f t="shared" si="16"/>
        <v>OK Vihor</v>
      </c>
      <c r="BM50" s="73">
        <f t="shared" si="17"/>
        <v>12</v>
      </c>
      <c r="BN50" s="73" t="str">
        <f t="shared" si="18"/>
        <v/>
      </c>
      <c r="BO50" s="31" t="str" cm="1">
        <f t="array" ref="BO50">IF(BN50="",""&amp;BL50,IF(BN50="NEMA",BL50,INDEX(regKlub_naziv,MATCH(INDEX(regKlub_alias_klubId,BN50),regKlub_id,0))))</f>
        <v>OK Vihor</v>
      </c>
      <c r="BP50" s="31" t="str" cm="1">
        <f t="array" ref="BP50">IFERROR(""&amp;INDEX(regNatjecatelj_klub,DY50),"")</f>
        <v>OK Vihor</v>
      </c>
      <c r="BQ50" s="88" t="str">
        <f t="shared" si="51"/>
        <v/>
      </c>
      <c r="BR50" s="66" t="str">
        <f t="shared" si="52"/>
        <v>OK Vihor</v>
      </c>
      <c r="BS50" s="47" t="s">
        <v>0</v>
      </c>
      <c r="BT50" s="82" t="str">
        <f>IF(BN50&lt;&gt;"NEMA","",IF(IFERROR(MATCH(BL50,BL$12:BL49,0),0)&lt;&gt;0,"",BL50))</f>
        <v/>
      </c>
      <c r="BU50" s="47" t="s">
        <v>0</v>
      </c>
      <c r="BV50" s="125"/>
      <c r="BW50" s="47" t="s">
        <v>0</v>
      </c>
      <c r="BX50" s="58" t="str">
        <f t="shared" si="53"/>
        <v/>
      </c>
      <c r="BY50" s="31" t="str">
        <f t="shared" si="54"/>
        <v/>
      </c>
      <c r="BZ50" s="31" t="str">
        <f>IF(BY50="","",MAX(BZ$12:BZ49)+1)</f>
        <v/>
      </c>
      <c r="CA50" s="31" t="str">
        <f>IF(BY50="","",IF(AA50="","",IF(AA50="NEMA",AC50,AA50)))</f>
        <v/>
      </c>
      <c r="CB50" s="31" t="str">
        <f t="shared" si="55"/>
        <v/>
      </c>
      <c r="CC50" s="31" t="str">
        <f>IF(BV50="","",MAX(CC$12:CC49)+1)</f>
        <v/>
      </c>
      <c r="CD50" s="31" t="str">
        <f t="shared" si="56"/>
        <v/>
      </c>
      <c r="CE50" s="66" t="str">
        <f t="shared" si="57"/>
        <v/>
      </c>
      <c r="CF50" s="47" t="s">
        <v>0</v>
      </c>
      <c r="CG50" s="73" t="str">
        <f>IF(BN50="","",IF(BN50&lt;&gt;"NEMA","",IFERROR(INDEX(nat_klubAliasId,MATCH(BL50,nat_noviKluboviAliasi,0)),"")))</f>
        <v/>
      </c>
      <c r="CH50" s="47"/>
      <c r="CI50" s="19" t="str">
        <f t="shared" si="58"/>
        <v/>
      </c>
      <c r="CJ50" s="47" t="s">
        <v>0</v>
      </c>
      <c r="CK50" s="52" t="str">
        <f>IF(X50&lt;&gt;"NEMA","",IF(IFERROR(MATCH(W50,W$12:W49,0),0)&lt;&gt;0,"",W50))</f>
        <v/>
      </c>
      <c r="CL50" s="73" t="str">
        <f>IF(CK50="","",IFERROR(INDEX(regKlub_alias_id,MATCH(CK50,regKlub_alias_alias,0)),"NEMA"))</f>
        <v/>
      </c>
      <c r="CM50" s="31" t="str">
        <f>IF(OR(CL50="",CL50&lt;&gt;"NEMA"),"",MAX(CM$12:CM49)+1)</f>
        <v/>
      </c>
      <c r="CN50" s="66" t="str">
        <f>IF(OR(CL50="",CL50&lt;&gt;"NEMA"),"",INDEX(regKlub_id,MATCH(CK50,regKlub_naziv,0)))</f>
        <v/>
      </c>
      <c r="CO50" s="47" t="s">
        <v>0</v>
      </c>
      <c r="CP50" s="19" t="str">
        <f>IF(OR(CL50="",CL50&lt;&gt;"NEMA"),"","INSERT INTO klub_alias(id,alias,klub_id) VALUES ("&amp;CM50&amp;",'"&amp;CK50&amp;"',"&amp;CN50&amp;");")</f>
        <v/>
      </c>
      <c r="CQ50" s="47" t="s">
        <v>0</v>
      </c>
      <c r="CR50" s="143" t="str">
        <f>IF(BR50="","",IF(BV50="",IF(IFERROR(MATCH(BR50,nat_noviKluboviAliasi,0),0)&gt;0,INDEX(nat_kluboviAliasi,MATCH(BR50,nat_noviKluboviAliasi,0)),BR50),BV50))</f>
        <v>OK Vihor</v>
      </c>
      <c r="CS50" s="47" t="s">
        <v>0</v>
      </c>
      <c r="CT50" s="58" t="str">
        <f>IF(G50="","",G50)</f>
        <v>73:48</v>
      </c>
      <c r="CU50" s="73" t="str">
        <f>IF(H50="","",H50)</f>
        <v>0</v>
      </c>
      <c r="CV50" s="229" t="str">
        <f>IF(CT50="",IF(OR(AL50="",CU50&lt;&gt;"0"),"","GREŠKA"),IF(AND(65535&gt;=VALUE(LEFT(CT50,SEARCH(":",CT50)-1))*60+VALUE(RIGHT(CT50,2)),OR(CU50="0",CU50="1",CU50="2",CU50="3",CU50="4")),"","GREŠKA"))</f>
        <v/>
      </c>
      <c r="CW50" s="230">
        <f t="shared" si="23"/>
        <v>4428</v>
      </c>
      <c r="CX50" s="163">
        <f t="shared" si="24"/>
        <v>1</v>
      </c>
      <c r="CY50" s="47" t="s">
        <v>0</v>
      </c>
      <c r="CZ50" s="222" t="str">
        <f>IF(CV50&lt;&gt;"GREŠKA","",AK50&amp;" "&amp;AL50&amp;" – Molim u OEventu provjeriti i ispraviti rezultat – vrijeme ("&amp;IF(CT50="","nije upisano",CT50)&amp;") i classifier ("&amp;CU50&amp;").")&amp;IF(OR(CV50&lt;&gt;"GREŠKA",CX50&lt;&gt;5),"
","")&amp;IF(CX50&lt;&gt;5,"",AK50&amp;" "&amp;AL50&amp;" – Molim u provjeriti je li natjecatelj zaista diskvalificiran. Ako je koje je obrazloženje, ako nije molim u OEventu ispraviti rezultat")</f>
        <v xml:space="preserve">
</v>
      </c>
      <c r="DA50" s="223">
        <f t="shared" si="60"/>
        <v>6</v>
      </c>
      <c r="DB50" s="47" t="s">
        <v>0</v>
      </c>
      <c r="DC50" s="47"/>
      <c r="DD50" s="47"/>
      <c r="DE50" s="47"/>
      <c r="DF50" s="47" t="s">
        <v>0</v>
      </c>
      <c r="DG50" s="53" t="str">
        <f>IF(BD50="","",IF(DI50="O",1,""))</f>
        <v/>
      </c>
      <c r="DH50" t="s">
        <v>0</v>
      </c>
      <c r="DI50" s="128" t="str">
        <f>IF(Q50="","",LEFT(INDEX(regKategorija_oznaka,MATCH(S50,regKategorija_id,0)),1))</f>
        <v>M</v>
      </c>
      <c r="DJ50" t="s">
        <v>0</v>
      </c>
      <c r="DK50" s="52" t="str">
        <f>IF(BD50="","",IF(M50&lt;&gt;"CRO","","INSERT INTO osoba (id,reg_broj,oib,spol_id,dat_rodjenja) VALUES ("&amp;BD50&amp;",(SELECT max(os.reg_broj)+1 FROM osoba AS os),Null,'"&amp;DI50&amp;"',Null); INSERT INTO osoba_log (id,reg_broj,oib,spol_id,dat_rodjenja,dnevnik_id) SELECT id,reg_broj,oib,spol_id,dat_rodjenja,"&amp;data_dnevnik_id&amp;" FROM osoba WHERE id = "&amp;BD50&amp;";"))</f>
        <v/>
      </c>
      <c r="DL50" s="66" t="str">
        <f>IF(BD50="","","INSERT INTO imeprezime (id,osoba_id,rbr,ime,prezime,klub_id,identitet_id,sintaksa_id,info,aktivno,dnevnik_id) VALUES ("&amp;BD50&amp;","&amp;IF(DK50="","Null",BD50)&amp;",1,'"&amp;IF(AV50&lt;&gt;"",AV50,AK50)&amp;"','"&amp;IF(AW50&lt;&gt;"",AW50,AL50)&amp;"',(SELECT id FROM klub WHERE naziv = '"&amp;CR50&amp;"'),Null,1,'',1,"&amp;data_dnevnik_id&amp;");")</f>
        <v/>
      </c>
      <c r="DM50" t="s">
        <v>0</v>
      </c>
      <c r="DN50" s="19" t="str">
        <f t="shared" si="69"/>
        <v/>
      </c>
      <c r="DO50" s="47" t="s">
        <v>0</v>
      </c>
      <c r="DP50" s="19" t="str">
        <f>IF(BA50="","","INSERT INTO imeprezime_alias(id,alias,imeprezime_id) VALUES ("&amp;BB50&amp;",'"&amp;BA50&amp;"',"&amp;IF(BC50="NEMA",BD50,BC50)&amp;");")</f>
        <v/>
      </c>
      <c r="DQ50" s="47" t="s">
        <v>0</v>
      </c>
      <c r="DR50" s="52" t="str">
        <f>IF(AL50="","",DU50 &amp; IF(Q50="",""," – " &amp; Q50))</f>
        <v>Marko – Jurač – OK Vihor – M20</v>
      </c>
      <c r="DS50" s="53">
        <f t="shared" si="26"/>
        <v>719</v>
      </c>
      <c r="DT50" s="47" t="s">
        <v>0</v>
      </c>
      <c r="DU50" s="52" t="str">
        <f>IF(AL50="","",DX50 &amp; IF(CR50="",""," – " &amp; CR50))</f>
        <v>Marko – Jurač – OK Vihor</v>
      </c>
      <c r="DV50" s="53">
        <f t="shared" si="27"/>
        <v>719</v>
      </c>
      <c r="DW50" s="47" t="s">
        <v>0</v>
      </c>
      <c r="DX50" s="52" t="str">
        <f>IF(BG50="","",BF50&amp;" – "&amp;BG50)</f>
        <v>Marko – Jurač</v>
      </c>
      <c r="DY50" s="53">
        <f t="shared" si="28"/>
        <v>719</v>
      </c>
      <c r="DZ50" s="47" t="s">
        <v>0</v>
      </c>
      <c r="EA50" s="58">
        <f t="shared" si="61"/>
        <v>719</v>
      </c>
      <c r="EB50" s="53" cm="1">
        <f t="array" ref="EB50">IF(EA50&lt;&gt;"",INDEX(regNatjecatelj_id,EA50,0),IF(BD50&lt;&gt;"",BD50,""))</f>
        <v>1521</v>
      </c>
      <c r="EC50" s="47" t="s">
        <v>0</v>
      </c>
      <c r="ED50" s="58" t="str">
        <f>IF(AL50="","",IF(BD50&lt;&gt;"","novo",IF(AN50="","imepre","imepre(ali)")))</f>
        <v>imepre</v>
      </c>
      <c r="EE50" s="73" t="str">
        <f>IF(AL50="","",IF(BL50="",IF(IFERROR(INDEX(regNatjecatelj_klub,MATCH(EB50,regNatjecatelj_id,0)),"NEMA")="","klu",""),IF(OR(AND(BN50&lt;&gt;"",BN50&lt;&gt;"NEMA"),CD50&lt;&gt;""),"klu(ali)",IF(AND(BP50&lt;&gt;"",BP50&lt;&gt;BO50),"(raz-klu)","klu"))))</f>
        <v>klu</v>
      </c>
      <c r="EF50" s="73" t="str">
        <f>IF(AL50="","","kat"&amp;IF(AND(W50&lt;&gt;Q50,Q50&lt;&gt;"Open"),"(ali)",""))</f>
        <v>kat</v>
      </c>
      <c r="EG50" s="73" t="str">
        <f t="shared" si="29"/>
        <v/>
      </c>
      <c r="EH50" s="66" t="str">
        <f>IF(AL50="","",ED50&amp;IF(ED50="novo","","-"&amp;EE50&amp;"-"&amp;EF50)&amp;IF(EG50="","","-"&amp;EG50))</f>
        <v>imepre-klu-kat</v>
      </c>
      <c r="EI50" s="47" t="s">
        <v>0</v>
      </c>
      <c r="EJ50" s="58">
        <f>IF(AL50="","",MAX(EJ$12:EJ49)+1)</f>
        <v>224</v>
      </c>
      <c r="EK50" s="73">
        <f>IF(AO50="","",X50)</f>
        <v>26</v>
      </c>
      <c r="EL50" s="73">
        <f t="shared" si="62"/>
        <v>1521</v>
      </c>
      <c r="EM50" s="73">
        <f t="shared" si="30"/>
        <v>4428</v>
      </c>
      <c r="EN50" s="73">
        <f t="shared" si="31"/>
        <v>1</v>
      </c>
      <c r="EO50" s="73">
        <f t="shared" si="63"/>
        <v>1</v>
      </c>
      <c r="EP50" s="73">
        <f t="shared" si="64"/>
        <v>1</v>
      </c>
      <c r="EQ50" s="73" t="str">
        <f t="shared" si="34"/>
        <v>0</v>
      </c>
      <c r="ER50" s="73" t="str">
        <f>IF(OR(AN50="",AN50="NEMA"),BB50,AN50)</f>
        <v/>
      </c>
      <c r="ES50" s="73" t="str">
        <f>IF(AND(BN50&lt;&gt;"",BN50&lt;&gt;"NEMA"),BN50,IF(CG50&lt;&gt;"",CG50,IF(AND(CL50&lt;&gt;"",CL50&lt;&gt;"NEMA"),CL50,IF(CM50&lt;&gt;"",CM50,""))))</f>
        <v/>
      </c>
      <c r="ET50" s="53" t="str">
        <f>IF(INDEX(natKategorija_alias_Id,MATCH(S50,natKategorija_katRegId,0))="","",INDEX(natKategorija_alias_Id,MATCH(S50,natKategorija_katRegId,0)))</f>
        <v/>
      </c>
      <c r="EU50" s="47" t="s">
        <v>0</v>
      </c>
      <c r="EV50" s="19" t="str">
        <f t="shared" si="65"/>
        <v>INSERT INTO rezultat(id,stazakategorija_id,imeprezime_id,vrijeme_sec,status_id,registracija,uparivanje_id,originalstatus_id,imeprezimealias_id,klubalias_id,kategorijaalias_id) VALUES (224,26,1521,4428,1,1,1,0,Null,Null,Null);</v>
      </c>
      <c r="EW50" s="47" t="s">
        <v>0</v>
      </c>
      <c r="EX50" s="19" t="str">
        <f t="shared" si="66"/>
        <v>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Y50" s="47" t="s">
        <v>0</v>
      </c>
      <c r="EZ50" s="180" t="str">
        <f>AG50&amp;IF(CP50="","","
")&amp;CP50&amp;IF(CI50="","","
")&amp;CI50&amp;IF(DN50="","","
")&amp;DN50&amp;IF(DP50="","","
")&amp;DP50&amp;IF(EV50="","","
")&amp;EV50&amp;IF(EX50="","","
")&amp;EX50</f>
        <v xml:space="preserve">
INSERT INTO rezultat(id,stazakategorija_id,imeprezime_id,vrijeme_sec,status_id,registracija,uparivanje_id,originalstatus_id,imeprezimealias_id,klubalias_id,kategorijaalias_id) VALUES (224,26,1521,4428,1,1,1,0,Null,Null,Null);
UPDATE
	registar
SET
	potvrda = 1
WHERE
	imeprezime_id=1521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FA50" s="47" t="s">
        <v>0</v>
      </c>
    </row>
    <row r="51" spans="1:157" x14ac:dyDescent="0.25">
      <c r="A51" t="s">
        <v>0</v>
      </c>
      <c r="B51" s="52" t="str">
        <f>IF(csv!F41="","",csv!T41)</f>
        <v>M20</v>
      </c>
      <c r="C51" s="31" t="s">
        <v>0</v>
      </c>
      <c r="D51" s="31" t="str">
        <f>IF(csv!F41="","",csv!F41)</f>
        <v>Noa</v>
      </c>
      <c r="E51" s="31" t="str">
        <f>IF(csv!E41="","",csv!E41)</f>
        <v>Kolarek</v>
      </c>
      <c r="F51" s="31" t="s">
        <v>0</v>
      </c>
      <c r="G51" s="73" t="str">
        <f>IF(csv!M41="","",csv!M41)</f>
        <v>81:41</v>
      </c>
      <c r="H51" s="73" t="str">
        <f>IF(csv!N41="","",csv!N41)</f>
        <v>0</v>
      </c>
      <c r="I51" s="31" t="s">
        <v>0</v>
      </c>
      <c r="J51" s="31" t="str">
        <f>IF(csv!P41="","",csv!P41)</f>
        <v>Vihor</v>
      </c>
      <c r="K51" s="31" t="str">
        <f>IF(csv!Q41="","",csv!Q41)</f>
        <v>OK Vihor</v>
      </c>
      <c r="L51" s="31" t="s">
        <v>0</v>
      </c>
      <c r="M51" s="66" t="str">
        <f>IF(csv!R41="","",csv!R41)</f>
        <v>CRO</v>
      </c>
      <c r="N51" s="47" t="s">
        <v>0</v>
      </c>
      <c r="O51" s="243" t="str">
        <f t="shared" si="36"/>
        <v>ok</v>
      </c>
      <c r="P51" s="47"/>
      <c r="Q51" s="52" t="str">
        <f t="shared" si="37"/>
        <v>M20</v>
      </c>
      <c r="R51" s="73">
        <f>IF(Q51="","",IF(COUNTIF(Q$12:Q50,Q51)=0,R50+1,R50))</f>
        <v>4</v>
      </c>
      <c r="S51" s="73">
        <f t="shared" si="38"/>
        <v>109</v>
      </c>
      <c r="T51" s="73">
        <f t="shared" si="1"/>
        <v>20</v>
      </c>
      <c r="U51" s="66" t="str">
        <f t="shared" si="2"/>
        <v>M20</v>
      </c>
      <c r="V51" s="47" t="s">
        <v>0</v>
      </c>
      <c r="W51" s="222" t="str">
        <f t="shared" si="3"/>
        <v>M20</v>
      </c>
      <c r="X51" s="223">
        <f t="shared" si="4"/>
        <v>26</v>
      </c>
      <c r="Y51" s="47" t="s">
        <v>0</v>
      </c>
      <c r="Z51" s="52" t="str">
        <f t="shared" si="39"/>
        <v>CRO</v>
      </c>
      <c r="AA51" s="73">
        <f t="shared" si="5"/>
        <v>1</v>
      </c>
      <c r="AB51" s="31" t="str">
        <f t="shared" si="40"/>
        <v/>
      </c>
      <c r="AC51" s="66" t="str">
        <f>IF(AB51="","",MAX(AC$12:AC50)+1)</f>
        <v/>
      </c>
      <c r="AD51" s="47" t="s">
        <v>0</v>
      </c>
      <c r="AE51" s="125"/>
      <c r="AF51" s="47" t="s">
        <v>0</v>
      </c>
      <c r="AG51" s="19" t="str">
        <f t="shared" si="41"/>
        <v/>
      </c>
      <c r="AH51" s="47" t="s">
        <v>0</v>
      </c>
      <c r="AI51" s="143" t="str">
        <f t="shared" si="42"/>
        <v>CRO</v>
      </c>
      <c r="AJ51" s="47"/>
      <c r="AK51" s="52" t="str">
        <f t="shared" si="43"/>
        <v>Noa</v>
      </c>
      <c r="AL51" s="31" t="str">
        <f t="shared" si="44"/>
        <v>Kolarek</v>
      </c>
      <c r="AM51" s="73">
        <f t="shared" si="45"/>
        <v>1191</v>
      </c>
      <c r="AN51" s="73" t="str">
        <f t="shared" si="46"/>
        <v/>
      </c>
      <c r="AO51" s="31" t="str">
        <f t="shared" si="8"/>
        <v>Noa</v>
      </c>
      <c r="AP51" s="66" t="str">
        <f t="shared" si="9"/>
        <v>Kolarek</v>
      </c>
      <c r="AQ51" s="47" t="s">
        <v>0</v>
      </c>
      <c r="AR51" s="82" t="str">
        <f t="shared" si="47"/>
        <v/>
      </c>
      <c r="AS51" s="47" t="s">
        <v>0</v>
      </c>
      <c r="AT51" s="19" t="str">
        <f t="shared" si="48"/>
        <v/>
      </c>
      <c r="AU51" s="47" t="s">
        <v>0</v>
      </c>
      <c r="AV51" s="103"/>
      <c r="AW51" s="105"/>
      <c r="AX51" s="47" t="s">
        <v>0</v>
      </c>
      <c r="AY51" s="256" t="str">
        <f t="shared" si="68"/>
        <v/>
      </c>
      <c r="AZ51" s="47" t="s">
        <v>0</v>
      </c>
      <c r="BA51" s="52" t="str">
        <f t="shared" si="11"/>
        <v/>
      </c>
      <c r="BB51" s="73" t="str">
        <f>IF(AV51&amp;AW51="","",MAX(BB$12:BB50)+1)</f>
        <v/>
      </c>
      <c r="BC51" s="268" t="str">
        <f t="shared" si="12"/>
        <v/>
      </c>
      <c r="BD51" s="53" t="str">
        <f>IF(AND(AM51="NEMA",AN51="NEMA",OR(AV51&amp;AW51="",BC51="NEMA")),MAX(BD$12:BD50)+1,"")</f>
        <v/>
      </c>
      <c r="BE51" s="47" t="s">
        <v>0</v>
      </c>
      <c r="BF51" s="52" t="str">
        <f t="shared" si="13"/>
        <v>Noa</v>
      </c>
      <c r="BG51" s="31" t="str">
        <f t="shared" si="14"/>
        <v>Kolarek</v>
      </c>
      <c r="BH51" s="73" t="str">
        <f t="shared" si="49"/>
        <v/>
      </c>
      <c r="BI51" s="53">
        <f t="shared" si="50"/>
        <v>1191</v>
      </c>
      <c r="BJ51" s="47" t="s">
        <v>0</v>
      </c>
      <c r="BK51" s="52" t="str">
        <f t="shared" si="15"/>
        <v>Vihor</v>
      </c>
      <c r="BL51" s="31" t="str">
        <f t="shared" si="16"/>
        <v>OK Vihor</v>
      </c>
      <c r="BM51" s="73">
        <f t="shared" si="17"/>
        <v>12</v>
      </c>
      <c r="BN51" s="73" t="str">
        <f t="shared" si="18"/>
        <v/>
      </c>
      <c r="BO51" s="31" t="str" cm="1">
        <f t="array" ref="BO51">IF(BN51="",""&amp;BL51,IF(BN51="NEMA",BL51,INDEX(regKlub_naziv,MATCH(INDEX(regKlub_alias_klubId,BN51),regKlub_id,0))))</f>
        <v>OK Vihor</v>
      </c>
      <c r="BP51" s="31" t="str" cm="1">
        <f t="array" ref="BP51">IFERROR(""&amp;INDEX(regNatjecatelj_klub,DY51),"")</f>
        <v>OK Vihor</v>
      </c>
      <c r="BQ51" s="88" t="str">
        <f t="shared" si="51"/>
        <v/>
      </c>
      <c r="BR51" s="66" t="str">
        <f t="shared" si="52"/>
        <v>OK Vihor</v>
      </c>
      <c r="BS51" s="47" t="s">
        <v>0</v>
      </c>
      <c r="BT51" s="82" t="str">
        <f>IF(BN51&lt;&gt;"NEMA","",IF(IFERROR(MATCH(BL51,BL$12:BL50,0),0)&lt;&gt;0,"",BL51))</f>
        <v/>
      </c>
      <c r="BU51" s="47" t="s">
        <v>0</v>
      </c>
      <c r="BV51" s="125"/>
      <c r="BW51" s="47" t="s">
        <v>0</v>
      </c>
      <c r="BX51" s="58" t="str">
        <f t="shared" si="53"/>
        <v/>
      </c>
      <c r="BY51" s="31" t="str">
        <f t="shared" si="54"/>
        <v/>
      </c>
      <c r="BZ51" s="31" t="str">
        <f>IF(BY51="","",MAX(BZ$12:BZ50)+1)</f>
        <v/>
      </c>
      <c r="CA51" s="31" t="str">
        <f>IF(BY51="","",IF(AA51="","",IF(AA51="NEMA",AC51,AA51)))</f>
        <v/>
      </c>
      <c r="CB51" s="31" t="str">
        <f t="shared" si="55"/>
        <v/>
      </c>
      <c r="CC51" s="31" t="str">
        <f>IF(BV51="","",MAX(CC$12:CC50)+1)</f>
        <v/>
      </c>
      <c r="CD51" s="31" t="str">
        <f t="shared" si="56"/>
        <v/>
      </c>
      <c r="CE51" s="66" t="str">
        <f t="shared" si="57"/>
        <v/>
      </c>
      <c r="CF51" s="47" t="s">
        <v>0</v>
      </c>
      <c r="CG51" s="73" t="str">
        <f>IF(BN51="","",IF(BN51&lt;&gt;"NEMA","",IFERROR(INDEX(nat_klubAliasId,MATCH(BL51,nat_noviKluboviAliasi,0)),"")))</f>
        <v/>
      </c>
      <c r="CH51" s="47"/>
      <c r="CI51" s="19" t="str">
        <f t="shared" si="58"/>
        <v/>
      </c>
      <c r="CJ51" s="47" t="s">
        <v>0</v>
      </c>
      <c r="CK51" s="52" t="str">
        <f>IF(X51&lt;&gt;"NEMA","",IF(IFERROR(MATCH(W51,W$12:W50,0),0)&lt;&gt;0,"",W51))</f>
        <v/>
      </c>
      <c r="CL51" s="73" t="str">
        <f>IF(CK51="","",IFERROR(INDEX(regKlub_alias_id,MATCH(CK51,regKlub_alias_alias,0)),"NEMA"))</f>
        <v/>
      </c>
      <c r="CM51" s="31" t="str">
        <f>IF(OR(CL51="",CL51&lt;&gt;"NEMA"),"",MAX(CM$12:CM50)+1)</f>
        <v/>
      </c>
      <c r="CN51" s="66" t="str">
        <f>IF(OR(CL51="",CL51&lt;&gt;"NEMA"),"",INDEX(regKlub_id,MATCH(CK51,regKlub_naziv,0)))</f>
        <v/>
      </c>
      <c r="CO51" s="47" t="s">
        <v>0</v>
      </c>
      <c r="CP51" s="19" t="str">
        <f>IF(OR(CL51="",CL51&lt;&gt;"NEMA"),"","INSERT INTO klub_alias(id,alias,klub_id) VALUES ("&amp;CM51&amp;",'"&amp;CK51&amp;"',"&amp;CN51&amp;");")</f>
        <v/>
      </c>
      <c r="CQ51" s="47" t="s">
        <v>0</v>
      </c>
      <c r="CR51" s="143" t="str">
        <f>IF(BR51="","",IF(BV51="",IF(IFERROR(MATCH(BR51,nat_noviKluboviAliasi,0),0)&gt;0,INDEX(nat_kluboviAliasi,MATCH(BR51,nat_noviKluboviAliasi,0)),BR51),BV51))</f>
        <v>OK Vihor</v>
      </c>
      <c r="CS51" s="47" t="s">
        <v>0</v>
      </c>
      <c r="CT51" s="58" t="str">
        <f>IF(G51="","",G51)</f>
        <v>81:41</v>
      </c>
      <c r="CU51" s="73" t="str">
        <f>IF(H51="","",H51)</f>
        <v>0</v>
      </c>
      <c r="CV51" s="229" t="str">
        <f>IF(CT51="",IF(OR(AL51="",CU51&lt;&gt;"0"),"","GREŠKA"),IF(AND(65535&gt;=VALUE(LEFT(CT51,SEARCH(":",CT51)-1))*60+VALUE(RIGHT(CT51,2)),OR(CU51="0",CU51="1",CU51="2",CU51="3",CU51="4")),"","GREŠKA"))</f>
        <v/>
      </c>
      <c r="CW51" s="230">
        <f t="shared" si="23"/>
        <v>4901</v>
      </c>
      <c r="CX51" s="163">
        <f t="shared" si="24"/>
        <v>1</v>
      </c>
      <c r="CY51" s="47" t="s">
        <v>0</v>
      </c>
      <c r="CZ51" s="222" t="str">
        <f>IF(CV51&lt;&gt;"GREŠKA","",AK51&amp;" "&amp;AL51&amp;" – Molim u OEventu provjeriti i ispraviti rezultat – vrijeme ("&amp;IF(CT51="","nije upisano",CT51)&amp;") i classifier ("&amp;CU51&amp;").")&amp;IF(OR(CV51&lt;&gt;"GREŠKA",CX51&lt;&gt;5),"
","")&amp;IF(CX51&lt;&gt;5,"",AK51&amp;" "&amp;AL51&amp;" – Molim u provjeriti je li natjecatelj zaista diskvalificiran. Ako je koje je obrazloženje, ako nije molim u OEventu ispraviti rezultat")</f>
        <v xml:space="preserve">
</v>
      </c>
      <c r="DA51" s="223">
        <f t="shared" si="60"/>
        <v>6</v>
      </c>
      <c r="DB51" s="47" t="s">
        <v>0</v>
      </c>
      <c r="DC51" s="47"/>
      <c r="DD51" s="47"/>
      <c r="DE51" s="47"/>
      <c r="DF51" s="47" t="s">
        <v>0</v>
      </c>
      <c r="DG51" s="53" t="str">
        <f>IF(BD51="","",IF(DI51="O",1,""))</f>
        <v/>
      </c>
      <c r="DH51" t="s">
        <v>0</v>
      </c>
      <c r="DI51" s="128" t="str">
        <f>IF(Q51="","",LEFT(INDEX(regKategorija_oznaka,MATCH(S51,regKategorija_id,0)),1))</f>
        <v>M</v>
      </c>
      <c r="DJ51" t="s">
        <v>0</v>
      </c>
      <c r="DK51" s="52" t="str">
        <f>IF(BD51="","",IF(M51&lt;&gt;"CRO","","INSERT INTO osoba (id,reg_broj,oib,spol_id,dat_rodjenja) VALUES ("&amp;BD51&amp;",(SELECT max(os.reg_broj)+1 FROM osoba AS os),Null,'"&amp;DI51&amp;"',Null); INSERT INTO osoba_log (id,reg_broj,oib,spol_id,dat_rodjenja,dnevnik_id) SELECT id,reg_broj,oib,spol_id,dat_rodjenja,"&amp;data_dnevnik_id&amp;" FROM osoba WHERE id = "&amp;BD51&amp;";"))</f>
        <v/>
      </c>
      <c r="DL51" s="66" t="str">
        <f>IF(BD51="","","INSERT INTO imeprezime (id,osoba_id,rbr,ime,prezime,klub_id,identitet_id,sintaksa_id,info,aktivno,dnevnik_id) VALUES ("&amp;BD51&amp;","&amp;IF(DK51="","Null",BD51)&amp;",1,'"&amp;IF(AV51&lt;&gt;"",AV51,AK51)&amp;"','"&amp;IF(AW51&lt;&gt;"",AW51,AL51)&amp;"',(SELECT id FROM klub WHERE naziv = '"&amp;CR51&amp;"'),Null,1,'',1,"&amp;data_dnevnik_id&amp;");")</f>
        <v/>
      </c>
      <c r="DM51" t="s">
        <v>0</v>
      </c>
      <c r="DN51" s="19" t="str">
        <f t="shared" si="69"/>
        <v/>
      </c>
      <c r="DO51" s="47" t="s">
        <v>0</v>
      </c>
      <c r="DP51" s="19" t="str">
        <f>IF(BA51="","","INSERT INTO imeprezime_alias(id,alias,imeprezime_id) VALUES ("&amp;BB51&amp;",'"&amp;BA51&amp;"',"&amp;IF(BC51="NEMA",BD51,BC51)&amp;");")</f>
        <v/>
      </c>
      <c r="DQ51" s="47" t="s">
        <v>0</v>
      </c>
      <c r="DR51" s="52" t="str">
        <f>IF(AL51="","",DU51 &amp; IF(Q51="",""," – " &amp; Q51))</f>
        <v>Noa – Kolarek – OK Vihor – M20</v>
      </c>
      <c r="DS51" s="53">
        <f t="shared" si="26"/>
        <v>746</v>
      </c>
      <c r="DT51" s="47" t="s">
        <v>0</v>
      </c>
      <c r="DU51" s="52" t="str">
        <f>IF(AL51="","",DX51 &amp; IF(CR51="",""," – " &amp; CR51))</f>
        <v>Noa – Kolarek – OK Vihor</v>
      </c>
      <c r="DV51" s="53">
        <f t="shared" si="27"/>
        <v>746</v>
      </c>
      <c r="DW51" s="47" t="s">
        <v>0</v>
      </c>
      <c r="DX51" s="52" t="str">
        <f>IF(BG51="","",BF51&amp;" – "&amp;BG51)</f>
        <v>Noa – Kolarek</v>
      </c>
      <c r="DY51" s="53">
        <f t="shared" si="28"/>
        <v>746</v>
      </c>
      <c r="DZ51" s="47" t="s">
        <v>0</v>
      </c>
      <c r="EA51" s="58">
        <f t="shared" si="61"/>
        <v>746</v>
      </c>
      <c r="EB51" s="53" cm="1">
        <f t="array" ref="EB51">IF(EA51&lt;&gt;"",INDEX(regNatjecatelj_id,EA51,0),IF(BD51&lt;&gt;"",BD51,""))</f>
        <v>1191</v>
      </c>
      <c r="EC51" s="47" t="s">
        <v>0</v>
      </c>
      <c r="ED51" s="58" t="str">
        <f>IF(AL51="","",IF(BD51&lt;&gt;"","novo",IF(AN51="","imepre","imepre(ali)")))</f>
        <v>imepre</v>
      </c>
      <c r="EE51" s="73" t="str">
        <f>IF(AL51="","",IF(BL51="",IF(IFERROR(INDEX(regNatjecatelj_klub,MATCH(EB51,regNatjecatelj_id,0)),"NEMA")="","klu",""),IF(OR(AND(BN51&lt;&gt;"",BN51&lt;&gt;"NEMA"),CD51&lt;&gt;""),"klu(ali)",IF(AND(BP51&lt;&gt;"",BP51&lt;&gt;BO51),"(raz-klu)","klu"))))</f>
        <v>klu</v>
      </c>
      <c r="EF51" s="73" t="str">
        <f>IF(AL51="","","kat"&amp;IF(AND(W51&lt;&gt;Q51,Q51&lt;&gt;"Open"),"(ali)",""))</f>
        <v>kat</v>
      </c>
      <c r="EG51" s="73" t="str">
        <f t="shared" si="29"/>
        <v/>
      </c>
      <c r="EH51" s="66" t="str">
        <f>IF(AL51="","",ED51&amp;IF(ED51="novo","","-"&amp;EE51&amp;"-"&amp;EF51)&amp;IF(EG51="","","-"&amp;EG51))</f>
        <v>imepre-klu-kat</v>
      </c>
      <c r="EI51" s="47" t="s">
        <v>0</v>
      </c>
      <c r="EJ51" s="58">
        <f>IF(AL51="","",MAX(EJ$12:EJ50)+1)</f>
        <v>225</v>
      </c>
      <c r="EK51" s="73">
        <f>IF(AO51="","",X51)</f>
        <v>26</v>
      </c>
      <c r="EL51" s="73">
        <f t="shared" si="62"/>
        <v>1191</v>
      </c>
      <c r="EM51" s="73">
        <f t="shared" si="30"/>
        <v>4901</v>
      </c>
      <c r="EN51" s="73">
        <f t="shared" si="31"/>
        <v>1</v>
      </c>
      <c r="EO51" s="73">
        <f t="shared" si="63"/>
        <v>1</v>
      </c>
      <c r="EP51" s="73">
        <f t="shared" si="64"/>
        <v>1</v>
      </c>
      <c r="EQ51" s="73" t="str">
        <f t="shared" si="34"/>
        <v>0</v>
      </c>
      <c r="ER51" s="73" t="str">
        <f>IF(OR(AN51="",AN51="NEMA"),BB51,AN51)</f>
        <v/>
      </c>
      <c r="ES51" s="73" t="str">
        <f>IF(AND(BN51&lt;&gt;"",BN51&lt;&gt;"NEMA"),BN51,IF(CG51&lt;&gt;"",CG51,IF(AND(CL51&lt;&gt;"",CL51&lt;&gt;"NEMA"),CL51,IF(CM51&lt;&gt;"",CM51,""))))</f>
        <v/>
      </c>
      <c r="ET51" s="53" t="str">
        <f>IF(INDEX(natKategorija_alias_Id,MATCH(S51,natKategorija_katRegId,0))="","",INDEX(natKategorija_alias_Id,MATCH(S51,natKategorija_katRegId,0)))</f>
        <v/>
      </c>
      <c r="EU51" s="47" t="s">
        <v>0</v>
      </c>
      <c r="EV51" s="19" t="str">
        <f t="shared" si="65"/>
        <v>INSERT INTO rezultat(id,stazakategorija_id,imeprezime_id,vrijeme_sec,status_id,registracija,uparivanje_id,originalstatus_id,imeprezimealias_id,klubalias_id,kategorijaalias_id) VALUES (225,26,1191,4901,1,1,1,0,Null,Null,Null);</v>
      </c>
      <c r="EW51" s="47" t="s">
        <v>0</v>
      </c>
      <c r="EX51" s="19" t="str">
        <f t="shared" si="66"/>
        <v>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Y51" s="47" t="s">
        <v>0</v>
      </c>
      <c r="EZ51" s="180" t="str">
        <f>AG51&amp;IF(CP51="","","
")&amp;CP51&amp;IF(CI51="","","
")&amp;CI51&amp;IF(DN51="","","
")&amp;DN51&amp;IF(DP51="","","
")&amp;DP51&amp;IF(EV51="","","
")&amp;EV51&amp;IF(EX51="","","
")&amp;EX51</f>
        <v xml:space="preserve">
INSERT INTO rezultat(id,stazakategorija_id,imeprezime_id,vrijeme_sec,status_id,registracija,uparivanje_id,originalstatus_id,imeprezimealias_id,klubalias_id,kategorijaalias_id) VALUES (225,26,1191,4901,1,1,1,0,Null,Null,Null);
UPDATE
	registar
SET
	potvrda = 1
WHERE
	imeprezime_id=1191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FA51" s="47" t="s">
        <v>0</v>
      </c>
    </row>
    <row r="52" spans="1:157" x14ac:dyDescent="0.25">
      <c r="A52" t="s">
        <v>0</v>
      </c>
      <c r="B52" s="52" t="str">
        <f>IF(csv!F42="","",csv!T42)</f>
        <v>M20</v>
      </c>
      <c r="C52" s="31" t="s">
        <v>0</v>
      </c>
      <c r="D52" s="31" t="str">
        <f>IF(csv!F42="","",csv!F42)</f>
        <v>Luka</v>
      </c>
      <c r="E52" s="31" t="str">
        <f>IF(csv!E42="","",csv!E42)</f>
        <v>Kocijan</v>
      </c>
      <c r="F52" s="31" t="s">
        <v>0</v>
      </c>
      <c r="G52" s="73" t="str">
        <f>IF(csv!M42="","",csv!M42)</f>
        <v>97:46</v>
      </c>
      <c r="H52" s="73" t="str">
        <f>IF(csv!N42="","",csv!N42)</f>
        <v>0</v>
      </c>
      <c r="I52" s="31" t="s">
        <v>0</v>
      </c>
      <c r="J52" s="31" t="str">
        <f>IF(csv!P42="","",csv!P42)</f>
        <v>OK Varaždin</v>
      </c>
      <c r="K52" s="31" t="str">
        <f>IF(csv!Q42="","",csv!Q42)</f>
        <v>OK Varaždin</v>
      </c>
      <c r="L52" s="31" t="s">
        <v>0</v>
      </c>
      <c r="M52" s="66" t="str">
        <f>IF(csv!R42="","",csv!R42)</f>
        <v>CRO</v>
      </c>
      <c r="N52" s="47" t="s">
        <v>0</v>
      </c>
      <c r="O52" s="243" t="str">
        <f t="shared" si="36"/>
        <v>ok</v>
      </c>
      <c r="P52" s="47"/>
      <c r="Q52" s="52" t="str">
        <f t="shared" si="37"/>
        <v>M20</v>
      </c>
      <c r="R52" s="73">
        <f>IF(Q52="","",IF(COUNTIF(Q$12:Q51,Q52)=0,R51+1,R51))</f>
        <v>4</v>
      </c>
      <c r="S52" s="73">
        <f t="shared" si="38"/>
        <v>109</v>
      </c>
      <c r="T52" s="73">
        <f t="shared" si="1"/>
        <v>20</v>
      </c>
      <c r="U52" s="66" t="str">
        <f t="shared" si="2"/>
        <v>M20</v>
      </c>
      <c r="V52" s="47" t="s">
        <v>0</v>
      </c>
      <c r="W52" s="222" t="str">
        <f t="shared" si="3"/>
        <v>M20</v>
      </c>
      <c r="X52" s="223">
        <f t="shared" si="4"/>
        <v>26</v>
      </c>
      <c r="Y52" s="47" t="s">
        <v>0</v>
      </c>
      <c r="Z52" s="52" t="str">
        <f t="shared" si="39"/>
        <v>CRO</v>
      </c>
      <c r="AA52" s="73">
        <f t="shared" si="5"/>
        <v>1</v>
      </c>
      <c r="AB52" s="31" t="str">
        <f t="shared" si="40"/>
        <v/>
      </c>
      <c r="AC52" s="66" t="str">
        <f>IF(AB52="","",MAX(AC$12:AC51)+1)</f>
        <v/>
      </c>
      <c r="AD52" s="47" t="s">
        <v>0</v>
      </c>
      <c r="AE52" s="125"/>
      <c r="AF52" s="47" t="s">
        <v>0</v>
      </c>
      <c r="AG52" s="19" t="str">
        <f t="shared" si="41"/>
        <v/>
      </c>
      <c r="AH52" s="47" t="s">
        <v>0</v>
      </c>
      <c r="AI52" s="143" t="str">
        <f t="shared" si="42"/>
        <v>CRO</v>
      </c>
      <c r="AJ52" s="47"/>
      <c r="AK52" s="52" t="str">
        <f t="shared" si="43"/>
        <v>Luka</v>
      </c>
      <c r="AL52" s="31" t="str">
        <f t="shared" si="44"/>
        <v>Kocijan</v>
      </c>
      <c r="AM52" s="73">
        <f t="shared" si="45"/>
        <v>1419</v>
      </c>
      <c r="AN52" s="73" t="str">
        <f t="shared" si="46"/>
        <v/>
      </c>
      <c r="AO52" s="31" t="str">
        <f t="shared" si="8"/>
        <v>Luka</v>
      </c>
      <c r="AP52" s="66" t="str">
        <f t="shared" si="9"/>
        <v>Kocijan</v>
      </c>
      <c r="AQ52" s="47" t="s">
        <v>0</v>
      </c>
      <c r="AR52" s="82" t="str">
        <f t="shared" si="47"/>
        <v/>
      </c>
      <c r="AS52" s="47" t="s">
        <v>0</v>
      </c>
      <c r="AT52" s="19" t="str">
        <f t="shared" si="48"/>
        <v/>
      </c>
      <c r="AU52" s="47" t="s">
        <v>0</v>
      </c>
      <c r="AV52" s="103"/>
      <c r="AW52" s="105"/>
      <c r="AX52" s="47" t="s">
        <v>0</v>
      </c>
      <c r="AY52" s="256" t="str">
        <f t="shared" si="68"/>
        <v/>
      </c>
      <c r="AZ52" s="47" t="s">
        <v>0</v>
      </c>
      <c r="BA52" s="52" t="str">
        <f t="shared" si="11"/>
        <v/>
      </c>
      <c r="BB52" s="73" t="str">
        <f>IF(AV52&amp;AW52="","",MAX(BB$12:BB51)+1)</f>
        <v/>
      </c>
      <c r="BC52" s="268" t="str">
        <f t="shared" si="12"/>
        <v/>
      </c>
      <c r="BD52" s="53" t="str">
        <f>IF(AND(AM52="NEMA",AN52="NEMA",OR(AV52&amp;AW52="",BC52="NEMA")),MAX(BD$12:BD51)+1,"")</f>
        <v/>
      </c>
      <c r="BE52" s="47" t="s">
        <v>0</v>
      </c>
      <c r="BF52" s="52" t="str">
        <f t="shared" si="13"/>
        <v>Luka</v>
      </c>
      <c r="BG52" s="31" t="str">
        <f t="shared" si="14"/>
        <v>Kocijan</v>
      </c>
      <c r="BH52" s="73" t="str">
        <f t="shared" si="49"/>
        <v/>
      </c>
      <c r="BI52" s="53">
        <f t="shared" si="50"/>
        <v>1419</v>
      </c>
      <c r="BJ52" s="47" t="s">
        <v>0</v>
      </c>
      <c r="BK52" s="52" t="str">
        <f t="shared" si="15"/>
        <v>OK Varaždin</v>
      </c>
      <c r="BL52" s="31" t="str">
        <f t="shared" si="16"/>
        <v>OK Varaždin</v>
      </c>
      <c r="BM52" s="73">
        <f t="shared" si="17"/>
        <v>11</v>
      </c>
      <c r="BN52" s="73" t="str">
        <f t="shared" si="18"/>
        <v/>
      </c>
      <c r="BO52" s="31" t="str" cm="1">
        <f t="array" ref="BO52">IF(BN52="",""&amp;BL52,IF(BN52="NEMA",BL52,INDEX(regKlub_naziv,MATCH(INDEX(regKlub_alias_klubId,BN52),regKlub_id,0))))</f>
        <v>OK Varaždin</v>
      </c>
      <c r="BP52" s="31" t="str" cm="1">
        <f t="array" ref="BP52">IFERROR(""&amp;INDEX(regNatjecatelj_klub,DY52),"")</f>
        <v>OK Varaždin</v>
      </c>
      <c r="BQ52" s="88" t="str">
        <f t="shared" si="51"/>
        <v/>
      </c>
      <c r="BR52" s="66" t="str">
        <f t="shared" si="52"/>
        <v>OK Varaždin</v>
      </c>
      <c r="BS52" s="47" t="s">
        <v>0</v>
      </c>
      <c r="BT52" s="82" t="str">
        <f>IF(BN52&lt;&gt;"NEMA","",IF(IFERROR(MATCH(BL52,BL$12:BL51,0),0)&lt;&gt;0,"",BL52))</f>
        <v/>
      </c>
      <c r="BU52" s="47" t="s">
        <v>0</v>
      </c>
      <c r="BV52" s="125"/>
      <c r="BW52" s="47" t="s">
        <v>0</v>
      </c>
      <c r="BX52" s="58" t="str">
        <f t="shared" si="53"/>
        <v/>
      </c>
      <c r="BY52" s="31" t="str">
        <f t="shared" si="54"/>
        <v/>
      </c>
      <c r="BZ52" s="31" t="str">
        <f>IF(BY52="","",MAX(BZ$12:BZ51)+1)</f>
        <v/>
      </c>
      <c r="CA52" s="31" t="str">
        <f>IF(BY52="","",IF(AA52="","",IF(AA52="NEMA",AC52,AA52)))</f>
        <v/>
      </c>
      <c r="CB52" s="31" t="str">
        <f t="shared" si="55"/>
        <v/>
      </c>
      <c r="CC52" s="31" t="str">
        <f>IF(BV52="","",MAX(CC$12:CC51)+1)</f>
        <v/>
      </c>
      <c r="CD52" s="31" t="str">
        <f t="shared" si="56"/>
        <v/>
      </c>
      <c r="CE52" s="66" t="str">
        <f t="shared" si="57"/>
        <v/>
      </c>
      <c r="CF52" s="47" t="s">
        <v>0</v>
      </c>
      <c r="CG52" s="73" t="str">
        <f>IF(BN52="","",IF(BN52&lt;&gt;"NEMA","",IFERROR(INDEX(nat_klubAliasId,MATCH(BL52,nat_noviKluboviAliasi,0)),"")))</f>
        <v/>
      </c>
      <c r="CH52" s="47"/>
      <c r="CI52" s="19" t="str">
        <f t="shared" si="58"/>
        <v/>
      </c>
      <c r="CJ52" s="47" t="s">
        <v>0</v>
      </c>
      <c r="CK52" s="52" t="str">
        <f>IF(X52&lt;&gt;"NEMA","",IF(IFERROR(MATCH(W52,W$12:W51,0),0)&lt;&gt;0,"",W52))</f>
        <v/>
      </c>
      <c r="CL52" s="73" t="str">
        <f>IF(CK52="","",IFERROR(INDEX(regKlub_alias_id,MATCH(CK52,regKlub_alias_alias,0)),"NEMA"))</f>
        <v/>
      </c>
      <c r="CM52" s="31" t="str">
        <f>IF(OR(CL52="",CL52&lt;&gt;"NEMA"),"",MAX(CM$12:CM51)+1)</f>
        <v/>
      </c>
      <c r="CN52" s="66" t="str">
        <f>IF(OR(CL52="",CL52&lt;&gt;"NEMA"),"",INDEX(regKlub_id,MATCH(CK52,regKlub_naziv,0)))</f>
        <v/>
      </c>
      <c r="CO52" s="47" t="s">
        <v>0</v>
      </c>
      <c r="CP52" s="19" t="str">
        <f>IF(OR(CL52="",CL52&lt;&gt;"NEMA"),"","INSERT INTO klub_alias(id,alias,klub_id) VALUES ("&amp;CM52&amp;",'"&amp;CK52&amp;"',"&amp;CN52&amp;");")</f>
        <v/>
      </c>
      <c r="CQ52" s="47" t="s">
        <v>0</v>
      </c>
      <c r="CR52" s="143" t="str">
        <f>IF(BR52="","",IF(BV52="",IF(IFERROR(MATCH(BR52,nat_noviKluboviAliasi,0),0)&gt;0,INDEX(nat_kluboviAliasi,MATCH(BR52,nat_noviKluboviAliasi,0)),BR52),BV52))</f>
        <v>OK Varaždin</v>
      </c>
      <c r="CS52" s="47" t="s">
        <v>0</v>
      </c>
      <c r="CT52" s="58" t="str">
        <f>IF(G52="","",G52)</f>
        <v>97:46</v>
      </c>
      <c r="CU52" s="73" t="str">
        <f>IF(H52="","",H52)</f>
        <v>0</v>
      </c>
      <c r="CV52" s="229" t="str">
        <f>IF(CT52="",IF(OR(AL52="",CU52&lt;&gt;"0"),"","GREŠKA"),IF(AND(65535&gt;=VALUE(LEFT(CT52,SEARCH(":",CT52)-1))*60+VALUE(RIGHT(CT52,2)),OR(CU52="0",CU52="1",CU52="2",CU52="3",CU52="4")),"","GREŠKA"))</f>
        <v/>
      </c>
      <c r="CW52" s="230">
        <f t="shared" si="23"/>
        <v>5866</v>
      </c>
      <c r="CX52" s="163">
        <f t="shared" si="24"/>
        <v>1</v>
      </c>
      <c r="CY52" s="47" t="s">
        <v>0</v>
      </c>
      <c r="CZ52" s="222" t="str">
        <f>IF(CV52&lt;&gt;"GREŠKA","",AK52&amp;" "&amp;AL52&amp;" – Molim u OEventu provjeriti i ispraviti rezultat – vrijeme ("&amp;IF(CT52="","nije upisano",CT52)&amp;") i classifier ("&amp;CU52&amp;").")&amp;IF(OR(CV52&lt;&gt;"GREŠKA",CX52&lt;&gt;5),"
","")&amp;IF(CX52&lt;&gt;5,"",AK52&amp;" "&amp;AL52&amp;" – Molim u provjeriti je li natjecatelj zaista diskvalificiran. Ako je koje je obrazloženje, ako nije molim u OEventu ispraviti rezultat")</f>
        <v xml:space="preserve">
</v>
      </c>
      <c r="DA52" s="223">
        <f t="shared" si="60"/>
        <v>6</v>
      </c>
      <c r="DB52" s="47" t="s">
        <v>0</v>
      </c>
      <c r="DC52" s="47"/>
      <c r="DD52" s="47"/>
      <c r="DE52" s="47"/>
      <c r="DF52" s="47" t="s">
        <v>0</v>
      </c>
      <c r="DG52" s="53" t="str">
        <f>IF(BD52="","",IF(DI52="O",1,""))</f>
        <v/>
      </c>
      <c r="DH52" t="s">
        <v>0</v>
      </c>
      <c r="DI52" s="128" t="str">
        <f>IF(Q52="","",LEFT(INDEX(regKategorija_oznaka,MATCH(S52,regKategorija_id,0)),1))</f>
        <v>M</v>
      </c>
      <c r="DJ52" t="s">
        <v>0</v>
      </c>
      <c r="DK52" s="52" t="str">
        <f>IF(BD52="","",IF(M52&lt;&gt;"CRO","","INSERT INTO osoba (id,reg_broj,oib,spol_id,dat_rodjenja) VALUES ("&amp;BD52&amp;",(SELECT max(os.reg_broj)+1 FROM osoba AS os),Null,'"&amp;DI52&amp;"',Null); INSERT INTO osoba_log (id,reg_broj,oib,spol_id,dat_rodjenja,dnevnik_id) SELECT id,reg_broj,oib,spol_id,dat_rodjenja,"&amp;data_dnevnik_id&amp;" FROM osoba WHERE id = "&amp;BD52&amp;";"))</f>
        <v/>
      </c>
      <c r="DL52" s="66" t="str">
        <f>IF(BD52="","","INSERT INTO imeprezime (id,osoba_id,rbr,ime,prezime,klub_id,identitet_id,sintaksa_id,info,aktivno,dnevnik_id) VALUES ("&amp;BD52&amp;","&amp;IF(DK52="","Null",BD52)&amp;",1,'"&amp;IF(AV52&lt;&gt;"",AV52,AK52)&amp;"','"&amp;IF(AW52&lt;&gt;"",AW52,AL52)&amp;"',(SELECT id FROM klub WHERE naziv = '"&amp;CR52&amp;"'),Null,1,'',1,"&amp;data_dnevnik_id&amp;");")</f>
        <v/>
      </c>
      <c r="DM52" t="s">
        <v>0</v>
      </c>
      <c r="DN52" s="19" t="str">
        <f t="shared" si="69"/>
        <v/>
      </c>
      <c r="DO52" s="47" t="s">
        <v>0</v>
      </c>
      <c r="DP52" s="19" t="str">
        <f>IF(BA52="","","INSERT INTO imeprezime_alias(id,alias,imeprezime_id) VALUES ("&amp;BB52&amp;",'"&amp;BA52&amp;"',"&amp;IF(BC52="NEMA",BD52,BC52)&amp;");")</f>
        <v/>
      </c>
      <c r="DQ52" s="47" t="s">
        <v>0</v>
      </c>
      <c r="DR52" s="52" t="str">
        <f>IF(AL52="","",DU52 &amp; IF(Q52="",""," – " &amp; Q52))</f>
        <v>Luka – Kocijan – OK Varaždin – M20</v>
      </c>
      <c r="DS52" s="53">
        <f t="shared" si="26"/>
        <v>544</v>
      </c>
      <c r="DT52" s="47" t="s">
        <v>0</v>
      </c>
      <c r="DU52" s="52" t="str">
        <f>IF(AL52="","",DX52 &amp; IF(CR52="",""," – " &amp; CR52))</f>
        <v>Luka – Kocijan – OK Varaždin</v>
      </c>
      <c r="DV52" s="53">
        <f t="shared" si="27"/>
        <v>544</v>
      </c>
      <c r="DW52" s="47" t="s">
        <v>0</v>
      </c>
      <c r="DX52" s="52" t="str">
        <f>IF(BG52="","",BF52&amp;" – "&amp;BG52)</f>
        <v>Luka – Kocijan</v>
      </c>
      <c r="DY52" s="53">
        <f t="shared" si="28"/>
        <v>544</v>
      </c>
      <c r="DZ52" s="47" t="s">
        <v>0</v>
      </c>
      <c r="EA52" s="58">
        <f t="shared" si="61"/>
        <v>544</v>
      </c>
      <c r="EB52" s="53" cm="1">
        <f t="array" ref="EB52">IF(EA52&lt;&gt;"",INDEX(regNatjecatelj_id,EA52,0),IF(BD52&lt;&gt;"",BD52,""))</f>
        <v>1419</v>
      </c>
      <c r="EC52" s="47" t="s">
        <v>0</v>
      </c>
      <c r="ED52" s="58" t="str">
        <f>IF(AL52="","",IF(BD52&lt;&gt;"","novo",IF(AN52="","imepre","imepre(ali)")))</f>
        <v>imepre</v>
      </c>
      <c r="EE52" s="73" t="str">
        <f>IF(AL52="","",IF(BL52="",IF(IFERROR(INDEX(regNatjecatelj_klub,MATCH(EB52,regNatjecatelj_id,0)),"NEMA")="","klu",""),IF(OR(AND(BN52&lt;&gt;"",BN52&lt;&gt;"NEMA"),CD52&lt;&gt;""),"klu(ali)",IF(AND(BP52&lt;&gt;"",BP52&lt;&gt;BO52),"(raz-klu)","klu"))))</f>
        <v>klu</v>
      </c>
      <c r="EF52" s="73" t="str">
        <f>IF(AL52="","","kat"&amp;IF(AND(W52&lt;&gt;Q52,Q52&lt;&gt;"Open"),"(ali)",""))</f>
        <v>kat</v>
      </c>
      <c r="EG52" s="73" t="str">
        <f t="shared" si="29"/>
        <v/>
      </c>
      <c r="EH52" s="66" t="str">
        <f>IF(AL52="","",ED52&amp;IF(ED52="novo","","-"&amp;EE52&amp;"-"&amp;EF52)&amp;IF(EG52="","","-"&amp;EG52))</f>
        <v>imepre-klu-kat</v>
      </c>
      <c r="EI52" s="47" t="s">
        <v>0</v>
      </c>
      <c r="EJ52" s="58">
        <f>IF(AL52="","",MAX(EJ$12:EJ51)+1)</f>
        <v>226</v>
      </c>
      <c r="EK52" s="73">
        <f>IF(AO52="","",X52)</f>
        <v>26</v>
      </c>
      <c r="EL52" s="73">
        <f t="shared" si="62"/>
        <v>1419</v>
      </c>
      <c r="EM52" s="73">
        <f t="shared" si="30"/>
        <v>5866</v>
      </c>
      <c r="EN52" s="73">
        <f t="shared" si="31"/>
        <v>1</v>
      </c>
      <c r="EO52" s="73">
        <f t="shared" si="63"/>
        <v>1</v>
      </c>
      <c r="EP52" s="73">
        <f t="shared" si="64"/>
        <v>1</v>
      </c>
      <c r="EQ52" s="73" t="str">
        <f t="shared" si="34"/>
        <v>0</v>
      </c>
      <c r="ER52" s="73" t="str">
        <f>IF(OR(AN52="",AN52="NEMA"),BB52,AN52)</f>
        <v/>
      </c>
      <c r="ES52" s="73" t="str">
        <f>IF(AND(BN52&lt;&gt;"",BN52&lt;&gt;"NEMA"),BN52,IF(CG52&lt;&gt;"",CG52,IF(AND(CL52&lt;&gt;"",CL52&lt;&gt;"NEMA"),CL52,IF(CM52&lt;&gt;"",CM52,""))))</f>
        <v/>
      </c>
      <c r="ET52" s="53" t="str">
        <f>IF(INDEX(natKategorija_alias_Id,MATCH(S52,natKategorija_katRegId,0))="","",INDEX(natKategorija_alias_Id,MATCH(S52,natKategorija_katRegId,0)))</f>
        <v/>
      </c>
      <c r="EU52" s="47" t="s">
        <v>0</v>
      </c>
      <c r="EV52" s="19" t="str">
        <f t="shared" si="65"/>
        <v>INSERT INTO rezultat(id,stazakategorija_id,imeprezime_id,vrijeme_sec,status_id,registracija,uparivanje_id,originalstatus_id,imeprezimealias_id,klubalias_id,kategorijaalias_id) VALUES (226,26,1419,5866,1,1,1,0,Null,Null,Null);</v>
      </c>
      <c r="EW52" s="47" t="s">
        <v>0</v>
      </c>
      <c r="EX52" s="19" t="str">
        <f t="shared" si="66"/>
        <v>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Y52" s="47" t="s">
        <v>0</v>
      </c>
      <c r="EZ52" s="180" t="str">
        <f>AG52&amp;IF(CP52="","","
")&amp;CP52&amp;IF(CI52="","","
")&amp;CI52&amp;IF(DN52="","","
")&amp;DN52&amp;IF(DP52="","","
")&amp;DP52&amp;IF(EV52="","","
")&amp;EV52&amp;IF(EX52="","","
")&amp;EX52</f>
        <v xml:space="preserve">
INSERT INTO rezultat(id,stazakategorija_id,imeprezime_id,vrijeme_sec,status_id,registracija,uparivanje_id,originalstatus_id,imeprezimealias_id,klubalias_id,kategorijaalias_id) VALUES (226,26,1419,5866,1,1,1,0,Null,Null,Null);
UPDATE
	registar
SET
	potvrda = 1
WHERE
	imeprezime_id=1419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FA52" s="47" t="s">
        <v>0</v>
      </c>
    </row>
    <row r="53" spans="1:157" x14ac:dyDescent="0.25">
      <c r="A53" t="s">
        <v>0</v>
      </c>
      <c r="B53" s="52" t="str">
        <f>IF(csv!F43="","",csv!T43)</f>
        <v>M20</v>
      </c>
      <c r="C53" s="31" t="s">
        <v>0</v>
      </c>
      <c r="D53" s="31" t="str">
        <f>IF(csv!F43="","",csv!F43)</f>
        <v>Ozren</v>
      </c>
      <c r="E53" s="31" t="str">
        <f>IF(csv!E43="","",csv!E43)</f>
        <v>Pevec</v>
      </c>
      <c r="F53" s="31" t="s">
        <v>0</v>
      </c>
      <c r="G53" s="73" t="str">
        <f>IF(csv!M43="","",csv!M43)</f>
        <v>157:07</v>
      </c>
      <c r="H53" s="73" t="str">
        <f>IF(csv!N43="","",csv!N43)</f>
        <v>0</v>
      </c>
      <c r="I53" s="31" t="s">
        <v>0</v>
      </c>
      <c r="J53" s="31" t="str">
        <f>IF(csv!P43="","",csv!P43)</f>
        <v>OK Varaždin</v>
      </c>
      <c r="K53" s="31" t="str">
        <f>IF(csv!Q43="","",csv!Q43)</f>
        <v>OK Varaždin</v>
      </c>
      <c r="L53" s="31" t="s">
        <v>0</v>
      </c>
      <c r="M53" s="66" t="str">
        <f>IF(csv!R43="","",csv!R43)</f>
        <v>CRO</v>
      </c>
      <c r="N53" s="47" t="s">
        <v>0</v>
      </c>
      <c r="O53" s="243" t="str">
        <f t="shared" si="36"/>
        <v>ok</v>
      </c>
      <c r="P53" s="47"/>
      <c r="Q53" s="52" t="str">
        <f t="shared" si="37"/>
        <v>M20</v>
      </c>
      <c r="R53" s="73">
        <f>IF(Q53="","",IF(COUNTIF(Q$12:Q52,Q53)=0,R52+1,R52))</f>
        <v>4</v>
      </c>
      <c r="S53" s="73">
        <f t="shared" si="38"/>
        <v>109</v>
      </c>
      <c r="T53" s="73">
        <f t="shared" si="1"/>
        <v>20</v>
      </c>
      <c r="U53" s="66" t="str">
        <f t="shared" si="2"/>
        <v>M20</v>
      </c>
      <c r="V53" s="47" t="s">
        <v>0</v>
      </c>
      <c r="W53" s="222" t="str">
        <f t="shared" si="3"/>
        <v>M20</v>
      </c>
      <c r="X53" s="223">
        <f t="shared" si="4"/>
        <v>26</v>
      </c>
      <c r="Y53" s="47" t="s">
        <v>0</v>
      </c>
      <c r="Z53" s="52" t="str">
        <f t="shared" si="39"/>
        <v>CRO</v>
      </c>
      <c r="AA53" s="73">
        <f t="shared" si="5"/>
        <v>1</v>
      </c>
      <c r="AB53" s="31" t="str">
        <f t="shared" si="40"/>
        <v/>
      </c>
      <c r="AC53" s="66" t="str">
        <f>IF(AB53="","",MAX(AC$12:AC52)+1)</f>
        <v/>
      </c>
      <c r="AD53" s="47" t="s">
        <v>0</v>
      </c>
      <c r="AE53" s="125"/>
      <c r="AF53" s="47" t="s">
        <v>0</v>
      </c>
      <c r="AG53" s="19" t="str">
        <f t="shared" si="41"/>
        <v/>
      </c>
      <c r="AH53" s="47" t="s">
        <v>0</v>
      </c>
      <c r="AI53" s="143" t="str">
        <f t="shared" si="42"/>
        <v>CRO</v>
      </c>
      <c r="AJ53" s="47"/>
      <c r="AK53" s="52" t="str">
        <f t="shared" si="43"/>
        <v>Ozren</v>
      </c>
      <c r="AL53" s="31" t="str">
        <f t="shared" si="44"/>
        <v>Pevec</v>
      </c>
      <c r="AM53" s="73">
        <f t="shared" si="45"/>
        <v>1116</v>
      </c>
      <c r="AN53" s="73" t="str">
        <f t="shared" si="46"/>
        <v/>
      </c>
      <c r="AO53" s="31" t="str">
        <f t="shared" si="8"/>
        <v>Ozren</v>
      </c>
      <c r="AP53" s="66" t="str">
        <f t="shared" si="9"/>
        <v>Pevec</v>
      </c>
      <c r="AQ53" s="47" t="s">
        <v>0</v>
      </c>
      <c r="AR53" s="82" t="str">
        <f t="shared" si="47"/>
        <v/>
      </c>
      <c r="AS53" s="47" t="s">
        <v>0</v>
      </c>
      <c r="AT53" s="19" t="str">
        <f t="shared" si="48"/>
        <v/>
      </c>
      <c r="AU53" s="47" t="s">
        <v>0</v>
      </c>
      <c r="AV53" s="103"/>
      <c r="AW53" s="105"/>
      <c r="AX53" s="47" t="s">
        <v>0</v>
      </c>
      <c r="AY53" s="256" t="str">
        <f t="shared" si="68"/>
        <v/>
      </c>
      <c r="AZ53" s="47" t="s">
        <v>0</v>
      </c>
      <c r="BA53" s="52" t="str">
        <f t="shared" si="11"/>
        <v/>
      </c>
      <c r="BB53" s="73" t="str">
        <f>IF(AV53&amp;AW53="","",MAX(BB$12:BB52)+1)</f>
        <v/>
      </c>
      <c r="BC53" s="268" t="str">
        <f t="shared" si="12"/>
        <v/>
      </c>
      <c r="BD53" s="53" t="str">
        <f>IF(AND(AM53="NEMA",AN53="NEMA",OR(AV53&amp;AW53="",BC53="NEMA")),MAX(BD$12:BD52)+1,"")</f>
        <v/>
      </c>
      <c r="BE53" s="47" t="s">
        <v>0</v>
      </c>
      <c r="BF53" s="52" t="str">
        <f t="shared" si="13"/>
        <v>Ozren</v>
      </c>
      <c r="BG53" s="31" t="str">
        <f t="shared" si="14"/>
        <v>Pevec</v>
      </c>
      <c r="BH53" s="73" t="str">
        <f t="shared" si="49"/>
        <v/>
      </c>
      <c r="BI53" s="53">
        <f t="shared" si="50"/>
        <v>1116</v>
      </c>
      <c r="BJ53" s="47" t="s">
        <v>0</v>
      </c>
      <c r="BK53" s="52" t="str">
        <f t="shared" si="15"/>
        <v>OK Varaždin</v>
      </c>
      <c r="BL53" s="31" t="str">
        <f t="shared" si="16"/>
        <v>OK Varaždin</v>
      </c>
      <c r="BM53" s="73">
        <f t="shared" si="17"/>
        <v>11</v>
      </c>
      <c r="BN53" s="73" t="str">
        <f t="shared" si="18"/>
        <v/>
      </c>
      <c r="BO53" s="31" t="str" cm="1">
        <f t="array" ref="BO53">IF(BN53="",""&amp;BL53,IF(BN53="NEMA",BL53,INDEX(regKlub_naziv,MATCH(INDEX(regKlub_alias_klubId,BN53),regKlub_id,0))))</f>
        <v>OK Varaždin</v>
      </c>
      <c r="BP53" s="31" t="str" cm="1">
        <f t="array" ref="BP53">IFERROR(""&amp;INDEX(regNatjecatelj_klub,DY53),"")</f>
        <v>OK Varaždin</v>
      </c>
      <c r="BQ53" s="88" t="str">
        <f t="shared" si="51"/>
        <v/>
      </c>
      <c r="BR53" s="66" t="str">
        <f t="shared" si="52"/>
        <v>OK Varaždin</v>
      </c>
      <c r="BS53" s="47" t="s">
        <v>0</v>
      </c>
      <c r="BT53" s="82" t="str">
        <f>IF(BN53&lt;&gt;"NEMA","",IF(IFERROR(MATCH(BL53,BL$12:BL52,0),0)&lt;&gt;0,"",BL53))</f>
        <v/>
      </c>
      <c r="BU53" s="47" t="s">
        <v>0</v>
      </c>
      <c r="BV53" s="125"/>
      <c r="BW53" s="47" t="s">
        <v>0</v>
      </c>
      <c r="BX53" s="58" t="str">
        <f t="shared" si="53"/>
        <v/>
      </c>
      <c r="BY53" s="31" t="str">
        <f t="shared" si="54"/>
        <v/>
      </c>
      <c r="BZ53" s="31" t="str">
        <f>IF(BY53="","",MAX(BZ$12:BZ52)+1)</f>
        <v/>
      </c>
      <c r="CA53" s="31" t="str">
        <f>IF(BY53="","",IF(AA53="","",IF(AA53="NEMA",AC53,AA53)))</f>
        <v/>
      </c>
      <c r="CB53" s="31" t="str">
        <f t="shared" si="55"/>
        <v/>
      </c>
      <c r="CC53" s="31" t="str">
        <f>IF(BV53="","",MAX(CC$12:CC52)+1)</f>
        <v/>
      </c>
      <c r="CD53" s="31" t="str">
        <f t="shared" si="56"/>
        <v/>
      </c>
      <c r="CE53" s="66" t="str">
        <f t="shared" si="57"/>
        <v/>
      </c>
      <c r="CF53" s="47" t="s">
        <v>0</v>
      </c>
      <c r="CG53" s="73" t="str">
        <f>IF(BN53="","",IF(BN53&lt;&gt;"NEMA","",IFERROR(INDEX(nat_klubAliasId,MATCH(BL53,nat_noviKluboviAliasi,0)),"")))</f>
        <v/>
      </c>
      <c r="CH53" s="47"/>
      <c r="CI53" s="19" t="str">
        <f t="shared" si="58"/>
        <v/>
      </c>
      <c r="CJ53" s="47" t="s">
        <v>0</v>
      </c>
      <c r="CK53" s="52" t="str">
        <f>IF(X53&lt;&gt;"NEMA","",IF(IFERROR(MATCH(W53,W$12:W52,0),0)&lt;&gt;0,"",W53))</f>
        <v/>
      </c>
      <c r="CL53" s="73" t="str">
        <f>IF(CK53="","",IFERROR(INDEX(regKlub_alias_id,MATCH(CK53,regKlub_alias_alias,0)),"NEMA"))</f>
        <v/>
      </c>
      <c r="CM53" s="31" t="str">
        <f>IF(OR(CL53="",CL53&lt;&gt;"NEMA"),"",MAX(CM$12:CM52)+1)</f>
        <v/>
      </c>
      <c r="CN53" s="66" t="str">
        <f>IF(OR(CL53="",CL53&lt;&gt;"NEMA"),"",INDEX(regKlub_id,MATCH(CK53,regKlub_naziv,0)))</f>
        <v/>
      </c>
      <c r="CO53" s="47" t="s">
        <v>0</v>
      </c>
      <c r="CP53" s="19" t="str">
        <f>IF(OR(CL53="",CL53&lt;&gt;"NEMA"),"","INSERT INTO klub_alias(id,alias,klub_id) VALUES ("&amp;CM53&amp;",'"&amp;CK53&amp;"',"&amp;CN53&amp;");")</f>
        <v/>
      </c>
      <c r="CQ53" s="47" t="s">
        <v>0</v>
      </c>
      <c r="CR53" s="143" t="str">
        <f>IF(BR53="","",IF(BV53="",IF(IFERROR(MATCH(BR53,nat_noviKluboviAliasi,0),0)&gt;0,INDEX(nat_kluboviAliasi,MATCH(BR53,nat_noviKluboviAliasi,0)),BR53),BV53))</f>
        <v>OK Varaždin</v>
      </c>
      <c r="CS53" s="47" t="s">
        <v>0</v>
      </c>
      <c r="CT53" s="58" t="str">
        <f>IF(G53="","",G53)</f>
        <v>157:07</v>
      </c>
      <c r="CU53" s="73" t="str">
        <f>IF(H53="","",H53)</f>
        <v>0</v>
      </c>
      <c r="CV53" s="229" t="str">
        <f>IF(CT53="",IF(OR(AL53="",CU53&lt;&gt;"0"),"","GREŠKA"),IF(AND(65535&gt;=VALUE(LEFT(CT53,SEARCH(":",CT53)-1))*60+VALUE(RIGHT(CT53,2)),OR(CU53="0",CU53="1",CU53="2",CU53="3",CU53="4")),"","GREŠKA"))</f>
        <v/>
      </c>
      <c r="CW53" s="230">
        <f t="shared" si="23"/>
        <v>9427</v>
      </c>
      <c r="CX53" s="163">
        <f t="shared" si="24"/>
        <v>1</v>
      </c>
      <c r="CY53" s="47" t="s">
        <v>0</v>
      </c>
      <c r="CZ53" s="222" t="str">
        <f>IF(CV53&lt;&gt;"GREŠKA","",AK53&amp;" "&amp;AL53&amp;" – Molim u OEventu provjeriti i ispraviti rezultat – vrijeme ("&amp;IF(CT53="","nije upisano",CT53)&amp;") i classifier ("&amp;CU53&amp;").")&amp;IF(OR(CV53&lt;&gt;"GREŠKA",CX53&lt;&gt;5),"
","")&amp;IF(CX53&lt;&gt;5,"",AK53&amp;" "&amp;AL53&amp;" – Molim u provjeriti je li natjecatelj zaista diskvalificiran. Ako je koje je obrazloženje, ako nije molim u OEventu ispraviti rezultat")</f>
        <v xml:space="preserve">
</v>
      </c>
      <c r="DA53" s="223">
        <f t="shared" si="60"/>
        <v>6</v>
      </c>
      <c r="DB53" s="47" t="s">
        <v>0</v>
      </c>
      <c r="DC53" s="47"/>
      <c r="DD53" s="47"/>
      <c r="DE53" s="47"/>
      <c r="DF53" s="47" t="s">
        <v>0</v>
      </c>
      <c r="DG53" s="53" t="str">
        <f>IF(BD53="","",IF(DI53="O",1,""))</f>
        <v/>
      </c>
      <c r="DH53" t="s">
        <v>0</v>
      </c>
      <c r="DI53" s="128" t="str">
        <f>IF(Q53="","",LEFT(INDEX(regKategorija_oznaka,MATCH(S53,regKategorija_id,0)),1))</f>
        <v>M</v>
      </c>
      <c r="DJ53" t="s">
        <v>0</v>
      </c>
      <c r="DK53" s="52" t="str">
        <f>IF(BD53="","",IF(M53&lt;&gt;"CRO","","INSERT INTO osoba (id,reg_broj,oib,spol_id,dat_rodjenja) VALUES ("&amp;BD53&amp;",(SELECT max(os.reg_broj)+1 FROM osoba AS os),Null,'"&amp;DI53&amp;"',Null); INSERT INTO osoba_log (id,reg_broj,oib,spol_id,dat_rodjenja,dnevnik_id) SELECT id,reg_broj,oib,spol_id,dat_rodjenja,"&amp;data_dnevnik_id&amp;" FROM osoba WHERE id = "&amp;BD53&amp;";"))</f>
        <v/>
      </c>
      <c r="DL53" s="66" t="str">
        <f>IF(BD53="","","INSERT INTO imeprezime (id,osoba_id,rbr,ime,prezime,klub_id,identitet_id,sintaksa_id,info,aktivno,dnevnik_id) VALUES ("&amp;BD53&amp;","&amp;IF(DK53="","Null",BD53)&amp;",1,'"&amp;IF(AV53&lt;&gt;"",AV53,AK53)&amp;"','"&amp;IF(AW53&lt;&gt;"",AW53,AL53)&amp;"',(SELECT id FROM klub WHERE naziv = '"&amp;CR53&amp;"'),Null,1,'',1,"&amp;data_dnevnik_id&amp;");")</f>
        <v/>
      </c>
      <c r="DM53" t="s">
        <v>0</v>
      </c>
      <c r="DN53" s="19" t="str">
        <f t="shared" si="69"/>
        <v/>
      </c>
      <c r="DO53" s="47" t="s">
        <v>0</v>
      </c>
      <c r="DP53" s="19" t="str">
        <f>IF(BA53="","","INSERT INTO imeprezime_alias(id,alias,imeprezime_id) VALUES ("&amp;BB53&amp;",'"&amp;BA53&amp;"',"&amp;IF(BC53="NEMA",BD53,BC53)&amp;");")</f>
        <v/>
      </c>
      <c r="DQ53" s="47" t="s">
        <v>0</v>
      </c>
      <c r="DR53" s="52" t="str">
        <f>IF(AL53="","",DU53 &amp; IF(Q53="",""," – " &amp; Q53))</f>
        <v>Ozren – Pevec – OK Varaždin – M20</v>
      </c>
      <c r="DS53" s="53">
        <f t="shared" si="26"/>
        <v>573</v>
      </c>
      <c r="DT53" s="47" t="s">
        <v>0</v>
      </c>
      <c r="DU53" s="52" t="str">
        <f>IF(AL53="","",DX53 &amp; IF(CR53="",""," – " &amp; CR53))</f>
        <v>Ozren – Pevec – OK Varaždin</v>
      </c>
      <c r="DV53" s="53">
        <f t="shared" si="27"/>
        <v>573</v>
      </c>
      <c r="DW53" s="47" t="s">
        <v>0</v>
      </c>
      <c r="DX53" s="52" t="str">
        <f>IF(BG53="","",BF53&amp;" – "&amp;BG53)</f>
        <v>Ozren – Pevec</v>
      </c>
      <c r="DY53" s="53">
        <f t="shared" si="28"/>
        <v>573</v>
      </c>
      <c r="DZ53" s="47" t="s">
        <v>0</v>
      </c>
      <c r="EA53" s="58">
        <f t="shared" si="61"/>
        <v>573</v>
      </c>
      <c r="EB53" s="53" cm="1">
        <f t="array" ref="EB53">IF(EA53&lt;&gt;"",INDEX(regNatjecatelj_id,EA53,0),IF(BD53&lt;&gt;"",BD53,""))</f>
        <v>1116</v>
      </c>
      <c r="EC53" s="47" t="s">
        <v>0</v>
      </c>
      <c r="ED53" s="58" t="str">
        <f>IF(AL53="","",IF(BD53&lt;&gt;"","novo",IF(AN53="","imepre","imepre(ali)")))</f>
        <v>imepre</v>
      </c>
      <c r="EE53" s="73" t="str">
        <f>IF(AL53="","",IF(BL53="",IF(IFERROR(INDEX(regNatjecatelj_klub,MATCH(EB53,regNatjecatelj_id,0)),"NEMA")="","klu",""),IF(OR(AND(BN53&lt;&gt;"",BN53&lt;&gt;"NEMA"),CD53&lt;&gt;""),"klu(ali)",IF(AND(BP53&lt;&gt;"",BP53&lt;&gt;BO53),"(raz-klu)","klu"))))</f>
        <v>klu</v>
      </c>
      <c r="EF53" s="73" t="str">
        <f>IF(AL53="","","kat"&amp;IF(AND(W53&lt;&gt;Q53,Q53&lt;&gt;"Open"),"(ali)",""))</f>
        <v>kat</v>
      </c>
      <c r="EG53" s="73" t="str">
        <f t="shared" si="29"/>
        <v/>
      </c>
      <c r="EH53" s="66" t="str">
        <f>IF(AL53="","",ED53&amp;IF(ED53="novo","","-"&amp;EE53&amp;"-"&amp;EF53)&amp;IF(EG53="","","-"&amp;EG53))</f>
        <v>imepre-klu-kat</v>
      </c>
      <c r="EI53" s="47" t="s">
        <v>0</v>
      </c>
      <c r="EJ53" s="58">
        <f>IF(AL53="","",MAX(EJ$12:EJ52)+1)</f>
        <v>227</v>
      </c>
      <c r="EK53" s="73">
        <f>IF(AO53="","",X53)</f>
        <v>26</v>
      </c>
      <c r="EL53" s="73">
        <f t="shared" si="62"/>
        <v>1116</v>
      </c>
      <c r="EM53" s="73">
        <f t="shared" si="30"/>
        <v>9427</v>
      </c>
      <c r="EN53" s="73">
        <f t="shared" si="31"/>
        <v>1</v>
      </c>
      <c r="EO53" s="73">
        <f t="shared" si="63"/>
        <v>1</v>
      </c>
      <c r="EP53" s="73">
        <f t="shared" si="64"/>
        <v>1</v>
      </c>
      <c r="EQ53" s="73" t="str">
        <f t="shared" si="34"/>
        <v>0</v>
      </c>
      <c r="ER53" s="73" t="str">
        <f>IF(OR(AN53="",AN53="NEMA"),BB53,AN53)</f>
        <v/>
      </c>
      <c r="ES53" s="73" t="str">
        <f>IF(AND(BN53&lt;&gt;"",BN53&lt;&gt;"NEMA"),BN53,IF(CG53&lt;&gt;"",CG53,IF(AND(CL53&lt;&gt;"",CL53&lt;&gt;"NEMA"),CL53,IF(CM53&lt;&gt;"",CM53,""))))</f>
        <v/>
      </c>
      <c r="ET53" s="53" t="str">
        <f>IF(INDEX(natKategorija_alias_Id,MATCH(S53,natKategorija_katRegId,0))="","",INDEX(natKategorija_alias_Id,MATCH(S53,natKategorija_katRegId,0)))</f>
        <v/>
      </c>
      <c r="EU53" s="47" t="s">
        <v>0</v>
      </c>
      <c r="EV53" s="19" t="str">
        <f t="shared" si="65"/>
        <v>INSERT INTO rezultat(id,stazakategorija_id,imeprezime_id,vrijeme_sec,status_id,registracija,uparivanje_id,originalstatus_id,imeprezimealias_id,klubalias_id,kategorijaalias_id) VALUES (227,26,1116,9427,1,1,1,0,Null,Null,Null);</v>
      </c>
      <c r="EW53" s="47" t="s">
        <v>0</v>
      </c>
      <c r="EX53" s="19" t="str">
        <f t="shared" si="66"/>
        <v>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Y53" s="47" t="s">
        <v>0</v>
      </c>
      <c r="EZ53" s="180" t="str">
        <f>AG53&amp;IF(CP53="","","
")&amp;CP53&amp;IF(CI53="","","
")&amp;CI53&amp;IF(DN53="","","
")&amp;DN53&amp;IF(DP53="","","
")&amp;DP53&amp;IF(EV53="","","
")&amp;EV53&amp;IF(EX53="","","
")&amp;EX53</f>
        <v xml:space="preserve">
INSERT INTO rezultat(id,stazakategorija_id,imeprezime_id,vrijeme_sec,status_id,registracija,uparivanje_id,originalstatus_id,imeprezimealias_id,klubalias_id,kategorijaalias_id) VALUES (227,26,1116,9427,1,1,1,0,Null,Null,Null);
UPDATE
	registar
SET
	potvrda = 1
WHERE
	imeprezime_id=1116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FA53" s="47" t="s">
        <v>0</v>
      </c>
    </row>
    <row r="54" spans="1:157" x14ac:dyDescent="0.25">
      <c r="A54" t="s">
        <v>0</v>
      </c>
      <c r="B54" s="52" t="str">
        <f>IF(csv!F44="","",csv!T44)</f>
        <v>M20</v>
      </c>
      <c r="C54" s="31" t="s">
        <v>0</v>
      </c>
      <c r="D54" s="31" t="str">
        <f>IF(csv!F44="","",csv!F44)</f>
        <v>Vacant</v>
      </c>
      <c r="E54" s="31" t="str">
        <f>IF(csv!E44="","",csv!E44)</f>
        <v/>
      </c>
      <c r="F54" s="31" t="s">
        <v>0</v>
      </c>
      <c r="G54" s="73" t="str">
        <f>IF(csv!M44="","",csv!M44)</f>
        <v/>
      </c>
      <c r="H54" s="73" t="str">
        <f>IF(csv!N44="","",csv!N44)</f>
        <v>0</v>
      </c>
      <c r="I54" s="31" t="s">
        <v>0</v>
      </c>
      <c r="J54" s="31" t="str">
        <f>IF(csv!P44="","",csv!P44)</f>
        <v/>
      </c>
      <c r="K54" s="31" t="str">
        <f>IF(csv!Q44="","",csv!Q44)</f>
        <v/>
      </c>
      <c r="L54" s="31" t="s">
        <v>0</v>
      </c>
      <c r="M54" s="66" t="str">
        <f>IF(csv!R44="","",csv!R44)</f>
        <v/>
      </c>
      <c r="N54" s="47" t="s">
        <v>0</v>
      </c>
      <c r="O54" s="243" t="str">
        <f t="shared" si="36"/>
        <v/>
      </c>
      <c r="P54" s="47"/>
      <c r="Q54" s="52" t="str">
        <f t="shared" si="37"/>
        <v>M20</v>
      </c>
      <c r="R54" s="73">
        <f>IF(Q54="","",IF(COUNTIF(Q$12:Q53,Q54)=0,R53+1,R53))</f>
        <v>4</v>
      </c>
      <c r="S54" s="73">
        <f t="shared" si="38"/>
        <v>109</v>
      </c>
      <c r="T54" s="73">
        <f t="shared" si="1"/>
        <v>20</v>
      </c>
      <c r="U54" s="66" t="str">
        <f t="shared" si="2"/>
        <v>M20</v>
      </c>
      <c r="V54" s="47" t="s">
        <v>0</v>
      </c>
      <c r="W54" s="222" t="str">
        <f t="shared" si="3"/>
        <v/>
      </c>
      <c r="X54" s="223" t="str">
        <f t="shared" si="4"/>
        <v/>
      </c>
      <c r="Y54" s="47" t="s">
        <v>0</v>
      </c>
      <c r="Z54" s="52" t="str">
        <f t="shared" si="39"/>
        <v/>
      </c>
      <c r="AA54" s="73" t="str">
        <f t="shared" si="5"/>
        <v/>
      </c>
      <c r="AB54" s="31" t="str">
        <f t="shared" si="40"/>
        <v/>
      </c>
      <c r="AC54" s="66" t="str">
        <f>IF(AB54="","",MAX(AC$12:AC53)+1)</f>
        <v/>
      </c>
      <c r="AD54" s="47" t="s">
        <v>0</v>
      </c>
      <c r="AE54" s="125"/>
      <c r="AF54" s="47" t="s">
        <v>0</v>
      </c>
      <c r="AG54" s="19" t="str">
        <f t="shared" si="41"/>
        <v/>
      </c>
      <c r="AH54" s="47" t="s">
        <v>0</v>
      </c>
      <c r="AI54" s="143" t="str">
        <f t="shared" si="42"/>
        <v/>
      </c>
      <c r="AJ54" s="47"/>
      <c r="AK54" s="52" t="str">
        <f t="shared" si="43"/>
        <v/>
      </c>
      <c r="AL54" s="31" t="str">
        <f t="shared" si="44"/>
        <v/>
      </c>
      <c r="AM54" s="73" t="str">
        <f t="shared" si="45"/>
        <v/>
      </c>
      <c r="AN54" s="73" t="str">
        <f t="shared" si="46"/>
        <v/>
      </c>
      <c r="AO54" s="31" t="str">
        <f t="shared" si="8"/>
        <v/>
      </c>
      <c r="AP54" s="66" t="str">
        <f t="shared" si="9"/>
        <v/>
      </c>
      <c r="AQ54" s="47" t="s">
        <v>0</v>
      </c>
      <c r="AR54" s="82" t="str">
        <f t="shared" si="47"/>
        <v/>
      </c>
      <c r="AS54" s="47" t="s">
        <v>0</v>
      </c>
      <c r="AT54" s="19" t="str">
        <f t="shared" si="48"/>
        <v/>
      </c>
      <c r="AU54" s="47" t="s">
        <v>0</v>
      </c>
      <c r="AV54" s="103"/>
      <c r="AW54" s="105"/>
      <c r="AX54" s="47" t="s">
        <v>0</v>
      </c>
      <c r="AY54" s="256" t="str">
        <f t="shared" si="68"/>
        <v/>
      </c>
      <c r="AZ54" s="47" t="s">
        <v>0</v>
      </c>
      <c r="BA54" s="52" t="str">
        <f t="shared" si="11"/>
        <v/>
      </c>
      <c r="BB54" s="73" t="str">
        <f>IF(AV54&amp;AW54="","",MAX(BB$12:BB53)+1)</f>
        <v/>
      </c>
      <c r="BC54" s="268" t="str">
        <f t="shared" si="12"/>
        <v/>
      </c>
      <c r="BD54" s="53" t="str">
        <f>IF(AND(AM54="NEMA",AN54="NEMA",OR(AV54&amp;AW54="",BC54="NEMA")),MAX(BD$12:BD53)+1,"")</f>
        <v/>
      </c>
      <c r="BE54" s="47" t="s">
        <v>0</v>
      </c>
      <c r="BF54" s="52" t="str">
        <f t="shared" si="13"/>
        <v/>
      </c>
      <c r="BG54" s="31" t="str">
        <f t="shared" si="14"/>
        <v/>
      </c>
      <c r="BH54" s="73" t="str">
        <f t="shared" si="49"/>
        <v/>
      </c>
      <c r="BI54" s="53" t="str">
        <f t="shared" si="50"/>
        <v/>
      </c>
      <c r="BJ54" s="47" t="s">
        <v>0</v>
      </c>
      <c r="BK54" s="52" t="str">
        <f t="shared" si="15"/>
        <v/>
      </c>
      <c r="BL54" s="31" t="str">
        <f t="shared" si="16"/>
        <v/>
      </c>
      <c r="BM54" s="73" t="str">
        <f t="shared" si="17"/>
        <v/>
      </c>
      <c r="BN54" s="73" t="str">
        <f t="shared" si="18"/>
        <v/>
      </c>
      <c r="BO54" s="31" t="str" cm="1">
        <f t="array" ref="BO54">IF(BN54="",""&amp;BL54,IF(BN54="NEMA",BL54,INDEX(regKlub_naziv,MATCH(INDEX(regKlub_alias_klubId,BN54),regKlub_id,0))))</f>
        <v/>
      </c>
      <c r="BP54" s="31" t="str" cm="1">
        <f t="array" ref="BP54">IFERROR(""&amp;INDEX(regNatjecatelj_klub,DY54),"")</f>
        <v/>
      </c>
      <c r="BQ54" s="88" t="str">
        <f t="shared" si="51"/>
        <v/>
      </c>
      <c r="BR54" s="66" t="str">
        <f t="shared" si="52"/>
        <v/>
      </c>
      <c r="BS54" s="47" t="s">
        <v>0</v>
      </c>
      <c r="BT54" s="82" t="str">
        <f>IF(BN54&lt;&gt;"NEMA","",IF(IFERROR(MATCH(BL54,BL$12:BL53,0),0)&lt;&gt;0,"",BL54))</f>
        <v/>
      </c>
      <c r="BU54" s="47" t="s">
        <v>0</v>
      </c>
      <c r="BV54" s="125"/>
      <c r="BW54" s="47" t="s">
        <v>0</v>
      </c>
      <c r="BX54" s="58" t="str">
        <f t="shared" si="53"/>
        <v/>
      </c>
      <c r="BY54" s="31" t="str">
        <f t="shared" si="54"/>
        <v/>
      </c>
      <c r="BZ54" s="31" t="str">
        <f>IF(BY54="","",MAX(BZ$12:BZ53)+1)</f>
        <v/>
      </c>
      <c r="CA54" s="31" t="str">
        <f>IF(BY54="","",IF(AA54="","",IF(AA54="NEMA",AC54,AA54)))</f>
        <v/>
      </c>
      <c r="CB54" s="31" t="str">
        <f t="shared" si="55"/>
        <v/>
      </c>
      <c r="CC54" s="31" t="str">
        <f>IF(BV54="","",MAX(CC$12:CC53)+1)</f>
        <v/>
      </c>
      <c r="CD54" s="31" t="str">
        <f t="shared" si="56"/>
        <v/>
      </c>
      <c r="CE54" s="66" t="str">
        <f t="shared" si="57"/>
        <v/>
      </c>
      <c r="CF54" s="47" t="s">
        <v>0</v>
      </c>
      <c r="CG54" s="73" t="str">
        <f>IF(BN54="","",IF(BN54&lt;&gt;"NEMA","",IFERROR(INDEX(nat_klubAliasId,MATCH(BL54,nat_noviKluboviAliasi,0)),"")))</f>
        <v/>
      </c>
      <c r="CH54" s="47"/>
      <c r="CI54" s="19" t="str">
        <f t="shared" si="58"/>
        <v/>
      </c>
      <c r="CJ54" s="47" t="s">
        <v>0</v>
      </c>
      <c r="CK54" s="52" t="str">
        <f>IF(X54&lt;&gt;"NEMA","",IF(IFERROR(MATCH(W54,W$12:W53,0),0)&lt;&gt;0,"",W54))</f>
        <v/>
      </c>
      <c r="CL54" s="73" t="str">
        <f>IF(CK54="","",IFERROR(INDEX(regKlub_alias_id,MATCH(CK54,regKlub_alias_alias,0)),"NEMA"))</f>
        <v/>
      </c>
      <c r="CM54" s="31" t="str">
        <f>IF(OR(CL54="",CL54&lt;&gt;"NEMA"),"",MAX(CM$12:CM53)+1)</f>
        <v/>
      </c>
      <c r="CN54" s="66" t="str">
        <f>IF(OR(CL54="",CL54&lt;&gt;"NEMA"),"",INDEX(regKlub_id,MATCH(CK54,regKlub_naziv,0)))</f>
        <v/>
      </c>
      <c r="CO54" s="47" t="s">
        <v>0</v>
      </c>
      <c r="CP54" s="19" t="str">
        <f>IF(OR(CL54="",CL54&lt;&gt;"NEMA"),"","INSERT INTO klub_alias(id,alias,klub_id) VALUES ("&amp;CM54&amp;",'"&amp;CK54&amp;"',"&amp;CN54&amp;");")</f>
        <v/>
      </c>
      <c r="CQ54" s="47" t="s">
        <v>0</v>
      </c>
      <c r="CR54" s="143" t="str">
        <f>IF(BR54="","",IF(BV54="",IF(IFERROR(MATCH(BR54,nat_noviKluboviAliasi,0),0)&gt;0,INDEX(nat_kluboviAliasi,MATCH(BR54,nat_noviKluboviAliasi,0)),BR54),BV54))</f>
        <v/>
      </c>
      <c r="CS54" s="47" t="s">
        <v>0</v>
      </c>
      <c r="CT54" s="58" t="str">
        <f>IF(G54="","",G54)</f>
        <v/>
      </c>
      <c r="CU54" s="73" t="str">
        <f>IF(H54="","",H54)</f>
        <v>0</v>
      </c>
      <c r="CV54" s="229" t="str">
        <f>IF(CT54="",IF(OR(AL54="",CU54&lt;&gt;"0"),"","GREŠKA"),IF(AND(65535&gt;=VALUE(LEFT(CT54,SEARCH(":",CT54)-1))*60+VALUE(RIGHT(CT54,2)),OR(CU54="0",CU54="1",CU54="2",CU54="3",CU54="4")),"","GREŠKA"))</f>
        <v/>
      </c>
      <c r="CW54" s="230" t="str">
        <f t="shared" si="23"/>
        <v/>
      </c>
      <c r="CX54" s="163" t="str">
        <f t="shared" si="24"/>
        <v/>
      </c>
      <c r="CY54" s="47" t="s">
        <v>0</v>
      </c>
      <c r="CZ54" s="222" t="str">
        <f>IF(CV54&lt;&gt;"GREŠKA","",AK54&amp;" "&amp;AL54&amp;" – Molim u OEventu provjeriti i ispraviti rezultat – vrijeme ("&amp;IF(CT54="","nije upisano",CT54)&amp;") i classifier ("&amp;CU54&amp;").")&amp;IF(OR(CV54&lt;&gt;"GREŠKA",CX54&lt;&gt;5),"
","")&amp;IF(CX54&lt;&gt;5,"",AK54&amp;" "&amp;AL54&amp;" – Molim u provjeriti je li natjecatelj zaista diskvalificiran. Ako je koje je obrazloženje, ako nije molim u OEventu ispraviti rezultat")</f>
        <v xml:space="preserve">
</v>
      </c>
      <c r="DA54" s="223" t="str">
        <f t="shared" si="60"/>
        <v/>
      </c>
      <c r="DB54" s="47" t="s">
        <v>0</v>
      </c>
      <c r="DC54" s="47"/>
      <c r="DD54" s="47"/>
      <c r="DE54" s="47"/>
      <c r="DF54" s="47" t="s">
        <v>0</v>
      </c>
      <c r="DG54" s="53" t="str">
        <f>IF(BD54="","",IF(DI54="O",1,""))</f>
        <v/>
      </c>
      <c r="DH54" t="s">
        <v>0</v>
      </c>
      <c r="DI54" s="128" t="str">
        <f>IF(Q54="","",LEFT(INDEX(regKategorija_oznaka,MATCH(S54,regKategorija_id,0)),1))</f>
        <v>M</v>
      </c>
      <c r="DJ54" t="s">
        <v>0</v>
      </c>
      <c r="DK54" s="52" t="str">
        <f>IF(BD54="","",IF(M54&lt;&gt;"CRO","","INSERT INTO osoba (id,reg_broj,oib,spol_id,dat_rodjenja) VALUES ("&amp;BD54&amp;",(SELECT max(os.reg_broj)+1 FROM osoba AS os),Null,'"&amp;DI54&amp;"',Null); INSERT INTO osoba_log (id,reg_broj,oib,spol_id,dat_rodjenja,dnevnik_id) SELECT id,reg_broj,oib,spol_id,dat_rodjenja,"&amp;data_dnevnik_id&amp;" FROM osoba WHERE id = "&amp;BD54&amp;";"))</f>
        <v/>
      </c>
      <c r="DL54" s="66" t="str">
        <f>IF(BD54="","","INSERT INTO imeprezime (id,osoba_id,rbr,ime,prezime,klub_id,identitet_id,sintaksa_id,info,aktivno,dnevnik_id) VALUES ("&amp;BD54&amp;","&amp;IF(DK54="","Null",BD54)&amp;",1,'"&amp;IF(AV54&lt;&gt;"",AV54,AK54)&amp;"','"&amp;IF(AW54&lt;&gt;"",AW54,AL54)&amp;"',(SELECT id FROM klub WHERE naziv = '"&amp;CR54&amp;"'),Null,1,'',1,"&amp;data_dnevnik_id&amp;");")</f>
        <v/>
      </c>
      <c r="DM54" t="s">
        <v>0</v>
      </c>
      <c r="DN54" s="19" t="str">
        <f t="shared" si="69"/>
        <v/>
      </c>
      <c r="DO54" s="47" t="s">
        <v>0</v>
      </c>
      <c r="DP54" s="19" t="str">
        <f>IF(BA54="","","INSERT INTO imeprezime_alias(id,alias,imeprezime_id) VALUES ("&amp;BB54&amp;",'"&amp;BA54&amp;"',"&amp;IF(BC54="NEMA",BD54,BC54)&amp;");")</f>
        <v/>
      </c>
      <c r="DQ54" s="47" t="s">
        <v>0</v>
      </c>
      <c r="DR54" s="52" t="str">
        <f>IF(AL54="","",DU54 &amp; IF(Q54="",""," – " &amp; Q54))</f>
        <v/>
      </c>
      <c r="DS54" s="53" t="str">
        <f t="shared" si="26"/>
        <v/>
      </c>
      <c r="DT54" s="47" t="s">
        <v>0</v>
      </c>
      <c r="DU54" s="52" t="str">
        <f>IF(AL54="","",DX54 &amp; IF(CR54="",""," – " &amp; CR54))</f>
        <v/>
      </c>
      <c r="DV54" s="53" t="str">
        <f t="shared" si="27"/>
        <v/>
      </c>
      <c r="DW54" s="47" t="s">
        <v>0</v>
      </c>
      <c r="DX54" s="52" t="str">
        <f>IF(BG54="","",BF54&amp;" – "&amp;BG54)</f>
        <v/>
      </c>
      <c r="DY54" s="53" t="str">
        <f t="shared" si="28"/>
        <v/>
      </c>
      <c r="DZ54" s="47" t="s">
        <v>0</v>
      </c>
      <c r="EA54" s="58" t="str">
        <f t="shared" si="61"/>
        <v/>
      </c>
      <c r="EB54" s="53" t="str" cm="1">
        <f t="array" ref="EB54">IF(EA54&lt;&gt;"",INDEX(regNatjecatelj_id,EA54,0),IF(BD54&lt;&gt;"",BD54,""))</f>
        <v/>
      </c>
      <c r="EC54" s="47" t="s">
        <v>0</v>
      </c>
      <c r="ED54" s="58" t="str">
        <f>IF(AL54="","",IF(BD54&lt;&gt;"","novo",IF(AN54="","imepre","imepre(ali)")))</f>
        <v/>
      </c>
      <c r="EE54" s="73" t="str">
        <f>IF(AL54="","",IF(BL54="",IF(IFERROR(INDEX(regNatjecatelj_klub,MATCH(EB54,regNatjecatelj_id,0)),"NEMA")="","klu",""),IF(OR(AND(BN54&lt;&gt;"",BN54&lt;&gt;"NEMA"),CD54&lt;&gt;""),"klu(ali)",IF(AND(BP54&lt;&gt;"",BP54&lt;&gt;BO54),"(raz-klu)","klu"))))</f>
        <v/>
      </c>
      <c r="EF54" s="73" t="str">
        <f>IF(AL54="","","kat"&amp;IF(AND(W54&lt;&gt;Q54,Q54&lt;&gt;"Open"),"(ali)",""))</f>
        <v/>
      </c>
      <c r="EG54" s="73" t="str">
        <f t="shared" si="29"/>
        <v/>
      </c>
      <c r="EH54" s="66" t="str">
        <f>IF(AL54="","",ED54&amp;IF(ED54="novo","","-"&amp;EE54&amp;"-"&amp;EF54)&amp;IF(EG54="","","-"&amp;EG54))</f>
        <v/>
      </c>
      <c r="EI54" s="47" t="s">
        <v>0</v>
      </c>
      <c r="EJ54" s="58" t="str">
        <f>IF(AL54="","",MAX(EJ$12:EJ53)+1)</f>
        <v/>
      </c>
      <c r="EK54" s="73" t="str">
        <f>IF(AO54="","",X54)</f>
        <v/>
      </c>
      <c r="EL54" s="73" t="str">
        <f t="shared" si="62"/>
        <v/>
      </c>
      <c r="EM54" s="73" t="str">
        <f t="shared" si="30"/>
        <v/>
      </c>
      <c r="EN54" s="73" t="str">
        <f t="shared" si="31"/>
        <v/>
      </c>
      <c r="EO54" s="73" t="str">
        <f t="shared" si="63"/>
        <v/>
      </c>
      <c r="EP54" s="73" t="str">
        <f t="shared" si="64"/>
        <v/>
      </c>
      <c r="EQ54" s="73" t="str">
        <f t="shared" si="34"/>
        <v/>
      </c>
      <c r="ER54" s="73" t="str">
        <f>IF(OR(AN54="",AN54="NEMA"),BB54,AN54)</f>
        <v/>
      </c>
      <c r="ES54" s="73" t="str">
        <f>IF(AND(BN54&lt;&gt;"",BN54&lt;&gt;"NEMA"),BN54,IF(CG54&lt;&gt;"",CG54,IF(AND(CL54&lt;&gt;"",CL54&lt;&gt;"NEMA"),CL54,IF(CM54&lt;&gt;"",CM54,""))))</f>
        <v/>
      </c>
      <c r="ET54" s="53" t="str">
        <f>IF(INDEX(natKategorija_alias_Id,MATCH(S54,natKategorija_katRegId,0))="","",INDEX(natKategorija_alias_Id,MATCH(S54,natKategorija_katRegId,0)))</f>
        <v/>
      </c>
      <c r="EU54" s="47" t="s">
        <v>0</v>
      </c>
      <c r="EV54" s="19" t="str">
        <f t="shared" si="65"/>
        <v/>
      </c>
      <c r="EW54" s="47" t="s">
        <v>0</v>
      </c>
      <c r="EX54" s="19" t="str">
        <f t="shared" si="66"/>
        <v/>
      </c>
      <c r="EY54" s="47" t="s">
        <v>0</v>
      </c>
      <c r="EZ54" s="180" t="str">
        <f>AG54&amp;IF(CP54="","","
")&amp;CP54&amp;IF(CI54="","","
")&amp;CI54&amp;IF(DN54="","","
")&amp;DN54&amp;IF(DP54="","","
")&amp;DP54&amp;IF(EV54="","","
")&amp;EV54&amp;IF(EX54="","","
")&amp;EX54</f>
        <v/>
      </c>
      <c r="FA54" s="47" t="s">
        <v>0</v>
      </c>
    </row>
    <row r="55" spans="1:157" x14ac:dyDescent="0.25">
      <c r="A55" t="s">
        <v>0</v>
      </c>
      <c r="B55" s="52" t="str">
        <f>IF(csv!F45="","",csv!T45)</f>
        <v>M20</v>
      </c>
      <c r="C55" s="31" t="s">
        <v>0</v>
      </c>
      <c r="D55" s="31" t="str">
        <f>IF(csv!F45="","",csv!F45)</f>
        <v>Antonio</v>
      </c>
      <c r="E55" s="31" t="str">
        <f>IF(csv!E45="","",csv!E45)</f>
        <v>Cindrić</v>
      </c>
      <c r="F55" s="31" t="s">
        <v>0</v>
      </c>
      <c r="G55" s="73" t="str">
        <f>IF(csv!M45="","",csv!M45)</f>
        <v/>
      </c>
      <c r="H55" s="73" t="str">
        <f>IF(csv!N45="","",csv!N45)</f>
        <v>2</v>
      </c>
      <c r="I55" s="31" t="s">
        <v>0</v>
      </c>
      <c r="J55" s="31" t="str">
        <f>IF(csv!P45="","",csv!P45)</f>
        <v>OK Jelen</v>
      </c>
      <c r="K55" s="31" t="str">
        <f>IF(csv!Q45="","",csv!Q45)</f>
        <v>OK Jelen</v>
      </c>
      <c r="L55" s="31" t="s">
        <v>0</v>
      </c>
      <c r="M55" s="66" t="str">
        <f>IF(csv!R45="","",csv!R45)</f>
        <v>CRO</v>
      </c>
      <c r="N55" s="47" t="s">
        <v>0</v>
      </c>
      <c r="O55" s="243" t="str">
        <f t="shared" si="36"/>
        <v>ok</v>
      </c>
      <c r="P55" s="47"/>
      <c r="Q55" s="52" t="str">
        <f t="shared" si="37"/>
        <v>M20</v>
      </c>
      <c r="R55" s="73">
        <f>IF(Q55="","",IF(COUNTIF(Q$12:Q54,Q55)=0,R54+1,R54))</f>
        <v>4</v>
      </c>
      <c r="S55" s="73">
        <f t="shared" si="38"/>
        <v>109</v>
      </c>
      <c r="T55" s="73">
        <f t="shared" si="1"/>
        <v>20</v>
      </c>
      <c r="U55" s="66" t="str">
        <f t="shared" si="2"/>
        <v>M20</v>
      </c>
      <c r="V55" s="47" t="s">
        <v>0</v>
      </c>
      <c r="W55" s="222" t="str">
        <f t="shared" si="3"/>
        <v>M20</v>
      </c>
      <c r="X55" s="223">
        <f t="shared" si="4"/>
        <v>26</v>
      </c>
      <c r="Y55" s="47" t="s">
        <v>0</v>
      </c>
      <c r="Z55" s="52" t="str">
        <f t="shared" si="39"/>
        <v>CRO</v>
      </c>
      <c r="AA55" s="73">
        <f t="shared" si="5"/>
        <v>1</v>
      </c>
      <c r="AB55" s="31" t="str">
        <f t="shared" si="40"/>
        <v/>
      </c>
      <c r="AC55" s="66" t="str">
        <f>IF(AB55="","",MAX(AC$12:AC54)+1)</f>
        <v/>
      </c>
      <c r="AD55" s="47" t="s">
        <v>0</v>
      </c>
      <c r="AE55" s="125"/>
      <c r="AF55" s="47" t="s">
        <v>0</v>
      </c>
      <c r="AG55" s="19" t="str">
        <f t="shared" si="41"/>
        <v/>
      </c>
      <c r="AH55" s="47" t="s">
        <v>0</v>
      </c>
      <c r="AI55" s="143" t="str">
        <f t="shared" si="42"/>
        <v>CRO</v>
      </c>
      <c r="AJ55" s="47"/>
      <c r="AK55" s="52" t="str">
        <f t="shared" si="43"/>
        <v>Antonio</v>
      </c>
      <c r="AL55" s="31" t="str">
        <f t="shared" si="44"/>
        <v>Cindrić</v>
      </c>
      <c r="AM55" s="73">
        <f t="shared" si="45"/>
        <v>1311</v>
      </c>
      <c r="AN55" s="73" t="str">
        <f t="shared" si="46"/>
        <v/>
      </c>
      <c r="AO55" s="31" t="str">
        <f t="shared" si="8"/>
        <v>Antonio</v>
      </c>
      <c r="AP55" s="66" t="str">
        <f t="shared" si="9"/>
        <v>Cindrić</v>
      </c>
      <c r="AQ55" s="47" t="s">
        <v>0</v>
      </c>
      <c r="AR55" s="82" t="str">
        <f t="shared" si="47"/>
        <v/>
      </c>
      <c r="AS55" s="47" t="s">
        <v>0</v>
      </c>
      <c r="AT55" s="19" t="str">
        <f t="shared" si="48"/>
        <v/>
      </c>
      <c r="AU55" s="47" t="s">
        <v>0</v>
      </c>
      <c r="AV55" s="103"/>
      <c r="AW55" s="105"/>
      <c r="AX55" s="47" t="s">
        <v>0</v>
      </c>
      <c r="AY55" s="256" t="str">
        <f t="shared" si="68"/>
        <v/>
      </c>
      <c r="AZ55" s="47" t="s">
        <v>0</v>
      </c>
      <c r="BA55" s="52" t="str">
        <f t="shared" si="11"/>
        <v/>
      </c>
      <c r="BB55" s="73" t="str">
        <f>IF(AV55&amp;AW55="","",MAX(BB$12:BB54)+1)</f>
        <v/>
      </c>
      <c r="BC55" s="268" t="str">
        <f t="shared" si="12"/>
        <v/>
      </c>
      <c r="BD55" s="53" t="str">
        <f>IF(AND(AM55="NEMA",AN55="NEMA",OR(AV55&amp;AW55="",BC55="NEMA")),MAX(BD$12:BD54)+1,"")</f>
        <v/>
      </c>
      <c r="BE55" s="47" t="s">
        <v>0</v>
      </c>
      <c r="BF55" s="52" t="str">
        <f t="shared" si="13"/>
        <v>Antonio</v>
      </c>
      <c r="BG55" s="31" t="str">
        <f t="shared" si="14"/>
        <v>Cindrić</v>
      </c>
      <c r="BH55" s="73" t="str">
        <f t="shared" si="49"/>
        <v/>
      </c>
      <c r="BI55" s="53">
        <f t="shared" si="50"/>
        <v>1311</v>
      </c>
      <c r="BJ55" s="47" t="s">
        <v>0</v>
      </c>
      <c r="BK55" s="52" t="str">
        <f t="shared" si="15"/>
        <v>OK Jelen</v>
      </c>
      <c r="BL55" s="31" t="str">
        <f t="shared" si="16"/>
        <v>OK Jelen</v>
      </c>
      <c r="BM55" s="73">
        <f t="shared" si="17"/>
        <v>4</v>
      </c>
      <c r="BN55" s="73" t="str">
        <f t="shared" si="18"/>
        <v/>
      </c>
      <c r="BO55" s="31" t="str" cm="1">
        <f t="array" ref="BO55">IF(BN55="",""&amp;BL55,IF(BN55="NEMA",BL55,INDEX(regKlub_naziv,MATCH(INDEX(regKlub_alias_klubId,BN55),regKlub_id,0))))</f>
        <v>OK Jelen</v>
      </c>
      <c r="BP55" s="31" t="str" cm="1">
        <f t="array" ref="BP55">IFERROR(""&amp;INDEX(regNatjecatelj_klub,DY55),"")</f>
        <v>OK Jelen</v>
      </c>
      <c r="BQ55" s="88" t="str">
        <f t="shared" si="51"/>
        <v/>
      </c>
      <c r="BR55" s="66" t="str">
        <f t="shared" si="52"/>
        <v>OK Jelen</v>
      </c>
      <c r="BS55" s="47" t="s">
        <v>0</v>
      </c>
      <c r="BT55" s="82" t="str">
        <f>IF(BN55&lt;&gt;"NEMA","",IF(IFERROR(MATCH(BL55,BL$12:BL54,0),0)&lt;&gt;0,"",BL55))</f>
        <v/>
      </c>
      <c r="BU55" s="47" t="s">
        <v>0</v>
      </c>
      <c r="BV55" s="125"/>
      <c r="BW55" s="47" t="s">
        <v>0</v>
      </c>
      <c r="BX55" s="58" t="str">
        <f t="shared" si="53"/>
        <v/>
      </c>
      <c r="BY55" s="31" t="str">
        <f t="shared" si="54"/>
        <v/>
      </c>
      <c r="BZ55" s="31" t="str">
        <f>IF(BY55="","",MAX(BZ$12:BZ54)+1)</f>
        <v/>
      </c>
      <c r="CA55" s="31" t="str">
        <f>IF(BY55="","",IF(AA55="","",IF(AA55="NEMA",AC55,AA55)))</f>
        <v/>
      </c>
      <c r="CB55" s="31" t="str">
        <f t="shared" si="55"/>
        <v/>
      </c>
      <c r="CC55" s="31" t="str">
        <f>IF(BV55="","",MAX(CC$12:CC54)+1)</f>
        <v/>
      </c>
      <c r="CD55" s="31" t="str">
        <f t="shared" si="56"/>
        <v/>
      </c>
      <c r="CE55" s="66" t="str">
        <f t="shared" si="57"/>
        <v/>
      </c>
      <c r="CF55" s="47" t="s">
        <v>0</v>
      </c>
      <c r="CG55" s="73" t="str">
        <f>IF(BN55="","",IF(BN55&lt;&gt;"NEMA","",IFERROR(INDEX(nat_klubAliasId,MATCH(BL55,nat_noviKluboviAliasi,0)),"")))</f>
        <v/>
      </c>
      <c r="CH55" s="47"/>
      <c r="CI55" s="19" t="str">
        <f t="shared" si="58"/>
        <v/>
      </c>
      <c r="CJ55" s="47" t="s">
        <v>0</v>
      </c>
      <c r="CK55" s="52" t="str">
        <f>IF(X55&lt;&gt;"NEMA","",IF(IFERROR(MATCH(W55,W$12:W54,0),0)&lt;&gt;0,"",W55))</f>
        <v/>
      </c>
      <c r="CL55" s="73" t="str">
        <f>IF(CK55="","",IFERROR(INDEX(regKlub_alias_id,MATCH(CK55,regKlub_alias_alias,0)),"NEMA"))</f>
        <v/>
      </c>
      <c r="CM55" s="31" t="str">
        <f>IF(OR(CL55="",CL55&lt;&gt;"NEMA"),"",MAX(CM$12:CM54)+1)</f>
        <v/>
      </c>
      <c r="CN55" s="66" t="str">
        <f>IF(OR(CL55="",CL55&lt;&gt;"NEMA"),"",INDEX(regKlub_id,MATCH(CK55,regKlub_naziv,0)))</f>
        <v/>
      </c>
      <c r="CO55" s="47" t="s">
        <v>0</v>
      </c>
      <c r="CP55" s="19" t="str">
        <f>IF(OR(CL55="",CL55&lt;&gt;"NEMA"),"","INSERT INTO klub_alias(id,alias,klub_id) VALUES ("&amp;CM55&amp;",'"&amp;CK55&amp;"',"&amp;CN55&amp;");")</f>
        <v/>
      </c>
      <c r="CQ55" s="47" t="s">
        <v>0</v>
      </c>
      <c r="CR55" s="143" t="str">
        <f>IF(BR55="","",IF(BV55="",IF(IFERROR(MATCH(BR55,nat_noviKluboviAliasi,0),0)&gt;0,INDEX(nat_kluboviAliasi,MATCH(BR55,nat_noviKluboviAliasi,0)),BR55),BV55))</f>
        <v>OK Jelen</v>
      </c>
      <c r="CS55" s="47" t="s">
        <v>0</v>
      </c>
      <c r="CT55" s="58" t="str">
        <f>IF(G55="","",G55)</f>
        <v/>
      </c>
      <c r="CU55" s="73" t="str">
        <f>IF(H55="","",H55)</f>
        <v>2</v>
      </c>
      <c r="CV55" s="229" t="str">
        <f>IF(CT55="",IF(OR(AL55="",CU55&lt;&gt;"0"),"","GREŠKA"),IF(AND(65535&gt;=VALUE(LEFT(CT55,SEARCH(":",CT55)-1))*60+VALUE(RIGHT(CT55,2)),OR(CU55="0",CU55="1",CU55="2",CU55="3",CU55="4")),"","GREŠKA"))</f>
        <v/>
      </c>
      <c r="CW55" s="230" t="str">
        <f t="shared" si="23"/>
        <v/>
      </c>
      <c r="CX55" s="163">
        <f t="shared" si="24"/>
        <v>4</v>
      </c>
      <c r="CY55" s="47" t="s">
        <v>0</v>
      </c>
      <c r="CZ55" s="222" t="str">
        <f>IF(CV55&lt;&gt;"GREŠKA","",AK55&amp;" "&amp;AL55&amp;" – Molim u OEventu provjeriti i ispraviti rezultat – vrijeme ("&amp;IF(CT55="","nije upisano",CT55)&amp;") i classifier ("&amp;CU55&amp;").")&amp;IF(OR(CV55&lt;&gt;"GREŠKA",CX55&lt;&gt;5),"
","")&amp;IF(CX55&lt;&gt;5,"",AK55&amp;" "&amp;AL55&amp;" – Molim u provjeriti je li natjecatelj zaista diskvalificiran. Ako je koje je obrazloženje, ako nije molim u OEventu ispraviti rezultat")</f>
        <v xml:space="preserve">
</v>
      </c>
      <c r="DA55" s="223">
        <f t="shared" si="60"/>
        <v>5</v>
      </c>
      <c r="DB55" s="47" t="s">
        <v>0</v>
      </c>
      <c r="DC55" s="47"/>
      <c r="DD55" s="47"/>
      <c r="DE55" s="47"/>
      <c r="DF55" s="47" t="s">
        <v>0</v>
      </c>
      <c r="DG55" s="53" t="str">
        <f>IF(BD55="","",IF(DI55="O",1,""))</f>
        <v/>
      </c>
      <c r="DH55" t="s">
        <v>0</v>
      </c>
      <c r="DI55" s="128" t="str">
        <f>IF(Q55="","",LEFT(INDEX(regKategorija_oznaka,MATCH(S55,regKategorija_id,0)),1))</f>
        <v>M</v>
      </c>
      <c r="DJ55" t="s">
        <v>0</v>
      </c>
      <c r="DK55" s="52" t="str">
        <f>IF(BD55="","",IF(M55&lt;&gt;"CRO","","INSERT INTO osoba (id,reg_broj,oib,spol_id,dat_rodjenja) VALUES ("&amp;BD55&amp;",(SELECT max(os.reg_broj)+1 FROM osoba AS os),Null,'"&amp;DI55&amp;"',Null); INSERT INTO osoba_log (id,reg_broj,oib,spol_id,dat_rodjenja,dnevnik_id) SELECT id,reg_broj,oib,spol_id,dat_rodjenja,"&amp;data_dnevnik_id&amp;" FROM osoba WHERE id = "&amp;BD55&amp;";"))</f>
        <v/>
      </c>
      <c r="DL55" s="66" t="str">
        <f>IF(BD55="","","INSERT INTO imeprezime (id,osoba_id,rbr,ime,prezime,klub_id,identitet_id,sintaksa_id,info,aktivno,dnevnik_id) VALUES ("&amp;BD55&amp;","&amp;IF(DK55="","Null",BD55)&amp;",1,'"&amp;IF(AV55&lt;&gt;"",AV55,AK55)&amp;"','"&amp;IF(AW55&lt;&gt;"",AW55,AL55)&amp;"',(SELECT id FROM klub WHERE naziv = '"&amp;CR55&amp;"'),Null,1,'',1,"&amp;data_dnevnik_id&amp;");")</f>
        <v/>
      </c>
      <c r="DM55" t="s">
        <v>0</v>
      </c>
      <c r="DN55" s="19" t="str">
        <f t="shared" si="69"/>
        <v/>
      </c>
      <c r="DO55" s="47" t="s">
        <v>0</v>
      </c>
      <c r="DP55" s="19" t="str">
        <f>IF(BA55="","","INSERT INTO imeprezime_alias(id,alias,imeprezime_id) VALUES ("&amp;BB55&amp;",'"&amp;BA55&amp;"',"&amp;IF(BC55="NEMA",BD55,BC55)&amp;");")</f>
        <v/>
      </c>
      <c r="DQ55" s="47" t="s">
        <v>0</v>
      </c>
      <c r="DR55" s="52" t="str">
        <f>IF(AL55="","",DU55 &amp; IF(Q55="",""," – " &amp; Q55))</f>
        <v>Antonio – Cindrić – OK Jelen – M20</v>
      </c>
      <c r="DS55" s="53">
        <f t="shared" si="26"/>
        <v>154</v>
      </c>
      <c r="DT55" s="47" t="s">
        <v>0</v>
      </c>
      <c r="DU55" s="52" t="str">
        <f>IF(AL55="","",DX55 &amp; IF(CR55="",""," – " &amp; CR55))</f>
        <v>Antonio – Cindrić – OK Jelen</v>
      </c>
      <c r="DV55" s="53">
        <f t="shared" si="27"/>
        <v>154</v>
      </c>
      <c r="DW55" s="47" t="s">
        <v>0</v>
      </c>
      <c r="DX55" s="52" t="str">
        <f>IF(BG55="","",BF55&amp;" – "&amp;BG55)</f>
        <v>Antonio – Cindrić</v>
      </c>
      <c r="DY55" s="53">
        <f t="shared" si="28"/>
        <v>154</v>
      </c>
      <c r="DZ55" s="47" t="s">
        <v>0</v>
      </c>
      <c r="EA55" s="58">
        <f t="shared" si="61"/>
        <v>154</v>
      </c>
      <c r="EB55" s="53" cm="1">
        <f t="array" ref="EB55">IF(EA55&lt;&gt;"",INDEX(regNatjecatelj_id,EA55,0),IF(BD55&lt;&gt;"",BD55,""))</f>
        <v>1311</v>
      </c>
      <c r="EC55" s="47" t="s">
        <v>0</v>
      </c>
      <c r="ED55" s="58" t="str">
        <f>IF(AL55="","",IF(BD55&lt;&gt;"","novo",IF(AN55="","imepre","imepre(ali)")))</f>
        <v>imepre</v>
      </c>
      <c r="EE55" s="73" t="str">
        <f>IF(AL55="","",IF(BL55="",IF(IFERROR(INDEX(regNatjecatelj_klub,MATCH(EB55,regNatjecatelj_id,0)),"NEMA")="","klu",""),IF(OR(AND(BN55&lt;&gt;"",BN55&lt;&gt;"NEMA"),CD55&lt;&gt;""),"klu(ali)",IF(AND(BP55&lt;&gt;"",BP55&lt;&gt;BO55),"(raz-klu)","klu"))))</f>
        <v>klu</v>
      </c>
      <c r="EF55" s="73" t="str">
        <f>IF(AL55="","","kat"&amp;IF(AND(W55&lt;&gt;Q55,Q55&lt;&gt;"Open"),"(ali)",""))</f>
        <v>kat</v>
      </c>
      <c r="EG55" s="73" t="str">
        <f t="shared" si="29"/>
        <v/>
      </c>
      <c r="EH55" s="66" t="str">
        <f>IF(AL55="","",ED55&amp;IF(ED55="novo","","-"&amp;EE55&amp;"-"&amp;EF55)&amp;IF(EG55="","","-"&amp;EG55))</f>
        <v>imepre-klu-kat</v>
      </c>
      <c r="EI55" s="47" t="s">
        <v>0</v>
      </c>
      <c r="EJ55" s="58">
        <f>IF(AL55="","",MAX(EJ$12:EJ54)+1)</f>
        <v>228</v>
      </c>
      <c r="EK55" s="73">
        <f>IF(AO55="","",X55)</f>
        <v>26</v>
      </c>
      <c r="EL55" s="73">
        <f t="shared" si="62"/>
        <v>1311</v>
      </c>
      <c r="EM55" s="73" t="str">
        <f t="shared" si="30"/>
        <v/>
      </c>
      <c r="EN55" s="73">
        <f t="shared" si="31"/>
        <v>4</v>
      </c>
      <c r="EO55" s="73">
        <f t="shared" si="63"/>
        <v>1</v>
      </c>
      <c r="EP55" s="73">
        <f t="shared" si="64"/>
        <v>1</v>
      </c>
      <c r="EQ55" s="73" t="str">
        <f t="shared" si="34"/>
        <v>2</v>
      </c>
      <c r="ER55" s="73" t="str">
        <f>IF(OR(AN55="",AN55="NEMA"),BB55,AN55)</f>
        <v/>
      </c>
      <c r="ES55" s="73" t="str">
        <f>IF(AND(BN55&lt;&gt;"",BN55&lt;&gt;"NEMA"),BN55,IF(CG55&lt;&gt;"",CG55,IF(AND(CL55&lt;&gt;"",CL55&lt;&gt;"NEMA"),CL55,IF(CM55&lt;&gt;"",CM55,""))))</f>
        <v/>
      </c>
      <c r="ET55" s="53" t="str">
        <f>IF(INDEX(natKategorija_alias_Id,MATCH(S55,natKategorija_katRegId,0))="","",INDEX(natKategorija_alias_Id,MATCH(S55,natKategorija_katRegId,0)))</f>
        <v/>
      </c>
      <c r="EU55" s="47" t="s">
        <v>0</v>
      </c>
      <c r="EV55" s="19" t="str">
        <f t="shared" si="65"/>
        <v>INSERT INTO rezultat(id,stazakategorija_id,imeprezime_id,vrijeme_sec,status_id,registracija,uparivanje_id,originalstatus_id,imeprezimealias_id,klubalias_id,kategorijaalias_id) VALUES (228,26,1311,Null,4,1,1,2,Null,Null,Null);</v>
      </c>
      <c r="EW55" s="47" t="s">
        <v>0</v>
      </c>
      <c r="EX55" s="19" t="str">
        <f t="shared" si="66"/>
        <v>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Y55" s="47" t="s">
        <v>0</v>
      </c>
      <c r="EZ55" s="180" t="str">
        <f>AG55&amp;IF(CP55="","","
")&amp;CP55&amp;IF(CI55="","","
")&amp;CI55&amp;IF(DN55="","","
")&amp;DN55&amp;IF(DP55="","","
")&amp;DP55&amp;IF(EV55="","","
")&amp;EV55&amp;IF(EX55="","","
")&amp;EX55</f>
        <v xml:space="preserve">
INSERT INTO rezultat(id,stazakategorija_id,imeprezime_id,vrijeme_sec,status_id,registracija,uparivanje_id,originalstatus_id,imeprezimealias_id,klubalias_id,kategorijaalias_id) VALUES (228,26,1311,Null,4,1,1,2,Null,Null,Null);
UPDATE
	registar
SET
	potvrda = 1
WHERE
	imeprezime_id=1311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FA55" s="47" t="s">
        <v>0</v>
      </c>
    </row>
    <row r="56" spans="1:157" x14ac:dyDescent="0.25">
      <c r="A56" t="s">
        <v>0</v>
      </c>
      <c r="B56" s="52" t="str">
        <f>IF(csv!F46="","",csv!T46)</f>
        <v>M20</v>
      </c>
      <c r="C56" s="31" t="s">
        <v>0</v>
      </c>
      <c r="D56" s="31" t="str">
        <f>IF(csv!F46="","",csv!F46)</f>
        <v>Vacant</v>
      </c>
      <c r="E56" s="31" t="str">
        <f>IF(csv!E46="","",csv!E46)</f>
        <v/>
      </c>
      <c r="F56" s="31" t="s">
        <v>0</v>
      </c>
      <c r="G56" s="73" t="str">
        <f>IF(csv!M46="","",csv!M46)</f>
        <v/>
      </c>
      <c r="H56" s="73" t="str">
        <f>IF(csv!N46="","",csv!N46)</f>
        <v>0</v>
      </c>
      <c r="I56" s="31" t="s">
        <v>0</v>
      </c>
      <c r="J56" s="31" t="str">
        <f>IF(csv!P46="","",csv!P46)</f>
        <v/>
      </c>
      <c r="K56" s="31" t="str">
        <f>IF(csv!Q46="","",csv!Q46)</f>
        <v/>
      </c>
      <c r="L56" s="31" t="s">
        <v>0</v>
      </c>
      <c r="M56" s="66" t="str">
        <f>IF(csv!R46="","",csv!R46)</f>
        <v/>
      </c>
      <c r="N56" s="47" t="s">
        <v>0</v>
      </c>
      <c r="O56" s="243" t="str">
        <f t="shared" si="36"/>
        <v/>
      </c>
      <c r="P56" s="47"/>
      <c r="Q56" s="52" t="str">
        <f t="shared" si="37"/>
        <v>M20</v>
      </c>
      <c r="R56" s="73">
        <f>IF(Q56="","",IF(COUNTIF(Q$12:Q55,Q56)=0,R55+1,R55))</f>
        <v>4</v>
      </c>
      <c r="S56" s="73">
        <f t="shared" si="38"/>
        <v>109</v>
      </c>
      <c r="T56" s="73">
        <f t="shared" si="1"/>
        <v>20</v>
      </c>
      <c r="U56" s="66" t="str">
        <f t="shared" si="2"/>
        <v>M20</v>
      </c>
      <c r="V56" s="47" t="s">
        <v>0</v>
      </c>
      <c r="W56" s="222" t="str">
        <f t="shared" si="3"/>
        <v/>
      </c>
      <c r="X56" s="223" t="str">
        <f t="shared" si="4"/>
        <v/>
      </c>
      <c r="Y56" s="47" t="s">
        <v>0</v>
      </c>
      <c r="Z56" s="52" t="str">
        <f t="shared" si="39"/>
        <v/>
      </c>
      <c r="AA56" s="73" t="str">
        <f t="shared" si="5"/>
        <v/>
      </c>
      <c r="AB56" s="31" t="str">
        <f t="shared" si="40"/>
        <v/>
      </c>
      <c r="AC56" s="66" t="str">
        <f>IF(AB56="","",MAX(AC$12:AC55)+1)</f>
        <v/>
      </c>
      <c r="AD56" s="47" t="s">
        <v>0</v>
      </c>
      <c r="AE56" s="125"/>
      <c r="AF56" s="47" t="s">
        <v>0</v>
      </c>
      <c r="AG56" s="19" t="str">
        <f t="shared" si="41"/>
        <v/>
      </c>
      <c r="AH56" s="47" t="s">
        <v>0</v>
      </c>
      <c r="AI56" s="143" t="str">
        <f t="shared" si="42"/>
        <v/>
      </c>
      <c r="AJ56" s="47"/>
      <c r="AK56" s="52" t="str">
        <f t="shared" si="43"/>
        <v/>
      </c>
      <c r="AL56" s="31" t="str">
        <f t="shared" si="44"/>
        <v/>
      </c>
      <c r="AM56" s="73" t="str">
        <f t="shared" si="45"/>
        <v/>
      </c>
      <c r="AN56" s="73" t="str">
        <f t="shared" si="46"/>
        <v/>
      </c>
      <c r="AO56" s="31" t="str">
        <f t="shared" si="8"/>
        <v/>
      </c>
      <c r="AP56" s="66" t="str">
        <f t="shared" si="9"/>
        <v/>
      </c>
      <c r="AQ56" s="47" t="s">
        <v>0</v>
      </c>
      <c r="AR56" s="82" t="str">
        <f t="shared" si="47"/>
        <v/>
      </c>
      <c r="AS56" s="47" t="s">
        <v>0</v>
      </c>
      <c r="AT56" s="19" t="str">
        <f t="shared" si="48"/>
        <v/>
      </c>
      <c r="AU56" s="47" t="s">
        <v>0</v>
      </c>
      <c r="AV56" s="103"/>
      <c r="AW56" s="105"/>
      <c r="AX56" s="47" t="s">
        <v>0</v>
      </c>
      <c r="AY56" s="256" t="str">
        <f t="shared" si="68"/>
        <v/>
      </c>
      <c r="AZ56" s="47" t="s">
        <v>0</v>
      </c>
      <c r="BA56" s="52" t="str">
        <f t="shared" si="11"/>
        <v/>
      </c>
      <c r="BB56" s="73" t="str">
        <f>IF(AV56&amp;AW56="","",MAX(BB$12:BB55)+1)</f>
        <v/>
      </c>
      <c r="BC56" s="268" t="str">
        <f t="shared" si="12"/>
        <v/>
      </c>
      <c r="BD56" s="53" t="str">
        <f>IF(AND(AM56="NEMA",AN56="NEMA",OR(AV56&amp;AW56="",BC56="NEMA")),MAX(BD$12:BD55)+1,"")</f>
        <v/>
      </c>
      <c r="BE56" s="47" t="s">
        <v>0</v>
      </c>
      <c r="BF56" s="52" t="str">
        <f t="shared" si="13"/>
        <v/>
      </c>
      <c r="BG56" s="31" t="str">
        <f t="shared" si="14"/>
        <v/>
      </c>
      <c r="BH56" s="73" t="str">
        <f t="shared" si="49"/>
        <v/>
      </c>
      <c r="BI56" s="53" t="str">
        <f t="shared" si="50"/>
        <v/>
      </c>
      <c r="BJ56" s="47" t="s">
        <v>0</v>
      </c>
      <c r="BK56" s="52" t="str">
        <f t="shared" si="15"/>
        <v/>
      </c>
      <c r="BL56" s="31" t="str">
        <f t="shared" si="16"/>
        <v/>
      </c>
      <c r="BM56" s="73" t="str">
        <f t="shared" si="17"/>
        <v/>
      </c>
      <c r="BN56" s="73" t="str">
        <f t="shared" si="18"/>
        <v/>
      </c>
      <c r="BO56" s="31" t="str" cm="1">
        <f t="array" ref="BO56">IF(BN56="",""&amp;BL56,IF(BN56="NEMA",BL56,INDEX(regKlub_naziv,MATCH(INDEX(regKlub_alias_klubId,BN56),regKlub_id,0))))</f>
        <v/>
      </c>
      <c r="BP56" s="31" t="str" cm="1">
        <f t="array" ref="BP56">IFERROR(""&amp;INDEX(regNatjecatelj_klub,DY56),"")</f>
        <v/>
      </c>
      <c r="BQ56" s="88" t="str">
        <f t="shared" si="51"/>
        <v/>
      </c>
      <c r="BR56" s="66" t="str">
        <f t="shared" si="52"/>
        <v/>
      </c>
      <c r="BS56" s="47" t="s">
        <v>0</v>
      </c>
      <c r="BT56" s="82" t="str">
        <f>IF(BN56&lt;&gt;"NEMA","",IF(IFERROR(MATCH(BL56,BL$12:BL55,0),0)&lt;&gt;0,"",BL56))</f>
        <v/>
      </c>
      <c r="BU56" s="47" t="s">
        <v>0</v>
      </c>
      <c r="BV56" s="125"/>
      <c r="BW56" s="47" t="s">
        <v>0</v>
      </c>
      <c r="BX56" s="58" t="str">
        <f t="shared" si="53"/>
        <v/>
      </c>
      <c r="BY56" s="31" t="str">
        <f t="shared" si="54"/>
        <v/>
      </c>
      <c r="BZ56" s="31" t="str">
        <f>IF(BY56="","",MAX(BZ$12:BZ55)+1)</f>
        <v/>
      </c>
      <c r="CA56" s="31" t="str">
        <f>IF(BY56="","",IF(AA56="","",IF(AA56="NEMA",AC56,AA56)))</f>
        <v/>
      </c>
      <c r="CB56" s="31" t="str">
        <f t="shared" si="55"/>
        <v/>
      </c>
      <c r="CC56" s="31" t="str">
        <f>IF(BV56="","",MAX(CC$12:CC55)+1)</f>
        <v/>
      </c>
      <c r="CD56" s="31" t="str">
        <f t="shared" si="56"/>
        <v/>
      </c>
      <c r="CE56" s="66" t="str">
        <f t="shared" si="57"/>
        <v/>
      </c>
      <c r="CF56" s="47" t="s">
        <v>0</v>
      </c>
      <c r="CG56" s="73" t="str">
        <f>IF(BN56="","",IF(BN56&lt;&gt;"NEMA","",IFERROR(INDEX(nat_klubAliasId,MATCH(BL56,nat_noviKluboviAliasi,0)),"")))</f>
        <v/>
      </c>
      <c r="CH56" s="47"/>
      <c r="CI56" s="19" t="str">
        <f t="shared" si="58"/>
        <v/>
      </c>
      <c r="CJ56" s="47" t="s">
        <v>0</v>
      </c>
      <c r="CK56" s="52" t="str">
        <f>IF(X56&lt;&gt;"NEMA","",IF(IFERROR(MATCH(W56,W$12:W55,0),0)&lt;&gt;0,"",W56))</f>
        <v/>
      </c>
      <c r="CL56" s="73" t="str">
        <f>IF(CK56="","",IFERROR(INDEX(regKlub_alias_id,MATCH(CK56,regKlub_alias_alias,0)),"NEMA"))</f>
        <v/>
      </c>
      <c r="CM56" s="31" t="str">
        <f>IF(OR(CL56="",CL56&lt;&gt;"NEMA"),"",MAX(CM$12:CM55)+1)</f>
        <v/>
      </c>
      <c r="CN56" s="66" t="str">
        <f>IF(OR(CL56="",CL56&lt;&gt;"NEMA"),"",INDEX(regKlub_id,MATCH(CK56,regKlub_naziv,0)))</f>
        <v/>
      </c>
      <c r="CO56" s="47" t="s">
        <v>0</v>
      </c>
      <c r="CP56" s="19" t="str">
        <f>IF(OR(CL56="",CL56&lt;&gt;"NEMA"),"","INSERT INTO klub_alias(id,alias,klub_id) VALUES ("&amp;CM56&amp;",'"&amp;CK56&amp;"',"&amp;CN56&amp;");")</f>
        <v/>
      </c>
      <c r="CQ56" s="47" t="s">
        <v>0</v>
      </c>
      <c r="CR56" s="143" t="str">
        <f>IF(BR56="","",IF(BV56="",IF(IFERROR(MATCH(BR56,nat_noviKluboviAliasi,0),0)&gt;0,INDEX(nat_kluboviAliasi,MATCH(BR56,nat_noviKluboviAliasi,0)),BR56),BV56))</f>
        <v/>
      </c>
      <c r="CS56" s="47" t="s">
        <v>0</v>
      </c>
      <c r="CT56" s="58" t="str">
        <f>IF(G56="","",G56)</f>
        <v/>
      </c>
      <c r="CU56" s="73" t="str">
        <f>IF(H56="","",H56)</f>
        <v>0</v>
      </c>
      <c r="CV56" s="229" t="str">
        <f>IF(CT56="",IF(OR(AL56="",CU56&lt;&gt;"0"),"","GREŠKA"),IF(AND(65535&gt;=VALUE(LEFT(CT56,SEARCH(":",CT56)-1))*60+VALUE(RIGHT(CT56,2)),OR(CU56="0",CU56="1",CU56="2",CU56="3",CU56="4")),"","GREŠKA"))</f>
        <v/>
      </c>
      <c r="CW56" s="230" t="str">
        <f t="shared" si="23"/>
        <v/>
      </c>
      <c r="CX56" s="163" t="str">
        <f t="shared" si="24"/>
        <v/>
      </c>
      <c r="CY56" s="47" t="s">
        <v>0</v>
      </c>
      <c r="CZ56" s="222" t="str">
        <f>IF(CV56&lt;&gt;"GREŠKA","",AK56&amp;" "&amp;AL56&amp;" – Molim u OEventu provjeriti i ispraviti rezultat – vrijeme ("&amp;IF(CT56="","nije upisano",CT56)&amp;") i classifier ("&amp;CU56&amp;").")&amp;IF(OR(CV56&lt;&gt;"GREŠKA",CX56&lt;&gt;5),"
","")&amp;IF(CX56&lt;&gt;5,"",AK56&amp;" "&amp;AL56&amp;" – Molim u provjeriti je li natjecatelj zaista diskvalificiran. Ako je koje je obrazloženje, ako nije molim u OEventu ispraviti rezultat")</f>
        <v xml:space="preserve">
</v>
      </c>
      <c r="DA56" s="223" t="str">
        <f t="shared" si="60"/>
        <v/>
      </c>
      <c r="DB56" s="47" t="s">
        <v>0</v>
      </c>
      <c r="DC56" s="47"/>
      <c r="DD56" s="47"/>
      <c r="DE56" s="47"/>
      <c r="DF56" s="47" t="s">
        <v>0</v>
      </c>
      <c r="DG56" s="53" t="str">
        <f>IF(BD56="","",IF(DI56="O",1,""))</f>
        <v/>
      </c>
      <c r="DH56" t="s">
        <v>0</v>
      </c>
      <c r="DI56" s="128" t="str">
        <f>IF(Q56="","",LEFT(INDEX(regKategorija_oznaka,MATCH(S56,regKategorija_id,0)),1))</f>
        <v>M</v>
      </c>
      <c r="DJ56" t="s">
        <v>0</v>
      </c>
      <c r="DK56" s="52" t="str">
        <f>IF(BD56="","",IF(M56&lt;&gt;"CRO","","INSERT INTO osoba (id,reg_broj,oib,spol_id,dat_rodjenja) VALUES ("&amp;BD56&amp;",(SELECT max(os.reg_broj)+1 FROM osoba AS os),Null,'"&amp;DI56&amp;"',Null); INSERT INTO osoba_log (id,reg_broj,oib,spol_id,dat_rodjenja,dnevnik_id) SELECT id,reg_broj,oib,spol_id,dat_rodjenja,"&amp;data_dnevnik_id&amp;" FROM osoba WHERE id = "&amp;BD56&amp;";"))</f>
        <v/>
      </c>
      <c r="DL56" s="66" t="str">
        <f>IF(BD56="","","INSERT INTO imeprezime (id,osoba_id,rbr,ime,prezime,klub_id,identitet_id,sintaksa_id,info,aktivno,dnevnik_id) VALUES ("&amp;BD56&amp;","&amp;IF(DK56="","Null",BD56)&amp;",1,'"&amp;IF(AV56&lt;&gt;"",AV56,AK56)&amp;"','"&amp;IF(AW56&lt;&gt;"",AW56,AL56)&amp;"',(SELECT id FROM klub WHERE naziv = '"&amp;CR56&amp;"'),Null,1,'',1,"&amp;data_dnevnik_id&amp;");")</f>
        <v/>
      </c>
      <c r="DM56" t="s">
        <v>0</v>
      </c>
      <c r="DN56" s="19" t="str">
        <f t="shared" si="69"/>
        <v/>
      </c>
      <c r="DO56" s="47" t="s">
        <v>0</v>
      </c>
      <c r="DP56" s="19" t="str">
        <f>IF(BA56="","","INSERT INTO imeprezime_alias(id,alias,imeprezime_id) VALUES ("&amp;BB56&amp;",'"&amp;BA56&amp;"',"&amp;IF(BC56="NEMA",BD56,BC56)&amp;");")</f>
        <v/>
      </c>
      <c r="DQ56" s="47" t="s">
        <v>0</v>
      </c>
      <c r="DR56" s="52" t="str">
        <f>IF(AL56="","",DU56 &amp; IF(Q56="",""," – " &amp; Q56))</f>
        <v/>
      </c>
      <c r="DS56" s="53" t="str">
        <f t="shared" si="26"/>
        <v/>
      </c>
      <c r="DT56" s="47" t="s">
        <v>0</v>
      </c>
      <c r="DU56" s="52" t="str">
        <f>IF(AL56="","",DX56 &amp; IF(CR56="",""," – " &amp; CR56))</f>
        <v/>
      </c>
      <c r="DV56" s="53" t="str">
        <f t="shared" si="27"/>
        <v/>
      </c>
      <c r="DW56" s="47" t="s">
        <v>0</v>
      </c>
      <c r="DX56" s="52" t="str">
        <f>IF(BG56="","",BF56&amp;" – "&amp;BG56)</f>
        <v/>
      </c>
      <c r="DY56" s="53" t="str">
        <f t="shared" si="28"/>
        <v/>
      </c>
      <c r="DZ56" s="47" t="s">
        <v>0</v>
      </c>
      <c r="EA56" s="58" t="str">
        <f t="shared" si="61"/>
        <v/>
      </c>
      <c r="EB56" s="53" t="str" cm="1">
        <f t="array" ref="EB56">IF(EA56&lt;&gt;"",INDEX(regNatjecatelj_id,EA56,0),IF(BD56&lt;&gt;"",BD56,""))</f>
        <v/>
      </c>
      <c r="EC56" s="47" t="s">
        <v>0</v>
      </c>
      <c r="ED56" s="58" t="str">
        <f>IF(AL56="","",IF(BD56&lt;&gt;"","novo",IF(AN56="","imepre","imepre(ali)")))</f>
        <v/>
      </c>
      <c r="EE56" s="73" t="str">
        <f>IF(AL56="","",IF(BL56="",IF(IFERROR(INDEX(regNatjecatelj_klub,MATCH(EB56,regNatjecatelj_id,0)),"NEMA")="","klu",""),IF(OR(AND(BN56&lt;&gt;"",BN56&lt;&gt;"NEMA"),CD56&lt;&gt;""),"klu(ali)",IF(AND(BP56&lt;&gt;"",BP56&lt;&gt;BO56),"(raz-klu)","klu"))))</f>
        <v/>
      </c>
      <c r="EF56" s="73" t="str">
        <f>IF(AL56="","","kat"&amp;IF(AND(W56&lt;&gt;Q56,Q56&lt;&gt;"Open"),"(ali)",""))</f>
        <v/>
      </c>
      <c r="EG56" s="73" t="str">
        <f t="shared" si="29"/>
        <v/>
      </c>
      <c r="EH56" s="66" t="str">
        <f>IF(AL56="","",ED56&amp;IF(ED56="novo","","-"&amp;EE56&amp;"-"&amp;EF56)&amp;IF(EG56="","","-"&amp;EG56))</f>
        <v/>
      </c>
      <c r="EI56" s="47" t="s">
        <v>0</v>
      </c>
      <c r="EJ56" s="58" t="str">
        <f>IF(AL56="","",MAX(EJ$12:EJ55)+1)</f>
        <v/>
      </c>
      <c r="EK56" s="73" t="str">
        <f>IF(AO56="","",X56)</f>
        <v/>
      </c>
      <c r="EL56" s="73" t="str">
        <f t="shared" si="62"/>
        <v/>
      </c>
      <c r="EM56" s="73" t="str">
        <f t="shared" si="30"/>
        <v/>
      </c>
      <c r="EN56" s="73" t="str">
        <f t="shared" si="31"/>
        <v/>
      </c>
      <c r="EO56" s="73" t="str">
        <f t="shared" si="63"/>
        <v/>
      </c>
      <c r="EP56" s="73" t="str">
        <f t="shared" si="64"/>
        <v/>
      </c>
      <c r="EQ56" s="73" t="str">
        <f t="shared" si="34"/>
        <v/>
      </c>
      <c r="ER56" s="73" t="str">
        <f>IF(OR(AN56="",AN56="NEMA"),BB56,AN56)</f>
        <v/>
      </c>
      <c r="ES56" s="73" t="str">
        <f>IF(AND(BN56&lt;&gt;"",BN56&lt;&gt;"NEMA"),BN56,IF(CG56&lt;&gt;"",CG56,IF(AND(CL56&lt;&gt;"",CL56&lt;&gt;"NEMA"),CL56,IF(CM56&lt;&gt;"",CM56,""))))</f>
        <v/>
      </c>
      <c r="ET56" s="53" t="str">
        <f>IF(INDEX(natKategorija_alias_Id,MATCH(S56,natKategorija_katRegId,0))="","",INDEX(natKategorija_alias_Id,MATCH(S56,natKategorija_katRegId,0)))</f>
        <v/>
      </c>
      <c r="EU56" s="47" t="s">
        <v>0</v>
      </c>
      <c r="EV56" s="19" t="str">
        <f t="shared" si="65"/>
        <v/>
      </c>
      <c r="EW56" s="47" t="s">
        <v>0</v>
      </c>
      <c r="EX56" s="19" t="str">
        <f t="shared" si="66"/>
        <v/>
      </c>
      <c r="EY56" s="47" t="s">
        <v>0</v>
      </c>
      <c r="EZ56" s="180" t="str">
        <f>AG56&amp;IF(CP56="","","
")&amp;CP56&amp;IF(CI56="","","
")&amp;CI56&amp;IF(DN56="","","
")&amp;DN56&amp;IF(DP56="","","
")&amp;DP56&amp;IF(EV56="","","
")&amp;EV56&amp;IF(EX56="","","
")&amp;EX56</f>
        <v/>
      </c>
      <c r="FA56" s="47" t="s">
        <v>0</v>
      </c>
    </row>
    <row r="57" spans="1:157" x14ac:dyDescent="0.25">
      <c r="A57" t="s">
        <v>0</v>
      </c>
      <c r="B57" s="52" t="str">
        <f>IF(csv!F47="","",csv!T47)</f>
        <v>M20</v>
      </c>
      <c r="C57" s="31" t="s">
        <v>0</v>
      </c>
      <c r="D57" s="31" t="str">
        <f>IF(csv!F47="","",csv!F47)</f>
        <v>Ivan</v>
      </c>
      <c r="E57" s="31" t="str">
        <f>IF(csv!E47="","",csv!E47)</f>
        <v>Pasquino</v>
      </c>
      <c r="F57" s="31" t="s">
        <v>0</v>
      </c>
      <c r="G57" s="73" t="str">
        <f>IF(csv!M47="","",csv!M47)</f>
        <v>72:22</v>
      </c>
      <c r="H57" s="73" t="str">
        <f>IF(csv!N47="","",csv!N47)</f>
        <v>3</v>
      </c>
      <c r="I57" s="31" t="s">
        <v>0</v>
      </c>
      <c r="J57" s="31" t="str">
        <f>IF(csv!P47="","",csv!P47)</f>
        <v>OK Varaždin</v>
      </c>
      <c r="K57" s="31" t="str">
        <f>IF(csv!Q47="","",csv!Q47)</f>
        <v>OK Varaždin</v>
      </c>
      <c r="L57" s="31" t="s">
        <v>0</v>
      </c>
      <c r="M57" s="66" t="str">
        <f>IF(csv!R47="","",csv!R47)</f>
        <v>CRO</v>
      </c>
      <c r="N57" s="47" t="s">
        <v>0</v>
      </c>
      <c r="O57" s="243" t="str">
        <f t="shared" si="36"/>
        <v>ok</v>
      </c>
      <c r="P57" s="47"/>
      <c r="Q57" s="52" t="str">
        <f t="shared" si="37"/>
        <v>M20</v>
      </c>
      <c r="R57" s="73">
        <f>IF(Q57="","",IF(COUNTIF(Q$12:Q56,Q57)=0,R56+1,R56))</f>
        <v>4</v>
      </c>
      <c r="S57" s="73">
        <f t="shared" si="38"/>
        <v>109</v>
      </c>
      <c r="T57" s="73">
        <f t="shared" si="1"/>
        <v>20</v>
      </c>
      <c r="U57" s="66" t="str">
        <f t="shared" si="2"/>
        <v>M20</v>
      </c>
      <c r="V57" s="47" t="s">
        <v>0</v>
      </c>
      <c r="W57" s="222" t="str">
        <f t="shared" si="3"/>
        <v>M20</v>
      </c>
      <c r="X57" s="223">
        <f t="shared" si="4"/>
        <v>26</v>
      </c>
      <c r="Y57" s="47" t="s">
        <v>0</v>
      </c>
      <c r="Z57" s="52" t="str">
        <f t="shared" si="39"/>
        <v>CRO</v>
      </c>
      <c r="AA57" s="73">
        <f t="shared" si="5"/>
        <v>1</v>
      </c>
      <c r="AB57" s="31" t="str">
        <f t="shared" si="40"/>
        <v/>
      </c>
      <c r="AC57" s="66" t="str">
        <f>IF(AB57="","",MAX(AC$12:AC56)+1)</f>
        <v/>
      </c>
      <c r="AD57" s="47" t="s">
        <v>0</v>
      </c>
      <c r="AE57" s="125"/>
      <c r="AF57" s="47" t="s">
        <v>0</v>
      </c>
      <c r="AG57" s="19" t="str">
        <f t="shared" si="41"/>
        <v/>
      </c>
      <c r="AH57" s="47" t="s">
        <v>0</v>
      </c>
      <c r="AI57" s="143" t="str">
        <f t="shared" si="42"/>
        <v>CRO</v>
      </c>
      <c r="AJ57" s="47"/>
      <c r="AK57" s="52" t="str">
        <f t="shared" si="43"/>
        <v>Ivan</v>
      </c>
      <c r="AL57" s="31" t="str">
        <f t="shared" si="44"/>
        <v>Pasquino</v>
      </c>
      <c r="AM57" s="73">
        <f t="shared" si="45"/>
        <v>1079</v>
      </c>
      <c r="AN57" s="73" t="str">
        <f t="shared" si="46"/>
        <v/>
      </c>
      <c r="AO57" s="31" t="str">
        <f t="shared" si="8"/>
        <v>Ivan</v>
      </c>
      <c r="AP57" s="66" t="str">
        <f t="shared" si="9"/>
        <v>Pasquino</v>
      </c>
      <c r="AQ57" s="47" t="s">
        <v>0</v>
      </c>
      <c r="AR57" s="82" t="str">
        <f t="shared" si="47"/>
        <v/>
      </c>
      <c r="AS57" s="47" t="s">
        <v>0</v>
      </c>
      <c r="AT57" s="19" t="str">
        <f t="shared" si="48"/>
        <v/>
      </c>
      <c r="AU57" s="47" t="s">
        <v>0</v>
      </c>
      <c r="AV57" s="103"/>
      <c r="AW57" s="105"/>
      <c r="AX57" s="47" t="s">
        <v>0</v>
      </c>
      <c r="AY57" s="256" t="str">
        <f t="shared" si="68"/>
        <v/>
      </c>
      <c r="AZ57" s="47" t="s">
        <v>0</v>
      </c>
      <c r="BA57" s="52" t="str">
        <f t="shared" si="11"/>
        <v/>
      </c>
      <c r="BB57" s="73" t="str">
        <f>IF(AV57&amp;AW57="","",MAX(BB$12:BB56)+1)</f>
        <v/>
      </c>
      <c r="BC57" s="268" t="str">
        <f t="shared" si="12"/>
        <v/>
      </c>
      <c r="BD57" s="53" t="str">
        <f>IF(AND(AM57="NEMA",AN57="NEMA",OR(AV57&amp;AW57="",BC57="NEMA")),MAX(BD$12:BD56)+1,"")</f>
        <v/>
      </c>
      <c r="BE57" s="47" t="s">
        <v>0</v>
      </c>
      <c r="BF57" s="52" t="str">
        <f t="shared" si="13"/>
        <v>Ivan</v>
      </c>
      <c r="BG57" s="31" t="str">
        <f t="shared" si="14"/>
        <v>Pasquino</v>
      </c>
      <c r="BH57" s="73" t="str">
        <f t="shared" si="49"/>
        <v/>
      </c>
      <c r="BI57" s="53">
        <f t="shared" si="50"/>
        <v>1079</v>
      </c>
      <c r="BJ57" s="47" t="s">
        <v>0</v>
      </c>
      <c r="BK57" s="52" t="str">
        <f t="shared" si="15"/>
        <v>OK Varaždin</v>
      </c>
      <c r="BL57" s="31" t="str">
        <f t="shared" si="16"/>
        <v>OK Varaždin</v>
      </c>
      <c r="BM57" s="73">
        <f t="shared" si="17"/>
        <v>11</v>
      </c>
      <c r="BN57" s="73" t="str">
        <f t="shared" si="18"/>
        <v/>
      </c>
      <c r="BO57" s="31" t="str" cm="1">
        <f t="array" ref="BO57">IF(BN57="",""&amp;BL57,IF(BN57="NEMA",BL57,INDEX(regKlub_naziv,MATCH(INDEX(regKlub_alias_klubId,BN57),regKlub_id,0))))</f>
        <v>OK Varaždin</v>
      </c>
      <c r="BP57" s="31" t="str" cm="1">
        <f t="array" ref="BP57">IFERROR(""&amp;INDEX(regNatjecatelj_klub,DY57),"")</f>
        <v>OK Varaždin</v>
      </c>
      <c r="BQ57" s="88" t="str">
        <f t="shared" si="51"/>
        <v/>
      </c>
      <c r="BR57" s="66" t="str">
        <f t="shared" si="52"/>
        <v>OK Varaždin</v>
      </c>
      <c r="BS57" s="47" t="s">
        <v>0</v>
      </c>
      <c r="BT57" s="82" t="str">
        <f>IF(BN57&lt;&gt;"NEMA","",IF(IFERROR(MATCH(BL57,BL$12:BL56,0),0)&lt;&gt;0,"",BL57))</f>
        <v/>
      </c>
      <c r="BU57" s="47" t="s">
        <v>0</v>
      </c>
      <c r="BV57" s="125"/>
      <c r="BW57" s="47" t="s">
        <v>0</v>
      </c>
      <c r="BX57" s="58" t="str">
        <f t="shared" si="53"/>
        <v/>
      </c>
      <c r="BY57" s="31" t="str">
        <f t="shared" si="54"/>
        <v/>
      </c>
      <c r="BZ57" s="31" t="str">
        <f>IF(BY57="","",MAX(BZ$12:BZ56)+1)</f>
        <v/>
      </c>
      <c r="CA57" s="31" t="str">
        <f>IF(BY57="","",IF(AA57="","",IF(AA57="NEMA",AC57,AA57)))</f>
        <v/>
      </c>
      <c r="CB57" s="31" t="str">
        <f t="shared" si="55"/>
        <v/>
      </c>
      <c r="CC57" s="31" t="str">
        <f>IF(BV57="","",MAX(CC$12:CC56)+1)</f>
        <v/>
      </c>
      <c r="CD57" s="31" t="str">
        <f t="shared" si="56"/>
        <v/>
      </c>
      <c r="CE57" s="66" t="str">
        <f t="shared" si="57"/>
        <v/>
      </c>
      <c r="CF57" s="47" t="s">
        <v>0</v>
      </c>
      <c r="CG57" s="73" t="str">
        <f>IF(BN57="","",IF(BN57&lt;&gt;"NEMA","",IFERROR(INDEX(nat_klubAliasId,MATCH(BL57,nat_noviKluboviAliasi,0)),"")))</f>
        <v/>
      </c>
      <c r="CH57" s="47"/>
      <c r="CI57" s="19" t="str">
        <f t="shared" si="58"/>
        <v/>
      </c>
      <c r="CJ57" s="47" t="s">
        <v>0</v>
      </c>
      <c r="CK57" s="52" t="str">
        <f>IF(X57&lt;&gt;"NEMA","",IF(IFERROR(MATCH(W57,W$12:W56,0),0)&lt;&gt;0,"",W57))</f>
        <v/>
      </c>
      <c r="CL57" s="73" t="str">
        <f>IF(CK57="","",IFERROR(INDEX(regKlub_alias_id,MATCH(CK57,regKlub_alias_alias,0)),"NEMA"))</f>
        <v/>
      </c>
      <c r="CM57" s="31" t="str">
        <f>IF(OR(CL57="",CL57&lt;&gt;"NEMA"),"",MAX(CM$12:CM56)+1)</f>
        <v/>
      </c>
      <c r="CN57" s="66" t="str">
        <f>IF(OR(CL57="",CL57&lt;&gt;"NEMA"),"",INDEX(regKlub_id,MATCH(CK57,regKlub_naziv,0)))</f>
        <v/>
      </c>
      <c r="CO57" s="47" t="s">
        <v>0</v>
      </c>
      <c r="CP57" s="19" t="str">
        <f>IF(OR(CL57="",CL57&lt;&gt;"NEMA"),"","INSERT INTO klub_alias(id,alias,klub_id) VALUES ("&amp;CM57&amp;",'"&amp;CK57&amp;"',"&amp;CN57&amp;");")</f>
        <v/>
      </c>
      <c r="CQ57" s="47" t="s">
        <v>0</v>
      </c>
      <c r="CR57" s="143" t="str">
        <f>IF(BR57="","",IF(BV57="",IF(IFERROR(MATCH(BR57,nat_noviKluboviAliasi,0),0)&gt;0,INDEX(nat_kluboviAliasi,MATCH(BR57,nat_noviKluboviAliasi,0)),BR57),BV57))</f>
        <v>OK Varaždin</v>
      </c>
      <c r="CS57" s="47" t="s">
        <v>0</v>
      </c>
      <c r="CT57" s="58" t="str">
        <f>IF(G57="","",G57)</f>
        <v>72:22</v>
      </c>
      <c r="CU57" s="73" t="str">
        <f>IF(H57="","",H57)</f>
        <v>3</v>
      </c>
      <c r="CV57" s="229" t="str">
        <f>IF(CT57="",IF(OR(AL57="",CU57&lt;&gt;"0"),"","GREŠKA"),IF(AND(65535&gt;=VALUE(LEFT(CT57,SEARCH(":",CT57)-1))*60+VALUE(RIGHT(CT57,2)),OR(CU57="0",CU57="1",CU57="2",CU57="3",CU57="4")),"","GREŠKA"))</f>
        <v/>
      </c>
      <c r="CW57" s="230">
        <f t="shared" si="23"/>
        <v>4342</v>
      </c>
      <c r="CX57" s="163">
        <f t="shared" si="24"/>
        <v>3</v>
      </c>
      <c r="CY57" s="47" t="s">
        <v>0</v>
      </c>
      <c r="CZ57" s="222" t="str">
        <f>IF(CV57&lt;&gt;"GREŠKA","",AK57&amp;" "&amp;AL57&amp;" – Molim u OEventu provjeriti i ispraviti rezultat – vrijeme ("&amp;IF(CT57="","nije upisano",CT57)&amp;") i classifier ("&amp;CU57&amp;").")&amp;IF(OR(CV57&lt;&gt;"GREŠKA",CX57&lt;&gt;5),"
","")&amp;IF(CX57&lt;&gt;5,"",AK57&amp;" "&amp;AL57&amp;" – Molim u provjeriti je li natjecatelj zaista diskvalificiran. Ako je koje je obrazloženje, ako nije molim u OEventu ispraviti rezultat")</f>
        <v xml:space="preserve">
</v>
      </c>
      <c r="DA57" s="223">
        <f t="shared" si="60"/>
        <v>3</v>
      </c>
      <c r="DB57" s="47" t="s">
        <v>0</v>
      </c>
      <c r="DC57" s="47"/>
      <c r="DD57" s="47"/>
      <c r="DE57" s="47"/>
      <c r="DF57" s="47" t="s">
        <v>0</v>
      </c>
      <c r="DG57" s="53" t="str">
        <f>IF(BD57="","",IF(DI57="O",1,""))</f>
        <v/>
      </c>
      <c r="DH57" t="s">
        <v>0</v>
      </c>
      <c r="DI57" s="128" t="str">
        <f>IF(Q57="","",LEFT(INDEX(regKategorija_oznaka,MATCH(S57,regKategorija_id,0)),1))</f>
        <v>M</v>
      </c>
      <c r="DJ57" t="s">
        <v>0</v>
      </c>
      <c r="DK57" s="52" t="str">
        <f>IF(BD57="","",IF(M57&lt;&gt;"CRO","","INSERT INTO osoba (id,reg_broj,oib,spol_id,dat_rodjenja) VALUES ("&amp;BD57&amp;",(SELECT max(os.reg_broj)+1 FROM osoba AS os),Null,'"&amp;DI57&amp;"',Null); INSERT INTO osoba_log (id,reg_broj,oib,spol_id,dat_rodjenja,dnevnik_id) SELECT id,reg_broj,oib,spol_id,dat_rodjenja,"&amp;data_dnevnik_id&amp;" FROM osoba WHERE id = "&amp;BD57&amp;";"))</f>
        <v/>
      </c>
      <c r="DL57" s="66" t="str">
        <f>IF(BD57="","","INSERT INTO imeprezime (id,osoba_id,rbr,ime,prezime,klub_id,identitet_id,sintaksa_id,info,aktivno,dnevnik_id) VALUES ("&amp;BD57&amp;","&amp;IF(DK57="","Null",BD57)&amp;",1,'"&amp;IF(AV57&lt;&gt;"",AV57,AK57)&amp;"','"&amp;IF(AW57&lt;&gt;"",AW57,AL57)&amp;"',(SELECT id FROM klub WHERE naziv = '"&amp;CR57&amp;"'),Null,1,'',1,"&amp;data_dnevnik_id&amp;");")</f>
        <v/>
      </c>
      <c r="DM57" t="s">
        <v>0</v>
      </c>
      <c r="DN57" s="19" t="str">
        <f t="shared" si="69"/>
        <v/>
      </c>
      <c r="DO57" s="47" t="s">
        <v>0</v>
      </c>
      <c r="DP57" s="19" t="str">
        <f>IF(BA57="","","INSERT INTO imeprezime_alias(id,alias,imeprezime_id) VALUES ("&amp;BB57&amp;",'"&amp;BA57&amp;"',"&amp;IF(BC57="NEMA",BD57,BC57)&amp;");")</f>
        <v/>
      </c>
      <c r="DQ57" s="47" t="s">
        <v>0</v>
      </c>
      <c r="DR57" s="52" t="str">
        <f>IF(AL57="","",DU57 &amp; IF(Q57="",""," – " &amp; Q57))</f>
        <v>Ivan – Pasquino – OK Varaždin – M20</v>
      </c>
      <c r="DS57" s="53">
        <f t="shared" si="26"/>
        <v>570</v>
      </c>
      <c r="DT57" s="47" t="s">
        <v>0</v>
      </c>
      <c r="DU57" s="52" t="str">
        <f>IF(AL57="","",DX57 &amp; IF(CR57="",""," – " &amp; CR57))</f>
        <v>Ivan – Pasquino – OK Varaždin</v>
      </c>
      <c r="DV57" s="53">
        <f t="shared" si="27"/>
        <v>570</v>
      </c>
      <c r="DW57" s="47" t="s">
        <v>0</v>
      </c>
      <c r="DX57" s="52" t="str">
        <f>IF(BG57="","",BF57&amp;" – "&amp;BG57)</f>
        <v>Ivan – Pasquino</v>
      </c>
      <c r="DY57" s="53">
        <f t="shared" si="28"/>
        <v>570</v>
      </c>
      <c r="DZ57" s="47" t="s">
        <v>0</v>
      </c>
      <c r="EA57" s="58">
        <f t="shared" si="61"/>
        <v>570</v>
      </c>
      <c r="EB57" s="53" cm="1">
        <f t="array" ref="EB57">IF(EA57&lt;&gt;"",INDEX(regNatjecatelj_id,EA57,0),IF(BD57&lt;&gt;"",BD57,""))</f>
        <v>1079</v>
      </c>
      <c r="EC57" s="47" t="s">
        <v>0</v>
      </c>
      <c r="ED57" s="58" t="str">
        <f>IF(AL57="","",IF(BD57&lt;&gt;"","novo",IF(AN57="","imepre","imepre(ali)")))</f>
        <v>imepre</v>
      </c>
      <c r="EE57" s="73" t="str">
        <f>IF(AL57="","",IF(BL57="",IF(IFERROR(INDEX(regNatjecatelj_klub,MATCH(EB57,regNatjecatelj_id,0)),"NEMA")="","klu",""),IF(OR(AND(BN57&lt;&gt;"",BN57&lt;&gt;"NEMA"),CD57&lt;&gt;""),"klu(ali)",IF(AND(BP57&lt;&gt;"",BP57&lt;&gt;BO57),"(raz-klu)","klu"))))</f>
        <v>klu</v>
      </c>
      <c r="EF57" s="73" t="str">
        <f>IF(AL57="","","kat"&amp;IF(AND(W57&lt;&gt;Q57,Q57&lt;&gt;"Open"),"(ali)",""))</f>
        <v>kat</v>
      </c>
      <c r="EG57" s="73" t="str">
        <f t="shared" si="29"/>
        <v/>
      </c>
      <c r="EH57" s="66" t="str">
        <f>IF(AL57="","",ED57&amp;IF(ED57="novo","","-"&amp;EE57&amp;"-"&amp;EF57)&amp;IF(EG57="","","-"&amp;EG57))</f>
        <v>imepre-klu-kat</v>
      </c>
      <c r="EI57" s="47" t="s">
        <v>0</v>
      </c>
      <c r="EJ57" s="58">
        <f>IF(AL57="","",MAX(EJ$12:EJ56)+1)</f>
        <v>229</v>
      </c>
      <c r="EK57" s="73">
        <f>IF(AO57="","",X57)</f>
        <v>26</v>
      </c>
      <c r="EL57" s="73">
        <f t="shared" si="62"/>
        <v>1079</v>
      </c>
      <c r="EM57" s="73">
        <f t="shared" si="30"/>
        <v>4342</v>
      </c>
      <c r="EN57" s="73">
        <f t="shared" si="31"/>
        <v>3</v>
      </c>
      <c r="EO57" s="73">
        <f t="shared" si="63"/>
        <v>1</v>
      </c>
      <c r="EP57" s="73">
        <f t="shared" si="64"/>
        <v>1</v>
      </c>
      <c r="EQ57" s="73" t="str">
        <f t="shared" si="34"/>
        <v>3</v>
      </c>
      <c r="ER57" s="73" t="str">
        <f>IF(OR(AN57="",AN57="NEMA"),BB57,AN57)</f>
        <v/>
      </c>
      <c r="ES57" s="73" t="str">
        <f>IF(AND(BN57&lt;&gt;"",BN57&lt;&gt;"NEMA"),BN57,IF(CG57&lt;&gt;"",CG57,IF(AND(CL57&lt;&gt;"",CL57&lt;&gt;"NEMA"),CL57,IF(CM57&lt;&gt;"",CM57,""))))</f>
        <v/>
      </c>
      <c r="ET57" s="53" t="str">
        <f>IF(INDEX(natKategorija_alias_Id,MATCH(S57,natKategorija_katRegId,0))="","",INDEX(natKategorija_alias_Id,MATCH(S57,natKategorija_katRegId,0)))</f>
        <v/>
      </c>
      <c r="EU57" s="47" t="s">
        <v>0</v>
      </c>
      <c r="EV57" s="19" t="str">
        <f t="shared" si="65"/>
        <v>INSERT INTO rezultat(id,stazakategorija_id,imeprezime_id,vrijeme_sec,status_id,registracija,uparivanje_id,originalstatus_id,imeprezimealias_id,klubalias_id,kategorijaalias_id) VALUES (229,26,1079,4342,3,1,1,3,Null,Null,Null);</v>
      </c>
      <c r="EW57" s="47" t="s">
        <v>0</v>
      </c>
      <c r="EX57" s="19" t="str">
        <f t="shared" si="66"/>
        <v>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EY57" s="47" t="s">
        <v>0</v>
      </c>
      <c r="EZ57" s="180" t="str">
        <f>AG57&amp;IF(CP57="","","
")&amp;CP57&amp;IF(CI57="","","
")&amp;CI57&amp;IF(DN57="","","
")&amp;DN57&amp;IF(DP57="","","
")&amp;DP57&amp;IF(EV57="","","
")&amp;EV57&amp;IF(EX57="","","
")&amp;EX57</f>
        <v xml:space="preserve">
INSERT INTO rezultat(id,stazakategorija_id,imeprezime_id,vrijeme_sec,status_id,registracija,uparivanje_id,originalstatus_id,imeprezimealias_id,klubalias_id,kategorijaalias_id) VALUES (229,26,1079,4342,3,1,1,3,Null,Null,Null);
UPDATE
	registar
SET
	potvrda = 1
WHERE
	imeprezime_id=1079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26)
                         		AND
                         	kategorija_liga.liga_id = 101)
		AND
	datum_od &lt;= '2021-04-18'
    	AND
    datum_do is Null;</v>
      </c>
      <c r="FA57" s="47" t="s">
        <v>0</v>
      </c>
    </row>
    <row r="58" spans="1:157" x14ac:dyDescent="0.25">
      <c r="A58" t="s">
        <v>0</v>
      </c>
      <c r="B58" s="52" t="str">
        <f>IF(csv!F48="","",csv!T48)</f>
        <v>M21A</v>
      </c>
      <c r="C58" s="31" t="s">
        <v>0</v>
      </c>
      <c r="D58" s="31" t="str">
        <f>IF(csv!F48="","",csv!F48)</f>
        <v>Andraž</v>
      </c>
      <c r="E58" s="31" t="str">
        <f>IF(csv!E48="","",csv!E48)</f>
        <v>Hribar</v>
      </c>
      <c r="F58" s="31" t="s">
        <v>0</v>
      </c>
      <c r="G58" s="73" t="str">
        <f>IF(csv!M48="","",csv!M48)</f>
        <v>63:39</v>
      </c>
      <c r="H58" s="73" t="str">
        <f>IF(csv!N48="","",csv!N48)</f>
        <v>0</v>
      </c>
      <c r="I58" s="31" t="s">
        <v>0</v>
      </c>
      <c r="J58" s="31" t="str">
        <f>IF(csv!P48="","",csv!P48)</f>
        <v>KAP</v>
      </c>
      <c r="K58" s="31" t="str">
        <f>IF(csv!Q48="","",csv!Q48)</f>
        <v>OK Kapela</v>
      </c>
      <c r="L58" s="31" t="s">
        <v>0</v>
      </c>
      <c r="M58" s="66" t="str">
        <f>IF(csv!R48="","",csv!R48)</f>
        <v>CRO</v>
      </c>
      <c r="N58" s="47" t="s">
        <v>0</v>
      </c>
      <c r="O58" s="243" t="str">
        <f t="shared" si="36"/>
        <v>ok</v>
      </c>
      <c r="P58" s="47"/>
      <c r="Q58" s="52" t="str">
        <f t="shared" si="37"/>
        <v>M21A</v>
      </c>
      <c r="R58" s="73">
        <f>IF(Q58="","",IF(COUNTIF(Q$12:Q57,Q58)=0,R57+1,R57))</f>
        <v>5</v>
      </c>
      <c r="S58" s="73">
        <f t="shared" si="38"/>
        <v>101</v>
      </c>
      <c r="T58" s="73">
        <f t="shared" si="1"/>
        <v>13</v>
      </c>
      <c r="U58" s="66" t="str">
        <f t="shared" si="2"/>
        <v>M21A</v>
      </c>
      <c r="V58" s="47" t="s">
        <v>0</v>
      </c>
      <c r="W58" s="222" t="str">
        <f t="shared" si="3"/>
        <v>M21A</v>
      </c>
      <c r="X58" s="223">
        <f t="shared" si="4"/>
        <v>27</v>
      </c>
      <c r="Y58" s="47" t="s">
        <v>0</v>
      </c>
      <c r="Z58" s="52" t="str">
        <f t="shared" si="39"/>
        <v>CRO</v>
      </c>
      <c r="AA58" s="73">
        <f t="shared" si="5"/>
        <v>1</v>
      </c>
      <c r="AB58" s="31" t="str">
        <f t="shared" si="40"/>
        <v/>
      </c>
      <c r="AC58" s="66" t="str">
        <f>IF(AB58="","",MAX(AC$12:AC57)+1)</f>
        <v/>
      </c>
      <c r="AD58" s="47" t="s">
        <v>0</v>
      </c>
      <c r="AE58" s="125"/>
      <c r="AF58" s="47" t="s">
        <v>0</v>
      </c>
      <c r="AG58" s="19" t="str">
        <f t="shared" si="41"/>
        <v/>
      </c>
      <c r="AH58" s="47" t="s">
        <v>0</v>
      </c>
      <c r="AI58" s="143" t="str">
        <f t="shared" si="42"/>
        <v>CRO</v>
      </c>
      <c r="AJ58" s="47"/>
      <c r="AK58" s="52" t="str">
        <f t="shared" si="43"/>
        <v>Andraž</v>
      </c>
      <c r="AL58" s="31" t="str">
        <f t="shared" si="44"/>
        <v>Hribar</v>
      </c>
      <c r="AM58" s="73">
        <f t="shared" si="45"/>
        <v>1861</v>
      </c>
      <c r="AN58" s="73" t="str">
        <f t="shared" si="46"/>
        <v/>
      </c>
      <c r="AO58" s="31" t="str">
        <f t="shared" si="8"/>
        <v>Andraž</v>
      </c>
      <c r="AP58" s="66" t="str">
        <f t="shared" si="9"/>
        <v>Hribar</v>
      </c>
      <c r="AQ58" s="47" t="s">
        <v>0</v>
      </c>
      <c r="AR58" s="82" t="str">
        <f t="shared" si="47"/>
        <v/>
      </c>
      <c r="AS58" s="47" t="s">
        <v>0</v>
      </c>
      <c r="AT58" s="19" t="str">
        <f t="shared" si="48"/>
        <v/>
      </c>
      <c r="AU58" s="47" t="s">
        <v>0</v>
      </c>
      <c r="AV58" s="103"/>
      <c r="AW58" s="105"/>
      <c r="AX58" s="47" t="s">
        <v>0</v>
      </c>
      <c r="AY58" s="256" t="str">
        <f t="shared" si="68"/>
        <v/>
      </c>
      <c r="AZ58" s="47" t="s">
        <v>0</v>
      </c>
      <c r="BA58" s="52" t="str">
        <f t="shared" si="11"/>
        <v/>
      </c>
      <c r="BB58" s="73" t="str">
        <f>IF(AV58&amp;AW58="","",MAX(BB$12:BB57)+1)</f>
        <v/>
      </c>
      <c r="BC58" s="268" t="str">
        <f t="shared" si="12"/>
        <v/>
      </c>
      <c r="BD58" s="53" t="str">
        <f>IF(AND(AM58="NEMA",AN58="NEMA",OR(AV58&amp;AW58="",BC58="NEMA")),MAX(BD$12:BD57)+1,"")</f>
        <v/>
      </c>
      <c r="BE58" s="47" t="s">
        <v>0</v>
      </c>
      <c r="BF58" s="52" t="str">
        <f t="shared" si="13"/>
        <v>Andraž</v>
      </c>
      <c r="BG58" s="31" t="str">
        <f t="shared" si="14"/>
        <v>Hribar</v>
      </c>
      <c r="BH58" s="73" t="str">
        <f t="shared" si="49"/>
        <v/>
      </c>
      <c r="BI58" s="53">
        <f t="shared" si="50"/>
        <v>1861</v>
      </c>
      <c r="BJ58" s="47" t="s">
        <v>0</v>
      </c>
      <c r="BK58" s="52" t="str">
        <f t="shared" si="15"/>
        <v>KAP</v>
      </c>
      <c r="BL58" s="31" t="str">
        <f t="shared" si="16"/>
        <v>OK Kapela</v>
      </c>
      <c r="BM58" s="73">
        <f t="shared" si="17"/>
        <v>5</v>
      </c>
      <c r="BN58" s="73" t="str">
        <f t="shared" si="18"/>
        <v/>
      </c>
      <c r="BO58" s="31" t="str" cm="1">
        <f t="array" ref="BO58">IF(BN58="",""&amp;BL58,IF(BN58="NEMA",BL58,INDEX(regKlub_naziv,MATCH(INDEX(regKlub_alias_klubId,BN58),regKlub_id,0))))</f>
        <v>OK Kapela</v>
      </c>
      <c r="BP58" s="31" t="str" cm="1">
        <f t="array" ref="BP58">IFERROR(""&amp;INDEX(regNatjecatelj_klub,DY58),"")</f>
        <v>OK Kapela</v>
      </c>
      <c r="BQ58" s="88" t="str">
        <f t="shared" si="51"/>
        <v/>
      </c>
      <c r="BR58" s="66" t="str">
        <f t="shared" si="52"/>
        <v>OK Kapela</v>
      </c>
      <c r="BS58" s="47" t="s">
        <v>0</v>
      </c>
      <c r="BT58" s="82" t="str">
        <f>IF(BN58&lt;&gt;"NEMA","",IF(IFERROR(MATCH(BL58,BL$12:BL57,0),0)&lt;&gt;0,"",BL58))</f>
        <v/>
      </c>
      <c r="BU58" s="47" t="s">
        <v>0</v>
      </c>
      <c r="BV58" s="125"/>
      <c r="BW58" s="47" t="s">
        <v>0</v>
      </c>
      <c r="BX58" s="58" t="str">
        <f t="shared" si="53"/>
        <v/>
      </c>
      <c r="BY58" s="31" t="str">
        <f t="shared" si="54"/>
        <v/>
      </c>
      <c r="BZ58" s="31" t="str">
        <f>IF(BY58="","",MAX(BZ$12:BZ57)+1)</f>
        <v/>
      </c>
      <c r="CA58" s="31" t="str">
        <f>IF(BY58="","",IF(AA58="","",IF(AA58="NEMA",AC58,AA58)))</f>
        <v/>
      </c>
      <c r="CB58" s="31" t="str">
        <f t="shared" si="55"/>
        <v/>
      </c>
      <c r="CC58" s="31" t="str">
        <f>IF(BV58="","",MAX(CC$12:CC57)+1)</f>
        <v/>
      </c>
      <c r="CD58" s="31" t="str">
        <f t="shared" si="56"/>
        <v/>
      </c>
      <c r="CE58" s="66" t="str">
        <f t="shared" si="57"/>
        <v/>
      </c>
      <c r="CF58" s="47" t="s">
        <v>0</v>
      </c>
      <c r="CG58" s="73" t="str">
        <f>IF(BN58="","",IF(BN58&lt;&gt;"NEMA","",IFERROR(INDEX(nat_klubAliasId,MATCH(BL58,nat_noviKluboviAliasi,0)),"")))</f>
        <v/>
      </c>
      <c r="CH58" s="47"/>
      <c r="CI58" s="19" t="str">
        <f t="shared" si="58"/>
        <v/>
      </c>
      <c r="CJ58" s="47" t="s">
        <v>0</v>
      </c>
      <c r="CK58" s="52" t="str">
        <f>IF(X58&lt;&gt;"NEMA","",IF(IFERROR(MATCH(W58,W$12:W57,0),0)&lt;&gt;0,"",W58))</f>
        <v/>
      </c>
      <c r="CL58" s="73" t="str">
        <f>IF(CK58="","",IFERROR(INDEX(regKlub_alias_id,MATCH(CK58,regKlub_alias_alias,0)),"NEMA"))</f>
        <v/>
      </c>
      <c r="CM58" s="31" t="str">
        <f>IF(OR(CL58="",CL58&lt;&gt;"NEMA"),"",MAX(CM$12:CM57)+1)</f>
        <v/>
      </c>
      <c r="CN58" s="66" t="str">
        <f>IF(OR(CL58="",CL58&lt;&gt;"NEMA"),"",INDEX(regKlub_id,MATCH(CK58,regKlub_naziv,0)))</f>
        <v/>
      </c>
      <c r="CO58" s="47" t="s">
        <v>0</v>
      </c>
      <c r="CP58" s="19" t="str">
        <f>IF(OR(CL58="",CL58&lt;&gt;"NEMA"),"","INSERT INTO klub_alias(id,alias,klub_id) VALUES ("&amp;CM58&amp;",'"&amp;CK58&amp;"',"&amp;CN58&amp;");")</f>
        <v/>
      </c>
      <c r="CQ58" s="47" t="s">
        <v>0</v>
      </c>
      <c r="CR58" s="143" t="str">
        <f>IF(BR58="","",IF(BV58="",IF(IFERROR(MATCH(BR58,nat_noviKluboviAliasi,0),0)&gt;0,INDEX(nat_kluboviAliasi,MATCH(BR58,nat_noviKluboviAliasi,0)),BR58),BV58))</f>
        <v>OK Kapela</v>
      </c>
      <c r="CS58" s="47" t="s">
        <v>0</v>
      </c>
      <c r="CT58" s="58" t="str">
        <f>IF(G58="","",G58)</f>
        <v>63:39</v>
      </c>
      <c r="CU58" s="73" t="str">
        <f>IF(H58="","",H58)</f>
        <v>0</v>
      </c>
      <c r="CV58" s="229" t="str">
        <f>IF(CT58="",IF(OR(AL58="",CU58&lt;&gt;"0"),"","GREŠKA"),IF(AND(65535&gt;=VALUE(LEFT(CT58,SEARCH(":",CT58)-1))*60+VALUE(RIGHT(CT58,2)),OR(CU58="0",CU58="1",CU58="2",CU58="3",CU58="4")),"","GREŠKA"))</f>
        <v/>
      </c>
      <c r="CW58" s="230">
        <f t="shared" si="23"/>
        <v>3819</v>
      </c>
      <c r="CX58" s="163">
        <f t="shared" si="24"/>
        <v>1</v>
      </c>
      <c r="CY58" s="47" t="s">
        <v>0</v>
      </c>
      <c r="CZ58" s="222" t="str">
        <f>IF(CV58&lt;&gt;"GREŠKA","",AK58&amp;" "&amp;AL58&amp;" – Molim u OEventu provjeriti i ispraviti rezultat – vrijeme ("&amp;IF(CT58="","nije upisano",CT58)&amp;") i classifier ("&amp;CU58&amp;").")&amp;IF(OR(CV58&lt;&gt;"GREŠKA",CX58&lt;&gt;5),"
","")&amp;IF(CX58&lt;&gt;5,"",AK58&amp;" "&amp;AL58&amp;" – Molim u provjeriti je li natjecatelj zaista diskvalificiran. Ako je koje je obrazloženje, ako nije molim u OEventu ispraviti rezultat")</f>
        <v xml:space="preserve">
</v>
      </c>
      <c r="DA58" s="223">
        <f t="shared" si="60"/>
        <v>6</v>
      </c>
      <c r="DB58" s="47" t="s">
        <v>0</v>
      </c>
      <c r="DC58" s="47"/>
      <c r="DD58" s="47"/>
      <c r="DE58" s="47"/>
      <c r="DF58" s="47" t="s">
        <v>0</v>
      </c>
      <c r="DG58" s="53" t="str">
        <f>IF(BD58="","",IF(DI58="O",1,""))</f>
        <v/>
      </c>
      <c r="DH58" t="s">
        <v>0</v>
      </c>
      <c r="DI58" s="128" t="str">
        <f>IF(Q58="","",LEFT(INDEX(regKategorija_oznaka,MATCH(S58,regKategorija_id,0)),1))</f>
        <v>M</v>
      </c>
      <c r="DJ58" t="s">
        <v>0</v>
      </c>
      <c r="DK58" s="52" t="str">
        <f>IF(BD58="","",IF(M58&lt;&gt;"CRO","","INSERT INTO osoba (id,reg_broj,oib,spol_id,dat_rodjenja) VALUES ("&amp;BD58&amp;",(SELECT max(os.reg_broj)+1 FROM osoba AS os),Null,'"&amp;DI58&amp;"',Null); INSERT INTO osoba_log (id,reg_broj,oib,spol_id,dat_rodjenja,dnevnik_id) SELECT id,reg_broj,oib,spol_id,dat_rodjenja,"&amp;data_dnevnik_id&amp;" FROM osoba WHERE id = "&amp;BD58&amp;";"))</f>
        <v/>
      </c>
      <c r="DL58" s="66" t="str">
        <f>IF(BD58="","","INSERT INTO imeprezime (id,osoba_id,rbr,ime,prezime,klub_id,identitet_id,sintaksa_id,info,aktivno,dnevnik_id) VALUES ("&amp;BD58&amp;","&amp;IF(DK58="","Null",BD58)&amp;",1,'"&amp;IF(AV58&lt;&gt;"",AV58,AK58)&amp;"','"&amp;IF(AW58&lt;&gt;"",AW58,AL58)&amp;"',(SELECT id FROM klub WHERE naziv = '"&amp;CR58&amp;"'),Null,1,'',1,"&amp;data_dnevnik_id&amp;");")</f>
        <v/>
      </c>
      <c r="DM58" t="s">
        <v>0</v>
      </c>
      <c r="DN58" s="19" t="str">
        <f t="shared" si="69"/>
        <v/>
      </c>
      <c r="DO58" s="47" t="s">
        <v>0</v>
      </c>
      <c r="DP58" s="19" t="str">
        <f>IF(BA58="","","INSERT INTO imeprezime_alias(id,alias,imeprezime_id) VALUES ("&amp;BB58&amp;",'"&amp;BA58&amp;"',"&amp;IF(BC58="NEMA",BD58,BC58)&amp;");")</f>
        <v/>
      </c>
      <c r="DQ58" s="47" t="s">
        <v>0</v>
      </c>
      <c r="DR58" s="52" t="str">
        <f>IF(AL58="","",DU58 &amp; IF(Q58="",""," – " &amp; Q58))</f>
        <v>Andraž – Hribar – OK Kapela – M21A</v>
      </c>
      <c r="DS58" s="53">
        <f t="shared" si="26"/>
        <v>253</v>
      </c>
      <c r="DT58" s="47" t="s">
        <v>0</v>
      </c>
      <c r="DU58" s="52" t="str">
        <f>IF(AL58="","",DX58 &amp; IF(CR58="",""," – " &amp; CR58))</f>
        <v>Andraž – Hribar – OK Kapela</v>
      </c>
      <c r="DV58" s="53">
        <f t="shared" si="27"/>
        <v>253</v>
      </c>
      <c r="DW58" s="47" t="s">
        <v>0</v>
      </c>
      <c r="DX58" s="52" t="str">
        <f>IF(BG58="","",BF58&amp;" – "&amp;BG58)</f>
        <v>Andraž – Hribar</v>
      </c>
      <c r="DY58" s="53">
        <f t="shared" si="28"/>
        <v>253</v>
      </c>
      <c r="DZ58" s="47" t="s">
        <v>0</v>
      </c>
      <c r="EA58" s="58">
        <f t="shared" si="61"/>
        <v>253</v>
      </c>
      <c r="EB58" s="53" cm="1">
        <f t="array" ref="EB58">IF(EA58&lt;&gt;"",INDEX(regNatjecatelj_id,EA58,0),IF(BD58&lt;&gt;"",BD58,""))</f>
        <v>1861</v>
      </c>
      <c r="EC58" s="47" t="s">
        <v>0</v>
      </c>
      <c r="ED58" s="58" t="str">
        <f>IF(AL58="","",IF(BD58&lt;&gt;"","novo",IF(AN58="","imepre","imepre(ali)")))</f>
        <v>imepre</v>
      </c>
      <c r="EE58" s="73" t="str">
        <f>IF(AL58="","",IF(BL58="",IF(IFERROR(INDEX(regNatjecatelj_klub,MATCH(EB58,regNatjecatelj_id,0)),"NEMA")="","klu",""),IF(OR(AND(BN58&lt;&gt;"",BN58&lt;&gt;"NEMA"),CD58&lt;&gt;""),"klu(ali)",IF(AND(BP58&lt;&gt;"",BP58&lt;&gt;BO58),"(raz-klu)","klu"))))</f>
        <v>klu</v>
      </c>
      <c r="EF58" s="73" t="str">
        <f>IF(AL58="","","kat"&amp;IF(AND(W58&lt;&gt;Q58,Q58&lt;&gt;"Open"),"(ali)",""))</f>
        <v>kat</v>
      </c>
      <c r="EG58" s="73" t="str">
        <f t="shared" si="29"/>
        <v/>
      </c>
      <c r="EH58" s="66" t="str">
        <f>IF(AL58="","",ED58&amp;IF(ED58="novo","","-"&amp;EE58&amp;"-"&amp;EF58)&amp;IF(EG58="","","-"&amp;EG58))</f>
        <v>imepre-klu-kat</v>
      </c>
      <c r="EI58" s="47" t="s">
        <v>0</v>
      </c>
      <c r="EJ58" s="58">
        <f>IF(AL58="","",MAX(EJ$12:EJ57)+1)</f>
        <v>230</v>
      </c>
      <c r="EK58" s="73">
        <f>IF(AO58="","",X58)</f>
        <v>27</v>
      </c>
      <c r="EL58" s="73">
        <f t="shared" si="62"/>
        <v>1861</v>
      </c>
      <c r="EM58" s="73">
        <f t="shared" si="30"/>
        <v>3819</v>
      </c>
      <c r="EN58" s="73">
        <f t="shared" si="31"/>
        <v>1</v>
      </c>
      <c r="EO58" s="73">
        <f t="shared" si="63"/>
        <v>1</v>
      </c>
      <c r="EP58" s="73">
        <f t="shared" si="64"/>
        <v>1</v>
      </c>
      <c r="EQ58" s="73" t="str">
        <f t="shared" si="34"/>
        <v>0</v>
      </c>
      <c r="ER58" s="73" t="str">
        <f>IF(OR(AN58="",AN58="NEMA"),BB58,AN58)</f>
        <v/>
      </c>
      <c r="ES58" s="73" t="str">
        <f>IF(AND(BN58&lt;&gt;"",BN58&lt;&gt;"NEMA"),BN58,IF(CG58&lt;&gt;"",CG58,IF(AND(CL58&lt;&gt;"",CL58&lt;&gt;"NEMA"),CL58,IF(CM58&lt;&gt;"",CM58,""))))</f>
        <v/>
      </c>
      <c r="ET58" s="53" t="str">
        <f>IF(INDEX(natKategorija_alias_Id,MATCH(S58,natKategorija_katRegId,0))="","",INDEX(natKategorija_alias_Id,MATCH(S58,natKategorija_katRegId,0)))</f>
        <v/>
      </c>
      <c r="EU58" s="47" t="s">
        <v>0</v>
      </c>
      <c r="EV58" s="19" t="str">
        <f t="shared" si="65"/>
        <v>INSERT INTO rezultat(id,stazakategorija_id,imeprezime_id,vrijeme_sec,status_id,registracija,uparivanje_id,originalstatus_id,imeprezimealias_id,klubalias_id,kategorijaalias_id) VALUES (230,27,1861,3819,1,1,1,0,Null,Null,Null);</v>
      </c>
      <c r="EW58" s="47" t="s">
        <v>0</v>
      </c>
      <c r="EX58" s="19" t="str">
        <f t="shared" si="66"/>
        <v>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58" s="47" t="s">
        <v>0</v>
      </c>
      <c r="EZ58" s="180" t="str">
        <f>AG58&amp;IF(CP58="","","
")&amp;CP58&amp;IF(CI58="","","
")&amp;CI58&amp;IF(DN58="","","
")&amp;DN58&amp;IF(DP58="","","
")&amp;DP58&amp;IF(EV58="","","
")&amp;EV58&amp;IF(EX58="","","
")&amp;EX58</f>
        <v xml:space="preserve">
INSERT INTO rezultat(id,stazakategorija_id,imeprezime_id,vrijeme_sec,status_id,registracija,uparivanje_id,originalstatus_id,imeprezimealias_id,klubalias_id,kategorijaalias_id) VALUES (230,27,1861,3819,1,1,1,0,Null,Null,Null);
UPDATE
	registar
SET
	potvrda = 1
WHERE
	imeprezime_id=1861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58" s="47" t="s">
        <v>0</v>
      </c>
    </row>
    <row r="59" spans="1:157" x14ac:dyDescent="0.25">
      <c r="A59" t="s">
        <v>0</v>
      </c>
      <c r="B59" s="52" t="str">
        <f>IF(csv!F49="","",csv!T49)</f>
        <v>M21A</v>
      </c>
      <c r="C59" s="31" t="s">
        <v>0</v>
      </c>
      <c r="D59" s="31" t="str">
        <f>IF(csv!F49="","",csv!F49)</f>
        <v>Matija</v>
      </c>
      <c r="E59" s="31" t="str">
        <f>IF(csv!E49="","",csv!E49)</f>
        <v>Razum</v>
      </c>
      <c r="F59" s="31" t="s">
        <v>0</v>
      </c>
      <c r="G59" s="73" t="str">
        <f>IF(csv!M49="","",csv!M49)</f>
        <v>64:05</v>
      </c>
      <c r="H59" s="73" t="str">
        <f>IF(csv!N49="","",csv!N49)</f>
        <v>0</v>
      </c>
      <c r="I59" s="31" t="s">
        <v>0</v>
      </c>
      <c r="J59" s="31" t="str">
        <f>IF(csv!P49="","",csv!P49)</f>
        <v>JAP</v>
      </c>
      <c r="K59" s="31" t="str">
        <f>IF(csv!Q49="","",csv!Q49)</f>
        <v>OK Japetic</v>
      </c>
      <c r="L59" s="31" t="s">
        <v>0</v>
      </c>
      <c r="M59" s="66" t="str">
        <f>IF(csv!R49="","",csv!R49)</f>
        <v>CRO</v>
      </c>
      <c r="N59" s="47" t="s">
        <v>0</v>
      </c>
      <c r="O59" s="243" t="str">
        <f t="shared" si="36"/>
        <v>ok</v>
      </c>
      <c r="P59" s="47"/>
      <c r="Q59" s="52" t="str">
        <f t="shared" si="37"/>
        <v>M21A</v>
      </c>
      <c r="R59" s="73">
        <f>IF(Q59="","",IF(COUNTIF(Q$12:Q58,Q59)=0,R58+1,R58))</f>
        <v>5</v>
      </c>
      <c r="S59" s="73">
        <f t="shared" si="38"/>
        <v>101</v>
      </c>
      <c r="T59" s="73">
        <f t="shared" si="1"/>
        <v>13</v>
      </c>
      <c r="U59" s="66" t="str">
        <f t="shared" si="2"/>
        <v>M21A</v>
      </c>
      <c r="V59" s="47" t="s">
        <v>0</v>
      </c>
      <c r="W59" s="222" t="str">
        <f t="shared" si="3"/>
        <v>M21A</v>
      </c>
      <c r="X59" s="223">
        <f t="shared" si="4"/>
        <v>27</v>
      </c>
      <c r="Y59" s="47" t="s">
        <v>0</v>
      </c>
      <c r="Z59" s="52" t="str">
        <f t="shared" si="39"/>
        <v>CRO</v>
      </c>
      <c r="AA59" s="73">
        <f t="shared" si="5"/>
        <v>1</v>
      </c>
      <c r="AB59" s="31" t="str">
        <f t="shared" si="40"/>
        <v/>
      </c>
      <c r="AC59" s="66" t="str">
        <f>IF(AB59="","",MAX(AC$12:AC58)+1)</f>
        <v/>
      </c>
      <c r="AD59" s="47" t="s">
        <v>0</v>
      </c>
      <c r="AE59" s="125"/>
      <c r="AF59" s="47" t="s">
        <v>0</v>
      </c>
      <c r="AG59" s="19" t="str">
        <f t="shared" si="41"/>
        <v/>
      </c>
      <c r="AH59" s="47" t="s">
        <v>0</v>
      </c>
      <c r="AI59" s="143" t="str">
        <f t="shared" si="42"/>
        <v>CRO</v>
      </c>
      <c r="AJ59" s="47"/>
      <c r="AK59" s="52" t="str">
        <f t="shared" si="43"/>
        <v>Matija</v>
      </c>
      <c r="AL59" s="31" t="str">
        <f t="shared" si="44"/>
        <v>Razum</v>
      </c>
      <c r="AM59" s="73">
        <f t="shared" si="45"/>
        <v>1459</v>
      </c>
      <c r="AN59" s="73" t="str">
        <f t="shared" si="46"/>
        <v/>
      </c>
      <c r="AO59" s="31" t="str">
        <f t="shared" si="8"/>
        <v>Matija</v>
      </c>
      <c r="AP59" s="66" t="str">
        <f t="shared" si="9"/>
        <v>Razum</v>
      </c>
      <c r="AQ59" s="47" t="s">
        <v>0</v>
      </c>
      <c r="AR59" s="82" t="str">
        <f t="shared" si="47"/>
        <v/>
      </c>
      <c r="AS59" s="47" t="s">
        <v>0</v>
      </c>
      <c r="AT59" s="19" t="str">
        <f t="shared" si="48"/>
        <v/>
      </c>
      <c r="AU59" s="47" t="s">
        <v>0</v>
      </c>
      <c r="AV59" s="103"/>
      <c r="AW59" s="105"/>
      <c r="AX59" s="47" t="s">
        <v>0</v>
      </c>
      <c r="AY59" s="256" t="str">
        <f t="shared" si="68"/>
        <v/>
      </c>
      <c r="AZ59" s="47" t="s">
        <v>0</v>
      </c>
      <c r="BA59" s="52" t="str">
        <f t="shared" si="11"/>
        <v/>
      </c>
      <c r="BB59" s="73" t="str">
        <f>IF(AV59&amp;AW59="","",MAX(BB$12:BB58)+1)</f>
        <v/>
      </c>
      <c r="BC59" s="268" t="str">
        <f t="shared" si="12"/>
        <v/>
      </c>
      <c r="BD59" s="53" t="str">
        <f>IF(AND(AM59="NEMA",AN59="NEMA",OR(AV59&amp;AW59="",BC59="NEMA")),MAX(BD$12:BD58)+1,"")</f>
        <v/>
      </c>
      <c r="BE59" s="47" t="s">
        <v>0</v>
      </c>
      <c r="BF59" s="52" t="str">
        <f t="shared" si="13"/>
        <v>Matija</v>
      </c>
      <c r="BG59" s="31" t="str">
        <f t="shared" si="14"/>
        <v>Razum</v>
      </c>
      <c r="BH59" s="73" t="str">
        <f t="shared" si="49"/>
        <v/>
      </c>
      <c r="BI59" s="53">
        <f t="shared" si="50"/>
        <v>1459</v>
      </c>
      <c r="BJ59" s="47" t="s">
        <v>0</v>
      </c>
      <c r="BK59" s="52" t="str">
        <f t="shared" si="15"/>
        <v>JAP</v>
      </c>
      <c r="BL59" s="31" t="str">
        <f t="shared" si="16"/>
        <v>OK Japetic</v>
      </c>
      <c r="BM59" s="73" t="str">
        <f t="shared" si="17"/>
        <v>NEMA</v>
      </c>
      <c r="BN59" s="73">
        <f t="shared" si="18"/>
        <v>1</v>
      </c>
      <c r="BO59" s="31" t="str" cm="1">
        <f t="array" ref="BO59">IF(BN59="",""&amp;BL59,IF(BN59="NEMA",BL59,INDEX(regKlub_naziv,MATCH(INDEX(regKlub_alias_klubId,BN59),regKlub_id,0))))</f>
        <v>OK Japetić</v>
      </c>
      <c r="BP59" s="31" t="str" cm="1">
        <f t="array" ref="BP59">IFERROR(""&amp;INDEX(regNatjecatelj_klub,DY59),"")</f>
        <v>OK Japetić</v>
      </c>
      <c r="BQ59" s="88" t="str">
        <f t="shared" si="51"/>
        <v/>
      </c>
      <c r="BR59" s="66" t="str">
        <f t="shared" si="52"/>
        <v>OK Japetić</v>
      </c>
      <c r="BS59" s="47" t="s">
        <v>0</v>
      </c>
      <c r="BT59" s="82" t="str">
        <f>IF(BN59&lt;&gt;"NEMA","",IF(IFERROR(MATCH(BL59,BL$12:BL58,0),0)&lt;&gt;0,"",BL59))</f>
        <v/>
      </c>
      <c r="BU59" s="47" t="s">
        <v>0</v>
      </c>
      <c r="BV59" s="125"/>
      <c r="BW59" s="47" t="s">
        <v>0</v>
      </c>
      <c r="BX59" s="58" t="str">
        <f t="shared" si="53"/>
        <v/>
      </c>
      <c r="BY59" s="31" t="str">
        <f t="shared" si="54"/>
        <v/>
      </c>
      <c r="BZ59" s="31" t="str">
        <f>IF(BY59="","",MAX(BZ$12:BZ58)+1)</f>
        <v/>
      </c>
      <c r="CA59" s="31" t="str">
        <f>IF(BY59="","",IF(AA59="","",IF(AA59="NEMA",AC59,AA59)))</f>
        <v/>
      </c>
      <c r="CB59" s="31" t="str">
        <f t="shared" si="55"/>
        <v/>
      </c>
      <c r="CC59" s="31" t="str">
        <f>IF(BV59="","",MAX(CC$12:CC58)+1)</f>
        <v/>
      </c>
      <c r="CD59" s="31" t="str">
        <f t="shared" si="56"/>
        <v/>
      </c>
      <c r="CE59" s="66" t="str">
        <f t="shared" si="57"/>
        <v/>
      </c>
      <c r="CF59" s="47" t="s">
        <v>0</v>
      </c>
      <c r="CG59" s="73" t="str">
        <f>IF(BN59="","",IF(BN59&lt;&gt;"NEMA","",IFERROR(INDEX(nat_klubAliasId,MATCH(BL59,nat_noviKluboviAliasi,0)),"")))</f>
        <v/>
      </c>
      <c r="CH59" s="47"/>
      <c r="CI59" s="19" t="str">
        <f t="shared" si="58"/>
        <v/>
      </c>
      <c r="CJ59" s="47" t="s">
        <v>0</v>
      </c>
      <c r="CK59" s="52" t="str">
        <f>IF(X59&lt;&gt;"NEMA","",IF(IFERROR(MATCH(W59,W$12:W58,0),0)&lt;&gt;0,"",W59))</f>
        <v/>
      </c>
      <c r="CL59" s="73" t="str">
        <f>IF(CK59="","",IFERROR(INDEX(regKlub_alias_id,MATCH(CK59,regKlub_alias_alias,0)),"NEMA"))</f>
        <v/>
      </c>
      <c r="CM59" s="31" t="str">
        <f>IF(OR(CL59="",CL59&lt;&gt;"NEMA"),"",MAX(CM$12:CM58)+1)</f>
        <v/>
      </c>
      <c r="CN59" s="66" t="str">
        <f>IF(OR(CL59="",CL59&lt;&gt;"NEMA"),"",INDEX(regKlub_id,MATCH(CK59,regKlub_naziv,0)))</f>
        <v/>
      </c>
      <c r="CO59" s="47" t="s">
        <v>0</v>
      </c>
      <c r="CP59" s="19" t="str">
        <f>IF(OR(CL59="",CL59&lt;&gt;"NEMA"),"","INSERT INTO klub_alias(id,alias,klub_id) VALUES ("&amp;CM59&amp;",'"&amp;CK59&amp;"',"&amp;CN59&amp;");")</f>
        <v/>
      </c>
      <c r="CQ59" s="47" t="s">
        <v>0</v>
      </c>
      <c r="CR59" s="143" t="str">
        <f>IF(BR59="","",IF(BV59="",IF(IFERROR(MATCH(BR59,nat_noviKluboviAliasi,0),0)&gt;0,INDEX(nat_kluboviAliasi,MATCH(BR59,nat_noviKluboviAliasi,0)),BR59),BV59))</f>
        <v>OK Japetić</v>
      </c>
      <c r="CS59" s="47" t="s">
        <v>0</v>
      </c>
      <c r="CT59" s="58" t="str">
        <f>IF(G59="","",G59)</f>
        <v>64:05</v>
      </c>
      <c r="CU59" s="73" t="str">
        <f>IF(H59="","",H59)</f>
        <v>0</v>
      </c>
      <c r="CV59" s="229" t="str">
        <f>IF(CT59="",IF(OR(AL59="",CU59&lt;&gt;"0"),"","GREŠKA"),IF(AND(65535&gt;=VALUE(LEFT(CT59,SEARCH(":",CT59)-1))*60+VALUE(RIGHT(CT59,2)),OR(CU59="0",CU59="1",CU59="2",CU59="3",CU59="4")),"","GREŠKA"))</f>
        <v/>
      </c>
      <c r="CW59" s="230">
        <f t="shared" si="23"/>
        <v>3845</v>
      </c>
      <c r="CX59" s="163">
        <f t="shared" si="24"/>
        <v>1</v>
      </c>
      <c r="CY59" s="47" t="s">
        <v>0</v>
      </c>
      <c r="CZ59" s="222" t="str">
        <f>IF(CV59&lt;&gt;"GREŠKA","",AK59&amp;" "&amp;AL59&amp;" – Molim u OEventu provjeriti i ispraviti rezultat – vrijeme ("&amp;IF(CT59="","nije upisano",CT59)&amp;") i classifier ("&amp;CU59&amp;").")&amp;IF(OR(CV59&lt;&gt;"GREŠKA",CX59&lt;&gt;5),"
","")&amp;IF(CX59&lt;&gt;5,"",AK59&amp;" "&amp;AL59&amp;" – Molim u provjeriti je li natjecatelj zaista diskvalificiran. Ako je koje je obrazloženje, ako nije molim u OEventu ispraviti rezultat")</f>
        <v xml:space="preserve">
</v>
      </c>
      <c r="DA59" s="223">
        <f t="shared" si="60"/>
        <v>6</v>
      </c>
      <c r="DB59" s="47" t="s">
        <v>0</v>
      </c>
      <c r="DC59" s="47"/>
      <c r="DD59" s="47"/>
      <c r="DE59" s="47"/>
      <c r="DF59" s="47" t="s">
        <v>0</v>
      </c>
      <c r="DG59" s="53" t="str">
        <f>IF(BD59="","",IF(DI59="O",1,""))</f>
        <v/>
      </c>
      <c r="DH59" t="s">
        <v>0</v>
      </c>
      <c r="DI59" s="128" t="str">
        <f>IF(Q59="","",LEFT(INDEX(regKategorija_oznaka,MATCH(S59,regKategorija_id,0)),1))</f>
        <v>M</v>
      </c>
      <c r="DJ59" t="s">
        <v>0</v>
      </c>
      <c r="DK59" s="52" t="str">
        <f>IF(BD59="","",IF(M59&lt;&gt;"CRO","","INSERT INTO osoba (id,reg_broj,oib,spol_id,dat_rodjenja) VALUES ("&amp;BD59&amp;",(SELECT max(os.reg_broj)+1 FROM osoba AS os),Null,'"&amp;DI59&amp;"',Null); INSERT INTO osoba_log (id,reg_broj,oib,spol_id,dat_rodjenja,dnevnik_id) SELECT id,reg_broj,oib,spol_id,dat_rodjenja,"&amp;data_dnevnik_id&amp;" FROM osoba WHERE id = "&amp;BD59&amp;";"))</f>
        <v/>
      </c>
      <c r="DL59" s="66" t="str">
        <f>IF(BD59="","","INSERT INTO imeprezime (id,osoba_id,rbr,ime,prezime,klub_id,identitet_id,sintaksa_id,info,aktivno,dnevnik_id) VALUES ("&amp;BD59&amp;","&amp;IF(DK59="","Null",BD59)&amp;",1,'"&amp;IF(AV59&lt;&gt;"",AV59,AK59)&amp;"','"&amp;IF(AW59&lt;&gt;"",AW59,AL59)&amp;"',(SELECT id FROM klub WHERE naziv = '"&amp;CR59&amp;"'),Null,1,'',1,"&amp;data_dnevnik_id&amp;");")</f>
        <v/>
      </c>
      <c r="DM59" t="s">
        <v>0</v>
      </c>
      <c r="DN59" s="19" t="str">
        <f t="shared" si="69"/>
        <v/>
      </c>
      <c r="DO59" s="47" t="s">
        <v>0</v>
      </c>
      <c r="DP59" s="19" t="str">
        <f>IF(BA59="","","INSERT INTO imeprezime_alias(id,alias,imeprezime_id) VALUES ("&amp;BB59&amp;",'"&amp;BA59&amp;"',"&amp;IF(BC59="NEMA",BD59,BC59)&amp;");")</f>
        <v/>
      </c>
      <c r="DQ59" s="47" t="s">
        <v>0</v>
      </c>
      <c r="DR59" s="52" t="str">
        <f>IF(AL59="","",DU59 &amp; IF(Q59="",""," – " &amp; Q59))</f>
        <v>Matija – Razum – OK Japetić – M21A</v>
      </c>
      <c r="DS59" s="53">
        <f t="shared" si="26"/>
        <v>135</v>
      </c>
      <c r="DT59" s="47" t="s">
        <v>0</v>
      </c>
      <c r="DU59" s="52" t="str">
        <f>IF(AL59="","",DX59 &amp; IF(CR59="",""," – " &amp; CR59))</f>
        <v>Matija – Razum – OK Japetić</v>
      </c>
      <c r="DV59" s="53">
        <f t="shared" si="27"/>
        <v>135</v>
      </c>
      <c r="DW59" s="47" t="s">
        <v>0</v>
      </c>
      <c r="DX59" s="52" t="str">
        <f>IF(BG59="","",BF59&amp;" – "&amp;BG59)</f>
        <v>Matija – Razum</v>
      </c>
      <c r="DY59" s="53">
        <f t="shared" si="28"/>
        <v>135</v>
      </c>
      <c r="DZ59" s="47" t="s">
        <v>0</v>
      </c>
      <c r="EA59" s="58">
        <f t="shared" si="61"/>
        <v>135</v>
      </c>
      <c r="EB59" s="53" cm="1">
        <f t="array" ref="EB59">IF(EA59&lt;&gt;"",INDEX(regNatjecatelj_id,EA59,0),IF(BD59&lt;&gt;"",BD59,""))</f>
        <v>1459</v>
      </c>
      <c r="EC59" s="47" t="s">
        <v>0</v>
      </c>
      <c r="ED59" s="58" t="str">
        <f>IF(AL59="","",IF(BD59&lt;&gt;"","novo",IF(AN59="","imepre","imepre(ali)")))</f>
        <v>imepre</v>
      </c>
      <c r="EE59" s="73" t="str">
        <f>IF(AL59="","",IF(BL59="",IF(IFERROR(INDEX(regNatjecatelj_klub,MATCH(EB59,regNatjecatelj_id,0)),"NEMA")="","klu",""),IF(OR(AND(BN59&lt;&gt;"",BN59&lt;&gt;"NEMA"),CD59&lt;&gt;""),"klu(ali)",IF(AND(BP59&lt;&gt;"",BP59&lt;&gt;BO59),"(raz-klu)","klu"))))</f>
        <v>klu(ali)</v>
      </c>
      <c r="EF59" s="73" t="str">
        <f>IF(AL59="","","kat"&amp;IF(AND(W59&lt;&gt;Q59,Q59&lt;&gt;"Open"),"(ali)",""))</f>
        <v>kat</v>
      </c>
      <c r="EG59" s="73" t="str">
        <f t="shared" si="29"/>
        <v/>
      </c>
      <c r="EH59" s="66" t="str">
        <f>IF(AL59="","",ED59&amp;IF(ED59="novo","","-"&amp;EE59&amp;"-"&amp;EF59)&amp;IF(EG59="","","-"&amp;EG59))</f>
        <v>imepre-klu(ali)-kat</v>
      </c>
      <c r="EI59" s="47" t="s">
        <v>0</v>
      </c>
      <c r="EJ59" s="58">
        <f>IF(AL59="","",MAX(EJ$12:EJ58)+1)</f>
        <v>231</v>
      </c>
      <c r="EK59" s="73">
        <f>IF(AO59="","",X59)</f>
        <v>27</v>
      </c>
      <c r="EL59" s="73">
        <f t="shared" si="62"/>
        <v>1459</v>
      </c>
      <c r="EM59" s="73">
        <f t="shared" si="30"/>
        <v>3845</v>
      </c>
      <c r="EN59" s="73">
        <f t="shared" si="31"/>
        <v>1</v>
      </c>
      <c r="EO59" s="73">
        <f t="shared" si="63"/>
        <v>1</v>
      </c>
      <c r="EP59" s="73">
        <f t="shared" si="64"/>
        <v>3</v>
      </c>
      <c r="EQ59" s="73" t="str">
        <f t="shared" si="34"/>
        <v>0</v>
      </c>
      <c r="ER59" s="73" t="str">
        <f>IF(OR(AN59="",AN59="NEMA"),BB59,AN59)</f>
        <v/>
      </c>
      <c r="ES59" s="73">
        <f>IF(AND(BN59&lt;&gt;"",BN59&lt;&gt;"NEMA"),BN59,IF(CG59&lt;&gt;"",CG59,IF(AND(CL59&lt;&gt;"",CL59&lt;&gt;"NEMA"),CL59,IF(CM59&lt;&gt;"",CM59,""))))</f>
        <v>1</v>
      </c>
      <c r="ET59" s="53" t="str">
        <f>IF(INDEX(natKategorija_alias_Id,MATCH(S59,natKategorija_katRegId,0))="","",INDEX(natKategorija_alias_Id,MATCH(S59,natKategorija_katRegId,0)))</f>
        <v/>
      </c>
      <c r="EU59" s="47" t="s">
        <v>0</v>
      </c>
      <c r="EV59" s="19" t="str">
        <f t="shared" si="65"/>
        <v>INSERT INTO rezultat(id,stazakategorija_id,imeprezime_id,vrijeme_sec,status_id,registracija,uparivanje_id,originalstatus_id,imeprezimealias_id,klubalias_id,kategorijaalias_id) VALUES (231,27,1459,3845,1,1,3,0,Null,1,Null);</v>
      </c>
      <c r="EW59" s="47" t="s">
        <v>0</v>
      </c>
      <c r="EX59" s="19" t="str">
        <f t="shared" si="66"/>
        <v>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59" s="47" t="s">
        <v>0</v>
      </c>
      <c r="EZ59" s="180" t="str">
        <f>AG59&amp;IF(CP59="","","
")&amp;CP59&amp;IF(CI59="","","
")&amp;CI59&amp;IF(DN59="","","
")&amp;DN59&amp;IF(DP59="","","
")&amp;DP59&amp;IF(EV59="","","
")&amp;EV59&amp;IF(EX59="","","
")&amp;EX59</f>
        <v xml:space="preserve">
INSERT INTO rezultat(id,stazakategorija_id,imeprezime_id,vrijeme_sec,status_id,registracija,uparivanje_id,originalstatus_id,imeprezimealias_id,klubalias_id,kategorijaalias_id) VALUES (231,27,1459,3845,1,1,3,0,Null,1,Null);
UPDATE
	registar
SET
	potvrda = 1
WHERE
	imeprezime_id=1459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59" s="47" t="s">
        <v>0</v>
      </c>
    </row>
    <row r="60" spans="1:157" x14ac:dyDescent="0.25">
      <c r="A60" t="s">
        <v>0</v>
      </c>
      <c r="B60" s="52" t="str">
        <f>IF(csv!F50="","",csv!T50)</f>
        <v>M21A</v>
      </c>
      <c r="C60" s="31" t="s">
        <v>0</v>
      </c>
      <c r="D60" s="31" t="str">
        <f>IF(csv!F50="","",csv!F50)</f>
        <v>Lobel</v>
      </c>
      <c r="E60" s="31" t="str">
        <f>IF(csv!E50="","",csv!E50)</f>
        <v>Horvat</v>
      </c>
      <c r="F60" s="31" t="s">
        <v>0</v>
      </c>
      <c r="G60" s="73" t="str">
        <f>IF(csv!M50="","",csv!M50)</f>
        <v>70:16</v>
      </c>
      <c r="H60" s="73" t="str">
        <f>IF(csv!N50="","",csv!N50)</f>
        <v>0</v>
      </c>
      <c r="I60" s="31" t="s">
        <v>0</v>
      </c>
      <c r="J60" s="31" t="str">
        <f>IF(csv!P50="","",csv!P50)</f>
        <v>Maksimir</v>
      </c>
      <c r="K60" s="31" t="str">
        <f>IF(csv!Q50="","",csv!Q50)</f>
        <v>OK Maksimir</v>
      </c>
      <c r="L60" s="31" t="s">
        <v>0</v>
      </c>
      <c r="M60" s="66" t="str">
        <f>IF(csv!R50="","",csv!R50)</f>
        <v>CRO</v>
      </c>
      <c r="N60" s="47" t="s">
        <v>0</v>
      </c>
      <c r="O60" s="243" t="str">
        <f t="shared" si="36"/>
        <v>ok</v>
      </c>
      <c r="P60" s="47"/>
      <c r="Q60" s="52" t="str">
        <f t="shared" si="37"/>
        <v>M21A</v>
      </c>
      <c r="R60" s="73">
        <f>IF(Q60="","",IF(COUNTIF(Q$12:Q59,Q60)=0,R59+1,R59))</f>
        <v>5</v>
      </c>
      <c r="S60" s="73">
        <f t="shared" si="38"/>
        <v>101</v>
      </c>
      <c r="T60" s="73">
        <f t="shared" si="1"/>
        <v>13</v>
      </c>
      <c r="U60" s="66" t="str">
        <f t="shared" si="2"/>
        <v>M21A</v>
      </c>
      <c r="V60" s="47" t="s">
        <v>0</v>
      </c>
      <c r="W60" s="222" t="str">
        <f t="shared" si="3"/>
        <v>M21A</v>
      </c>
      <c r="X60" s="223">
        <f t="shared" si="4"/>
        <v>27</v>
      </c>
      <c r="Y60" s="47" t="s">
        <v>0</v>
      </c>
      <c r="Z60" s="52" t="str">
        <f t="shared" si="39"/>
        <v>CRO</v>
      </c>
      <c r="AA60" s="73">
        <f t="shared" si="5"/>
        <v>1</v>
      </c>
      <c r="AB60" s="31" t="str">
        <f t="shared" si="40"/>
        <v/>
      </c>
      <c r="AC60" s="66" t="str">
        <f>IF(AB60="","",MAX(AC$12:AC59)+1)</f>
        <v/>
      </c>
      <c r="AD60" s="47" t="s">
        <v>0</v>
      </c>
      <c r="AE60" s="125"/>
      <c r="AF60" s="47" t="s">
        <v>0</v>
      </c>
      <c r="AG60" s="19" t="str">
        <f t="shared" si="41"/>
        <v/>
      </c>
      <c r="AH60" s="47" t="s">
        <v>0</v>
      </c>
      <c r="AI60" s="143" t="str">
        <f t="shared" si="42"/>
        <v>CRO</v>
      </c>
      <c r="AJ60" s="47"/>
      <c r="AK60" s="52" t="str">
        <f t="shared" si="43"/>
        <v>Lobel</v>
      </c>
      <c r="AL60" s="31" t="str">
        <f t="shared" si="44"/>
        <v>Horvat</v>
      </c>
      <c r="AM60" s="73">
        <f t="shared" si="45"/>
        <v>1130</v>
      </c>
      <c r="AN60" s="73" t="str">
        <f t="shared" si="46"/>
        <v/>
      </c>
      <c r="AO60" s="31" t="str">
        <f t="shared" si="8"/>
        <v>Lobel</v>
      </c>
      <c r="AP60" s="66" t="str">
        <f t="shared" si="9"/>
        <v>Horvat</v>
      </c>
      <c r="AQ60" s="47" t="s">
        <v>0</v>
      </c>
      <c r="AR60" s="82" t="str">
        <f t="shared" si="47"/>
        <v/>
      </c>
      <c r="AS60" s="47" t="s">
        <v>0</v>
      </c>
      <c r="AT60" s="19" t="str">
        <f t="shared" si="48"/>
        <v/>
      </c>
      <c r="AU60" s="47" t="s">
        <v>0</v>
      </c>
      <c r="AV60" s="103"/>
      <c r="AW60" s="105"/>
      <c r="AX60" s="47" t="s">
        <v>0</v>
      </c>
      <c r="AY60" s="256" t="str">
        <f t="shared" si="68"/>
        <v/>
      </c>
      <c r="AZ60" s="47" t="s">
        <v>0</v>
      </c>
      <c r="BA60" s="52" t="str">
        <f t="shared" si="11"/>
        <v/>
      </c>
      <c r="BB60" s="73" t="str">
        <f>IF(AV60&amp;AW60="","",MAX(BB$12:BB59)+1)</f>
        <v/>
      </c>
      <c r="BC60" s="268" t="str">
        <f t="shared" si="12"/>
        <v/>
      </c>
      <c r="BD60" s="53" t="str">
        <f>IF(AND(AM60="NEMA",AN60="NEMA",OR(AV60&amp;AW60="",BC60="NEMA")),MAX(BD$12:BD59)+1,"")</f>
        <v/>
      </c>
      <c r="BE60" s="47" t="s">
        <v>0</v>
      </c>
      <c r="BF60" s="52" t="str">
        <f t="shared" si="13"/>
        <v>Lobel</v>
      </c>
      <c r="BG60" s="31" t="str">
        <f t="shared" si="14"/>
        <v>Horvat</v>
      </c>
      <c r="BH60" s="73" t="str">
        <f t="shared" si="49"/>
        <v/>
      </c>
      <c r="BI60" s="53">
        <f t="shared" si="50"/>
        <v>1130</v>
      </c>
      <c r="BJ60" s="47" t="s">
        <v>0</v>
      </c>
      <c r="BK60" s="52" t="str">
        <f t="shared" si="15"/>
        <v>Maksimir</v>
      </c>
      <c r="BL60" s="31" t="str">
        <f t="shared" si="16"/>
        <v>OK Maksimir</v>
      </c>
      <c r="BM60" s="73">
        <f t="shared" si="17"/>
        <v>6</v>
      </c>
      <c r="BN60" s="73" t="str">
        <f t="shared" si="18"/>
        <v/>
      </c>
      <c r="BO60" s="31" t="str" cm="1">
        <f t="array" ref="BO60">IF(BN60="",""&amp;BL60,IF(BN60="NEMA",BL60,INDEX(regKlub_naziv,MATCH(INDEX(regKlub_alias_klubId,BN60),regKlub_id,0))))</f>
        <v>OK Maksimir</v>
      </c>
      <c r="BP60" s="31" t="str" cm="1">
        <f t="array" ref="BP60">IFERROR(""&amp;INDEX(regNatjecatelj_klub,DY60),"")</f>
        <v>OK Maksimir</v>
      </c>
      <c r="BQ60" s="88" t="str">
        <f t="shared" si="51"/>
        <v/>
      </c>
      <c r="BR60" s="66" t="str">
        <f t="shared" si="52"/>
        <v>OK Maksimir</v>
      </c>
      <c r="BS60" s="47" t="s">
        <v>0</v>
      </c>
      <c r="BT60" s="82" t="str">
        <f>IF(BN60&lt;&gt;"NEMA","",IF(IFERROR(MATCH(BL60,BL$12:BL59,0),0)&lt;&gt;0,"",BL60))</f>
        <v/>
      </c>
      <c r="BU60" s="47" t="s">
        <v>0</v>
      </c>
      <c r="BV60" s="125"/>
      <c r="BW60" s="47" t="s">
        <v>0</v>
      </c>
      <c r="BX60" s="58" t="str">
        <f t="shared" si="53"/>
        <v/>
      </c>
      <c r="BY60" s="31" t="str">
        <f t="shared" si="54"/>
        <v/>
      </c>
      <c r="BZ60" s="31" t="str">
        <f>IF(BY60="","",MAX(BZ$12:BZ59)+1)</f>
        <v/>
      </c>
      <c r="CA60" s="31" t="str">
        <f>IF(BY60="","",IF(AA60="","",IF(AA60="NEMA",AC60,AA60)))</f>
        <v/>
      </c>
      <c r="CB60" s="31" t="str">
        <f t="shared" si="55"/>
        <v/>
      </c>
      <c r="CC60" s="31" t="str">
        <f>IF(BV60="","",MAX(CC$12:CC59)+1)</f>
        <v/>
      </c>
      <c r="CD60" s="31" t="str">
        <f t="shared" si="56"/>
        <v/>
      </c>
      <c r="CE60" s="66" t="str">
        <f t="shared" si="57"/>
        <v/>
      </c>
      <c r="CF60" s="47" t="s">
        <v>0</v>
      </c>
      <c r="CG60" s="73" t="str">
        <f>IF(BN60="","",IF(BN60&lt;&gt;"NEMA","",IFERROR(INDEX(nat_klubAliasId,MATCH(BL60,nat_noviKluboviAliasi,0)),"")))</f>
        <v/>
      </c>
      <c r="CH60" s="47"/>
      <c r="CI60" s="19" t="str">
        <f t="shared" si="58"/>
        <v/>
      </c>
      <c r="CJ60" s="47" t="s">
        <v>0</v>
      </c>
      <c r="CK60" s="52" t="str">
        <f>IF(X60&lt;&gt;"NEMA","",IF(IFERROR(MATCH(W60,W$12:W59,0),0)&lt;&gt;0,"",W60))</f>
        <v/>
      </c>
      <c r="CL60" s="73" t="str">
        <f>IF(CK60="","",IFERROR(INDEX(regKlub_alias_id,MATCH(CK60,regKlub_alias_alias,0)),"NEMA"))</f>
        <v/>
      </c>
      <c r="CM60" s="31" t="str">
        <f>IF(OR(CL60="",CL60&lt;&gt;"NEMA"),"",MAX(CM$12:CM59)+1)</f>
        <v/>
      </c>
      <c r="CN60" s="66" t="str">
        <f>IF(OR(CL60="",CL60&lt;&gt;"NEMA"),"",INDEX(regKlub_id,MATCH(CK60,regKlub_naziv,0)))</f>
        <v/>
      </c>
      <c r="CO60" s="47" t="s">
        <v>0</v>
      </c>
      <c r="CP60" s="19" t="str">
        <f>IF(OR(CL60="",CL60&lt;&gt;"NEMA"),"","INSERT INTO klub_alias(id,alias,klub_id) VALUES ("&amp;CM60&amp;",'"&amp;CK60&amp;"',"&amp;CN60&amp;");")</f>
        <v/>
      </c>
      <c r="CQ60" s="47" t="s">
        <v>0</v>
      </c>
      <c r="CR60" s="143" t="str">
        <f>IF(BR60="","",IF(BV60="",IF(IFERROR(MATCH(BR60,nat_noviKluboviAliasi,0),0)&gt;0,INDEX(nat_kluboviAliasi,MATCH(BR60,nat_noviKluboviAliasi,0)),BR60),BV60))</f>
        <v>OK Maksimir</v>
      </c>
      <c r="CS60" s="47" t="s">
        <v>0</v>
      </c>
      <c r="CT60" s="58" t="str">
        <f>IF(G60="","",G60)</f>
        <v>70:16</v>
      </c>
      <c r="CU60" s="73" t="str">
        <f>IF(H60="","",H60)</f>
        <v>0</v>
      </c>
      <c r="CV60" s="229" t="str">
        <f>IF(CT60="",IF(OR(AL60="",CU60&lt;&gt;"0"),"","GREŠKA"),IF(AND(65535&gt;=VALUE(LEFT(CT60,SEARCH(":",CT60)-1))*60+VALUE(RIGHT(CT60,2)),OR(CU60="0",CU60="1",CU60="2",CU60="3",CU60="4")),"","GREŠKA"))</f>
        <v/>
      </c>
      <c r="CW60" s="230">
        <f t="shared" ref="CW60" si="70">IF(CT60="","",VALUE(LEFT(CT60,SEARCH(":",CT60)-1))*60+VALUE(RIGHT(CT60,2)))</f>
        <v>4216</v>
      </c>
      <c r="CX60" s="163">
        <f t="shared" si="24"/>
        <v>1</v>
      </c>
      <c r="CY60" s="47" t="s">
        <v>0</v>
      </c>
      <c r="CZ60" s="222" t="str">
        <f>IF(CV60&lt;&gt;"GREŠKA","",AK60&amp;" "&amp;AL60&amp;" – Molim u OEventu provjeriti i ispraviti rezultat – vrijeme ("&amp;IF(CT60="","nije upisano",CT60)&amp;") i classifier ("&amp;CU60&amp;").")&amp;IF(OR(CV60&lt;&gt;"GREŠKA",CX60&lt;&gt;5),"
","")&amp;IF(CX60&lt;&gt;5,"",AK60&amp;" "&amp;AL60&amp;" – Molim u provjeriti je li natjecatelj zaista diskvalificiran. Ako je koje je obrazloženje, ako nije molim u OEventu ispraviti rezultat")</f>
        <v xml:space="preserve">
</v>
      </c>
      <c r="DA60" s="223">
        <f t="shared" si="60"/>
        <v>6</v>
      </c>
      <c r="DB60" s="47" t="s">
        <v>0</v>
      </c>
      <c r="DC60" s="47"/>
      <c r="DD60" s="47"/>
      <c r="DE60" s="47"/>
      <c r="DF60" s="47" t="s">
        <v>0</v>
      </c>
      <c r="DG60" s="53" t="str">
        <f>IF(BD60="","",IF(DI60="O",1,""))</f>
        <v/>
      </c>
      <c r="DH60" t="s">
        <v>0</v>
      </c>
      <c r="DI60" s="128" t="str">
        <f>IF(Q60="","",LEFT(INDEX(regKategorija_oznaka,MATCH(S60,regKategorija_id,0)),1))</f>
        <v>M</v>
      </c>
      <c r="DJ60" t="s">
        <v>0</v>
      </c>
      <c r="DK60" s="52" t="str">
        <f>IF(BD60="","",IF(M60&lt;&gt;"CRO","","INSERT INTO osoba (id,reg_broj,oib,spol_id,dat_rodjenja) VALUES ("&amp;BD60&amp;",(SELECT max(os.reg_broj)+1 FROM osoba AS os),Null,'"&amp;DI60&amp;"',Null); INSERT INTO osoba_log (id,reg_broj,oib,spol_id,dat_rodjenja,dnevnik_id) SELECT id,reg_broj,oib,spol_id,dat_rodjenja,"&amp;data_dnevnik_id&amp;" FROM osoba WHERE id = "&amp;BD60&amp;";"))</f>
        <v/>
      </c>
      <c r="DL60" s="66" t="str">
        <f>IF(BD60="","","INSERT INTO imeprezime (id,osoba_id,rbr,ime,prezime,klub_id,identitet_id,sintaksa_id,info,aktivno,dnevnik_id) VALUES ("&amp;BD60&amp;","&amp;IF(DK60="","Null",BD60)&amp;",1,'"&amp;IF(AV60&lt;&gt;"",AV60,AK60)&amp;"','"&amp;IF(AW60&lt;&gt;"",AW60,AL60)&amp;"',(SELECT id FROM klub WHERE naziv = '"&amp;CR60&amp;"'),Null,1,'',1,"&amp;data_dnevnik_id&amp;");")</f>
        <v/>
      </c>
      <c r="DM60" t="s">
        <v>0</v>
      </c>
      <c r="DN60" s="19" t="str">
        <f t="shared" si="69"/>
        <v/>
      </c>
      <c r="DO60" s="47" t="s">
        <v>0</v>
      </c>
      <c r="DP60" s="19" t="str">
        <f>IF(BA60="","","INSERT INTO imeprezime_alias(id,alias,imeprezime_id) VALUES ("&amp;BB60&amp;",'"&amp;BA60&amp;"',"&amp;IF(BC60="NEMA",BD60,BC60)&amp;");")</f>
        <v/>
      </c>
      <c r="DQ60" s="47" t="s">
        <v>0</v>
      </c>
      <c r="DR60" s="52" t="str">
        <f>IF(AL60="","",DU60 &amp; IF(Q60="",""," – " &amp; Q60))</f>
        <v>Lobel – Horvat – OK Maksimir – M21A</v>
      </c>
      <c r="DS60" s="53">
        <f t="shared" si="26"/>
        <v>348</v>
      </c>
      <c r="DT60" s="47" t="s">
        <v>0</v>
      </c>
      <c r="DU60" s="52" t="str">
        <f>IF(AL60="","",DX60 &amp; IF(CR60="",""," – " &amp; CR60))</f>
        <v>Lobel – Horvat – OK Maksimir</v>
      </c>
      <c r="DV60" s="53">
        <f t="shared" si="27"/>
        <v>348</v>
      </c>
      <c r="DW60" s="47" t="s">
        <v>0</v>
      </c>
      <c r="DX60" s="52" t="str">
        <f>IF(BG60="","",BF60&amp;" – "&amp;BG60)</f>
        <v>Lobel – Horvat</v>
      </c>
      <c r="DY60" s="53">
        <f t="shared" si="28"/>
        <v>348</v>
      </c>
      <c r="DZ60" s="47" t="s">
        <v>0</v>
      </c>
      <c r="EA60" s="58">
        <f t="shared" si="61"/>
        <v>348</v>
      </c>
      <c r="EB60" s="53" cm="1">
        <f t="array" ref="EB60">IF(EA60&lt;&gt;"",INDEX(regNatjecatelj_id,EA60,0),IF(BD60&lt;&gt;"",BD60,""))</f>
        <v>1130</v>
      </c>
      <c r="EC60" s="47" t="s">
        <v>0</v>
      </c>
      <c r="ED60" s="58" t="str">
        <f>IF(AL60="","",IF(BD60&lt;&gt;"","novo",IF(AN60="","imepre","imepre(ali)")))</f>
        <v>imepre</v>
      </c>
      <c r="EE60" s="73" t="str">
        <f>IF(AL60="","",IF(BL60="",IF(IFERROR(INDEX(regNatjecatelj_klub,MATCH(EB60,regNatjecatelj_id,0)),"NEMA")="","klu",""),IF(OR(AND(BN60&lt;&gt;"",BN60&lt;&gt;"NEMA"),CD60&lt;&gt;""),"klu(ali)",IF(AND(BP60&lt;&gt;"",BP60&lt;&gt;BO60),"(raz-klu)","klu"))))</f>
        <v>klu</v>
      </c>
      <c r="EF60" s="73" t="str">
        <f>IF(AL60="","","kat"&amp;IF(AND(W60&lt;&gt;Q60,Q60&lt;&gt;"Open"),"(ali)",""))</f>
        <v>kat</v>
      </c>
      <c r="EG60" s="73" t="str">
        <f t="shared" si="29"/>
        <v/>
      </c>
      <c r="EH60" s="66" t="str">
        <f>IF(AL60="","",ED60&amp;IF(ED60="novo","","-"&amp;EE60&amp;"-"&amp;EF60)&amp;IF(EG60="","","-"&amp;EG60))</f>
        <v>imepre-klu-kat</v>
      </c>
      <c r="EI60" s="47" t="s">
        <v>0</v>
      </c>
      <c r="EJ60" s="58">
        <f>IF(AL60="","",MAX(EJ$12:EJ59)+1)</f>
        <v>232</v>
      </c>
      <c r="EK60" s="73">
        <f>IF(AO60="","",X60)</f>
        <v>27</v>
      </c>
      <c r="EL60" s="73">
        <f t="shared" si="62"/>
        <v>1130</v>
      </c>
      <c r="EM60" s="73">
        <f t="shared" si="30"/>
        <v>4216</v>
      </c>
      <c r="EN60" s="73">
        <f t="shared" si="31"/>
        <v>1</v>
      </c>
      <c r="EO60" s="73">
        <f t="shared" si="63"/>
        <v>1</v>
      </c>
      <c r="EP60" s="73">
        <f t="shared" si="64"/>
        <v>1</v>
      </c>
      <c r="EQ60" s="73" t="str">
        <f t="shared" si="34"/>
        <v>0</v>
      </c>
      <c r="ER60" s="73" t="str">
        <f>IF(OR(AN60="",AN60="NEMA"),BB60,AN60)</f>
        <v/>
      </c>
      <c r="ES60" s="73" t="str">
        <f>IF(AND(BN60&lt;&gt;"",BN60&lt;&gt;"NEMA"),BN60,IF(CG60&lt;&gt;"",CG60,IF(AND(CL60&lt;&gt;"",CL60&lt;&gt;"NEMA"),CL60,IF(CM60&lt;&gt;"",CM60,""))))</f>
        <v/>
      </c>
      <c r="ET60" s="53" t="str">
        <f>IF(INDEX(natKategorija_alias_Id,MATCH(S60,natKategorija_katRegId,0))="","",INDEX(natKategorija_alias_Id,MATCH(S60,natKategorija_katRegId,0)))</f>
        <v/>
      </c>
      <c r="EU60" s="47" t="s">
        <v>0</v>
      </c>
      <c r="EV60" s="19" t="str">
        <f t="shared" si="65"/>
        <v>INSERT INTO rezultat(id,stazakategorija_id,imeprezime_id,vrijeme_sec,status_id,registracija,uparivanje_id,originalstatus_id,imeprezimealias_id,klubalias_id,kategorijaalias_id) VALUES (232,27,1130,4216,1,1,1,0,Null,Null,Null);</v>
      </c>
      <c r="EW60" s="47" t="s">
        <v>0</v>
      </c>
      <c r="EX60" s="19" t="str">
        <f t="shared" si="66"/>
        <v>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60" s="47" t="s">
        <v>0</v>
      </c>
      <c r="EZ60" s="180" t="str">
        <f>AG60&amp;IF(CP60="","","
")&amp;CP60&amp;IF(CI60="","","
")&amp;CI60&amp;IF(DN60="","","
")&amp;DN60&amp;IF(DP60="","","
")&amp;DP60&amp;IF(EV60="","","
")&amp;EV60&amp;IF(EX60="","","
")&amp;EX60</f>
        <v xml:space="preserve">
INSERT INTO rezultat(id,stazakategorija_id,imeprezime_id,vrijeme_sec,status_id,registracija,uparivanje_id,originalstatus_id,imeprezimealias_id,klubalias_id,kategorijaalias_id) VALUES (232,27,1130,4216,1,1,1,0,Null,Null,Null);
UPDATE
	registar
SET
	potvrda = 1
WHERE
	imeprezime_id=1130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60" s="47" t="s">
        <v>0</v>
      </c>
    </row>
    <row r="61" spans="1:157" x14ac:dyDescent="0.25">
      <c r="A61" t="s">
        <v>0</v>
      </c>
      <c r="B61" s="52" t="str">
        <f>IF(csv!F51="","",csv!T51)</f>
        <v>M21A</v>
      </c>
      <c r="C61" s="31" t="s">
        <v>0</v>
      </c>
      <c r="D61" s="31" t="str">
        <f>IF(csv!F51="","",csv!F51)</f>
        <v>Dražen</v>
      </c>
      <c r="E61" s="31" t="str">
        <f>IF(csv!E51="","",csv!E51)</f>
        <v>Gadžić</v>
      </c>
      <c r="F61" s="31" t="s">
        <v>0</v>
      </c>
      <c r="G61" s="73" t="str">
        <f>IF(csv!M51="","",csv!M51)</f>
        <v>76:29</v>
      </c>
      <c r="H61" s="73" t="str">
        <f>IF(csv!N51="","",csv!N51)</f>
        <v>0</v>
      </c>
      <c r="I61" s="31" t="s">
        <v>0</v>
      </c>
      <c r="J61" s="31" t="str">
        <f>IF(csv!P51="","",csv!P51)</f>
        <v>KAP</v>
      </c>
      <c r="K61" s="31" t="str">
        <f>IF(csv!Q51="","",csv!Q51)</f>
        <v>OK Kapela</v>
      </c>
      <c r="L61" s="31" t="s">
        <v>0</v>
      </c>
      <c r="M61" s="66" t="str">
        <f>IF(csv!R51="","",csv!R51)</f>
        <v>CRO</v>
      </c>
      <c r="N61" s="47" t="s">
        <v>0</v>
      </c>
      <c r="O61" s="243" t="str">
        <f t="shared" si="36"/>
        <v>ok</v>
      </c>
      <c r="P61" s="47"/>
      <c r="Q61" s="52" t="str">
        <f t="shared" si="37"/>
        <v>M21A</v>
      </c>
      <c r="R61" s="73">
        <f>IF(Q61="","",IF(COUNTIF(Q$12:Q60,Q61)=0,R60+1,R60))</f>
        <v>5</v>
      </c>
      <c r="S61" s="73">
        <f t="shared" si="38"/>
        <v>101</v>
      </c>
      <c r="T61" s="73">
        <f t="shared" si="1"/>
        <v>13</v>
      </c>
      <c r="U61" s="66" t="str">
        <f t="shared" si="2"/>
        <v>M21A</v>
      </c>
      <c r="V61" s="47" t="s">
        <v>0</v>
      </c>
      <c r="W61" s="222" t="str">
        <f t="shared" si="3"/>
        <v>M21A</v>
      </c>
      <c r="X61" s="223">
        <f t="shared" si="4"/>
        <v>27</v>
      </c>
      <c r="Y61" s="47" t="s">
        <v>0</v>
      </c>
      <c r="Z61" s="52" t="str">
        <f t="shared" si="39"/>
        <v>CRO</v>
      </c>
      <c r="AA61" s="73">
        <f t="shared" si="5"/>
        <v>1</v>
      </c>
      <c r="AB61" s="31" t="str">
        <f t="shared" si="40"/>
        <v/>
      </c>
      <c r="AC61" s="66" t="str">
        <f>IF(AB61="","",MAX(AC$12:AC60)+1)</f>
        <v/>
      </c>
      <c r="AD61" s="47" t="s">
        <v>0</v>
      </c>
      <c r="AE61" s="125"/>
      <c r="AF61" s="47" t="s">
        <v>0</v>
      </c>
      <c r="AG61" s="19" t="str">
        <f t="shared" si="41"/>
        <v/>
      </c>
      <c r="AH61" s="47" t="s">
        <v>0</v>
      </c>
      <c r="AI61" s="143" t="str">
        <f t="shared" si="42"/>
        <v>CRO</v>
      </c>
      <c r="AJ61" s="47"/>
      <c r="AK61" s="52" t="str">
        <f t="shared" si="43"/>
        <v>Dražen</v>
      </c>
      <c r="AL61" s="31" t="str">
        <f t="shared" si="44"/>
        <v>Gadžić</v>
      </c>
      <c r="AM61" s="73">
        <f t="shared" si="45"/>
        <v>1238</v>
      </c>
      <c r="AN61" s="73" t="str">
        <f t="shared" si="46"/>
        <v/>
      </c>
      <c r="AO61" s="31" t="str">
        <f t="shared" si="8"/>
        <v>Dražen</v>
      </c>
      <c r="AP61" s="66" t="str">
        <f t="shared" si="9"/>
        <v>Gadžić</v>
      </c>
      <c r="AQ61" s="47" t="s">
        <v>0</v>
      </c>
      <c r="AR61" s="82" t="str">
        <f t="shared" si="47"/>
        <v/>
      </c>
      <c r="AS61" s="47" t="s">
        <v>0</v>
      </c>
      <c r="AT61" s="19" t="str">
        <f t="shared" si="48"/>
        <v/>
      </c>
      <c r="AU61" s="47" t="s">
        <v>0</v>
      </c>
      <c r="AV61" s="103"/>
      <c r="AW61" s="105"/>
      <c r="AX61" s="47" t="s">
        <v>0</v>
      </c>
      <c r="AY61" s="256" t="str">
        <f t="shared" si="68"/>
        <v/>
      </c>
      <c r="AZ61" s="47" t="s">
        <v>0</v>
      </c>
      <c r="BA61" s="52" t="str">
        <f t="shared" si="11"/>
        <v/>
      </c>
      <c r="BB61" s="73" t="str">
        <f>IF(AV61&amp;AW61="","",MAX(BB$12:BB60)+1)</f>
        <v/>
      </c>
      <c r="BC61" s="268" t="str">
        <f t="shared" si="12"/>
        <v/>
      </c>
      <c r="BD61" s="53" t="str">
        <f>IF(AND(AM61="NEMA",AN61="NEMA",OR(AV61&amp;AW61="",BC61="NEMA")),MAX(BD$12:BD60)+1,"")</f>
        <v/>
      </c>
      <c r="BE61" s="47" t="s">
        <v>0</v>
      </c>
      <c r="BF61" s="52" t="str">
        <f t="shared" si="13"/>
        <v>Dražen</v>
      </c>
      <c r="BG61" s="31" t="str">
        <f t="shared" si="14"/>
        <v>Gadžić</v>
      </c>
      <c r="BH61" s="73" t="str">
        <f t="shared" si="49"/>
        <v/>
      </c>
      <c r="BI61" s="53">
        <f t="shared" si="50"/>
        <v>1238</v>
      </c>
      <c r="BJ61" s="47" t="s">
        <v>0</v>
      </c>
      <c r="BK61" s="52" t="str">
        <f t="shared" si="15"/>
        <v>KAP</v>
      </c>
      <c r="BL61" s="31" t="str">
        <f t="shared" si="16"/>
        <v>OK Kapela</v>
      </c>
      <c r="BM61" s="73">
        <f t="shared" si="17"/>
        <v>5</v>
      </c>
      <c r="BN61" s="73" t="str">
        <f t="shared" si="18"/>
        <v/>
      </c>
      <c r="BO61" s="31" t="str" cm="1">
        <f t="array" ref="BO61">IF(BN61="",""&amp;BL61,IF(BN61="NEMA",BL61,INDEX(regKlub_naziv,MATCH(INDEX(regKlub_alias_klubId,BN61),regKlub_id,0))))</f>
        <v>OK Kapela</v>
      </c>
      <c r="BP61" s="31" t="str" cm="1">
        <f t="array" ref="BP61">IFERROR(""&amp;INDEX(regNatjecatelj_klub,DY61),"")</f>
        <v>OK Kapela</v>
      </c>
      <c r="BQ61" s="88" t="str">
        <f t="shared" si="51"/>
        <v/>
      </c>
      <c r="BR61" s="66" t="str">
        <f t="shared" si="52"/>
        <v>OK Kapela</v>
      </c>
      <c r="BS61" s="47" t="s">
        <v>0</v>
      </c>
      <c r="BT61" s="82" t="str">
        <f>IF(BN61&lt;&gt;"NEMA","",IF(IFERROR(MATCH(BL61,BL$12:BL60,0),0)&lt;&gt;0,"",BL61))</f>
        <v/>
      </c>
      <c r="BU61" s="47" t="s">
        <v>0</v>
      </c>
      <c r="BV61" s="125"/>
      <c r="BW61" s="47" t="s">
        <v>0</v>
      </c>
      <c r="BX61" s="58" t="str">
        <f t="shared" si="53"/>
        <v/>
      </c>
      <c r="BY61" s="31" t="str">
        <f t="shared" si="54"/>
        <v/>
      </c>
      <c r="BZ61" s="31" t="str">
        <f>IF(BY61="","",MAX(BZ$12:BZ60)+1)</f>
        <v/>
      </c>
      <c r="CA61" s="31" t="str">
        <f>IF(BY61="","",IF(AA61="","",IF(AA61="NEMA",AC61,AA61)))</f>
        <v/>
      </c>
      <c r="CB61" s="31" t="str">
        <f t="shared" si="55"/>
        <v/>
      </c>
      <c r="CC61" s="31" t="str">
        <f>IF(BV61="","",MAX(CC$12:CC60)+1)</f>
        <v/>
      </c>
      <c r="CD61" s="31" t="str">
        <f t="shared" si="56"/>
        <v/>
      </c>
      <c r="CE61" s="66" t="str">
        <f t="shared" si="57"/>
        <v/>
      </c>
      <c r="CF61" s="47" t="s">
        <v>0</v>
      </c>
      <c r="CG61" s="73" t="str">
        <f>IF(BN61="","",IF(BN61&lt;&gt;"NEMA","",IFERROR(INDEX(nat_klubAliasId,MATCH(BL61,nat_noviKluboviAliasi,0)),"")))</f>
        <v/>
      </c>
      <c r="CH61" s="47"/>
      <c r="CI61" s="19" t="str">
        <f t="shared" si="58"/>
        <v/>
      </c>
      <c r="CJ61" s="47" t="s">
        <v>0</v>
      </c>
      <c r="CK61" s="52" t="str">
        <f>IF(X61&lt;&gt;"NEMA","",IF(IFERROR(MATCH(W61,W$12:W60,0),0)&lt;&gt;0,"",W61))</f>
        <v/>
      </c>
      <c r="CL61" s="73" t="str">
        <f>IF(CK61="","",IFERROR(INDEX(regKlub_alias_id,MATCH(CK61,regKlub_alias_alias,0)),"NEMA"))</f>
        <v/>
      </c>
      <c r="CM61" s="31" t="str">
        <f>IF(OR(CL61="",CL61&lt;&gt;"NEMA"),"",MAX(CM$12:CM60)+1)</f>
        <v/>
      </c>
      <c r="CN61" s="66" t="str">
        <f>IF(OR(CL61="",CL61&lt;&gt;"NEMA"),"",INDEX(regKlub_id,MATCH(CK61,regKlub_naziv,0)))</f>
        <v/>
      </c>
      <c r="CO61" s="47" t="s">
        <v>0</v>
      </c>
      <c r="CP61" s="19" t="str">
        <f>IF(OR(CL61="",CL61&lt;&gt;"NEMA"),"","INSERT INTO klub_alias(id,alias,klub_id) VALUES ("&amp;CM61&amp;",'"&amp;CK61&amp;"',"&amp;CN61&amp;");")</f>
        <v/>
      </c>
      <c r="CQ61" s="47" t="s">
        <v>0</v>
      </c>
      <c r="CR61" s="143" t="str">
        <f>IF(BR61="","",IF(BV61="",IF(IFERROR(MATCH(BR61,nat_noviKluboviAliasi,0),0)&gt;0,INDEX(nat_kluboviAliasi,MATCH(BR61,nat_noviKluboviAliasi,0)),BR61),BV61))</f>
        <v>OK Kapela</v>
      </c>
      <c r="CS61" s="47" t="s">
        <v>0</v>
      </c>
      <c r="CT61" s="58" t="str">
        <f>IF(G61="","",G61)</f>
        <v>76:29</v>
      </c>
      <c r="CU61" s="73" t="str">
        <f>IF(H61="","",H61)</f>
        <v>0</v>
      </c>
      <c r="CV61" s="229" t="str">
        <f>IF(CT61="",IF(OR(AL61="",CU61&lt;&gt;"0"),"","GREŠKA"),IF(AND(65535&gt;=VALUE(LEFT(CT61,SEARCH(":",CT61)-1))*60+VALUE(RIGHT(CT61,2)),OR(CU61="0",CU61="1",CU61="2",CU61="3",CU61="4")),"","GREŠKA"))</f>
        <v/>
      </c>
      <c r="CW61" s="230">
        <f t="shared" ref="CW61:CW124" si="71">IF(CT61="","",VALUE(LEFT(CT61,SEARCH(":",CT61)-1))*60+VALUE(RIGHT(CT61,2)))</f>
        <v>4589</v>
      </c>
      <c r="CX61" s="163">
        <f t="shared" si="24"/>
        <v>1</v>
      </c>
      <c r="CY61" s="47" t="s">
        <v>0</v>
      </c>
      <c r="CZ61" s="222" t="str">
        <f>IF(CV61&lt;&gt;"GREŠKA","",AK61&amp;" "&amp;AL61&amp;" – Molim u OEventu provjeriti i ispraviti rezultat – vrijeme ("&amp;IF(CT61="","nije upisano",CT61)&amp;") i classifier ("&amp;CU61&amp;").")&amp;IF(OR(CV61&lt;&gt;"GREŠKA",CX61&lt;&gt;5),"
","")&amp;IF(CX61&lt;&gt;5,"",AK61&amp;" "&amp;AL61&amp;" – Molim u provjeriti je li natjecatelj zaista diskvalificiran. Ako je koje je obrazloženje, ako nije molim u OEventu ispraviti rezultat")</f>
        <v xml:space="preserve">
</v>
      </c>
      <c r="DA61" s="223">
        <f t="shared" si="60"/>
        <v>6</v>
      </c>
      <c r="DB61" s="47" t="s">
        <v>0</v>
      </c>
      <c r="DC61" s="47"/>
      <c r="DD61" s="47"/>
      <c r="DE61" s="47"/>
      <c r="DF61" s="47" t="s">
        <v>0</v>
      </c>
      <c r="DG61" s="53" t="str">
        <f>IF(BD61="","",IF(DI61="O",1,""))</f>
        <v/>
      </c>
      <c r="DH61" t="s">
        <v>0</v>
      </c>
      <c r="DI61" s="128" t="str">
        <f>IF(Q61="","",LEFT(INDEX(regKategorija_oznaka,MATCH(S61,regKategorija_id,0)),1))</f>
        <v>M</v>
      </c>
      <c r="DJ61" t="s">
        <v>0</v>
      </c>
      <c r="DK61" s="52" t="str">
        <f>IF(BD61="","",IF(M61&lt;&gt;"CRO","","INSERT INTO osoba (id,reg_broj,oib,spol_id,dat_rodjenja) VALUES ("&amp;BD61&amp;",(SELECT max(os.reg_broj)+1 FROM osoba AS os),Null,'"&amp;DI61&amp;"',Null); INSERT INTO osoba_log (id,reg_broj,oib,spol_id,dat_rodjenja,dnevnik_id) SELECT id,reg_broj,oib,spol_id,dat_rodjenja,"&amp;data_dnevnik_id&amp;" FROM osoba WHERE id = "&amp;BD61&amp;";"))</f>
        <v/>
      </c>
      <c r="DL61" s="66" t="str">
        <f>IF(BD61="","","INSERT INTO imeprezime (id,osoba_id,rbr,ime,prezime,klub_id,identitet_id,sintaksa_id,info,aktivno,dnevnik_id) VALUES ("&amp;BD61&amp;","&amp;IF(DK61="","Null",BD61)&amp;",1,'"&amp;IF(AV61&lt;&gt;"",AV61,AK61)&amp;"','"&amp;IF(AW61&lt;&gt;"",AW61,AL61)&amp;"',(SELECT id FROM klub WHERE naziv = '"&amp;CR61&amp;"'),Null,1,'',1,"&amp;data_dnevnik_id&amp;");")</f>
        <v/>
      </c>
      <c r="DM61" t="s">
        <v>0</v>
      </c>
      <c r="DN61" s="19" t="str">
        <f t="shared" si="69"/>
        <v/>
      </c>
      <c r="DO61" s="47" t="s">
        <v>0</v>
      </c>
      <c r="DP61" s="19" t="str">
        <f>IF(BA61="","","INSERT INTO imeprezime_alias(id,alias,imeprezime_id) VALUES ("&amp;BB61&amp;",'"&amp;BA61&amp;"',"&amp;IF(BC61="NEMA",BD61,BC61)&amp;");")</f>
        <v/>
      </c>
      <c r="DQ61" s="47" t="s">
        <v>0</v>
      </c>
      <c r="DR61" s="52" t="str">
        <f>IF(AL61="","",DU61 &amp; IF(Q61="",""," – " &amp; Q61))</f>
        <v>Dražen – Gadžić – OK Kapela – M21A</v>
      </c>
      <c r="DS61" s="53">
        <f t="shared" si="26"/>
        <v>240</v>
      </c>
      <c r="DT61" s="47" t="s">
        <v>0</v>
      </c>
      <c r="DU61" s="52" t="str">
        <f>IF(AL61="","",DX61 &amp; IF(CR61="",""," – " &amp; CR61))</f>
        <v>Dražen – Gadžić – OK Kapela</v>
      </c>
      <c r="DV61" s="53">
        <f t="shared" si="27"/>
        <v>240</v>
      </c>
      <c r="DW61" s="47" t="s">
        <v>0</v>
      </c>
      <c r="DX61" s="52" t="str">
        <f>IF(BG61="","",BF61&amp;" – "&amp;BG61)</f>
        <v>Dražen – Gadžić</v>
      </c>
      <c r="DY61" s="53">
        <f t="shared" si="28"/>
        <v>240</v>
      </c>
      <c r="DZ61" s="47" t="s">
        <v>0</v>
      </c>
      <c r="EA61" s="58">
        <f t="shared" si="61"/>
        <v>240</v>
      </c>
      <c r="EB61" s="53" cm="1">
        <f t="array" ref="EB61">IF(EA61&lt;&gt;"",INDEX(regNatjecatelj_id,EA61,0),IF(BD61&lt;&gt;"",BD61,""))</f>
        <v>1238</v>
      </c>
      <c r="EC61" s="47" t="s">
        <v>0</v>
      </c>
      <c r="ED61" s="58" t="str">
        <f>IF(AL61="","",IF(BD61&lt;&gt;"","novo",IF(AN61="","imepre","imepre(ali)")))</f>
        <v>imepre</v>
      </c>
      <c r="EE61" s="73" t="str">
        <f>IF(AL61="","",IF(BL61="",IF(IFERROR(INDEX(regNatjecatelj_klub,MATCH(EB61,regNatjecatelj_id,0)),"NEMA")="","klu",""),IF(OR(AND(BN61&lt;&gt;"",BN61&lt;&gt;"NEMA"),CD61&lt;&gt;""),"klu(ali)",IF(AND(BP61&lt;&gt;"",BP61&lt;&gt;BO61),"(raz-klu)","klu"))))</f>
        <v>klu</v>
      </c>
      <c r="EF61" s="73" t="str">
        <f>IF(AL61="","","kat"&amp;IF(AND(W61&lt;&gt;Q61,Q61&lt;&gt;"Open"),"(ali)",""))</f>
        <v>kat</v>
      </c>
      <c r="EG61" s="73" t="str">
        <f t="shared" si="29"/>
        <v/>
      </c>
      <c r="EH61" s="66" t="str">
        <f>IF(AL61="","",ED61&amp;IF(ED61="novo","","-"&amp;EE61&amp;"-"&amp;EF61)&amp;IF(EG61="","","-"&amp;EG61))</f>
        <v>imepre-klu-kat</v>
      </c>
      <c r="EI61" s="47" t="s">
        <v>0</v>
      </c>
      <c r="EJ61" s="58">
        <f>IF(AL61="","",MAX(EJ$12:EJ60)+1)</f>
        <v>233</v>
      </c>
      <c r="EK61" s="73">
        <f>IF(AO61="","",X61)</f>
        <v>27</v>
      </c>
      <c r="EL61" s="73">
        <f t="shared" si="62"/>
        <v>1238</v>
      </c>
      <c r="EM61" s="73">
        <f t="shared" si="30"/>
        <v>4589</v>
      </c>
      <c r="EN61" s="73">
        <f t="shared" si="31"/>
        <v>1</v>
      </c>
      <c r="EO61" s="73">
        <f t="shared" si="63"/>
        <v>1</v>
      </c>
      <c r="EP61" s="73">
        <f t="shared" si="64"/>
        <v>1</v>
      </c>
      <c r="EQ61" s="73" t="str">
        <f t="shared" si="34"/>
        <v>0</v>
      </c>
      <c r="ER61" s="73" t="str">
        <f>IF(OR(AN61="",AN61="NEMA"),BB61,AN61)</f>
        <v/>
      </c>
      <c r="ES61" s="73" t="str">
        <f>IF(AND(BN61&lt;&gt;"",BN61&lt;&gt;"NEMA"),BN61,IF(CG61&lt;&gt;"",CG61,IF(AND(CL61&lt;&gt;"",CL61&lt;&gt;"NEMA"),CL61,IF(CM61&lt;&gt;"",CM61,""))))</f>
        <v/>
      </c>
      <c r="ET61" s="53" t="str">
        <f>IF(INDEX(natKategorija_alias_Id,MATCH(S61,natKategorija_katRegId,0))="","",INDEX(natKategorija_alias_Id,MATCH(S61,natKategorija_katRegId,0)))</f>
        <v/>
      </c>
      <c r="EU61" s="47" t="s">
        <v>0</v>
      </c>
      <c r="EV61" s="19" t="str">
        <f t="shared" si="65"/>
        <v>INSERT INTO rezultat(id,stazakategorija_id,imeprezime_id,vrijeme_sec,status_id,registracija,uparivanje_id,originalstatus_id,imeprezimealias_id,klubalias_id,kategorijaalias_id) VALUES (233,27,1238,4589,1,1,1,0,Null,Null,Null);</v>
      </c>
      <c r="EW61" s="47" t="s">
        <v>0</v>
      </c>
      <c r="EX61" s="19" t="str">
        <f t="shared" si="66"/>
        <v>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61" s="47" t="s">
        <v>0</v>
      </c>
      <c r="EZ61" s="180" t="str">
        <f>AG61&amp;IF(CP61="","","
")&amp;CP61&amp;IF(CI61="","","
")&amp;CI61&amp;IF(DN61="","","
")&amp;DN61&amp;IF(DP61="","","
")&amp;DP61&amp;IF(EV61="","","
")&amp;EV61&amp;IF(EX61="","","
")&amp;EX61</f>
        <v xml:space="preserve">
INSERT INTO rezultat(id,stazakategorija_id,imeprezime_id,vrijeme_sec,status_id,registracija,uparivanje_id,originalstatus_id,imeprezimealias_id,klubalias_id,kategorijaalias_id) VALUES (233,27,1238,4589,1,1,1,0,Null,Null,Null);
UPDATE
	registar
SET
	potvrda = 1
WHERE
	imeprezime_id=1238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61" s="47" t="s">
        <v>0</v>
      </c>
    </row>
    <row r="62" spans="1:157" x14ac:dyDescent="0.25">
      <c r="A62" t="s">
        <v>0</v>
      </c>
      <c r="B62" s="52" t="str">
        <f>IF(csv!F52="","",csv!T52)</f>
        <v>M21A</v>
      </c>
      <c r="C62" s="31" t="s">
        <v>0</v>
      </c>
      <c r="D62" s="31" t="str">
        <f>IF(csv!F52="","",csv!F52)</f>
        <v>Filip</v>
      </c>
      <c r="E62" s="31" t="str">
        <f>IF(csv!E52="","",csv!E52)</f>
        <v>Vujanić</v>
      </c>
      <c r="F62" s="31" t="s">
        <v>0</v>
      </c>
      <c r="G62" s="73" t="str">
        <f>IF(csv!M52="","",csv!M52)</f>
        <v>91:45</v>
      </c>
      <c r="H62" s="73" t="str">
        <f>IF(csv!N52="","",csv!N52)</f>
        <v>0</v>
      </c>
      <c r="I62" s="31" t="s">
        <v>0</v>
      </c>
      <c r="J62" s="31" t="str">
        <f>IF(csv!P52="","",csv!P52)</f>
        <v>JAP</v>
      </c>
      <c r="K62" s="31" t="str">
        <f>IF(csv!Q52="","",csv!Q52)</f>
        <v>OK Japetic</v>
      </c>
      <c r="L62" s="31" t="s">
        <v>0</v>
      </c>
      <c r="M62" s="66" t="str">
        <f>IF(csv!R52="","",csv!R52)</f>
        <v>CRO</v>
      </c>
      <c r="N62" s="47" t="s">
        <v>0</v>
      </c>
      <c r="O62" s="243" t="str">
        <f t="shared" si="36"/>
        <v>ok</v>
      </c>
      <c r="P62" s="47"/>
      <c r="Q62" s="52" t="str">
        <f t="shared" si="37"/>
        <v>M21A</v>
      </c>
      <c r="R62" s="73">
        <f>IF(Q62="","",IF(COUNTIF(Q$12:Q61,Q62)=0,R61+1,R61))</f>
        <v>5</v>
      </c>
      <c r="S62" s="73">
        <f t="shared" si="38"/>
        <v>101</v>
      </c>
      <c r="T62" s="73">
        <f t="shared" si="1"/>
        <v>13</v>
      </c>
      <c r="U62" s="66" t="str">
        <f t="shared" si="2"/>
        <v>M21A</v>
      </c>
      <c r="V62" s="47" t="s">
        <v>0</v>
      </c>
      <c r="W62" s="222" t="str">
        <f t="shared" si="3"/>
        <v>M21A</v>
      </c>
      <c r="X62" s="223">
        <f t="shared" si="4"/>
        <v>27</v>
      </c>
      <c r="Y62" s="47" t="s">
        <v>0</v>
      </c>
      <c r="Z62" s="52" t="str">
        <f t="shared" si="39"/>
        <v>CRO</v>
      </c>
      <c r="AA62" s="73">
        <f t="shared" si="5"/>
        <v>1</v>
      </c>
      <c r="AB62" s="31" t="str">
        <f t="shared" si="40"/>
        <v/>
      </c>
      <c r="AC62" s="66" t="str">
        <f>IF(AB62="","",MAX(AC$12:AC61)+1)</f>
        <v/>
      </c>
      <c r="AD62" s="47" t="s">
        <v>0</v>
      </c>
      <c r="AE62" s="125"/>
      <c r="AF62" s="47" t="s">
        <v>0</v>
      </c>
      <c r="AG62" s="19" t="str">
        <f t="shared" si="41"/>
        <v/>
      </c>
      <c r="AH62" s="47" t="s">
        <v>0</v>
      </c>
      <c r="AI62" s="143" t="str">
        <f t="shared" si="42"/>
        <v>CRO</v>
      </c>
      <c r="AJ62" s="47"/>
      <c r="AK62" s="52" t="str">
        <f t="shared" si="43"/>
        <v>Filip</v>
      </c>
      <c r="AL62" s="31" t="str">
        <f t="shared" si="44"/>
        <v>Vujanić</v>
      </c>
      <c r="AM62" s="73">
        <f t="shared" si="45"/>
        <v>1858</v>
      </c>
      <c r="AN62" s="73" t="str">
        <f t="shared" si="46"/>
        <v/>
      </c>
      <c r="AO62" s="31" t="str">
        <f t="shared" si="8"/>
        <v>Filip</v>
      </c>
      <c r="AP62" s="66" t="str">
        <f t="shared" si="9"/>
        <v>Vujanić</v>
      </c>
      <c r="AQ62" s="47" t="s">
        <v>0</v>
      </c>
      <c r="AR62" s="82" t="str">
        <f t="shared" si="47"/>
        <v/>
      </c>
      <c r="AS62" s="47" t="s">
        <v>0</v>
      </c>
      <c r="AT62" s="19" t="str">
        <f t="shared" si="48"/>
        <v/>
      </c>
      <c r="AU62" s="47" t="s">
        <v>0</v>
      </c>
      <c r="AV62" s="103"/>
      <c r="AW62" s="105"/>
      <c r="AX62" s="47" t="s">
        <v>0</v>
      </c>
      <c r="AY62" s="256" t="str">
        <f t="shared" si="68"/>
        <v/>
      </c>
      <c r="AZ62" s="47" t="s">
        <v>0</v>
      </c>
      <c r="BA62" s="52" t="str">
        <f t="shared" si="11"/>
        <v/>
      </c>
      <c r="BB62" s="73" t="str">
        <f>IF(AV62&amp;AW62="","",MAX(BB$12:BB61)+1)</f>
        <v/>
      </c>
      <c r="BC62" s="268" t="str">
        <f t="shared" si="12"/>
        <v/>
      </c>
      <c r="BD62" s="53" t="str">
        <f>IF(AND(AM62="NEMA",AN62="NEMA",OR(AV62&amp;AW62="",BC62="NEMA")),MAX(BD$12:BD61)+1,"")</f>
        <v/>
      </c>
      <c r="BE62" s="47" t="s">
        <v>0</v>
      </c>
      <c r="BF62" s="52" t="str">
        <f t="shared" si="13"/>
        <v>Filip</v>
      </c>
      <c r="BG62" s="31" t="str">
        <f t="shared" si="14"/>
        <v>Vujanić</v>
      </c>
      <c r="BH62" s="73" t="str">
        <f t="shared" si="49"/>
        <v/>
      </c>
      <c r="BI62" s="53">
        <f t="shared" si="50"/>
        <v>1858</v>
      </c>
      <c r="BJ62" s="47" t="s">
        <v>0</v>
      </c>
      <c r="BK62" s="52" t="str">
        <f t="shared" si="15"/>
        <v>JAP</v>
      </c>
      <c r="BL62" s="31" t="str">
        <f t="shared" si="16"/>
        <v>OK Japetic</v>
      </c>
      <c r="BM62" s="73" t="str">
        <f t="shared" si="17"/>
        <v>NEMA</v>
      </c>
      <c r="BN62" s="73">
        <f t="shared" si="18"/>
        <v>1</v>
      </c>
      <c r="BO62" s="31" t="str" cm="1">
        <f t="array" ref="BO62">IF(BN62="",""&amp;BL62,IF(BN62="NEMA",BL62,INDEX(regKlub_naziv,MATCH(INDEX(regKlub_alias_klubId,BN62),regKlub_id,0))))</f>
        <v>OK Japetić</v>
      </c>
      <c r="BP62" s="31" t="str" cm="1">
        <f t="array" ref="BP62">IFERROR(""&amp;INDEX(regNatjecatelj_klub,DY62),"")</f>
        <v>OK Japetić</v>
      </c>
      <c r="BQ62" s="88" t="str">
        <f t="shared" si="51"/>
        <v/>
      </c>
      <c r="BR62" s="66" t="str">
        <f t="shared" si="52"/>
        <v>OK Japetić</v>
      </c>
      <c r="BS62" s="47" t="s">
        <v>0</v>
      </c>
      <c r="BT62" s="82" t="str">
        <f>IF(BN62&lt;&gt;"NEMA","",IF(IFERROR(MATCH(BL62,BL$12:BL61,0),0)&lt;&gt;0,"",BL62))</f>
        <v/>
      </c>
      <c r="BU62" s="47" t="s">
        <v>0</v>
      </c>
      <c r="BV62" s="125"/>
      <c r="BW62" s="47" t="s">
        <v>0</v>
      </c>
      <c r="BX62" s="58" t="str">
        <f t="shared" si="53"/>
        <v/>
      </c>
      <c r="BY62" s="31" t="str">
        <f t="shared" si="54"/>
        <v/>
      </c>
      <c r="BZ62" s="31" t="str">
        <f>IF(BY62="","",MAX(BZ$12:BZ61)+1)</f>
        <v/>
      </c>
      <c r="CA62" s="31" t="str">
        <f>IF(BY62="","",IF(AA62="","",IF(AA62="NEMA",AC62,AA62)))</f>
        <v/>
      </c>
      <c r="CB62" s="31" t="str">
        <f t="shared" si="55"/>
        <v/>
      </c>
      <c r="CC62" s="31" t="str">
        <f>IF(BV62="","",MAX(CC$12:CC61)+1)</f>
        <v/>
      </c>
      <c r="CD62" s="31" t="str">
        <f t="shared" si="56"/>
        <v/>
      </c>
      <c r="CE62" s="66" t="str">
        <f t="shared" si="57"/>
        <v/>
      </c>
      <c r="CF62" s="47" t="s">
        <v>0</v>
      </c>
      <c r="CG62" s="73" t="str">
        <f>IF(BN62="","",IF(BN62&lt;&gt;"NEMA","",IFERROR(INDEX(nat_klubAliasId,MATCH(BL62,nat_noviKluboviAliasi,0)),"")))</f>
        <v/>
      </c>
      <c r="CH62" s="47"/>
      <c r="CI62" s="19" t="str">
        <f t="shared" si="58"/>
        <v/>
      </c>
      <c r="CJ62" s="47" t="s">
        <v>0</v>
      </c>
      <c r="CK62" s="52" t="str">
        <f>IF(X62&lt;&gt;"NEMA","",IF(IFERROR(MATCH(W62,W$12:W61,0),0)&lt;&gt;0,"",W62))</f>
        <v/>
      </c>
      <c r="CL62" s="73" t="str">
        <f>IF(CK62="","",IFERROR(INDEX(regKlub_alias_id,MATCH(CK62,regKlub_alias_alias,0)),"NEMA"))</f>
        <v/>
      </c>
      <c r="CM62" s="31" t="str">
        <f>IF(OR(CL62="",CL62&lt;&gt;"NEMA"),"",MAX(CM$12:CM61)+1)</f>
        <v/>
      </c>
      <c r="CN62" s="66" t="str">
        <f>IF(OR(CL62="",CL62&lt;&gt;"NEMA"),"",INDEX(regKlub_id,MATCH(CK62,regKlub_naziv,0)))</f>
        <v/>
      </c>
      <c r="CO62" s="47" t="s">
        <v>0</v>
      </c>
      <c r="CP62" s="19" t="str">
        <f>IF(OR(CL62="",CL62&lt;&gt;"NEMA"),"","INSERT INTO klub_alias(id,alias,klub_id) VALUES ("&amp;CM62&amp;",'"&amp;CK62&amp;"',"&amp;CN62&amp;");")</f>
        <v/>
      </c>
      <c r="CQ62" s="47" t="s">
        <v>0</v>
      </c>
      <c r="CR62" s="143" t="str">
        <f>IF(BR62="","",IF(BV62="",IF(IFERROR(MATCH(BR62,nat_noviKluboviAliasi,0),0)&gt;0,INDEX(nat_kluboviAliasi,MATCH(BR62,nat_noviKluboviAliasi,0)),BR62),BV62))</f>
        <v>OK Japetić</v>
      </c>
      <c r="CS62" s="47" t="s">
        <v>0</v>
      </c>
      <c r="CT62" s="58" t="str">
        <f>IF(G62="","",G62)</f>
        <v>91:45</v>
      </c>
      <c r="CU62" s="73" t="str">
        <f>IF(H62="","",H62)</f>
        <v>0</v>
      </c>
      <c r="CV62" s="229" t="str">
        <f>IF(CT62="",IF(OR(AL62="",CU62&lt;&gt;"0"),"","GREŠKA"),IF(AND(65535&gt;=VALUE(LEFT(CT62,SEARCH(":",CT62)-1))*60+VALUE(RIGHT(CT62,2)),OR(CU62="0",CU62="1",CU62="2",CU62="3",CU62="4")),"","GREŠKA"))</f>
        <v/>
      </c>
      <c r="CW62" s="230">
        <f t="shared" si="71"/>
        <v>5505</v>
      </c>
      <c r="CX62" s="163">
        <f t="shared" si="24"/>
        <v>1</v>
      </c>
      <c r="CY62" s="47" t="s">
        <v>0</v>
      </c>
      <c r="CZ62" s="222" t="str">
        <f>IF(CV62&lt;&gt;"GREŠKA","",AK62&amp;" "&amp;AL62&amp;" – Molim u OEventu provjeriti i ispraviti rezultat – vrijeme ("&amp;IF(CT62="","nije upisano",CT62)&amp;") i classifier ("&amp;CU62&amp;").")&amp;IF(OR(CV62&lt;&gt;"GREŠKA",CX62&lt;&gt;5),"
","")&amp;IF(CX62&lt;&gt;5,"",AK62&amp;" "&amp;AL62&amp;" – Molim u provjeriti je li natjecatelj zaista diskvalificiran. Ako je koje je obrazloženje, ako nije molim u OEventu ispraviti rezultat")</f>
        <v xml:space="preserve">
</v>
      </c>
      <c r="DA62" s="223">
        <f t="shared" si="60"/>
        <v>6</v>
      </c>
      <c r="DB62" s="47" t="s">
        <v>0</v>
      </c>
      <c r="DC62" s="47"/>
      <c r="DD62" s="47"/>
      <c r="DE62" s="47"/>
      <c r="DF62" s="47" t="s">
        <v>0</v>
      </c>
      <c r="DG62" s="53" t="str">
        <f>IF(BD62="","",IF(DI62="O",1,""))</f>
        <v/>
      </c>
      <c r="DH62" t="s">
        <v>0</v>
      </c>
      <c r="DI62" s="128" t="str">
        <f>IF(Q62="","",LEFT(INDEX(regKategorija_oznaka,MATCH(S62,regKategorija_id,0)),1))</f>
        <v>M</v>
      </c>
      <c r="DJ62" t="s">
        <v>0</v>
      </c>
      <c r="DK62" s="52" t="str">
        <f>IF(BD62="","",IF(M62&lt;&gt;"CRO","","INSERT INTO osoba (id,reg_broj,oib,spol_id,dat_rodjenja) VALUES ("&amp;BD62&amp;",(SELECT max(os.reg_broj)+1 FROM osoba AS os),Null,'"&amp;DI62&amp;"',Null); INSERT INTO osoba_log (id,reg_broj,oib,spol_id,dat_rodjenja,dnevnik_id) SELECT id,reg_broj,oib,spol_id,dat_rodjenja,"&amp;data_dnevnik_id&amp;" FROM osoba WHERE id = "&amp;BD62&amp;";"))</f>
        <v/>
      </c>
      <c r="DL62" s="66" t="str">
        <f>IF(BD62="","","INSERT INTO imeprezime (id,osoba_id,rbr,ime,prezime,klub_id,identitet_id,sintaksa_id,info,aktivno,dnevnik_id) VALUES ("&amp;BD62&amp;","&amp;IF(DK62="","Null",BD62)&amp;",1,'"&amp;IF(AV62&lt;&gt;"",AV62,AK62)&amp;"','"&amp;IF(AW62&lt;&gt;"",AW62,AL62)&amp;"',(SELECT id FROM klub WHERE naziv = '"&amp;CR62&amp;"'),Null,1,'',1,"&amp;data_dnevnik_id&amp;");")</f>
        <v/>
      </c>
      <c r="DM62" t="s">
        <v>0</v>
      </c>
      <c r="DN62" s="19" t="str">
        <f t="shared" si="69"/>
        <v/>
      </c>
      <c r="DO62" s="47" t="s">
        <v>0</v>
      </c>
      <c r="DP62" s="19" t="str">
        <f>IF(BA62="","","INSERT INTO imeprezime_alias(id,alias,imeprezime_id) VALUES ("&amp;BB62&amp;",'"&amp;BA62&amp;"',"&amp;IF(BC62="NEMA",BD62,BC62)&amp;");")</f>
        <v/>
      </c>
      <c r="DQ62" s="47" t="s">
        <v>0</v>
      </c>
      <c r="DR62" s="52" t="str">
        <f>IF(AL62="","",DU62 &amp; IF(Q62="",""," – " &amp; Q62))</f>
        <v>Filip – Vujanić – OK Japetić – M21A</v>
      </c>
      <c r="DS62" s="53">
        <f t="shared" si="26"/>
        <v>146</v>
      </c>
      <c r="DT62" s="47" t="s">
        <v>0</v>
      </c>
      <c r="DU62" s="52" t="str">
        <f>IF(AL62="","",DX62 &amp; IF(CR62="",""," – " &amp; CR62))</f>
        <v>Filip – Vujanić – OK Japetić</v>
      </c>
      <c r="DV62" s="53">
        <f t="shared" si="27"/>
        <v>146</v>
      </c>
      <c r="DW62" s="47" t="s">
        <v>0</v>
      </c>
      <c r="DX62" s="52" t="str">
        <f>IF(BG62="","",BF62&amp;" – "&amp;BG62)</f>
        <v>Filip – Vujanić</v>
      </c>
      <c r="DY62" s="53">
        <f t="shared" si="28"/>
        <v>146</v>
      </c>
      <c r="DZ62" s="47" t="s">
        <v>0</v>
      </c>
      <c r="EA62" s="58">
        <f t="shared" si="61"/>
        <v>146</v>
      </c>
      <c r="EB62" s="53" cm="1">
        <f t="array" ref="EB62">IF(EA62&lt;&gt;"",INDEX(regNatjecatelj_id,EA62,0),IF(BD62&lt;&gt;"",BD62,""))</f>
        <v>1858</v>
      </c>
      <c r="EC62" s="47" t="s">
        <v>0</v>
      </c>
      <c r="ED62" s="58" t="str">
        <f>IF(AL62="","",IF(BD62&lt;&gt;"","novo",IF(AN62="","imepre","imepre(ali)")))</f>
        <v>imepre</v>
      </c>
      <c r="EE62" s="73" t="str">
        <f>IF(AL62="","",IF(BL62="",IF(IFERROR(INDEX(regNatjecatelj_klub,MATCH(EB62,regNatjecatelj_id,0)),"NEMA")="","klu",""),IF(OR(AND(BN62&lt;&gt;"",BN62&lt;&gt;"NEMA"),CD62&lt;&gt;""),"klu(ali)",IF(AND(BP62&lt;&gt;"",BP62&lt;&gt;BO62),"(raz-klu)","klu"))))</f>
        <v>klu(ali)</v>
      </c>
      <c r="EF62" s="73" t="str">
        <f>IF(AL62="","","kat"&amp;IF(AND(W62&lt;&gt;Q62,Q62&lt;&gt;"Open"),"(ali)",""))</f>
        <v>kat</v>
      </c>
      <c r="EG62" s="73" t="str">
        <f t="shared" si="29"/>
        <v/>
      </c>
      <c r="EH62" s="66" t="str">
        <f>IF(AL62="","",ED62&amp;IF(ED62="novo","","-"&amp;EE62&amp;"-"&amp;EF62)&amp;IF(EG62="","","-"&amp;EG62))</f>
        <v>imepre-klu(ali)-kat</v>
      </c>
      <c r="EI62" s="47" t="s">
        <v>0</v>
      </c>
      <c r="EJ62" s="58">
        <f>IF(AL62="","",MAX(EJ$12:EJ61)+1)</f>
        <v>234</v>
      </c>
      <c r="EK62" s="73">
        <f>IF(AO62="","",X62)</f>
        <v>27</v>
      </c>
      <c r="EL62" s="73">
        <f t="shared" si="62"/>
        <v>1858</v>
      </c>
      <c r="EM62" s="73">
        <f t="shared" si="30"/>
        <v>5505</v>
      </c>
      <c r="EN62" s="73">
        <f t="shared" si="31"/>
        <v>1</v>
      </c>
      <c r="EO62" s="73">
        <f t="shared" si="63"/>
        <v>1</v>
      </c>
      <c r="EP62" s="73">
        <f t="shared" si="64"/>
        <v>3</v>
      </c>
      <c r="EQ62" s="73" t="str">
        <f t="shared" si="34"/>
        <v>0</v>
      </c>
      <c r="ER62" s="73" t="str">
        <f>IF(OR(AN62="",AN62="NEMA"),BB62,AN62)</f>
        <v/>
      </c>
      <c r="ES62" s="73">
        <f>IF(AND(BN62&lt;&gt;"",BN62&lt;&gt;"NEMA"),BN62,IF(CG62&lt;&gt;"",CG62,IF(AND(CL62&lt;&gt;"",CL62&lt;&gt;"NEMA"),CL62,IF(CM62&lt;&gt;"",CM62,""))))</f>
        <v>1</v>
      </c>
      <c r="ET62" s="53" t="str">
        <f>IF(INDEX(natKategorija_alias_Id,MATCH(S62,natKategorija_katRegId,0))="","",INDEX(natKategorija_alias_Id,MATCH(S62,natKategorija_katRegId,0)))</f>
        <v/>
      </c>
      <c r="EU62" s="47" t="s">
        <v>0</v>
      </c>
      <c r="EV62" s="19" t="str">
        <f t="shared" si="65"/>
        <v>INSERT INTO rezultat(id,stazakategorija_id,imeprezime_id,vrijeme_sec,status_id,registracija,uparivanje_id,originalstatus_id,imeprezimealias_id,klubalias_id,kategorijaalias_id) VALUES (234,27,1858,5505,1,1,3,0,Null,1,Null);</v>
      </c>
      <c r="EW62" s="47" t="s">
        <v>0</v>
      </c>
      <c r="EX62" s="19" t="str">
        <f t="shared" si="66"/>
        <v>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62" s="47" t="s">
        <v>0</v>
      </c>
      <c r="EZ62" s="180" t="str">
        <f>AG62&amp;IF(CP62="","","
")&amp;CP62&amp;IF(CI62="","","
")&amp;CI62&amp;IF(DN62="","","
")&amp;DN62&amp;IF(DP62="","","
")&amp;DP62&amp;IF(EV62="","","
")&amp;EV62&amp;IF(EX62="","","
")&amp;EX62</f>
        <v xml:space="preserve">
INSERT INTO rezultat(id,stazakategorija_id,imeprezime_id,vrijeme_sec,status_id,registracija,uparivanje_id,originalstatus_id,imeprezimealias_id,klubalias_id,kategorijaalias_id) VALUES (234,27,1858,5505,1,1,3,0,Null,1,Null);
UPDATE
	registar
SET
	potvrda = 1
WHERE
	imeprezime_id=1858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62" s="47" t="s">
        <v>0</v>
      </c>
    </row>
    <row r="63" spans="1:157" x14ac:dyDescent="0.25">
      <c r="A63" t="s">
        <v>0</v>
      </c>
      <c r="B63" s="52" t="str">
        <f>IF(csv!F53="","",csv!T53)</f>
        <v>M21A</v>
      </c>
      <c r="C63" s="31" t="s">
        <v>0</v>
      </c>
      <c r="D63" s="31" t="str">
        <f>IF(csv!F53="","",csv!F53)</f>
        <v>Josip</v>
      </c>
      <c r="E63" s="31" t="str">
        <f>IF(csv!E53="","",csv!E53)</f>
        <v>Vujanić</v>
      </c>
      <c r="F63" s="31" t="s">
        <v>0</v>
      </c>
      <c r="G63" s="73" t="str">
        <f>IF(csv!M53="","",csv!M53)</f>
        <v>92:46</v>
      </c>
      <c r="H63" s="73" t="str">
        <f>IF(csv!N53="","",csv!N53)</f>
        <v>0</v>
      </c>
      <c r="I63" s="31" t="s">
        <v>0</v>
      </c>
      <c r="J63" s="31" t="str">
        <f>IF(csv!P53="","",csv!P53)</f>
        <v>JAP</v>
      </c>
      <c r="K63" s="31" t="str">
        <f>IF(csv!Q53="","",csv!Q53)</f>
        <v>OK Japetic</v>
      </c>
      <c r="L63" s="31" t="s">
        <v>0</v>
      </c>
      <c r="M63" s="66" t="str">
        <f>IF(csv!R53="","",csv!R53)</f>
        <v>CRO</v>
      </c>
      <c r="N63" s="47" t="s">
        <v>0</v>
      </c>
      <c r="O63" s="243" t="str">
        <f t="shared" si="36"/>
        <v>ok</v>
      </c>
      <c r="P63" s="47"/>
      <c r="Q63" s="52" t="str">
        <f t="shared" si="37"/>
        <v>M21A</v>
      </c>
      <c r="R63" s="73">
        <f>IF(Q63="","",IF(COUNTIF(Q$12:Q62,Q63)=0,R62+1,R62))</f>
        <v>5</v>
      </c>
      <c r="S63" s="73">
        <f t="shared" si="38"/>
        <v>101</v>
      </c>
      <c r="T63" s="73">
        <f t="shared" si="1"/>
        <v>13</v>
      </c>
      <c r="U63" s="66" t="str">
        <f t="shared" si="2"/>
        <v>M21A</v>
      </c>
      <c r="V63" s="47" t="s">
        <v>0</v>
      </c>
      <c r="W63" s="222" t="str">
        <f t="shared" si="3"/>
        <v>M21A</v>
      </c>
      <c r="X63" s="223">
        <f t="shared" si="4"/>
        <v>27</v>
      </c>
      <c r="Y63" s="47" t="s">
        <v>0</v>
      </c>
      <c r="Z63" s="52" t="str">
        <f t="shared" si="39"/>
        <v>CRO</v>
      </c>
      <c r="AA63" s="73">
        <f t="shared" si="5"/>
        <v>1</v>
      </c>
      <c r="AB63" s="31" t="str">
        <f t="shared" si="40"/>
        <v/>
      </c>
      <c r="AC63" s="66" t="str">
        <f>IF(AB63="","",MAX(AC$12:AC62)+1)</f>
        <v/>
      </c>
      <c r="AD63" s="47" t="s">
        <v>0</v>
      </c>
      <c r="AE63" s="125"/>
      <c r="AF63" s="47" t="s">
        <v>0</v>
      </c>
      <c r="AG63" s="19" t="str">
        <f t="shared" si="41"/>
        <v/>
      </c>
      <c r="AH63" s="47" t="s">
        <v>0</v>
      </c>
      <c r="AI63" s="143" t="str">
        <f t="shared" si="42"/>
        <v>CRO</v>
      </c>
      <c r="AJ63" s="47"/>
      <c r="AK63" s="52" t="str">
        <f t="shared" si="43"/>
        <v>Josip</v>
      </c>
      <c r="AL63" s="31" t="str">
        <f t="shared" si="44"/>
        <v>Vujanić</v>
      </c>
      <c r="AM63" s="73">
        <f t="shared" si="45"/>
        <v>1859</v>
      </c>
      <c r="AN63" s="73" t="str">
        <f t="shared" si="46"/>
        <v/>
      </c>
      <c r="AO63" s="31" t="str">
        <f t="shared" si="8"/>
        <v>Josip</v>
      </c>
      <c r="AP63" s="66" t="str">
        <f t="shared" si="9"/>
        <v>Vujanić</v>
      </c>
      <c r="AQ63" s="47" t="s">
        <v>0</v>
      </c>
      <c r="AR63" s="82" t="str">
        <f t="shared" si="47"/>
        <v/>
      </c>
      <c r="AS63" s="47" t="s">
        <v>0</v>
      </c>
      <c r="AT63" s="19" t="str">
        <f t="shared" si="48"/>
        <v/>
      </c>
      <c r="AU63" s="47" t="s">
        <v>0</v>
      </c>
      <c r="AV63" s="103"/>
      <c r="AW63" s="105"/>
      <c r="AX63" s="47" t="s">
        <v>0</v>
      </c>
      <c r="AY63" s="256" t="str">
        <f t="shared" si="68"/>
        <v/>
      </c>
      <c r="AZ63" s="47" t="s">
        <v>0</v>
      </c>
      <c r="BA63" s="52" t="str">
        <f t="shared" si="11"/>
        <v/>
      </c>
      <c r="BB63" s="73" t="str">
        <f>IF(AV63&amp;AW63="","",MAX(BB$12:BB62)+1)</f>
        <v/>
      </c>
      <c r="BC63" s="268" t="str">
        <f t="shared" si="12"/>
        <v/>
      </c>
      <c r="BD63" s="53" t="str">
        <f>IF(AND(AM63="NEMA",AN63="NEMA",OR(AV63&amp;AW63="",BC63="NEMA")),MAX(BD$12:BD62)+1,"")</f>
        <v/>
      </c>
      <c r="BE63" s="47" t="s">
        <v>0</v>
      </c>
      <c r="BF63" s="52" t="str">
        <f t="shared" si="13"/>
        <v>Josip</v>
      </c>
      <c r="BG63" s="31" t="str">
        <f t="shared" si="14"/>
        <v>Vujanić</v>
      </c>
      <c r="BH63" s="73" t="str">
        <f t="shared" si="49"/>
        <v/>
      </c>
      <c r="BI63" s="53">
        <f t="shared" si="50"/>
        <v>1859</v>
      </c>
      <c r="BJ63" s="47" t="s">
        <v>0</v>
      </c>
      <c r="BK63" s="52" t="str">
        <f t="shared" si="15"/>
        <v>JAP</v>
      </c>
      <c r="BL63" s="31" t="str">
        <f t="shared" si="16"/>
        <v>OK Japetic</v>
      </c>
      <c r="BM63" s="73" t="str">
        <f t="shared" si="17"/>
        <v>NEMA</v>
      </c>
      <c r="BN63" s="73">
        <f t="shared" si="18"/>
        <v>1</v>
      </c>
      <c r="BO63" s="31" t="str" cm="1">
        <f t="array" ref="BO63">IF(BN63="",""&amp;BL63,IF(BN63="NEMA",BL63,INDEX(regKlub_naziv,MATCH(INDEX(regKlub_alias_klubId,BN63),regKlub_id,0))))</f>
        <v>OK Japetić</v>
      </c>
      <c r="BP63" s="31" t="str" cm="1">
        <f t="array" ref="BP63">IFERROR(""&amp;INDEX(regNatjecatelj_klub,DY63),"")</f>
        <v>OK Japetić</v>
      </c>
      <c r="BQ63" s="88" t="str">
        <f t="shared" si="51"/>
        <v/>
      </c>
      <c r="BR63" s="66" t="str">
        <f t="shared" si="52"/>
        <v>OK Japetić</v>
      </c>
      <c r="BS63" s="47" t="s">
        <v>0</v>
      </c>
      <c r="BT63" s="82" t="str">
        <f>IF(BN63&lt;&gt;"NEMA","",IF(IFERROR(MATCH(BL63,BL$12:BL62,0),0)&lt;&gt;0,"",BL63))</f>
        <v/>
      </c>
      <c r="BU63" s="47" t="s">
        <v>0</v>
      </c>
      <c r="BV63" s="125"/>
      <c r="BW63" s="47" t="s">
        <v>0</v>
      </c>
      <c r="BX63" s="58" t="str">
        <f t="shared" si="53"/>
        <v/>
      </c>
      <c r="BY63" s="31" t="str">
        <f t="shared" si="54"/>
        <v/>
      </c>
      <c r="BZ63" s="31" t="str">
        <f>IF(BY63="","",MAX(BZ$12:BZ62)+1)</f>
        <v/>
      </c>
      <c r="CA63" s="31" t="str">
        <f>IF(BY63="","",IF(AA63="","",IF(AA63="NEMA",AC63,AA63)))</f>
        <v/>
      </c>
      <c r="CB63" s="31" t="str">
        <f t="shared" si="55"/>
        <v/>
      </c>
      <c r="CC63" s="31" t="str">
        <f>IF(BV63="","",MAX(CC$12:CC62)+1)</f>
        <v/>
      </c>
      <c r="CD63" s="31" t="str">
        <f t="shared" si="56"/>
        <v/>
      </c>
      <c r="CE63" s="66" t="str">
        <f t="shared" si="57"/>
        <v/>
      </c>
      <c r="CF63" s="47" t="s">
        <v>0</v>
      </c>
      <c r="CG63" s="73" t="str">
        <f>IF(BN63="","",IF(BN63&lt;&gt;"NEMA","",IFERROR(INDEX(nat_klubAliasId,MATCH(BL63,nat_noviKluboviAliasi,0)),"")))</f>
        <v/>
      </c>
      <c r="CH63" s="47"/>
      <c r="CI63" s="19" t="str">
        <f t="shared" si="58"/>
        <v/>
      </c>
      <c r="CJ63" s="47" t="s">
        <v>0</v>
      </c>
      <c r="CK63" s="52" t="str">
        <f>IF(X63&lt;&gt;"NEMA","",IF(IFERROR(MATCH(W63,W$12:W62,0),0)&lt;&gt;0,"",W63))</f>
        <v/>
      </c>
      <c r="CL63" s="73" t="str">
        <f>IF(CK63="","",IFERROR(INDEX(regKlub_alias_id,MATCH(CK63,regKlub_alias_alias,0)),"NEMA"))</f>
        <v/>
      </c>
      <c r="CM63" s="31" t="str">
        <f>IF(OR(CL63="",CL63&lt;&gt;"NEMA"),"",MAX(CM$12:CM62)+1)</f>
        <v/>
      </c>
      <c r="CN63" s="66" t="str">
        <f>IF(OR(CL63="",CL63&lt;&gt;"NEMA"),"",INDEX(regKlub_id,MATCH(CK63,regKlub_naziv,0)))</f>
        <v/>
      </c>
      <c r="CO63" s="47" t="s">
        <v>0</v>
      </c>
      <c r="CP63" s="19" t="str">
        <f>IF(OR(CL63="",CL63&lt;&gt;"NEMA"),"","INSERT INTO klub_alias(id,alias,klub_id) VALUES ("&amp;CM63&amp;",'"&amp;CK63&amp;"',"&amp;CN63&amp;");")</f>
        <v/>
      </c>
      <c r="CQ63" s="47" t="s">
        <v>0</v>
      </c>
      <c r="CR63" s="143" t="str">
        <f>IF(BR63="","",IF(BV63="",IF(IFERROR(MATCH(BR63,nat_noviKluboviAliasi,0),0)&gt;0,INDEX(nat_kluboviAliasi,MATCH(BR63,nat_noviKluboviAliasi,0)),BR63),BV63))</f>
        <v>OK Japetić</v>
      </c>
      <c r="CS63" s="47" t="s">
        <v>0</v>
      </c>
      <c r="CT63" s="58" t="str">
        <f>IF(G63="","",G63)</f>
        <v>92:46</v>
      </c>
      <c r="CU63" s="73" t="str">
        <f>IF(H63="","",H63)</f>
        <v>0</v>
      </c>
      <c r="CV63" s="229" t="str">
        <f>IF(CT63="",IF(OR(AL63="",CU63&lt;&gt;"0"),"","GREŠKA"),IF(AND(65535&gt;=VALUE(LEFT(CT63,SEARCH(":",CT63)-1))*60+VALUE(RIGHT(CT63,2)),OR(CU63="0",CU63="1",CU63="2",CU63="3",CU63="4")),"","GREŠKA"))</f>
        <v/>
      </c>
      <c r="CW63" s="230">
        <f t="shared" si="71"/>
        <v>5566</v>
      </c>
      <c r="CX63" s="163">
        <f t="shared" si="24"/>
        <v>1</v>
      </c>
      <c r="CY63" s="47" t="s">
        <v>0</v>
      </c>
      <c r="CZ63" s="222" t="str">
        <f>IF(CV63&lt;&gt;"GREŠKA","",AK63&amp;" "&amp;AL63&amp;" – Molim u OEventu provjeriti i ispraviti rezultat – vrijeme ("&amp;IF(CT63="","nije upisano",CT63)&amp;") i classifier ("&amp;CU63&amp;").")&amp;IF(OR(CV63&lt;&gt;"GREŠKA",CX63&lt;&gt;5),"
","")&amp;IF(CX63&lt;&gt;5,"",AK63&amp;" "&amp;AL63&amp;" – Molim u provjeriti je li natjecatelj zaista diskvalificiran. Ako je koje je obrazloženje, ako nije molim u OEventu ispraviti rezultat")</f>
        <v xml:space="preserve">
</v>
      </c>
      <c r="DA63" s="223">
        <f t="shared" si="60"/>
        <v>6</v>
      </c>
      <c r="DB63" s="47" t="s">
        <v>0</v>
      </c>
      <c r="DC63" s="47"/>
      <c r="DD63" s="47"/>
      <c r="DE63" s="47"/>
      <c r="DF63" s="47" t="s">
        <v>0</v>
      </c>
      <c r="DG63" s="53" t="str">
        <f>IF(BD63="","",IF(DI63="O",1,""))</f>
        <v/>
      </c>
      <c r="DH63" t="s">
        <v>0</v>
      </c>
      <c r="DI63" s="128" t="str">
        <f>IF(Q63="","",LEFT(INDEX(regKategorija_oznaka,MATCH(S63,regKategorija_id,0)),1))</f>
        <v>M</v>
      </c>
      <c r="DJ63" t="s">
        <v>0</v>
      </c>
      <c r="DK63" s="52" t="str">
        <f>IF(BD63="","",IF(M63&lt;&gt;"CRO","","INSERT INTO osoba (id,reg_broj,oib,spol_id,dat_rodjenja) VALUES ("&amp;BD63&amp;",(SELECT max(os.reg_broj)+1 FROM osoba AS os),Null,'"&amp;DI63&amp;"',Null); INSERT INTO osoba_log (id,reg_broj,oib,spol_id,dat_rodjenja,dnevnik_id) SELECT id,reg_broj,oib,spol_id,dat_rodjenja,"&amp;data_dnevnik_id&amp;" FROM osoba WHERE id = "&amp;BD63&amp;";"))</f>
        <v/>
      </c>
      <c r="DL63" s="66" t="str">
        <f>IF(BD63="","","INSERT INTO imeprezime (id,osoba_id,rbr,ime,prezime,klub_id,identitet_id,sintaksa_id,info,aktivno,dnevnik_id) VALUES ("&amp;BD63&amp;","&amp;IF(DK63="","Null",BD63)&amp;",1,'"&amp;IF(AV63&lt;&gt;"",AV63,AK63)&amp;"','"&amp;IF(AW63&lt;&gt;"",AW63,AL63)&amp;"',(SELECT id FROM klub WHERE naziv = '"&amp;CR63&amp;"'),Null,1,'',1,"&amp;data_dnevnik_id&amp;");")</f>
        <v/>
      </c>
      <c r="DM63" t="s">
        <v>0</v>
      </c>
      <c r="DN63" s="19" t="str">
        <f t="shared" si="69"/>
        <v/>
      </c>
      <c r="DO63" s="47" t="s">
        <v>0</v>
      </c>
      <c r="DP63" s="19" t="str">
        <f>IF(BA63="","","INSERT INTO imeprezime_alias(id,alias,imeprezime_id) VALUES ("&amp;BB63&amp;",'"&amp;BA63&amp;"',"&amp;IF(BC63="NEMA",BD63,BC63)&amp;");")</f>
        <v/>
      </c>
      <c r="DQ63" s="47" t="s">
        <v>0</v>
      </c>
      <c r="DR63" s="52" t="str">
        <f>IF(AL63="","",DU63 &amp; IF(Q63="",""," – " &amp; Q63))</f>
        <v>Josip – Vujanić – OK Japetić – M21A</v>
      </c>
      <c r="DS63" s="53">
        <f t="shared" si="26"/>
        <v>147</v>
      </c>
      <c r="DT63" s="47" t="s">
        <v>0</v>
      </c>
      <c r="DU63" s="52" t="str">
        <f>IF(AL63="","",DX63 &amp; IF(CR63="",""," – " &amp; CR63))</f>
        <v>Josip – Vujanić – OK Japetić</v>
      </c>
      <c r="DV63" s="53">
        <f t="shared" si="27"/>
        <v>147</v>
      </c>
      <c r="DW63" s="47" t="s">
        <v>0</v>
      </c>
      <c r="DX63" s="52" t="str">
        <f>IF(BG63="","",BF63&amp;" – "&amp;BG63)</f>
        <v>Josip – Vujanić</v>
      </c>
      <c r="DY63" s="53">
        <f t="shared" si="28"/>
        <v>147</v>
      </c>
      <c r="DZ63" s="47" t="s">
        <v>0</v>
      </c>
      <c r="EA63" s="58">
        <f t="shared" si="61"/>
        <v>147</v>
      </c>
      <c r="EB63" s="53" cm="1">
        <f t="array" ref="EB63">IF(EA63&lt;&gt;"",INDEX(regNatjecatelj_id,EA63,0),IF(BD63&lt;&gt;"",BD63,""))</f>
        <v>1859</v>
      </c>
      <c r="EC63" s="47" t="s">
        <v>0</v>
      </c>
      <c r="ED63" s="58" t="str">
        <f>IF(AL63="","",IF(BD63&lt;&gt;"","novo",IF(AN63="","imepre","imepre(ali)")))</f>
        <v>imepre</v>
      </c>
      <c r="EE63" s="73" t="str">
        <f>IF(AL63="","",IF(BL63="",IF(IFERROR(INDEX(regNatjecatelj_klub,MATCH(EB63,regNatjecatelj_id,0)),"NEMA")="","klu",""),IF(OR(AND(BN63&lt;&gt;"",BN63&lt;&gt;"NEMA"),CD63&lt;&gt;""),"klu(ali)",IF(AND(BP63&lt;&gt;"",BP63&lt;&gt;BO63),"(raz-klu)","klu"))))</f>
        <v>klu(ali)</v>
      </c>
      <c r="EF63" s="73" t="str">
        <f>IF(AL63="","","kat"&amp;IF(AND(W63&lt;&gt;Q63,Q63&lt;&gt;"Open"),"(ali)",""))</f>
        <v>kat</v>
      </c>
      <c r="EG63" s="73" t="str">
        <f t="shared" si="29"/>
        <v/>
      </c>
      <c r="EH63" s="66" t="str">
        <f>IF(AL63="","",ED63&amp;IF(ED63="novo","","-"&amp;EE63&amp;"-"&amp;EF63)&amp;IF(EG63="","","-"&amp;EG63))</f>
        <v>imepre-klu(ali)-kat</v>
      </c>
      <c r="EI63" s="47" t="s">
        <v>0</v>
      </c>
      <c r="EJ63" s="58">
        <f>IF(AL63="","",MAX(EJ$12:EJ62)+1)</f>
        <v>235</v>
      </c>
      <c r="EK63" s="73">
        <f>IF(AO63="","",X63)</f>
        <v>27</v>
      </c>
      <c r="EL63" s="73">
        <f t="shared" si="62"/>
        <v>1859</v>
      </c>
      <c r="EM63" s="73">
        <f t="shared" si="30"/>
        <v>5566</v>
      </c>
      <c r="EN63" s="73">
        <f t="shared" si="31"/>
        <v>1</v>
      </c>
      <c r="EO63" s="73">
        <f t="shared" si="63"/>
        <v>1</v>
      </c>
      <c r="EP63" s="73">
        <f t="shared" si="64"/>
        <v>3</v>
      </c>
      <c r="EQ63" s="73" t="str">
        <f t="shared" si="34"/>
        <v>0</v>
      </c>
      <c r="ER63" s="73" t="str">
        <f>IF(OR(AN63="",AN63="NEMA"),BB63,AN63)</f>
        <v/>
      </c>
      <c r="ES63" s="73">
        <f>IF(AND(BN63&lt;&gt;"",BN63&lt;&gt;"NEMA"),BN63,IF(CG63&lt;&gt;"",CG63,IF(AND(CL63&lt;&gt;"",CL63&lt;&gt;"NEMA"),CL63,IF(CM63&lt;&gt;"",CM63,""))))</f>
        <v>1</v>
      </c>
      <c r="ET63" s="53" t="str">
        <f>IF(INDEX(natKategorija_alias_Id,MATCH(S63,natKategorija_katRegId,0))="","",INDEX(natKategorija_alias_Id,MATCH(S63,natKategorija_katRegId,0)))</f>
        <v/>
      </c>
      <c r="EU63" s="47" t="s">
        <v>0</v>
      </c>
      <c r="EV63" s="19" t="str">
        <f t="shared" si="65"/>
        <v>INSERT INTO rezultat(id,stazakategorija_id,imeprezime_id,vrijeme_sec,status_id,registracija,uparivanje_id,originalstatus_id,imeprezimealias_id,klubalias_id,kategorijaalias_id) VALUES (235,27,1859,5566,1,1,3,0,Null,1,Null);</v>
      </c>
      <c r="EW63" s="47" t="s">
        <v>0</v>
      </c>
      <c r="EX63" s="19" t="str">
        <f t="shared" si="66"/>
        <v>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63" s="47" t="s">
        <v>0</v>
      </c>
      <c r="EZ63" s="180" t="str">
        <f>AG63&amp;IF(CP63="","","
")&amp;CP63&amp;IF(CI63="","","
")&amp;CI63&amp;IF(DN63="","","
")&amp;DN63&amp;IF(DP63="","","
")&amp;DP63&amp;IF(EV63="","","
")&amp;EV63&amp;IF(EX63="","","
")&amp;EX63</f>
        <v xml:space="preserve">
INSERT INTO rezultat(id,stazakategorija_id,imeprezime_id,vrijeme_sec,status_id,registracija,uparivanje_id,originalstatus_id,imeprezimealias_id,klubalias_id,kategorijaalias_id) VALUES (235,27,1859,5566,1,1,3,0,Null,1,Null);
UPDATE
	registar
SET
	potvrda = 1
WHERE
	imeprezime_id=1859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63" s="47" t="s">
        <v>0</v>
      </c>
    </row>
    <row r="64" spans="1:157" x14ac:dyDescent="0.25">
      <c r="A64" t="s">
        <v>0</v>
      </c>
      <c r="B64" s="52" t="str">
        <f>IF(csv!F54="","",csv!T54)</f>
        <v>M21A</v>
      </c>
      <c r="C64" s="31" t="s">
        <v>0</v>
      </c>
      <c r="D64" s="31" t="str">
        <f>IF(csv!F54="","",csv!F54)</f>
        <v>Tomislav</v>
      </c>
      <c r="E64" s="31" t="str">
        <f>IF(csv!E54="","",csv!E54)</f>
        <v>Varnica</v>
      </c>
      <c r="F64" s="31" t="s">
        <v>0</v>
      </c>
      <c r="G64" s="73" t="str">
        <f>IF(csv!M54="","",csv!M54)</f>
        <v>99:28</v>
      </c>
      <c r="H64" s="73" t="str">
        <f>IF(csv!N54="","",csv!N54)</f>
        <v>0</v>
      </c>
      <c r="I64" s="31" t="s">
        <v>0</v>
      </c>
      <c r="J64" s="31" t="str">
        <f>IF(csv!P54="","",csv!P54)</f>
        <v>Vihor</v>
      </c>
      <c r="K64" s="31" t="str">
        <f>IF(csv!Q54="","",csv!Q54)</f>
        <v>OK Vihor</v>
      </c>
      <c r="L64" s="31" t="s">
        <v>0</v>
      </c>
      <c r="M64" s="66" t="str">
        <f>IF(csv!R54="","",csv!R54)</f>
        <v>CRO</v>
      </c>
      <c r="N64" s="47" t="s">
        <v>0</v>
      </c>
      <c r="O64" s="243" t="str">
        <f t="shared" si="36"/>
        <v>ok</v>
      </c>
      <c r="P64" s="47"/>
      <c r="Q64" s="52" t="str">
        <f t="shared" si="37"/>
        <v>M21A</v>
      </c>
      <c r="R64" s="73">
        <f>IF(Q64="","",IF(COUNTIF(Q$12:Q63,Q64)=0,R63+1,R63))</f>
        <v>5</v>
      </c>
      <c r="S64" s="73">
        <f t="shared" si="38"/>
        <v>101</v>
      </c>
      <c r="T64" s="73">
        <f t="shared" si="1"/>
        <v>13</v>
      </c>
      <c r="U64" s="66" t="str">
        <f t="shared" si="2"/>
        <v>M21A</v>
      </c>
      <c r="V64" s="47" t="s">
        <v>0</v>
      </c>
      <c r="W64" s="222" t="str">
        <f t="shared" si="3"/>
        <v>M21A</v>
      </c>
      <c r="X64" s="223">
        <f t="shared" si="4"/>
        <v>27</v>
      </c>
      <c r="Y64" s="47" t="s">
        <v>0</v>
      </c>
      <c r="Z64" s="52" t="str">
        <f t="shared" si="39"/>
        <v>CRO</v>
      </c>
      <c r="AA64" s="73">
        <f t="shared" si="5"/>
        <v>1</v>
      </c>
      <c r="AB64" s="31" t="str">
        <f t="shared" si="40"/>
        <v/>
      </c>
      <c r="AC64" s="66" t="str">
        <f>IF(AB64="","",MAX(AC$12:AC63)+1)</f>
        <v/>
      </c>
      <c r="AD64" s="47" t="s">
        <v>0</v>
      </c>
      <c r="AE64" s="125"/>
      <c r="AF64" s="47" t="s">
        <v>0</v>
      </c>
      <c r="AG64" s="19" t="str">
        <f t="shared" si="41"/>
        <v/>
      </c>
      <c r="AH64" s="47" t="s">
        <v>0</v>
      </c>
      <c r="AI64" s="143" t="str">
        <f t="shared" si="42"/>
        <v>CRO</v>
      </c>
      <c r="AJ64" s="47"/>
      <c r="AK64" s="52" t="str">
        <f t="shared" si="43"/>
        <v>Tomislav</v>
      </c>
      <c r="AL64" s="31" t="str">
        <f t="shared" si="44"/>
        <v>Varnica</v>
      </c>
      <c r="AM64" s="73">
        <f t="shared" si="45"/>
        <v>1289</v>
      </c>
      <c r="AN64" s="73" t="str">
        <f t="shared" si="46"/>
        <v/>
      </c>
      <c r="AO64" s="31" t="str">
        <f t="shared" si="8"/>
        <v>Tomislav</v>
      </c>
      <c r="AP64" s="66" t="str">
        <f t="shared" si="9"/>
        <v>Varnica</v>
      </c>
      <c r="AQ64" s="47" t="s">
        <v>0</v>
      </c>
      <c r="AR64" s="82" t="str">
        <f t="shared" si="47"/>
        <v/>
      </c>
      <c r="AS64" s="47" t="s">
        <v>0</v>
      </c>
      <c r="AT64" s="19" t="str">
        <f t="shared" si="48"/>
        <v/>
      </c>
      <c r="AU64" s="47" t="s">
        <v>0</v>
      </c>
      <c r="AV64" s="103"/>
      <c r="AW64" s="105"/>
      <c r="AX64" s="47" t="s">
        <v>0</v>
      </c>
      <c r="AY64" s="256" t="str">
        <f t="shared" si="68"/>
        <v/>
      </c>
      <c r="AZ64" s="47" t="s">
        <v>0</v>
      </c>
      <c r="BA64" s="52" t="str">
        <f t="shared" si="11"/>
        <v/>
      </c>
      <c r="BB64" s="73" t="str">
        <f>IF(AV64&amp;AW64="","",MAX(BB$12:BB63)+1)</f>
        <v/>
      </c>
      <c r="BC64" s="268" t="str">
        <f t="shared" si="12"/>
        <v/>
      </c>
      <c r="BD64" s="53" t="str">
        <f>IF(AND(AM64="NEMA",AN64="NEMA",OR(AV64&amp;AW64="",BC64="NEMA")),MAX(BD$12:BD63)+1,"")</f>
        <v/>
      </c>
      <c r="BE64" s="47" t="s">
        <v>0</v>
      </c>
      <c r="BF64" s="52" t="str">
        <f t="shared" si="13"/>
        <v>Tomislav</v>
      </c>
      <c r="BG64" s="31" t="str">
        <f t="shared" si="14"/>
        <v>Varnica</v>
      </c>
      <c r="BH64" s="73" t="str">
        <f t="shared" si="49"/>
        <v/>
      </c>
      <c r="BI64" s="53">
        <f t="shared" si="50"/>
        <v>1289</v>
      </c>
      <c r="BJ64" s="47" t="s">
        <v>0</v>
      </c>
      <c r="BK64" s="52" t="str">
        <f t="shared" si="15"/>
        <v>Vihor</v>
      </c>
      <c r="BL64" s="31" t="str">
        <f t="shared" si="16"/>
        <v>OK Vihor</v>
      </c>
      <c r="BM64" s="73">
        <f t="shared" si="17"/>
        <v>12</v>
      </c>
      <c r="BN64" s="73" t="str">
        <f t="shared" si="18"/>
        <v/>
      </c>
      <c r="BO64" s="31" t="str" cm="1">
        <f t="array" ref="BO64">IF(BN64="",""&amp;BL64,IF(BN64="NEMA",BL64,INDEX(regKlub_naziv,MATCH(INDEX(regKlub_alias_klubId,BN64),regKlub_id,0))))</f>
        <v>OK Vihor</v>
      </c>
      <c r="BP64" s="31" t="str" cm="1">
        <f t="array" ref="BP64">IFERROR(""&amp;INDEX(regNatjecatelj_klub,DY64),"")</f>
        <v>OK Vihor</v>
      </c>
      <c r="BQ64" s="88" t="str">
        <f t="shared" si="51"/>
        <v/>
      </c>
      <c r="BR64" s="66" t="str">
        <f t="shared" si="52"/>
        <v>OK Vihor</v>
      </c>
      <c r="BS64" s="47" t="s">
        <v>0</v>
      </c>
      <c r="BT64" s="82" t="str">
        <f>IF(BN64&lt;&gt;"NEMA","",IF(IFERROR(MATCH(BL64,BL$12:BL63,0),0)&lt;&gt;0,"",BL64))</f>
        <v/>
      </c>
      <c r="BU64" s="47" t="s">
        <v>0</v>
      </c>
      <c r="BV64" s="125"/>
      <c r="BW64" s="47" t="s">
        <v>0</v>
      </c>
      <c r="BX64" s="58" t="str">
        <f t="shared" si="53"/>
        <v/>
      </c>
      <c r="BY64" s="31" t="str">
        <f t="shared" si="54"/>
        <v/>
      </c>
      <c r="BZ64" s="31" t="str">
        <f>IF(BY64="","",MAX(BZ$12:BZ63)+1)</f>
        <v/>
      </c>
      <c r="CA64" s="31" t="str">
        <f>IF(BY64="","",IF(AA64="","",IF(AA64="NEMA",AC64,AA64)))</f>
        <v/>
      </c>
      <c r="CB64" s="31" t="str">
        <f t="shared" si="55"/>
        <v/>
      </c>
      <c r="CC64" s="31" t="str">
        <f>IF(BV64="","",MAX(CC$12:CC63)+1)</f>
        <v/>
      </c>
      <c r="CD64" s="31" t="str">
        <f t="shared" si="56"/>
        <v/>
      </c>
      <c r="CE64" s="66" t="str">
        <f t="shared" si="57"/>
        <v/>
      </c>
      <c r="CF64" s="47" t="s">
        <v>0</v>
      </c>
      <c r="CG64" s="73" t="str">
        <f>IF(BN64="","",IF(BN64&lt;&gt;"NEMA","",IFERROR(INDEX(nat_klubAliasId,MATCH(BL64,nat_noviKluboviAliasi,0)),"")))</f>
        <v/>
      </c>
      <c r="CH64" s="47"/>
      <c r="CI64" s="19" t="str">
        <f t="shared" si="58"/>
        <v/>
      </c>
      <c r="CJ64" s="47" t="s">
        <v>0</v>
      </c>
      <c r="CK64" s="52" t="str">
        <f>IF(X64&lt;&gt;"NEMA","",IF(IFERROR(MATCH(W64,W$12:W63,0),0)&lt;&gt;0,"",W64))</f>
        <v/>
      </c>
      <c r="CL64" s="73" t="str">
        <f>IF(CK64="","",IFERROR(INDEX(regKlub_alias_id,MATCH(CK64,regKlub_alias_alias,0)),"NEMA"))</f>
        <v/>
      </c>
      <c r="CM64" s="31" t="str">
        <f>IF(OR(CL64="",CL64&lt;&gt;"NEMA"),"",MAX(CM$12:CM63)+1)</f>
        <v/>
      </c>
      <c r="CN64" s="66" t="str">
        <f>IF(OR(CL64="",CL64&lt;&gt;"NEMA"),"",INDEX(regKlub_id,MATCH(CK64,regKlub_naziv,0)))</f>
        <v/>
      </c>
      <c r="CO64" s="47" t="s">
        <v>0</v>
      </c>
      <c r="CP64" s="19" t="str">
        <f>IF(OR(CL64="",CL64&lt;&gt;"NEMA"),"","INSERT INTO klub_alias(id,alias,klub_id) VALUES ("&amp;CM64&amp;",'"&amp;CK64&amp;"',"&amp;CN64&amp;");")</f>
        <v/>
      </c>
      <c r="CQ64" s="47" t="s">
        <v>0</v>
      </c>
      <c r="CR64" s="143" t="str">
        <f>IF(BR64="","",IF(BV64="",IF(IFERROR(MATCH(BR64,nat_noviKluboviAliasi,0),0)&gt;0,INDEX(nat_kluboviAliasi,MATCH(BR64,nat_noviKluboviAliasi,0)),BR64),BV64))</f>
        <v>OK Vihor</v>
      </c>
      <c r="CS64" s="47" t="s">
        <v>0</v>
      </c>
      <c r="CT64" s="58" t="str">
        <f>IF(G64="","",G64)</f>
        <v>99:28</v>
      </c>
      <c r="CU64" s="73" t="str">
        <f>IF(H64="","",H64)</f>
        <v>0</v>
      </c>
      <c r="CV64" s="229" t="str">
        <f>IF(CT64="",IF(OR(AL64="",CU64&lt;&gt;"0"),"","GREŠKA"),IF(AND(65535&gt;=VALUE(LEFT(CT64,SEARCH(":",CT64)-1))*60+VALUE(RIGHT(CT64,2)),OR(CU64="0",CU64="1",CU64="2",CU64="3",CU64="4")),"","GREŠKA"))</f>
        <v/>
      </c>
      <c r="CW64" s="230">
        <f t="shared" si="71"/>
        <v>5968</v>
      </c>
      <c r="CX64" s="163">
        <f t="shared" si="24"/>
        <v>1</v>
      </c>
      <c r="CY64" s="47" t="s">
        <v>0</v>
      </c>
      <c r="CZ64" s="222" t="str">
        <f>IF(CV64&lt;&gt;"GREŠKA","",AK64&amp;" "&amp;AL64&amp;" – Molim u OEventu provjeriti i ispraviti rezultat – vrijeme ("&amp;IF(CT64="","nije upisano",CT64)&amp;") i classifier ("&amp;CU64&amp;").")&amp;IF(OR(CV64&lt;&gt;"GREŠKA",CX64&lt;&gt;5),"
","")&amp;IF(CX64&lt;&gt;5,"",AK64&amp;" "&amp;AL64&amp;" – Molim u provjeriti je li natjecatelj zaista diskvalificiran. Ako je koje je obrazloženje, ako nije molim u OEventu ispraviti rezultat")</f>
        <v xml:space="preserve">
</v>
      </c>
      <c r="DA64" s="223">
        <f t="shared" si="60"/>
        <v>6</v>
      </c>
      <c r="DB64" s="47" t="s">
        <v>0</v>
      </c>
      <c r="DC64" s="47"/>
      <c r="DD64" s="47"/>
      <c r="DE64" s="47"/>
      <c r="DF64" s="47" t="s">
        <v>0</v>
      </c>
      <c r="DG64" s="53" t="str">
        <f>IF(BD64="","",IF(DI64="O",1,""))</f>
        <v/>
      </c>
      <c r="DH64" t="s">
        <v>0</v>
      </c>
      <c r="DI64" s="128" t="str">
        <f>IF(Q64="","",LEFT(INDEX(regKategorija_oznaka,MATCH(S64,regKategorija_id,0)),1))</f>
        <v>M</v>
      </c>
      <c r="DJ64" t="s">
        <v>0</v>
      </c>
      <c r="DK64" s="52" t="str">
        <f>IF(BD64="","",IF(M64&lt;&gt;"CRO","","INSERT INTO osoba (id,reg_broj,oib,spol_id,dat_rodjenja) VALUES ("&amp;BD64&amp;",(SELECT max(os.reg_broj)+1 FROM osoba AS os),Null,'"&amp;DI64&amp;"',Null); INSERT INTO osoba_log (id,reg_broj,oib,spol_id,dat_rodjenja,dnevnik_id) SELECT id,reg_broj,oib,spol_id,dat_rodjenja,"&amp;data_dnevnik_id&amp;" FROM osoba WHERE id = "&amp;BD64&amp;";"))</f>
        <v/>
      </c>
      <c r="DL64" s="66" t="str">
        <f>IF(BD64="","","INSERT INTO imeprezime (id,osoba_id,rbr,ime,prezime,klub_id,identitet_id,sintaksa_id,info,aktivno,dnevnik_id) VALUES ("&amp;BD64&amp;","&amp;IF(DK64="","Null",BD64)&amp;",1,'"&amp;IF(AV64&lt;&gt;"",AV64,AK64)&amp;"','"&amp;IF(AW64&lt;&gt;"",AW64,AL64)&amp;"',(SELECT id FROM klub WHERE naziv = '"&amp;CR64&amp;"'),Null,1,'',1,"&amp;data_dnevnik_id&amp;");")</f>
        <v/>
      </c>
      <c r="DM64" t="s">
        <v>0</v>
      </c>
      <c r="DN64" s="19" t="str">
        <f t="shared" si="69"/>
        <v/>
      </c>
      <c r="DO64" s="47" t="s">
        <v>0</v>
      </c>
      <c r="DP64" s="19" t="str">
        <f>IF(BA64="","","INSERT INTO imeprezime_alias(id,alias,imeprezime_id) VALUES ("&amp;BB64&amp;",'"&amp;BA64&amp;"',"&amp;IF(BC64="NEMA",BD64,BC64)&amp;");")</f>
        <v/>
      </c>
      <c r="DQ64" s="47" t="s">
        <v>0</v>
      </c>
      <c r="DR64" s="52" t="str">
        <f>IF(AL64="","",DU64 &amp; IF(Q64="",""," – " &amp; Q64))</f>
        <v>Tomislav – Varnica – OK Vihor – M21A</v>
      </c>
      <c r="DS64" s="53">
        <f t="shared" si="26"/>
        <v>938</v>
      </c>
      <c r="DT64" s="47" t="s">
        <v>0</v>
      </c>
      <c r="DU64" s="52" t="str">
        <f>IF(AL64="","",DX64 &amp; IF(CR64="",""," – " &amp; CR64))</f>
        <v>Tomislav – Varnica – OK Vihor</v>
      </c>
      <c r="DV64" s="53">
        <f t="shared" si="27"/>
        <v>938</v>
      </c>
      <c r="DW64" s="47" t="s">
        <v>0</v>
      </c>
      <c r="DX64" s="52" t="str">
        <f>IF(BG64="","",BF64&amp;" – "&amp;BG64)</f>
        <v>Tomislav – Varnica</v>
      </c>
      <c r="DY64" s="53">
        <f t="shared" si="28"/>
        <v>938</v>
      </c>
      <c r="DZ64" s="47" t="s">
        <v>0</v>
      </c>
      <c r="EA64" s="58">
        <f t="shared" si="61"/>
        <v>938</v>
      </c>
      <c r="EB64" s="53" cm="1">
        <f t="array" ref="EB64">IF(EA64&lt;&gt;"",INDEX(regNatjecatelj_id,EA64,0),IF(BD64&lt;&gt;"",BD64,""))</f>
        <v>1289</v>
      </c>
      <c r="EC64" s="47" t="s">
        <v>0</v>
      </c>
      <c r="ED64" s="58" t="str">
        <f>IF(AL64="","",IF(BD64&lt;&gt;"","novo",IF(AN64="","imepre","imepre(ali)")))</f>
        <v>imepre</v>
      </c>
      <c r="EE64" s="73" t="str">
        <f>IF(AL64="","",IF(BL64="",IF(IFERROR(INDEX(regNatjecatelj_klub,MATCH(EB64,regNatjecatelj_id,0)),"NEMA")="","klu",""),IF(OR(AND(BN64&lt;&gt;"",BN64&lt;&gt;"NEMA"),CD64&lt;&gt;""),"klu(ali)",IF(AND(BP64&lt;&gt;"",BP64&lt;&gt;BO64),"(raz-klu)","klu"))))</f>
        <v>klu</v>
      </c>
      <c r="EF64" s="73" t="str">
        <f>IF(AL64="","","kat"&amp;IF(AND(W64&lt;&gt;Q64,Q64&lt;&gt;"Open"),"(ali)",""))</f>
        <v>kat</v>
      </c>
      <c r="EG64" s="73" t="str">
        <f t="shared" si="29"/>
        <v/>
      </c>
      <c r="EH64" s="66" t="str">
        <f>IF(AL64="","",ED64&amp;IF(ED64="novo","","-"&amp;EE64&amp;"-"&amp;EF64)&amp;IF(EG64="","","-"&amp;EG64))</f>
        <v>imepre-klu-kat</v>
      </c>
      <c r="EI64" s="47" t="s">
        <v>0</v>
      </c>
      <c r="EJ64" s="58">
        <f>IF(AL64="","",MAX(EJ$12:EJ63)+1)</f>
        <v>236</v>
      </c>
      <c r="EK64" s="73">
        <f>IF(AO64="","",X64)</f>
        <v>27</v>
      </c>
      <c r="EL64" s="73">
        <f t="shared" si="62"/>
        <v>1289</v>
      </c>
      <c r="EM64" s="73">
        <f t="shared" si="30"/>
        <v>5968</v>
      </c>
      <c r="EN64" s="73">
        <f t="shared" si="31"/>
        <v>1</v>
      </c>
      <c r="EO64" s="73">
        <f t="shared" si="63"/>
        <v>1</v>
      </c>
      <c r="EP64" s="73">
        <f t="shared" si="64"/>
        <v>1</v>
      </c>
      <c r="EQ64" s="73" t="str">
        <f t="shared" si="34"/>
        <v>0</v>
      </c>
      <c r="ER64" s="73" t="str">
        <f>IF(OR(AN64="",AN64="NEMA"),BB64,AN64)</f>
        <v/>
      </c>
      <c r="ES64" s="73" t="str">
        <f>IF(AND(BN64&lt;&gt;"",BN64&lt;&gt;"NEMA"),BN64,IF(CG64&lt;&gt;"",CG64,IF(AND(CL64&lt;&gt;"",CL64&lt;&gt;"NEMA"),CL64,IF(CM64&lt;&gt;"",CM64,""))))</f>
        <v/>
      </c>
      <c r="ET64" s="53" t="str">
        <f>IF(INDEX(natKategorija_alias_Id,MATCH(S64,natKategorija_katRegId,0))="","",INDEX(natKategorija_alias_Id,MATCH(S64,natKategorija_katRegId,0)))</f>
        <v/>
      </c>
      <c r="EU64" s="47" t="s">
        <v>0</v>
      </c>
      <c r="EV64" s="19" t="str">
        <f t="shared" si="65"/>
        <v>INSERT INTO rezultat(id,stazakategorija_id,imeprezime_id,vrijeme_sec,status_id,registracija,uparivanje_id,originalstatus_id,imeprezimealias_id,klubalias_id,kategorijaalias_id) VALUES (236,27,1289,5968,1,1,1,0,Null,Null,Null);</v>
      </c>
      <c r="EW64" s="47" t="s">
        <v>0</v>
      </c>
      <c r="EX64" s="19" t="str">
        <f t="shared" si="66"/>
        <v>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64" s="47" t="s">
        <v>0</v>
      </c>
      <c r="EZ64" s="180" t="str">
        <f>AG64&amp;IF(CP64="","","
")&amp;CP64&amp;IF(CI64="","","
")&amp;CI64&amp;IF(DN64="","","
")&amp;DN64&amp;IF(DP64="","","
")&amp;DP64&amp;IF(EV64="","","
")&amp;EV64&amp;IF(EX64="","","
")&amp;EX64</f>
        <v xml:space="preserve">
INSERT INTO rezultat(id,stazakategorija_id,imeprezime_id,vrijeme_sec,status_id,registracija,uparivanje_id,originalstatus_id,imeprezimealias_id,klubalias_id,kategorijaalias_id) VALUES (236,27,1289,5968,1,1,1,0,Null,Null,Null);
UPDATE
	registar
SET
	potvrda = 1
WHERE
	imeprezime_id=1289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64" s="47" t="s">
        <v>0</v>
      </c>
    </row>
    <row r="65" spans="1:157" x14ac:dyDescent="0.25">
      <c r="A65" t="s">
        <v>0</v>
      </c>
      <c r="B65" s="52" t="str">
        <f>IF(csv!F55="","",csv!T55)</f>
        <v>M21A</v>
      </c>
      <c r="C65" s="31" t="s">
        <v>0</v>
      </c>
      <c r="D65" s="31" t="str">
        <f>IF(csv!F55="","",csv!F55)</f>
        <v>Frane</v>
      </c>
      <c r="E65" s="31" t="str">
        <f>IF(csv!E55="","",csv!E55)</f>
        <v>Marković</v>
      </c>
      <c r="F65" s="31" t="s">
        <v>0</v>
      </c>
      <c r="G65" s="73" t="str">
        <f>IF(csv!M55="","",csv!M55)</f>
        <v>101:54</v>
      </c>
      <c r="H65" s="73" t="str">
        <f>IF(csv!N55="","",csv!N55)</f>
        <v>0</v>
      </c>
      <c r="I65" s="31" t="s">
        <v>0</v>
      </c>
      <c r="J65" s="31" t="str">
        <f>IF(csv!P55="","",csv!P55)</f>
        <v>JAP</v>
      </c>
      <c r="K65" s="31" t="str">
        <f>IF(csv!Q55="","",csv!Q55)</f>
        <v>OK Japetic</v>
      </c>
      <c r="L65" s="31" t="s">
        <v>0</v>
      </c>
      <c r="M65" s="66" t="str">
        <f>IF(csv!R55="","",csv!R55)</f>
        <v>CRO</v>
      </c>
      <c r="N65" s="47" t="s">
        <v>0</v>
      </c>
      <c r="O65" s="243" t="str">
        <f t="shared" si="36"/>
        <v>ok</v>
      </c>
      <c r="P65" s="47"/>
      <c r="Q65" s="52" t="str">
        <f t="shared" si="37"/>
        <v>M21A</v>
      </c>
      <c r="R65" s="73">
        <f>IF(Q65="","",IF(COUNTIF(Q$12:Q64,Q65)=0,R64+1,R64))</f>
        <v>5</v>
      </c>
      <c r="S65" s="73">
        <f t="shared" si="38"/>
        <v>101</v>
      </c>
      <c r="T65" s="73">
        <f t="shared" si="1"/>
        <v>13</v>
      </c>
      <c r="U65" s="66" t="str">
        <f t="shared" si="2"/>
        <v>M21A</v>
      </c>
      <c r="V65" s="47" t="s">
        <v>0</v>
      </c>
      <c r="W65" s="222" t="str">
        <f t="shared" si="3"/>
        <v>M21A</v>
      </c>
      <c r="X65" s="223">
        <f t="shared" si="4"/>
        <v>27</v>
      </c>
      <c r="Y65" s="47" t="s">
        <v>0</v>
      </c>
      <c r="Z65" s="52" t="str">
        <f t="shared" si="39"/>
        <v>CRO</v>
      </c>
      <c r="AA65" s="73">
        <f t="shared" si="5"/>
        <v>1</v>
      </c>
      <c r="AB65" s="31" t="str">
        <f t="shared" si="40"/>
        <v/>
      </c>
      <c r="AC65" s="66" t="str">
        <f>IF(AB65="","",MAX(AC$12:AC64)+1)</f>
        <v/>
      </c>
      <c r="AD65" s="47" t="s">
        <v>0</v>
      </c>
      <c r="AE65" s="125"/>
      <c r="AF65" s="47" t="s">
        <v>0</v>
      </c>
      <c r="AG65" s="19" t="str">
        <f t="shared" si="41"/>
        <v/>
      </c>
      <c r="AH65" s="47" t="s">
        <v>0</v>
      </c>
      <c r="AI65" s="143" t="str">
        <f t="shared" si="42"/>
        <v>CRO</v>
      </c>
      <c r="AJ65" s="47"/>
      <c r="AK65" s="52" t="str">
        <f t="shared" si="43"/>
        <v>Frane</v>
      </c>
      <c r="AL65" s="31" t="str">
        <f t="shared" si="44"/>
        <v>Marković</v>
      </c>
      <c r="AM65" s="73">
        <f t="shared" si="45"/>
        <v>1139</v>
      </c>
      <c r="AN65" s="73" t="str">
        <f t="shared" si="46"/>
        <v/>
      </c>
      <c r="AO65" s="31" t="str">
        <f t="shared" si="8"/>
        <v>Frane</v>
      </c>
      <c r="AP65" s="66" t="str">
        <f t="shared" si="9"/>
        <v>Marković</v>
      </c>
      <c r="AQ65" s="47" t="s">
        <v>0</v>
      </c>
      <c r="AR65" s="82" t="str">
        <f t="shared" si="47"/>
        <v/>
      </c>
      <c r="AS65" s="47" t="s">
        <v>0</v>
      </c>
      <c r="AT65" s="19" t="str">
        <f t="shared" si="48"/>
        <v/>
      </c>
      <c r="AU65" s="47" t="s">
        <v>0</v>
      </c>
      <c r="AV65" s="103"/>
      <c r="AW65" s="105"/>
      <c r="AX65" s="47" t="s">
        <v>0</v>
      </c>
      <c r="AY65" s="256" t="str">
        <f t="shared" si="68"/>
        <v/>
      </c>
      <c r="AZ65" s="47" t="s">
        <v>0</v>
      </c>
      <c r="BA65" s="52" t="str">
        <f t="shared" si="11"/>
        <v/>
      </c>
      <c r="BB65" s="73" t="str">
        <f>IF(AV65&amp;AW65="","",MAX(BB$12:BB64)+1)</f>
        <v/>
      </c>
      <c r="BC65" s="268" t="str">
        <f t="shared" si="12"/>
        <v/>
      </c>
      <c r="BD65" s="53" t="str">
        <f>IF(AND(AM65="NEMA",AN65="NEMA",OR(AV65&amp;AW65="",BC65="NEMA")),MAX(BD$12:BD64)+1,"")</f>
        <v/>
      </c>
      <c r="BE65" s="47" t="s">
        <v>0</v>
      </c>
      <c r="BF65" s="52" t="str">
        <f t="shared" si="13"/>
        <v>Frane</v>
      </c>
      <c r="BG65" s="31" t="str">
        <f t="shared" si="14"/>
        <v>Marković</v>
      </c>
      <c r="BH65" s="73" t="str">
        <f t="shared" si="49"/>
        <v/>
      </c>
      <c r="BI65" s="53">
        <f t="shared" si="50"/>
        <v>1139</v>
      </c>
      <c r="BJ65" s="47" t="s">
        <v>0</v>
      </c>
      <c r="BK65" s="52" t="str">
        <f t="shared" si="15"/>
        <v>JAP</v>
      </c>
      <c r="BL65" s="31" t="str">
        <f t="shared" si="16"/>
        <v>OK Japetic</v>
      </c>
      <c r="BM65" s="73" t="str">
        <f t="shared" si="17"/>
        <v>NEMA</v>
      </c>
      <c r="BN65" s="73">
        <f t="shared" si="18"/>
        <v>1</v>
      </c>
      <c r="BO65" s="31" t="str" cm="1">
        <f t="array" ref="BO65">IF(BN65="",""&amp;BL65,IF(BN65="NEMA",BL65,INDEX(regKlub_naziv,MATCH(INDEX(regKlub_alias_klubId,BN65),regKlub_id,0))))</f>
        <v>OK Japetić</v>
      </c>
      <c r="BP65" s="31" t="str" cm="1">
        <f t="array" ref="BP65">IFERROR(""&amp;INDEX(regNatjecatelj_klub,DY65),"")</f>
        <v>OK Japetić</v>
      </c>
      <c r="BQ65" s="88" t="str">
        <f t="shared" si="51"/>
        <v/>
      </c>
      <c r="BR65" s="66" t="str">
        <f t="shared" si="52"/>
        <v>OK Japetić</v>
      </c>
      <c r="BS65" s="47" t="s">
        <v>0</v>
      </c>
      <c r="BT65" s="82" t="str">
        <f>IF(BN65&lt;&gt;"NEMA","",IF(IFERROR(MATCH(BL65,BL$12:BL64,0),0)&lt;&gt;0,"",BL65))</f>
        <v/>
      </c>
      <c r="BU65" s="47" t="s">
        <v>0</v>
      </c>
      <c r="BV65" s="125"/>
      <c r="BW65" s="47" t="s">
        <v>0</v>
      </c>
      <c r="BX65" s="58" t="str">
        <f t="shared" si="53"/>
        <v/>
      </c>
      <c r="BY65" s="31" t="str">
        <f t="shared" si="54"/>
        <v/>
      </c>
      <c r="BZ65" s="31" t="str">
        <f>IF(BY65="","",MAX(BZ$12:BZ64)+1)</f>
        <v/>
      </c>
      <c r="CA65" s="31" t="str">
        <f>IF(BY65="","",IF(AA65="","",IF(AA65="NEMA",AC65,AA65)))</f>
        <v/>
      </c>
      <c r="CB65" s="31" t="str">
        <f t="shared" si="55"/>
        <v/>
      </c>
      <c r="CC65" s="31" t="str">
        <f>IF(BV65="","",MAX(CC$12:CC64)+1)</f>
        <v/>
      </c>
      <c r="CD65" s="31" t="str">
        <f t="shared" si="56"/>
        <v/>
      </c>
      <c r="CE65" s="66" t="str">
        <f t="shared" si="57"/>
        <v/>
      </c>
      <c r="CF65" s="47" t="s">
        <v>0</v>
      </c>
      <c r="CG65" s="73" t="str">
        <f>IF(BN65="","",IF(BN65&lt;&gt;"NEMA","",IFERROR(INDEX(nat_klubAliasId,MATCH(BL65,nat_noviKluboviAliasi,0)),"")))</f>
        <v/>
      </c>
      <c r="CH65" s="47"/>
      <c r="CI65" s="19" t="str">
        <f t="shared" si="58"/>
        <v/>
      </c>
      <c r="CJ65" s="47" t="s">
        <v>0</v>
      </c>
      <c r="CK65" s="52" t="str">
        <f>IF(X65&lt;&gt;"NEMA","",IF(IFERROR(MATCH(W65,W$12:W64,0),0)&lt;&gt;0,"",W65))</f>
        <v/>
      </c>
      <c r="CL65" s="73" t="str">
        <f>IF(CK65="","",IFERROR(INDEX(regKlub_alias_id,MATCH(CK65,regKlub_alias_alias,0)),"NEMA"))</f>
        <v/>
      </c>
      <c r="CM65" s="31" t="str">
        <f>IF(OR(CL65="",CL65&lt;&gt;"NEMA"),"",MAX(CM$12:CM64)+1)</f>
        <v/>
      </c>
      <c r="CN65" s="66" t="str">
        <f>IF(OR(CL65="",CL65&lt;&gt;"NEMA"),"",INDEX(regKlub_id,MATCH(CK65,regKlub_naziv,0)))</f>
        <v/>
      </c>
      <c r="CO65" s="47" t="s">
        <v>0</v>
      </c>
      <c r="CP65" s="19" t="str">
        <f>IF(OR(CL65="",CL65&lt;&gt;"NEMA"),"","INSERT INTO klub_alias(id,alias,klub_id) VALUES ("&amp;CM65&amp;",'"&amp;CK65&amp;"',"&amp;CN65&amp;");")</f>
        <v/>
      </c>
      <c r="CQ65" s="47" t="s">
        <v>0</v>
      </c>
      <c r="CR65" s="143" t="str">
        <f>IF(BR65="","",IF(BV65="",IF(IFERROR(MATCH(BR65,nat_noviKluboviAliasi,0),0)&gt;0,INDEX(nat_kluboviAliasi,MATCH(BR65,nat_noviKluboviAliasi,0)),BR65),BV65))</f>
        <v>OK Japetić</v>
      </c>
      <c r="CS65" s="47" t="s">
        <v>0</v>
      </c>
      <c r="CT65" s="58" t="str">
        <f>IF(G65="","",G65)</f>
        <v>101:54</v>
      </c>
      <c r="CU65" s="73" t="str">
        <f>IF(H65="","",H65)</f>
        <v>0</v>
      </c>
      <c r="CV65" s="229" t="str">
        <f>IF(CT65="",IF(OR(AL65="",CU65&lt;&gt;"0"),"","GREŠKA"),IF(AND(65535&gt;=VALUE(LEFT(CT65,SEARCH(":",CT65)-1))*60+VALUE(RIGHT(CT65,2)),OR(CU65="0",CU65="1",CU65="2",CU65="3",CU65="4")),"","GREŠKA"))</f>
        <v/>
      </c>
      <c r="CW65" s="230">
        <f t="shared" si="71"/>
        <v>6114</v>
      </c>
      <c r="CX65" s="163">
        <f t="shared" si="24"/>
        <v>1</v>
      </c>
      <c r="CY65" s="47" t="s">
        <v>0</v>
      </c>
      <c r="CZ65" s="222" t="str">
        <f>IF(CV65&lt;&gt;"GREŠKA","",AK65&amp;" "&amp;AL65&amp;" – Molim u OEventu provjeriti i ispraviti rezultat – vrijeme ("&amp;IF(CT65="","nije upisano",CT65)&amp;") i classifier ("&amp;CU65&amp;").")&amp;IF(OR(CV65&lt;&gt;"GREŠKA",CX65&lt;&gt;5),"
","")&amp;IF(CX65&lt;&gt;5,"",AK65&amp;" "&amp;AL65&amp;" – Molim u provjeriti je li natjecatelj zaista diskvalificiran. Ako je koje je obrazloženje, ako nije molim u OEventu ispraviti rezultat")</f>
        <v xml:space="preserve">
</v>
      </c>
      <c r="DA65" s="223">
        <f t="shared" si="60"/>
        <v>6</v>
      </c>
      <c r="DB65" s="47" t="s">
        <v>0</v>
      </c>
      <c r="DC65" s="47"/>
      <c r="DD65" s="47"/>
      <c r="DE65" s="47"/>
      <c r="DF65" s="47" t="s">
        <v>0</v>
      </c>
      <c r="DG65" s="53" t="str">
        <f>IF(BD65="","",IF(DI65="O",1,""))</f>
        <v/>
      </c>
      <c r="DH65" t="s">
        <v>0</v>
      </c>
      <c r="DI65" s="128" t="str">
        <f>IF(Q65="","",LEFT(INDEX(regKategorija_oznaka,MATCH(S65,regKategorija_id,0)),1))</f>
        <v>M</v>
      </c>
      <c r="DJ65" t="s">
        <v>0</v>
      </c>
      <c r="DK65" s="52" t="str">
        <f>IF(BD65="","",IF(M65&lt;&gt;"CRO","","INSERT INTO osoba (id,reg_broj,oib,spol_id,dat_rodjenja) VALUES ("&amp;BD65&amp;",(SELECT max(os.reg_broj)+1 FROM osoba AS os),Null,'"&amp;DI65&amp;"',Null); INSERT INTO osoba_log (id,reg_broj,oib,spol_id,dat_rodjenja,dnevnik_id) SELECT id,reg_broj,oib,spol_id,dat_rodjenja,"&amp;data_dnevnik_id&amp;" FROM osoba WHERE id = "&amp;BD65&amp;";"))</f>
        <v/>
      </c>
      <c r="DL65" s="66" t="str">
        <f>IF(BD65="","","INSERT INTO imeprezime (id,osoba_id,rbr,ime,prezime,klub_id,identitet_id,sintaksa_id,info,aktivno,dnevnik_id) VALUES ("&amp;BD65&amp;","&amp;IF(DK65="","Null",BD65)&amp;",1,'"&amp;IF(AV65&lt;&gt;"",AV65,AK65)&amp;"','"&amp;IF(AW65&lt;&gt;"",AW65,AL65)&amp;"',(SELECT id FROM klub WHERE naziv = '"&amp;CR65&amp;"'),Null,1,'',1,"&amp;data_dnevnik_id&amp;");")</f>
        <v/>
      </c>
      <c r="DM65" t="s">
        <v>0</v>
      </c>
      <c r="DN65" s="19" t="str">
        <f t="shared" si="69"/>
        <v/>
      </c>
      <c r="DO65" s="47" t="s">
        <v>0</v>
      </c>
      <c r="DP65" s="19" t="str">
        <f>IF(BA65="","","INSERT INTO imeprezime_alias(id,alias,imeprezime_id) VALUES ("&amp;BB65&amp;",'"&amp;BA65&amp;"',"&amp;IF(BC65="NEMA",BD65,BC65)&amp;");")</f>
        <v/>
      </c>
      <c r="DQ65" s="47" t="s">
        <v>0</v>
      </c>
      <c r="DR65" s="52" t="str">
        <f>IF(AL65="","",DU65 &amp; IF(Q65="",""," – " &amp; Q65))</f>
        <v>Frane – Marković – OK Japetić – M21A</v>
      </c>
      <c r="DS65" s="53">
        <f t="shared" si="26"/>
        <v>114</v>
      </c>
      <c r="DT65" s="47" t="s">
        <v>0</v>
      </c>
      <c r="DU65" s="52" t="str">
        <f>IF(AL65="","",DX65 &amp; IF(CR65="",""," – " &amp; CR65))</f>
        <v>Frane – Marković – OK Japetić</v>
      </c>
      <c r="DV65" s="53">
        <f t="shared" si="27"/>
        <v>114</v>
      </c>
      <c r="DW65" s="47" t="s">
        <v>0</v>
      </c>
      <c r="DX65" s="52" t="str">
        <f>IF(BG65="","",BF65&amp;" – "&amp;BG65)</f>
        <v>Frane – Marković</v>
      </c>
      <c r="DY65" s="53">
        <f t="shared" si="28"/>
        <v>114</v>
      </c>
      <c r="DZ65" s="47" t="s">
        <v>0</v>
      </c>
      <c r="EA65" s="58">
        <f t="shared" si="61"/>
        <v>114</v>
      </c>
      <c r="EB65" s="53" cm="1">
        <f t="array" ref="EB65">IF(EA65&lt;&gt;"",INDEX(regNatjecatelj_id,EA65,0),IF(BD65&lt;&gt;"",BD65,""))</f>
        <v>1139</v>
      </c>
      <c r="EC65" s="47" t="s">
        <v>0</v>
      </c>
      <c r="ED65" s="58" t="str">
        <f>IF(AL65="","",IF(BD65&lt;&gt;"","novo",IF(AN65="","imepre","imepre(ali)")))</f>
        <v>imepre</v>
      </c>
      <c r="EE65" s="73" t="str">
        <f>IF(AL65="","",IF(BL65="",IF(IFERROR(INDEX(regNatjecatelj_klub,MATCH(EB65,regNatjecatelj_id,0)),"NEMA")="","klu",""),IF(OR(AND(BN65&lt;&gt;"",BN65&lt;&gt;"NEMA"),CD65&lt;&gt;""),"klu(ali)",IF(AND(BP65&lt;&gt;"",BP65&lt;&gt;BO65),"(raz-klu)","klu"))))</f>
        <v>klu(ali)</v>
      </c>
      <c r="EF65" s="73" t="str">
        <f>IF(AL65="","","kat"&amp;IF(AND(W65&lt;&gt;Q65,Q65&lt;&gt;"Open"),"(ali)",""))</f>
        <v>kat</v>
      </c>
      <c r="EG65" s="73" t="str">
        <f t="shared" si="29"/>
        <v/>
      </c>
      <c r="EH65" s="66" t="str">
        <f>IF(AL65="","",ED65&amp;IF(ED65="novo","","-"&amp;EE65&amp;"-"&amp;EF65)&amp;IF(EG65="","","-"&amp;EG65))</f>
        <v>imepre-klu(ali)-kat</v>
      </c>
      <c r="EI65" s="47" t="s">
        <v>0</v>
      </c>
      <c r="EJ65" s="58">
        <f>IF(AL65="","",MAX(EJ$12:EJ64)+1)</f>
        <v>237</v>
      </c>
      <c r="EK65" s="73">
        <f>IF(AO65="","",X65)</f>
        <v>27</v>
      </c>
      <c r="EL65" s="73">
        <f t="shared" si="62"/>
        <v>1139</v>
      </c>
      <c r="EM65" s="73">
        <f t="shared" si="30"/>
        <v>6114</v>
      </c>
      <c r="EN65" s="73">
        <f t="shared" si="31"/>
        <v>1</v>
      </c>
      <c r="EO65" s="73">
        <f t="shared" si="63"/>
        <v>1</v>
      </c>
      <c r="EP65" s="73">
        <f t="shared" si="64"/>
        <v>3</v>
      </c>
      <c r="EQ65" s="73" t="str">
        <f t="shared" si="34"/>
        <v>0</v>
      </c>
      <c r="ER65" s="73" t="str">
        <f>IF(OR(AN65="",AN65="NEMA"),BB65,AN65)</f>
        <v/>
      </c>
      <c r="ES65" s="73">
        <f>IF(AND(BN65&lt;&gt;"",BN65&lt;&gt;"NEMA"),BN65,IF(CG65&lt;&gt;"",CG65,IF(AND(CL65&lt;&gt;"",CL65&lt;&gt;"NEMA"),CL65,IF(CM65&lt;&gt;"",CM65,""))))</f>
        <v>1</v>
      </c>
      <c r="ET65" s="53" t="str">
        <f>IF(INDEX(natKategorija_alias_Id,MATCH(S65,natKategorija_katRegId,0))="","",INDEX(natKategorija_alias_Id,MATCH(S65,natKategorija_katRegId,0)))</f>
        <v/>
      </c>
      <c r="EU65" s="47" t="s">
        <v>0</v>
      </c>
      <c r="EV65" s="19" t="str">
        <f t="shared" si="65"/>
        <v>INSERT INTO rezultat(id,stazakategorija_id,imeprezime_id,vrijeme_sec,status_id,registracija,uparivanje_id,originalstatus_id,imeprezimealias_id,klubalias_id,kategorijaalias_id) VALUES (237,27,1139,6114,1,1,3,0,Null,1,Null);</v>
      </c>
      <c r="EW65" s="47" t="s">
        <v>0</v>
      </c>
      <c r="EX65" s="19" t="str">
        <f t="shared" si="66"/>
        <v>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65" s="47" t="s">
        <v>0</v>
      </c>
      <c r="EZ65" s="180" t="str">
        <f>AG65&amp;IF(CP65="","","
")&amp;CP65&amp;IF(CI65="","","
")&amp;CI65&amp;IF(DN65="","","
")&amp;DN65&amp;IF(DP65="","","
")&amp;DP65&amp;IF(EV65="","","
")&amp;EV65&amp;IF(EX65="","","
")&amp;EX65</f>
        <v xml:space="preserve">
INSERT INTO rezultat(id,stazakategorija_id,imeprezime_id,vrijeme_sec,status_id,registracija,uparivanje_id,originalstatus_id,imeprezimealias_id,klubalias_id,kategorijaalias_id) VALUES (237,27,1139,6114,1,1,3,0,Null,1,Null);
UPDATE
	registar
SET
	potvrda = 1
WHERE
	imeprezime_id=1139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65" s="47" t="s">
        <v>0</v>
      </c>
    </row>
    <row r="66" spans="1:157" x14ac:dyDescent="0.25">
      <c r="A66" t="s">
        <v>0</v>
      </c>
      <c r="B66" s="52" t="str">
        <f>IF(csv!F56="","",csv!T56)</f>
        <v>M21A</v>
      </c>
      <c r="C66" s="31" t="s">
        <v>0</v>
      </c>
      <c r="D66" s="31" t="str">
        <f>IF(csv!F56="","",csv!F56)</f>
        <v>Vedran</v>
      </c>
      <c r="E66" s="31" t="str">
        <f>IF(csv!E56="","",csv!E56)</f>
        <v>Berković</v>
      </c>
      <c r="F66" s="31" t="s">
        <v>0</v>
      </c>
      <c r="G66" s="73" t="str">
        <f>IF(csv!M56="","",csv!M56)</f>
        <v>125:48</v>
      </c>
      <c r="H66" s="73" t="str">
        <f>IF(csv!N56="","",csv!N56)</f>
        <v>0</v>
      </c>
      <c r="I66" s="31" t="s">
        <v>0</v>
      </c>
      <c r="J66" s="31" t="str">
        <f>IF(csv!P56="","",csv!P56)</f>
        <v>KAP</v>
      </c>
      <c r="K66" s="31" t="str">
        <f>IF(csv!Q56="","",csv!Q56)</f>
        <v>OK Kapela</v>
      </c>
      <c r="L66" s="31" t="s">
        <v>0</v>
      </c>
      <c r="M66" s="66" t="str">
        <f>IF(csv!R56="","",csv!R56)</f>
        <v>CRO</v>
      </c>
      <c r="N66" s="47" t="s">
        <v>0</v>
      </c>
      <c r="O66" s="243" t="str">
        <f t="shared" si="36"/>
        <v>ok</v>
      </c>
      <c r="P66" s="47"/>
      <c r="Q66" s="52" t="str">
        <f t="shared" si="37"/>
        <v>M21A</v>
      </c>
      <c r="R66" s="73">
        <f>IF(Q66="","",IF(COUNTIF(Q$12:Q65,Q66)=0,R65+1,R65))</f>
        <v>5</v>
      </c>
      <c r="S66" s="73">
        <f t="shared" si="38"/>
        <v>101</v>
      </c>
      <c r="T66" s="73">
        <f t="shared" si="1"/>
        <v>13</v>
      </c>
      <c r="U66" s="66" t="str">
        <f t="shared" si="2"/>
        <v>M21A</v>
      </c>
      <c r="V66" s="47" t="s">
        <v>0</v>
      </c>
      <c r="W66" s="222" t="str">
        <f t="shared" si="3"/>
        <v>M21A</v>
      </c>
      <c r="X66" s="223">
        <f t="shared" si="4"/>
        <v>27</v>
      </c>
      <c r="Y66" s="47" t="s">
        <v>0</v>
      </c>
      <c r="Z66" s="52" t="str">
        <f t="shared" si="39"/>
        <v>CRO</v>
      </c>
      <c r="AA66" s="73">
        <f t="shared" si="5"/>
        <v>1</v>
      </c>
      <c r="AB66" s="31" t="str">
        <f t="shared" si="40"/>
        <v/>
      </c>
      <c r="AC66" s="66" t="str">
        <f>IF(AB66="","",MAX(AC$12:AC65)+1)</f>
        <v/>
      </c>
      <c r="AD66" s="47" t="s">
        <v>0</v>
      </c>
      <c r="AE66" s="125"/>
      <c r="AF66" s="47" t="s">
        <v>0</v>
      </c>
      <c r="AG66" s="19" t="str">
        <f t="shared" si="41"/>
        <v/>
      </c>
      <c r="AH66" s="47" t="s">
        <v>0</v>
      </c>
      <c r="AI66" s="143" t="str">
        <f t="shared" si="42"/>
        <v>CRO</v>
      </c>
      <c r="AJ66" s="47"/>
      <c r="AK66" s="52" t="str">
        <f t="shared" si="43"/>
        <v>Vedran</v>
      </c>
      <c r="AL66" s="31" t="str">
        <f t="shared" si="44"/>
        <v>Berković</v>
      </c>
      <c r="AM66" s="73">
        <f t="shared" si="45"/>
        <v>1056</v>
      </c>
      <c r="AN66" s="73" t="str">
        <f t="shared" si="46"/>
        <v/>
      </c>
      <c r="AO66" s="31" t="str">
        <f t="shared" si="8"/>
        <v>Vedran</v>
      </c>
      <c r="AP66" s="66" t="str">
        <f t="shared" si="9"/>
        <v>Berković</v>
      </c>
      <c r="AQ66" s="47" t="s">
        <v>0</v>
      </c>
      <c r="AR66" s="82" t="str">
        <f t="shared" si="47"/>
        <v/>
      </c>
      <c r="AS66" s="47" t="s">
        <v>0</v>
      </c>
      <c r="AT66" s="19" t="str">
        <f t="shared" si="48"/>
        <v/>
      </c>
      <c r="AU66" s="47" t="s">
        <v>0</v>
      </c>
      <c r="AV66" s="103"/>
      <c r="AW66" s="105"/>
      <c r="AX66" s="47" t="s">
        <v>0</v>
      </c>
      <c r="AY66" s="256" t="str">
        <f t="shared" si="68"/>
        <v/>
      </c>
      <c r="AZ66" s="47" t="s">
        <v>0</v>
      </c>
      <c r="BA66" s="52" t="str">
        <f t="shared" si="11"/>
        <v/>
      </c>
      <c r="BB66" s="73" t="str">
        <f>IF(AV66&amp;AW66="","",MAX(BB$12:BB65)+1)</f>
        <v/>
      </c>
      <c r="BC66" s="268" t="str">
        <f t="shared" si="12"/>
        <v/>
      </c>
      <c r="BD66" s="53" t="str">
        <f>IF(AND(AM66="NEMA",AN66="NEMA",OR(AV66&amp;AW66="",BC66="NEMA")),MAX(BD$12:BD65)+1,"")</f>
        <v/>
      </c>
      <c r="BE66" s="47" t="s">
        <v>0</v>
      </c>
      <c r="BF66" s="52" t="str">
        <f t="shared" si="13"/>
        <v>Vedran</v>
      </c>
      <c r="BG66" s="31" t="str">
        <f t="shared" si="14"/>
        <v>Berković</v>
      </c>
      <c r="BH66" s="73" t="str">
        <f t="shared" si="49"/>
        <v/>
      </c>
      <c r="BI66" s="53">
        <f t="shared" si="50"/>
        <v>1056</v>
      </c>
      <c r="BJ66" s="47" t="s">
        <v>0</v>
      </c>
      <c r="BK66" s="52" t="str">
        <f t="shared" si="15"/>
        <v>KAP</v>
      </c>
      <c r="BL66" s="31" t="str">
        <f t="shared" si="16"/>
        <v>OK Kapela</v>
      </c>
      <c r="BM66" s="73">
        <f t="shared" si="17"/>
        <v>5</v>
      </c>
      <c r="BN66" s="73" t="str">
        <f t="shared" si="18"/>
        <v/>
      </c>
      <c r="BO66" s="31" t="str" cm="1">
        <f t="array" ref="BO66">IF(BN66="",""&amp;BL66,IF(BN66="NEMA",BL66,INDEX(regKlub_naziv,MATCH(INDEX(regKlub_alias_klubId,BN66),regKlub_id,0))))</f>
        <v>OK Kapela</v>
      </c>
      <c r="BP66" s="31" t="str" cm="1">
        <f t="array" ref="BP66">IFERROR(""&amp;INDEX(regNatjecatelj_klub,DY66),"")</f>
        <v>OK Kapela</v>
      </c>
      <c r="BQ66" s="88" t="str">
        <f t="shared" si="51"/>
        <v/>
      </c>
      <c r="BR66" s="66" t="str">
        <f t="shared" si="52"/>
        <v>OK Kapela</v>
      </c>
      <c r="BS66" s="47" t="s">
        <v>0</v>
      </c>
      <c r="BT66" s="82" t="str">
        <f>IF(BN66&lt;&gt;"NEMA","",IF(IFERROR(MATCH(BL66,BL$12:BL65,0),0)&lt;&gt;0,"",BL66))</f>
        <v/>
      </c>
      <c r="BU66" s="47" t="s">
        <v>0</v>
      </c>
      <c r="BV66" s="125"/>
      <c r="BW66" s="47" t="s">
        <v>0</v>
      </c>
      <c r="BX66" s="58" t="str">
        <f t="shared" si="53"/>
        <v/>
      </c>
      <c r="BY66" s="31" t="str">
        <f t="shared" si="54"/>
        <v/>
      </c>
      <c r="BZ66" s="31" t="str">
        <f>IF(BY66="","",MAX(BZ$12:BZ65)+1)</f>
        <v/>
      </c>
      <c r="CA66" s="31" t="str">
        <f>IF(BY66="","",IF(AA66="","",IF(AA66="NEMA",AC66,AA66)))</f>
        <v/>
      </c>
      <c r="CB66" s="31" t="str">
        <f t="shared" si="55"/>
        <v/>
      </c>
      <c r="CC66" s="31" t="str">
        <f>IF(BV66="","",MAX(CC$12:CC65)+1)</f>
        <v/>
      </c>
      <c r="CD66" s="31" t="str">
        <f t="shared" si="56"/>
        <v/>
      </c>
      <c r="CE66" s="66" t="str">
        <f t="shared" si="57"/>
        <v/>
      </c>
      <c r="CF66" s="47" t="s">
        <v>0</v>
      </c>
      <c r="CG66" s="73" t="str">
        <f>IF(BN66="","",IF(BN66&lt;&gt;"NEMA","",IFERROR(INDEX(nat_klubAliasId,MATCH(BL66,nat_noviKluboviAliasi,0)),"")))</f>
        <v/>
      </c>
      <c r="CH66" s="47"/>
      <c r="CI66" s="19" t="str">
        <f t="shared" si="58"/>
        <v/>
      </c>
      <c r="CJ66" s="47" t="s">
        <v>0</v>
      </c>
      <c r="CK66" s="52" t="str">
        <f>IF(X66&lt;&gt;"NEMA","",IF(IFERROR(MATCH(W66,W$12:W65,0),0)&lt;&gt;0,"",W66))</f>
        <v/>
      </c>
      <c r="CL66" s="73" t="str">
        <f>IF(CK66="","",IFERROR(INDEX(regKlub_alias_id,MATCH(CK66,regKlub_alias_alias,0)),"NEMA"))</f>
        <v/>
      </c>
      <c r="CM66" s="31" t="str">
        <f>IF(OR(CL66="",CL66&lt;&gt;"NEMA"),"",MAX(CM$12:CM65)+1)</f>
        <v/>
      </c>
      <c r="CN66" s="66" t="str">
        <f>IF(OR(CL66="",CL66&lt;&gt;"NEMA"),"",INDEX(regKlub_id,MATCH(CK66,regKlub_naziv,0)))</f>
        <v/>
      </c>
      <c r="CO66" s="47" t="s">
        <v>0</v>
      </c>
      <c r="CP66" s="19" t="str">
        <f>IF(OR(CL66="",CL66&lt;&gt;"NEMA"),"","INSERT INTO klub_alias(id,alias,klub_id) VALUES ("&amp;CM66&amp;",'"&amp;CK66&amp;"',"&amp;CN66&amp;");")</f>
        <v/>
      </c>
      <c r="CQ66" s="47" t="s">
        <v>0</v>
      </c>
      <c r="CR66" s="143" t="str">
        <f>IF(BR66="","",IF(BV66="",IF(IFERROR(MATCH(BR66,nat_noviKluboviAliasi,0),0)&gt;0,INDEX(nat_kluboviAliasi,MATCH(BR66,nat_noviKluboviAliasi,0)),BR66),BV66))</f>
        <v>OK Kapela</v>
      </c>
      <c r="CS66" s="47" t="s">
        <v>0</v>
      </c>
      <c r="CT66" s="58" t="str">
        <f>IF(G66="","",G66)</f>
        <v>125:48</v>
      </c>
      <c r="CU66" s="73" t="str">
        <f>IF(H66="","",H66)</f>
        <v>0</v>
      </c>
      <c r="CV66" s="229" t="str">
        <f>IF(CT66="",IF(OR(AL66="",CU66&lt;&gt;"0"),"","GREŠKA"),IF(AND(65535&gt;=VALUE(LEFT(CT66,SEARCH(":",CT66)-1))*60+VALUE(RIGHT(CT66,2)),OR(CU66="0",CU66="1",CU66="2",CU66="3",CU66="4")),"","GREŠKA"))</f>
        <v/>
      </c>
      <c r="CW66" s="230">
        <f t="shared" si="71"/>
        <v>7548</v>
      </c>
      <c r="CX66" s="163">
        <f t="shared" si="24"/>
        <v>1</v>
      </c>
      <c r="CY66" s="47" t="s">
        <v>0</v>
      </c>
      <c r="CZ66" s="222" t="str">
        <f>IF(CV66&lt;&gt;"GREŠKA","",AK66&amp;" "&amp;AL66&amp;" – Molim u OEventu provjeriti i ispraviti rezultat – vrijeme ("&amp;IF(CT66="","nije upisano",CT66)&amp;") i classifier ("&amp;CU66&amp;").")&amp;IF(OR(CV66&lt;&gt;"GREŠKA",CX66&lt;&gt;5),"
","")&amp;IF(CX66&lt;&gt;5,"",AK66&amp;" "&amp;AL66&amp;" – Molim u provjeriti je li natjecatelj zaista diskvalificiran. Ako je koje je obrazloženje, ako nije molim u OEventu ispraviti rezultat")</f>
        <v xml:space="preserve">
</v>
      </c>
      <c r="DA66" s="223">
        <f t="shared" si="60"/>
        <v>6</v>
      </c>
      <c r="DB66" s="47" t="s">
        <v>0</v>
      </c>
      <c r="DC66" s="47"/>
      <c r="DD66" s="47"/>
      <c r="DE66" s="47"/>
      <c r="DF66" s="47" t="s">
        <v>0</v>
      </c>
      <c r="DG66" s="53" t="str">
        <f>IF(BD66="","",IF(DI66="O",1,""))</f>
        <v/>
      </c>
      <c r="DH66" t="s">
        <v>0</v>
      </c>
      <c r="DI66" s="128" t="str">
        <f>IF(Q66="","",LEFT(INDEX(regKategorija_oznaka,MATCH(S66,regKategorija_id,0)),1))</f>
        <v>M</v>
      </c>
      <c r="DJ66" t="s">
        <v>0</v>
      </c>
      <c r="DK66" s="52" t="str">
        <f>IF(BD66="","",IF(M66&lt;&gt;"CRO","","INSERT INTO osoba (id,reg_broj,oib,spol_id,dat_rodjenja) VALUES ("&amp;BD66&amp;",(SELECT max(os.reg_broj)+1 FROM osoba AS os),Null,'"&amp;DI66&amp;"',Null); INSERT INTO osoba_log (id,reg_broj,oib,spol_id,dat_rodjenja,dnevnik_id) SELECT id,reg_broj,oib,spol_id,dat_rodjenja,"&amp;data_dnevnik_id&amp;" FROM osoba WHERE id = "&amp;BD66&amp;";"))</f>
        <v/>
      </c>
      <c r="DL66" s="66" t="str">
        <f>IF(BD66="","","INSERT INTO imeprezime (id,osoba_id,rbr,ime,prezime,klub_id,identitet_id,sintaksa_id,info,aktivno,dnevnik_id) VALUES ("&amp;BD66&amp;","&amp;IF(DK66="","Null",BD66)&amp;",1,'"&amp;IF(AV66&lt;&gt;"",AV66,AK66)&amp;"','"&amp;IF(AW66&lt;&gt;"",AW66,AL66)&amp;"',(SELECT id FROM klub WHERE naziv = '"&amp;CR66&amp;"'),Null,1,'',1,"&amp;data_dnevnik_id&amp;");")</f>
        <v/>
      </c>
      <c r="DM66" t="s">
        <v>0</v>
      </c>
      <c r="DN66" s="19" t="str">
        <f t="shared" si="69"/>
        <v/>
      </c>
      <c r="DO66" s="47" t="s">
        <v>0</v>
      </c>
      <c r="DP66" s="19" t="str">
        <f>IF(BA66="","","INSERT INTO imeprezime_alias(id,alias,imeprezime_id) VALUES ("&amp;BB66&amp;",'"&amp;BA66&amp;"',"&amp;IF(BC66="NEMA",BD66,BC66)&amp;");")</f>
        <v/>
      </c>
      <c r="DQ66" s="47" t="s">
        <v>0</v>
      </c>
      <c r="DR66" s="52" t="str">
        <f>IF(AL66="","",DU66 &amp; IF(Q66="",""," – " &amp; Q66))</f>
        <v>Vedran – Berković – OK Kapela – M21A</v>
      </c>
      <c r="DS66" s="53">
        <f t="shared" si="26"/>
        <v>210</v>
      </c>
      <c r="DT66" s="47" t="s">
        <v>0</v>
      </c>
      <c r="DU66" s="52" t="str">
        <f>IF(AL66="","",DX66 &amp; IF(CR66="",""," – " &amp; CR66))</f>
        <v>Vedran – Berković – OK Kapela</v>
      </c>
      <c r="DV66" s="53">
        <f t="shared" si="27"/>
        <v>210</v>
      </c>
      <c r="DW66" s="47" t="s">
        <v>0</v>
      </c>
      <c r="DX66" s="52" t="str">
        <f>IF(BG66="","",BF66&amp;" – "&amp;BG66)</f>
        <v>Vedran – Berković</v>
      </c>
      <c r="DY66" s="53">
        <f t="shared" si="28"/>
        <v>210</v>
      </c>
      <c r="DZ66" s="47" t="s">
        <v>0</v>
      </c>
      <c r="EA66" s="58">
        <f t="shared" si="61"/>
        <v>210</v>
      </c>
      <c r="EB66" s="53" cm="1">
        <f t="array" ref="EB66">IF(EA66&lt;&gt;"",INDEX(regNatjecatelj_id,EA66,0),IF(BD66&lt;&gt;"",BD66,""))</f>
        <v>1056</v>
      </c>
      <c r="EC66" s="47" t="s">
        <v>0</v>
      </c>
      <c r="ED66" s="58" t="str">
        <f>IF(AL66="","",IF(BD66&lt;&gt;"","novo",IF(AN66="","imepre","imepre(ali)")))</f>
        <v>imepre</v>
      </c>
      <c r="EE66" s="73" t="str">
        <f>IF(AL66="","",IF(BL66="",IF(IFERROR(INDEX(regNatjecatelj_klub,MATCH(EB66,regNatjecatelj_id,0)),"NEMA")="","klu",""),IF(OR(AND(BN66&lt;&gt;"",BN66&lt;&gt;"NEMA"),CD66&lt;&gt;""),"klu(ali)",IF(AND(BP66&lt;&gt;"",BP66&lt;&gt;BO66),"(raz-klu)","klu"))))</f>
        <v>klu</v>
      </c>
      <c r="EF66" s="73" t="str">
        <f>IF(AL66="","","kat"&amp;IF(AND(W66&lt;&gt;Q66,Q66&lt;&gt;"Open"),"(ali)",""))</f>
        <v>kat</v>
      </c>
      <c r="EG66" s="73" t="str">
        <f t="shared" si="29"/>
        <v/>
      </c>
      <c r="EH66" s="66" t="str">
        <f>IF(AL66="","",ED66&amp;IF(ED66="novo","","-"&amp;EE66&amp;"-"&amp;EF66)&amp;IF(EG66="","","-"&amp;EG66))</f>
        <v>imepre-klu-kat</v>
      </c>
      <c r="EI66" s="47" t="s">
        <v>0</v>
      </c>
      <c r="EJ66" s="58">
        <f>IF(AL66="","",MAX(EJ$12:EJ65)+1)</f>
        <v>238</v>
      </c>
      <c r="EK66" s="73">
        <f>IF(AO66="","",X66)</f>
        <v>27</v>
      </c>
      <c r="EL66" s="73">
        <f t="shared" si="62"/>
        <v>1056</v>
      </c>
      <c r="EM66" s="73">
        <f t="shared" si="30"/>
        <v>7548</v>
      </c>
      <c r="EN66" s="73">
        <f t="shared" si="31"/>
        <v>1</v>
      </c>
      <c r="EO66" s="73">
        <f t="shared" si="63"/>
        <v>1</v>
      </c>
      <c r="EP66" s="73">
        <f t="shared" si="64"/>
        <v>1</v>
      </c>
      <c r="EQ66" s="73" t="str">
        <f t="shared" si="34"/>
        <v>0</v>
      </c>
      <c r="ER66" s="73" t="str">
        <f>IF(OR(AN66="",AN66="NEMA"),BB66,AN66)</f>
        <v/>
      </c>
      <c r="ES66" s="73" t="str">
        <f>IF(AND(BN66&lt;&gt;"",BN66&lt;&gt;"NEMA"),BN66,IF(CG66&lt;&gt;"",CG66,IF(AND(CL66&lt;&gt;"",CL66&lt;&gt;"NEMA"),CL66,IF(CM66&lt;&gt;"",CM66,""))))</f>
        <v/>
      </c>
      <c r="ET66" s="53" t="str">
        <f>IF(INDEX(natKategorija_alias_Id,MATCH(S66,natKategorija_katRegId,0))="","",INDEX(natKategorija_alias_Id,MATCH(S66,natKategorija_katRegId,0)))</f>
        <v/>
      </c>
      <c r="EU66" s="47" t="s">
        <v>0</v>
      </c>
      <c r="EV66" s="19" t="str">
        <f t="shared" si="65"/>
        <v>INSERT INTO rezultat(id,stazakategorija_id,imeprezime_id,vrijeme_sec,status_id,registracija,uparivanje_id,originalstatus_id,imeprezimealias_id,klubalias_id,kategorijaalias_id) VALUES (238,27,1056,7548,1,1,1,0,Null,Null,Null);</v>
      </c>
      <c r="EW66" s="47" t="s">
        <v>0</v>
      </c>
      <c r="EX66" s="19" t="str">
        <f t="shared" si="66"/>
        <v>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66" s="47" t="s">
        <v>0</v>
      </c>
      <c r="EZ66" s="180" t="str">
        <f>AG66&amp;IF(CP66="","","
")&amp;CP66&amp;IF(CI66="","","
")&amp;CI66&amp;IF(DN66="","","
")&amp;DN66&amp;IF(DP66="","","
")&amp;DP66&amp;IF(EV66="","","
")&amp;EV66&amp;IF(EX66="","","
")&amp;EX66</f>
        <v xml:space="preserve">
INSERT INTO rezultat(id,stazakategorija_id,imeprezime_id,vrijeme_sec,status_id,registracija,uparivanje_id,originalstatus_id,imeprezimealias_id,klubalias_id,kategorijaalias_id) VALUES (238,27,1056,7548,1,1,1,0,Null,Null,Null);
UPDATE
	registar
SET
	potvrda = 1
WHERE
	imeprezime_id=1056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66" s="47" t="s">
        <v>0</v>
      </c>
    </row>
    <row r="67" spans="1:157" x14ac:dyDescent="0.25">
      <c r="A67" t="s">
        <v>0</v>
      </c>
      <c r="B67" s="52" t="str">
        <f>IF(csv!F57="","",csv!T57)</f>
        <v>M21A</v>
      </c>
      <c r="C67" s="31" t="s">
        <v>0</v>
      </c>
      <c r="D67" s="31" t="str">
        <f>IF(csv!F57="","",csv!F57)</f>
        <v>Miran</v>
      </c>
      <c r="E67" s="31" t="str">
        <f>IF(csv!E57="","",csv!E57)</f>
        <v>Košćica</v>
      </c>
      <c r="F67" s="31" t="s">
        <v>0</v>
      </c>
      <c r="G67" s="73" t="str">
        <f>IF(csv!M57="","",csv!M57)</f>
        <v>129:16</v>
      </c>
      <c r="H67" s="73" t="str">
        <f>IF(csv!N57="","",csv!N57)</f>
        <v>0</v>
      </c>
      <c r="I67" s="31" t="s">
        <v>0</v>
      </c>
      <c r="J67" s="31" t="str">
        <f>IF(csv!P57="","",csv!P57)</f>
        <v>OK Jelen</v>
      </c>
      <c r="K67" s="31" t="str">
        <f>IF(csv!Q57="","",csv!Q57)</f>
        <v>OK Jelen</v>
      </c>
      <c r="L67" s="31" t="s">
        <v>0</v>
      </c>
      <c r="M67" s="66" t="str">
        <f>IF(csv!R57="","",csv!R57)</f>
        <v>CRO</v>
      </c>
      <c r="N67" s="47" t="s">
        <v>0</v>
      </c>
      <c r="O67" s="243" t="str">
        <f t="shared" si="36"/>
        <v>ok</v>
      </c>
      <c r="P67" s="47"/>
      <c r="Q67" s="52" t="str">
        <f t="shared" si="37"/>
        <v>M21A</v>
      </c>
      <c r="R67" s="73">
        <f>IF(Q67="","",IF(COUNTIF(Q$12:Q66,Q67)=0,R66+1,R66))</f>
        <v>5</v>
      </c>
      <c r="S67" s="73">
        <f t="shared" si="38"/>
        <v>101</v>
      </c>
      <c r="T67" s="73">
        <f t="shared" si="1"/>
        <v>13</v>
      </c>
      <c r="U67" s="66" t="str">
        <f t="shared" si="2"/>
        <v>M21A</v>
      </c>
      <c r="V67" s="47" t="s">
        <v>0</v>
      </c>
      <c r="W67" s="222" t="str">
        <f t="shared" si="3"/>
        <v>M21A</v>
      </c>
      <c r="X67" s="223">
        <f t="shared" si="4"/>
        <v>27</v>
      </c>
      <c r="Y67" s="47" t="s">
        <v>0</v>
      </c>
      <c r="Z67" s="52" t="str">
        <f t="shared" si="39"/>
        <v>CRO</v>
      </c>
      <c r="AA67" s="73">
        <f t="shared" si="5"/>
        <v>1</v>
      </c>
      <c r="AB67" s="31" t="str">
        <f t="shared" si="40"/>
        <v/>
      </c>
      <c r="AC67" s="66" t="str">
        <f>IF(AB67="","",MAX(AC$12:AC66)+1)</f>
        <v/>
      </c>
      <c r="AD67" s="47" t="s">
        <v>0</v>
      </c>
      <c r="AE67" s="125"/>
      <c r="AF67" s="47" t="s">
        <v>0</v>
      </c>
      <c r="AG67" s="19" t="str">
        <f t="shared" si="41"/>
        <v/>
      </c>
      <c r="AH67" s="47" t="s">
        <v>0</v>
      </c>
      <c r="AI67" s="143" t="str">
        <f t="shared" si="42"/>
        <v>CRO</v>
      </c>
      <c r="AJ67" s="47"/>
      <c r="AK67" s="52" t="str">
        <f t="shared" si="43"/>
        <v>Miran</v>
      </c>
      <c r="AL67" s="31" t="str">
        <f t="shared" si="44"/>
        <v>Košćica</v>
      </c>
      <c r="AM67" s="73">
        <f t="shared" si="45"/>
        <v>1082</v>
      </c>
      <c r="AN67" s="73" t="str">
        <f t="shared" si="46"/>
        <v/>
      </c>
      <c r="AO67" s="31" t="str">
        <f t="shared" si="8"/>
        <v>Miran</v>
      </c>
      <c r="AP67" s="66" t="str">
        <f t="shared" si="9"/>
        <v>Košćica</v>
      </c>
      <c r="AQ67" s="47" t="s">
        <v>0</v>
      </c>
      <c r="AR67" s="82" t="str">
        <f t="shared" si="47"/>
        <v/>
      </c>
      <c r="AS67" s="47" t="s">
        <v>0</v>
      </c>
      <c r="AT67" s="19" t="str">
        <f t="shared" si="48"/>
        <v/>
      </c>
      <c r="AU67" s="47" t="s">
        <v>0</v>
      </c>
      <c r="AV67" s="103"/>
      <c r="AW67" s="105"/>
      <c r="AX67" s="47" t="s">
        <v>0</v>
      </c>
      <c r="AY67" s="256" t="str">
        <f t="shared" si="68"/>
        <v/>
      </c>
      <c r="AZ67" s="47" t="s">
        <v>0</v>
      </c>
      <c r="BA67" s="52" t="str">
        <f t="shared" si="11"/>
        <v/>
      </c>
      <c r="BB67" s="73" t="str">
        <f>IF(AV67&amp;AW67="","",MAX(BB$12:BB66)+1)</f>
        <v/>
      </c>
      <c r="BC67" s="268" t="str">
        <f t="shared" si="12"/>
        <v/>
      </c>
      <c r="BD67" s="53" t="str">
        <f>IF(AND(AM67="NEMA",AN67="NEMA",OR(AV67&amp;AW67="",BC67="NEMA")),MAX(BD$12:BD66)+1,"")</f>
        <v/>
      </c>
      <c r="BE67" s="47" t="s">
        <v>0</v>
      </c>
      <c r="BF67" s="52" t="str">
        <f t="shared" si="13"/>
        <v>Miran</v>
      </c>
      <c r="BG67" s="31" t="str">
        <f t="shared" si="14"/>
        <v>Košćica</v>
      </c>
      <c r="BH67" s="73" t="str">
        <f t="shared" si="49"/>
        <v/>
      </c>
      <c r="BI67" s="53">
        <f t="shared" si="50"/>
        <v>1082</v>
      </c>
      <c r="BJ67" s="47" t="s">
        <v>0</v>
      </c>
      <c r="BK67" s="52" t="str">
        <f t="shared" si="15"/>
        <v>OK Jelen</v>
      </c>
      <c r="BL67" s="31" t="str">
        <f t="shared" si="16"/>
        <v>OK Jelen</v>
      </c>
      <c r="BM67" s="73">
        <f t="shared" si="17"/>
        <v>4</v>
      </c>
      <c r="BN67" s="73" t="str">
        <f t="shared" si="18"/>
        <v/>
      </c>
      <c r="BO67" s="31" t="str" cm="1">
        <f t="array" ref="BO67">IF(BN67="",""&amp;BL67,IF(BN67="NEMA",BL67,INDEX(regKlub_naziv,MATCH(INDEX(regKlub_alias_klubId,BN67),regKlub_id,0))))</f>
        <v>OK Jelen</v>
      </c>
      <c r="BP67" s="31" t="str" cm="1">
        <f t="array" ref="BP67">IFERROR(""&amp;INDEX(regNatjecatelj_klub,DY67),"")</f>
        <v>OK Jelen</v>
      </c>
      <c r="BQ67" s="88" t="str">
        <f t="shared" si="51"/>
        <v/>
      </c>
      <c r="BR67" s="66" t="str">
        <f t="shared" si="52"/>
        <v>OK Jelen</v>
      </c>
      <c r="BS67" s="47" t="s">
        <v>0</v>
      </c>
      <c r="BT67" s="82" t="str">
        <f>IF(BN67&lt;&gt;"NEMA","",IF(IFERROR(MATCH(BL67,BL$12:BL66,0),0)&lt;&gt;0,"",BL67))</f>
        <v/>
      </c>
      <c r="BU67" s="47" t="s">
        <v>0</v>
      </c>
      <c r="BV67" s="125"/>
      <c r="BW67" s="47" t="s">
        <v>0</v>
      </c>
      <c r="BX67" s="58" t="str">
        <f t="shared" si="53"/>
        <v/>
      </c>
      <c r="BY67" s="31" t="str">
        <f t="shared" si="54"/>
        <v/>
      </c>
      <c r="BZ67" s="31" t="str">
        <f>IF(BY67="","",MAX(BZ$12:BZ66)+1)</f>
        <v/>
      </c>
      <c r="CA67" s="31" t="str">
        <f>IF(BY67="","",IF(AA67="","",IF(AA67="NEMA",AC67,AA67)))</f>
        <v/>
      </c>
      <c r="CB67" s="31" t="str">
        <f t="shared" si="55"/>
        <v/>
      </c>
      <c r="CC67" s="31" t="str">
        <f>IF(BV67="","",MAX(CC$12:CC66)+1)</f>
        <v/>
      </c>
      <c r="CD67" s="31" t="str">
        <f t="shared" si="56"/>
        <v/>
      </c>
      <c r="CE67" s="66" t="str">
        <f t="shared" si="57"/>
        <v/>
      </c>
      <c r="CF67" s="47" t="s">
        <v>0</v>
      </c>
      <c r="CG67" s="73" t="str">
        <f>IF(BN67="","",IF(BN67&lt;&gt;"NEMA","",IFERROR(INDEX(nat_klubAliasId,MATCH(BL67,nat_noviKluboviAliasi,0)),"")))</f>
        <v/>
      </c>
      <c r="CH67" s="47"/>
      <c r="CI67" s="19" t="str">
        <f t="shared" si="58"/>
        <v/>
      </c>
      <c r="CJ67" s="47" t="s">
        <v>0</v>
      </c>
      <c r="CK67" s="52" t="str">
        <f>IF(X67&lt;&gt;"NEMA","",IF(IFERROR(MATCH(W67,W$12:W66,0),0)&lt;&gt;0,"",W67))</f>
        <v/>
      </c>
      <c r="CL67" s="73" t="str">
        <f>IF(CK67="","",IFERROR(INDEX(regKlub_alias_id,MATCH(CK67,regKlub_alias_alias,0)),"NEMA"))</f>
        <v/>
      </c>
      <c r="CM67" s="31" t="str">
        <f>IF(OR(CL67="",CL67&lt;&gt;"NEMA"),"",MAX(CM$12:CM66)+1)</f>
        <v/>
      </c>
      <c r="CN67" s="66" t="str">
        <f>IF(OR(CL67="",CL67&lt;&gt;"NEMA"),"",INDEX(regKlub_id,MATCH(CK67,regKlub_naziv,0)))</f>
        <v/>
      </c>
      <c r="CO67" s="47" t="s">
        <v>0</v>
      </c>
      <c r="CP67" s="19" t="str">
        <f>IF(OR(CL67="",CL67&lt;&gt;"NEMA"),"","INSERT INTO klub_alias(id,alias,klub_id) VALUES ("&amp;CM67&amp;",'"&amp;CK67&amp;"',"&amp;CN67&amp;");")</f>
        <v/>
      </c>
      <c r="CQ67" s="47" t="s">
        <v>0</v>
      </c>
      <c r="CR67" s="143" t="str">
        <f>IF(BR67="","",IF(BV67="",IF(IFERROR(MATCH(BR67,nat_noviKluboviAliasi,0),0)&gt;0,INDEX(nat_kluboviAliasi,MATCH(BR67,nat_noviKluboviAliasi,0)),BR67),BV67))</f>
        <v>OK Jelen</v>
      </c>
      <c r="CS67" s="47" t="s">
        <v>0</v>
      </c>
      <c r="CT67" s="58" t="str">
        <f>IF(G67="","",G67)</f>
        <v>129:16</v>
      </c>
      <c r="CU67" s="73" t="str">
        <f>IF(H67="","",H67)</f>
        <v>0</v>
      </c>
      <c r="CV67" s="229" t="str">
        <f>IF(CT67="",IF(OR(AL67="",CU67&lt;&gt;"0"),"","GREŠKA"),IF(AND(65535&gt;=VALUE(LEFT(CT67,SEARCH(":",CT67)-1))*60+VALUE(RIGHT(CT67,2)),OR(CU67="0",CU67="1",CU67="2",CU67="3",CU67="4")),"","GREŠKA"))</f>
        <v/>
      </c>
      <c r="CW67" s="230">
        <f t="shared" si="71"/>
        <v>7756</v>
      </c>
      <c r="CX67" s="163">
        <f t="shared" si="24"/>
        <v>1</v>
      </c>
      <c r="CY67" s="47" t="s">
        <v>0</v>
      </c>
      <c r="CZ67" s="222" t="str">
        <f>IF(CV67&lt;&gt;"GREŠKA","",AK67&amp;" "&amp;AL67&amp;" – Molim u OEventu provjeriti i ispraviti rezultat – vrijeme ("&amp;IF(CT67="","nije upisano",CT67)&amp;") i classifier ("&amp;CU67&amp;").")&amp;IF(OR(CV67&lt;&gt;"GREŠKA",CX67&lt;&gt;5),"
","")&amp;IF(CX67&lt;&gt;5,"",AK67&amp;" "&amp;AL67&amp;" – Molim u provjeriti je li natjecatelj zaista diskvalificiran. Ako je koje je obrazloženje, ako nije molim u OEventu ispraviti rezultat")</f>
        <v xml:space="preserve">
</v>
      </c>
      <c r="DA67" s="223">
        <f t="shared" si="60"/>
        <v>6</v>
      </c>
      <c r="DB67" s="47" t="s">
        <v>0</v>
      </c>
      <c r="DC67" s="47"/>
      <c r="DD67" s="47"/>
      <c r="DE67" s="47"/>
      <c r="DF67" s="47" t="s">
        <v>0</v>
      </c>
      <c r="DG67" s="53" t="str">
        <f>IF(BD67="","",IF(DI67="O",1,""))</f>
        <v/>
      </c>
      <c r="DH67" t="s">
        <v>0</v>
      </c>
      <c r="DI67" s="128" t="str">
        <f>IF(Q67="","",LEFT(INDEX(regKategorija_oznaka,MATCH(S67,regKategorija_id,0)),1))</f>
        <v>M</v>
      </c>
      <c r="DJ67" t="s">
        <v>0</v>
      </c>
      <c r="DK67" s="52" t="str">
        <f>IF(BD67="","",IF(M67&lt;&gt;"CRO","","INSERT INTO osoba (id,reg_broj,oib,spol_id,dat_rodjenja) VALUES ("&amp;BD67&amp;",(SELECT max(os.reg_broj)+1 FROM osoba AS os),Null,'"&amp;DI67&amp;"',Null); INSERT INTO osoba_log (id,reg_broj,oib,spol_id,dat_rodjenja,dnevnik_id) SELECT id,reg_broj,oib,spol_id,dat_rodjenja,"&amp;data_dnevnik_id&amp;" FROM osoba WHERE id = "&amp;BD67&amp;";"))</f>
        <v/>
      </c>
      <c r="DL67" s="66" t="str">
        <f>IF(BD67="","","INSERT INTO imeprezime (id,osoba_id,rbr,ime,prezime,klub_id,identitet_id,sintaksa_id,info,aktivno,dnevnik_id) VALUES ("&amp;BD67&amp;","&amp;IF(DK67="","Null",BD67)&amp;",1,'"&amp;IF(AV67&lt;&gt;"",AV67,AK67)&amp;"','"&amp;IF(AW67&lt;&gt;"",AW67,AL67)&amp;"',(SELECT id FROM klub WHERE naziv = '"&amp;CR67&amp;"'),Null,1,'',1,"&amp;data_dnevnik_id&amp;");")</f>
        <v/>
      </c>
      <c r="DM67" t="s">
        <v>0</v>
      </c>
      <c r="DN67" s="19" t="str">
        <f t="shared" si="69"/>
        <v/>
      </c>
      <c r="DO67" s="47" t="s">
        <v>0</v>
      </c>
      <c r="DP67" s="19" t="str">
        <f>IF(BA67="","","INSERT INTO imeprezime_alias(id,alias,imeprezime_id) VALUES ("&amp;BB67&amp;",'"&amp;BA67&amp;"',"&amp;IF(BC67="NEMA",BD67,BC67)&amp;");")</f>
        <v/>
      </c>
      <c r="DQ67" s="47" t="s">
        <v>0</v>
      </c>
      <c r="DR67" s="52" t="str">
        <f>IF(AL67="","",DU67 &amp; IF(Q67="",""," – " &amp; Q67))</f>
        <v>Miran – Košćica – OK Jelen – M21A</v>
      </c>
      <c r="DS67" s="53">
        <f t="shared" si="26"/>
        <v>168</v>
      </c>
      <c r="DT67" s="47" t="s">
        <v>0</v>
      </c>
      <c r="DU67" s="52" t="str">
        <f>IF(AL67="","",DX67 &amp; IF(CR67="",""," – " &amp; CR67))</f>
        <v>Miran – Košćica – OK Jelen</v>
      </c>
      <c r="DV67" s="53">
        <f t="shared" si="27"/>
        <v>168</v>
      </c>
      <c r="DW67" s="47" t="s">
        <v>0</v>
      </c>
      <c r="DX67" s="52" t="str">
        <f>IF(BG67="","",BF67&amp;" – "&amp;BG67)</f>
        <v>Miran – Košćica</v>
      </c>
      <c r="DY67" s="53">
        <f t="shared" si="28"/>
        <v>168</v>
      </c>
      <c r="DZ67" s="47" t="s">
        <v>0</v>
      </c>
      <c r="EA67" s="58">
        <f t="shared" si="61"/>
        <v>168</v>
      </c>
      <c r="EB67" s="53" cm="1">
        <f t="array" ref="EB67">IF(EA67&lt;&gt;"",INDEX(regNatjecatelj_id,EA67,0),IF(BD67&lt;&gt;"",BD67,""))</f>
        <v>1082</v>
      </c>
      <c r="EC67" s="47" t="s">
        <v>0</v>
      </c>
      <c r="ED67" s="58" t="str">
        <f>IF(AL67="","",IF(BD67&lt;&gt;"","novo",IF(AN67="","imepre","imepre(ali)")))</f>
        <v>imepre</v>
      </c>
      <c r="EE67" s="73" t="str">
        <f>IF(AL67="","",IF(BL67="",IF(IFERROR(INDEX(regNatjecatelj_klub,MATCH(EB67,regNatjecatelj_id,0)),"NEMA")="","klu",""),IF(OR(AND(BN67&lt;&gt;"",BN67&lt;&gt;"NEMA"),CD67&lt;&gt;""),"klu(ali)",IF(AND(BP67&lt;&gt;"",BP67&lt;&gt;BO67),"(raz-klu)","klu"))))</f>
        <v>klu</v>
      </c>
      <c r="EF67" s="73" t="str">
        <f>IF(AL67="","","kat"&amp;IF(AND(W67&lt;&gt;Q67,Q67&lt;&gt;"Open"),"(ali)",""))</f>
        <v>kat</v>
      </c>
      <c r="EG67" s="73" t="str">
        <f t="shared" si="29"/>
        <v/>
      </c>
      <c r="EH67" s="66" t="str">
        <f>IF(AL67="","",ED67&amp;IF(ED67="novo","","-"&amp;EE67&amp;"-"&amp;EF67)&amp;IF(EG67="","","-"&amp;EG67))</f>
        <v>imepre-klu-kat</v>
      </c>
      <c r="EI67" s="47" t="s">
        <v>0</v>
      </c>
      <c r="EJ67" s="58">
        <f>IF(AL67="","",MAX(EJ$12:EJ66)+1)</f>
        <v>239</v>
      </c>
      <c r="EK67" s="73">
        <f>IF(AO67="","",X67)</f>
        <v>27</v>
      </c>
      <c r="EL67" s="73">
        <f t="shared" si="62"/>
        <v>1082</v>
      </c>
      <c r="EM67" s="73">
        <f t="shared" si="30"/>
        <v>7756</v>
      </c>
      <c r="EN67" s="73">
        <f t="shared" si="31"/>
        <v>1</v>
      </c>
      <c r="EO67" s="73">
        <f t="shared" si="63"/>
        <v>1</v>
      </c>
      <c r="EP67" s="73">
        <f t="shared" si="64"/>
        <v>1</v>
      </c>
      <c r="EQ67" s="73" t="str">
        <f t="shared" si="34"/>
        <v>0</v>
      </c>
      <c r="ER67" s="73" t="str">
        <f>IF(OR(AN67="",AN67="NEMA"),BB67,AN67)</f>
        <v/>
      </c>
      <c r="ES67" s="73" t="str">
        <f>IF(AND(BN67&lt;&gt;"",BN67&lt;&gt;"NEMA"),BN67,IF(CG67&lt;&gt;"",CG67,IF(AND(CL67&lt;&gt;"",CL67&lt;&gt;"NEMA"),CL67,IF(CM67&lt;&gt;"",CM67,""))))</f>
        <v/>
      </c>
      <c r="ET67" s="53" t="str">
        <f>IF(INDEX(natKategorija_alias_Id,MATCH(S67,natKategorija_katRegId,0))="","",INDEX(natKategorija_alias_Id,MATCH(S67,natKategorija_katRegId,0)))</f>
        <v/>
      </c>
      <c r="EU67" s="47" t="s">
        <v>0</v>
      </c>
      <c r="EV67" s="19" t="str">
        <f t="shared" si="65"/>
        <v>INSERT INTO rezultat(id,stazakategorija_id,imeprezime_id,vrijeme_sec,status_id,registracija,uparivanje_id,originalstatus_id,imeprezimealias_id,klubalias_id,kategorijaalias_id) VALUES (239,27,1082,7756,1,1,1,0,Null,Null,Null);</v>
      </c>
      <c r="EW67" s="47" t="s">
        <v>0</v>
      </c>
      <c r="EX67" s="19" t="str">
        <f t="shared" si="66"/>
        <v>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67" s="47" t="s">
        <v>0</v>
      </c>
      <c r="EZ67" s="180" t="str">
        <f>AG67&amp;IF(CP67="","","
")&amp;CP67&amp;IF(CI67="","","
")&amp;CI67&amp;IF(DN67="","","
")&amp;DN67&amp;IF(DP67="","","
")&amp;DP67&amp;IF(EV67="","","
")&amp;EV67&amp;IF(EX67="","","
")&amp;EX67</f>
        <v xml:space="preserve">
INSERT INTO rezultat(id,stazakategorija_id,imeprezime_id,vrijeme_sec,status_id,registracija,uparivanje_id,originalstatus_id,imeprezimealias_id,klubalias_id,kategorijaalias_id) VALUES (239,27,1082,7756,1,1,1,0,Null,Null,Null);
UPDATE
	registar
SET
	potvrda = 1
WHERE
	imeprezime_id=1082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67" s="47" t="s">
        <v>0</v>
      </c>
    </row>
    <row r="68" spans="1:157" x14ac:dyDescent="0.25">
      <c r="A68" t="s">
        <v>0</v>
      </c>
      <c r="B68" s="52" t="str">
        <f>IF(csv!F58="","",csv!T58)</f>
        <v>M21A</v>
      </c>
      <c r="C68" s="31" t="s">
        <v>0</v>
      </c>
      <c r="D68" s="31" t="str">
        <f>IF(csv!F58="","",csv!F58)</f>
        <v>Vacant</v>
      </c>
      <c r="E68" s="31" t="str">
        <f>IF(csv!E58="","",csv!E58)</f>
        <v/>
      </c>
      <c r="F68" s="31" t="s">
        <v>0</v>
      </c>
      <c r="G68" s="73" t="str">
        <f>IF(csv!M58="","",csv!M58)</f>
        <v/>
      </c>
      <c r="H68" s="73" t="str">
        <f>IF(csv!N58="","",csv!N58)</f>
        <v>0</v>
      </c>
      <c r="I68" s="31" t="s">
        <v>0</v>
      </c>
      <c r="J68" s="31" t="str">
        <f>IF(csv!P58="","",csv!P58)</f>
        <v/>
      </c>
      <c r="K68" s="31" t="str">
        <f>IF(csv!Q58="","",csv!Q58)</f>
        <v/>
      </c>
      <c r="L68" s="31" t="s">
        <v>0</v>
      </c>
      <c r="M68" s="66" t="str">
        <f>IF(csv!R58="","",csv!R58)</f>
        <v/>
      </c>
      <c r="N68" s="47" t="s">
        <v>0</v>
      </c>
      <c r="O68" s="243" t="str">
        <f t="shared" si="36"/>
        <v/>
      </c>
      <c r="P68" s="47"/>
      <c r="Q68" s="52" t="str">
        <f t="shared" si="37"/>
        <v>M21A</v>
      </c>
      <c r="R68" s="73">
        <f>IF(Q68="","",IF(COUNTIF(Q$12:Q67,Q68)=0,R67+1,R67))</f>
        <v>5</v>
      </c>
      <c r="S68" s="73">
        <f t="shared" si="38"/>
        <v>101</v>
      </c>
      <c r="T68" s="73">
        <f t="shared" si="1"/>
        <v>13</v>
      </c>
      <c r="U68" s="66" t="str">
        <f t="shared" si="2"/>
        <v>M21A</v>
      </c>
      <c r="V68" s="47" t="s">
        <v>0</v>
      </c>
      <c r="W68" s="222" t="str">
        <f t="shared" si="3"/>
        <v/>
      </c>
      <c r="X68" s="223" t="str">
        <f t="shared" si="4"/>
        <v/>
      </c>
      <c r="Y68" s="47" t="s">
        <v>0</v>
      </c>
      <c r="Z68" s="52" t="str">
        <f t="shared" si="39"/>
        <v/>
      </c>
      <c r="AA68" s="73" t="str">
        <f t="shared" si="5"/>
        <v/>
      </c>
      <c r="AB68" s="31" t="str">
        <f t="shared" si="40"/>
        <v/>
      </c>
      <c r="AC68" s="66" t="str">
        <f>IF(AB68="","",MAX(AC$12:AC67)+1)</f>
        <v/>
      </c>
      <c r="AD68" s="47" t="s">
        <v>0</v>
      </c>
      <c r="AE68" s="125"/>
      <c r="AF68" s="47" t="s">
        <v>0</v>
      </c>
      <c r="AG68" s="19" t="str">
        <f t="shared" si="41"/>
        <v/>
      </c>
      <c r="AH68" s="47" t="s">
        <v>0</v>
      </c>
      <c r="AI68" s="143" t="str">
        <f t="shared" si="42"/>
        <v/>
      </c>
      <c r="AJ68" s="47"/>
      <c r="AK68" s="52" t="str">
        <f t="shared" si="43"/>
        <v/>
      </c>
      <c r="AL68" s="31" t="str">
        <f t="shared" si="44"/>
        <v/>
      </c>
      <c r="AM68" s="73" t="str">
        <f t="shared" si="45"/>
        <v/>
      </c>
      <c r="AN68" s="73" t="str">
        <f t="shared" si="46"/>
        <v/>
      </c>
      <c r="AO68" s="31" t="str">
        <f t="shared" si="8"/>
        <v/>
      </c>
      <c r="AP68" s="66" t="str">
        <f t="shared" si="9"/>
        <v/>
      </c>
      <c r="AQ68" s="47" t="s">
        <v>0</v>
      </c>
      <c r="AR68" s="82" t="str">
        <f t="shared" si="47"/>
        <v/>
      </c>
      <c r="AS68" s="47" t="s">
        <v>0</v>
      </c>
      <c r="AT68" s="19" t="str">
        <f t="shared" si="48"/>
        <v/>
      </c>
      <c r="AU68" s="47" t="s">
        <v>0</v>
      </c>
      <c r="AV68" s="103"/>
      <c r="AW68" s="105"/>
      <c r="AX68" s="47" t="s">
        <v>0</v>
      </c>
      <c r="AY68" s="256" t="str">
        <f t="shared" si="68"/>
        <v/>
      </c>
      <c r="AZ68" s="47" t="s">
        <v>0</v>
      </c>
      <c r="BA68" s="52" t="str">
        <f t="shared" si="11"/>
        <v/>
      </c>
      <c r="BB68" s="73" t="str">
        <f>IF(AV68&amp;AW68="","",MAX(BB$12:BB67)+1)</f>
        <v/>
      </c>
      <c r="BC68" s="268" t="str">
        <f t="shared" si="12"/>
        <v/>
      </c>
      <c r="BD68" s="53" t="str">
        <f>IF(AND(AM68="NEMA",AN68="NEMA",OR(AV68&amp;AW68="",BC68="NEMA")),MAX(BD$12:BD67)+1,"")</f>
        <v/>
      </c>
      <c r="BE68" s="47" t="s">
        <v>0</v>
      </c>
      <c r="BF68" s="52" t="str">
        <f t="shared" si="13"/>
        <v/>
      </c>
      <c r="BG68" s="31" t="str">
        <f t="shared" si="14"/>
        <v/>
      </c>
      <c r="BH68" s="73" t="str">
        <f t="shared" si="49"/>
        <v/>
      </c>
      <c r="BI68" s="53" t="str">
        <f t="shared" si="50"/>
        <v/>
      </c>
      <c r="BJ68" s="47" t="s">
        <v>0</v>
      </c>
      <c r="BK68" s="52" t="str">
        <f t="shared" si="15"/>
        <v/>
      </c>
      <c r="BL68" s="31" t="str">
        <f t="shared" si="16"/>
        <v/>
      </c>
      <c r="BM68" s="73" t="str">
        <f t="shared" si="17"/>
        <v/>
      </c>
      <c r="BN68" s="73" t="str">
        <f t="shared" si="18"/>
        <v/>
      </c>
      <c r="BO68" s="31" t="str" cm="1">
        <f t="array" ref="BO68">IF(BN68="",""&amp;BL68,IF(BN68="NEMA",BL68,INDEX(regKlub_naziv,MATCH(INDEX(regKlub_alias_klubId,BN68),regKlub_id,0))))</f>
        <v/>
      </c>
      <c r="BP68" s="31" t="str" cm="1">
        <f t="array" ref="BP68">IFERROR(""&amp;INDEX(regNatjecatelj_klub,DY68),"")</f>
        <v/>
      </c>
      <c r="BQ68" s="88" t="str">
        <f t="shared" si="51"/>
        <v/>
      </c>
      <c r="BR68" s="66" t="str">
        <f t="shared" si="52"/>
        <v/>
      </c>
      <c r="BS68" s="47" t="s">
        <v>0</v>
      </c>
      <c r="BT68" s="82" t="str">
        <f>IF(BN68&lt;&gt;"NEMA","",IF(IFERROR(MATCH(BL68,BL$12:BL67,0),0)&lt;&gt;0,"",BL68))</f>
        <v/>
      </c>
      <c r="BU68" s="47" t="s">
        <v>0</v>
      </c>
      <c r="BV68" s="125"/>
      <c r="BW68" s="47" t="s">
        <v>0</v>
      </c>
      <c r="BX68" s="58" t="str">
        <f t="shared" si="53"/>
        <v/>
      </c>
      <c r="BY68" s="31" t="str">
        <f t="shared" si="54"/>
        <v/>
      </c>
      <c r="BZ68" s="31" t="str">
        <f>IF(BY68="","",MAX(BZ$12:BZ67)+1)</f>
        <v/>
      </c>
      <c r="CA68" s="31" t="str">
        <f>IF(BY68="","",IF(AA68="","",IF(AA68="NEMA",AC68,AA68)))</f>
        <v/>
      </c>
      <c r="CB68" s="31" t="str">
        <f t="shared" si="55"/>
        <v/>
      </c>
      <c r="CC68" s="31" t="str">
        <f>IF(BV68="","",MAX(CC$12:CC67)+1)</f>
        <v/>
      </c>
      <c r="CD68" s="31" t="str">
        <f t="shared" si="56"/>
        <v/>
      </c>
      <c r="CE68" s="66" t="str">
        <f t="shared" si="57"/>
        <v/>
      </c>
      <c r="CF68" s="47" t="s">
        <v>0</v>
      </c>
      <c r="CG68" s="73" t="str">
        <f>IF(BN68="","",IF(BN68&lt;&gt;"NEMA","",IFERROR(INDEX(nat_klubAliasId,MATCH(BL68,nat_noviKluboviAliasi,0)),"")))</f>
        <v/>
      </c>
      <c r="CH68" s="47"/>
      <c r="CI68" s="19" t="str">
        <f t="shared" si="58"/>
        <v/>
      </c>
      <c r="CJ68" s="47" t="s">
        <v>0</v>
      </c>
      <c r="CK68" s="52" t="str">
        <f>IF(X68&lt;&gt;"NEMA","",IF(IFERROR(MATCH(W68,W$12:W67,0),0)&lt;&gt;0,"",W68))</f>
        <v/>
      </c>
      <c r="CL68" s="73" t="str">
        <f>IF(CK68="","",IFERROR(INDEX(regKlub_alias_id,MATCH(CK68,regKlub_alias_alias,0)),"NEMA"))</f>
        <v/>
      </c>
      <c r="CM68" s="31" t="str">
        <f>IF(OR(CL68="",CL68&lt;&gt;"NEMA"),"",MAX(CM$12:CM67)+1)</f>
        <v/>
      </c>
      <c r="CN68" s="66" t="str">
        <f>IF(OR(CL68="",CL68&lt;&gt;"NEMA"),"",INDEX(regKlub_id,MATCH(CK68,regKlub_naziv,0)))</f>
        <v/>
      </c>
      <c r="CO68" s="47" t="s">
        <v>0</v>
      </c>
      <c r="CP68" s="19" t="str">
        <f>IF(OR(CL68="",CL68&lt;&gt;"NEMA"),"","INSERT INTO klub_alias(id,alias,klub_id) VALUES ("&amp;CM68&amp;",'"&amp;CK68&amp;"',"&amp;CN68&amp;");")</f>
        <v/>
      </c>
      <c r="CQ68" s="47" t="s">
        <v>0</v>
      </c>
      <c r="CR68" s="143" t="str">
        <f>IF(BR68="","",IF(BV68="",IF(IFERROR(MATCH(BR68,nat_noviKluboviAliasi,0),0)&gt;0,INDEX(nat_kluboviAliasi,MATCH(BR68,nat_noviKluboviAliasi,0)),BR68),BV68))</f>
        <v/>
      </c>
      <c r="CS68" s="47" t="s">
        <v>0</v>
      </c>
      <c r="CT68" s="58" t="str">
        <f>IF(G68="","",G68)</f>
        <v/>
      </c>
      <c r="CU68" s="73" t="str">
        <f>IF(H68="","",H68)</f>
        <v>0</v>
      </c>
      <c r="CV68" s="229" t="str">
        <f>IF(CT68="",IF(OR(AL68="",CU68&lt;&gt;"0"),"","GREŠKA"),IF(AND(65535&gt;=VALUE(LEFT(CT68,SEARCH(":",CT68)-1))*60+VALUE(RIGHT(CT68,2)),OR(CU68="0",CU68="1",CU68="2",CU68="3",CU68="4")),"","GREŠKA"))</f>
        <v/>
      </c>
      <c r="CW68" s="230" t="str">
        <f t="shared" si="71"/>
        <v/>
      </c>
      <c r="CX68" s="163" t="str">
        <f t="shared" si="24"/>
        <v/>
      </c>
      <c r="CY68" s="47" t="s">
        <v>0</v>
      </c>
      <c r="CZ68" s="222" t="str">
        <f>IF(CV68&lt;&gt;"GREŠKA","",AK68&amp;" "&amp;AL68&amp;" – Molim u OEventu provjeriti i ispraviti rezultat – vrijeme ("&amp;IF(CT68="","nije upisano",CT68)&amp;") i classifier ("&amp;CU68&amp;").")&amp;IF(OR(CV68&lt;&gt;"GREŠKA",CX68&lt;&gt;5),"
","")&amp;IF(CX68&lt;&gt;5,"",AK68&amp;" "&amp;AL68&amp;" – Molim u provjeriti je li natjecatelj zaista diskvalificiran. Ako je koje je obrazloženje, ako nije molim u OEventu ispraviti rezultat")</f>
        <v xml:space="preserve">
</v>
      </c>
      <c r="DA68" s="223" t="str">
        <f t="shared" si="60"/>
        <v/>
      </c>
      <c r="DB68" s="47" t="s">
        <v>0</v>
      </c>
      <c r="DC68" s="47"/>
      <c r="DD68" s="47"/>
      <c r="DE68" s="47"/>
      <c r="DF68" s="47" t="s">
        <v>0</v>
      </c>
      <c r="DG68" s="53" t="str">
        <f>IF(BD68="","",IF(DI68="O",1,""))</f>
        <v/>
      </c>
      <c r="DH68" t="s">
        <v>0</v>
      </c>
      <c r="DI68" s="128" t="str">
        <f>IF(Q68="","",LEFT(INDEX(regKategorija_oznaka,MATCH(S68,regKategorija_id,0)),1))</f>
        <v>M</v>
      </c>
      <c r="DJ68" t="s">
        <v>0</v>
      </c>
      <c r="DK68" s="52" t="str">
        <f>IF(BD68="","",IF(M68&lt;&gt;"CRO","","INSERT INTO osoba (id,reg_broj,oib,spol_id,dat_rodjenja) VALUES ("&amp;BD68&amp;",(SELECT max(os.reg_broj)+1 FROM osoba AS os),Null,'"&amp;DI68&amp;"',Null); INSERT INTO osoba_log (id,reg_broj,oib,spol_id,dat_rodjenja,dnevnik_id) SELECT id,reg_broj,oib,spol_id,dat_rodjenja,"&amp;data_dnevnik_id&amp;" FROM osoba WHERE id = "&amp;BD68&amp;";"))</f>
        <v/>
      </c>
      <c r="DL68" s="66" t="str">
        <f>IF(BD68="","","INSERT INTO imeprezime (id,osoba_id,rbr,ime,prezime,klub_id,identitet_id,sintaksa_id,info,aktivno,dnevnik_id) VALUES ("&amp;BD68&amp;","&amp;IF(DK68="","Null",BD68)&amp;",1,'"&amp;IF(AV68&lt;&gt;"",AV68,AK68)&amp;"','"&amp;IF(AW68&lt;&gt;"",AW68,AL68)&amp;"',(SELECT id FROM klub WHERE naziv = '"&amp;CR68&amp;"'),Null,1,'',1,"&amp;data_dnevnik_id&amp;");")</f>
        <v/>
      </c>
      <c r="DM68" t="s">
        <v>0</v>
      </c>
      <c r="DN68" s="19" t="str">
        <f t="shared" si="69"/>
        <v/>
      </c>
      <c r="DO68" s="47" t="s">
        <v>0</v>
      </c>
      <c r="DP68" s="19" t="str">
        <f>IF(BA68="","","INSERT INTO imeprezime_alias(id,alias,imeprezime_id) VALUES ("&amp;BB68&amp;",'"&amp;BA68&amp;"',"&amp;IF(BC68="NEMA",BD68,BC68)&amp;");")</f>
        <v/>
      </c>
      <c r="DQ68" s="47" t="s">
        <v>0</v>
      </c>
      <c r="DR68" s="52" t="str">
        <f>IF(AL68="","",DU68 &amp; IF(Q68="",""," – " &amp; Q68))</f>
        <v/>
      </c>
      <c r="DS68" s="53" t="str">
        <f t="shared" si="26"/>
        <v/>
      </c>
      <c r="DT68" s="47" t="s">
        <v>0</v>
      </c>
      <c r="DU68" s="52" t="str">
        <f>IF(AL68="","",DX68 &amp; IF(CR68="",""," – " &amp; CR68))</f>
        <v/>
      </c>
      <c r="DV68" s="53" t="str">
        <f t="shared" si="27"/>
        <v/>
      </c>
      <c r="DW68" s="47" t="s">
        <v>0</v>
      </c>
      <c r="DX68" s="52" t="str">
        <f>IF(BG68="","",BF68&amp;" – "&amp;BG68)</f>
        <v/>
      </c>
      <c r="DY68" s="53" t="str">
        <f t="shared" si="28"/>
        <v/>
      </c>
      <c r="DZ68" s="47" t="s">
        <v>0</v>
      </c>
      <c r="EA68" s="58" t="str">
        <f t="shared" si="61"/>
        <v/>
      </c>
      <c r="EB68" s="53" t="str" cm="1">
        <f t="array" ref="EB68">IF(EA68&lt;&gt;"",INDEX(regNatjecatelj_id,EA68,0),IF(BD68&lt;&gt;"",BD68,""))</f>
        <v/>
      </c>
      <c r="EC68" s="47" t="s">
        <v>0</v>
      </c>
      <c r="ED68" s="58" t="str">
        <f>IF(AL68="","",IF(BD68&lt;&gt;"","novo",IF(AN68="","imepre","imepre(ali)")))</f>
        <v/>
      </c>
      <c r="EE68" s="73" t="str">
        <f>IF(AL68="","",IF(BL68="",IF(IFERROR(INDEX(regNatjecatelj_klub,MATCH(EB68,regNatjecatelj_id,0)),"NEMA")="","klu",""),IF(OR(AND(BN68&lt;&gt;"",BN68&lt;&gt;"NEMA"),CD68&lt;&gt;""),"klu(ali)",IF(AND(BP68&lt;&gt;"",BP68&lt;&gt;BO68),"(raz-klu)","klu"))))</f>
        <v/>
      </c>
      <c r="EF68" s="73" t="str">
        <f>IF(AL68="","","kat"&amp;IF(AND(W68&lt;&gt;Q68,Q68&lt;&gt;"Open"),"(ali)",""))</f>
        <v/>
      </c>
      <c r="EG68" s="73" t="str">
        <f t="shared" si="29"/>
        <v/>
      </c>
      <c r="EH68" s="66" t="str">
        <f>IF(AL68="","",ED68&amp;IF(ED68="novo","","-"&amp;EE68&amp;"-"&amp;EF68)&amp;IF(EG68="","","-"&amp;EG68))</f>
        <v/>
      </c>
      <c r="EI68" s="47" t="s">
        <v>0</v>
      </c>
      <c r="EJ68" s="58" t="str">
        <f>IF(AL68="","",MAX(EJ$12:EJ67)+1)</f>
        <v/>
      </c>
      <c r="EK68" s="73" t="str">
        <f>IF(AO68="","",X68)</f>
        <v/>
      </c>
      <c r="EL68" s="73" t="str">
        <f t="shared" si="62"/>
        <v/>
      </c>
      <c r="EM68" s="73" t="str">
        <f t="shared" si="30"/>
        <v/>
      </c>
      <c r="EN68" s="73" t="str">
        <f t="shared" si="31"/>
        <v/>
      </c>
      <c r="EO68" s="73" t="str">
        <f t="shared" si="63"/>
        <v/>
      </c>
      <c r="EP68" s="73" t="str">
        <f t="shared" si="64"/>
        <v/>
      </c>
      <c r="EQ68" s="73" t="str">
        <f t="shared" si="34"/>
        <v/>
      </c>
      <c r="ER68" s="73" t="str">
        <f>IF(OR(AN68="",AN68="NEMA"),BB68,AN68)</f>
        <v/>
      </c>
      <c r="ES68" s="73" t="str">
        <f>IF(AND(BN68&lt;&gt;"",BN68&lt;&gt;"NEMA"),BN68,IF(CG68&lt;&gt;"",CG68,IF(AND(CL68&lt;&gt;"",CL68&lt;&gt;"NEMA"),CL68,IF(CM68&lt;&gt;"",CM68,""))))</f>
        <v/>
      </c>
      <c r="ET68" s="53" t="str">
        <f>IF(INDEX(natKategorija_alias_Id,MATCH(S68,natKategorija_katRegId,0))="","",INDEX(natKategorija_alias_Id,MATCH(S68,natKategorija_katRegId,0)))</f>
        <v/>
      </c>
      <c r="EU68" s="47" t="s">
        <v>0</v>
      </c>
      <c r="EV68" s="19" t="str">
        <f t="shared" si="65"/>
        <v/>
      </c>
      <c r="EW68" s="47" t="s">
        <v>0</v>
      </c>
      <c r="EX68" s="19" t="str">
        <f t="shared" si="66"/>
        <v/>
      </c>
      <c r="EY68" s="47" t="s">
        <v>0</v>
      </c>
      <c r="EZ68" s="180" t="str">
        <f>AG68&amp;IF(CP68="","","
")&amp;CP68&amp;IF(CI68="","","
")&amp;CI68&amp;IF(DN68="","","
")&amp;DN68&amp;IF(DP68="","","
")&amp;DP68&amp;IF(EV68="","","
")&amp;EV68&amp;IF(EX68="","","
")&amp;EX68</f>
        <v/>
      </c>
      <c r="FA68" s="47" t="s">
        <v>0</v>
      </c>
    </row>
    <row r="69" spans="1:157" x14ac:dyDescent="0.25">
      <c r="A69" t="s">
        <v>0</v>
      </c>
      <c r="B69" s="52" t="str">
        <f>IF(csv!F59="","",csv!T59)</f>
        <v>M21A</v>
      </c>
      <c r="C69" s="31" t="s">
        <v>0</v>
      </c>
      <c r="D69" s="31" t="str">
        <f>IF(csv!F59="","",csv!F59)</f>
        <v>Vacant</v>
      </c>
      <c r="E69" s="31" t="str">
        <f>IF(csv!E59="","",csv!E59)</f>
        <v/>
      </c>
      <c r="F69" s="31" t="s">
        <v>0</v>
      </c>
      <c r="G69" s="73" t="str">
        <f>IF(csv!M59="","",csv!M59)</f>
        <v/>
      </c>
      <c r="H69" s="73" t="str">
        <f>IF(csv!N59="","",csv!N59)</f>
        <v>0</v>
      </c>
      <c r="I69" s="31" t="s">
        <v>0</v>
      </c>
      <c r="J69" s="31" t="str">
        <f>IF(csv!P59="","",csv!P59)</f>
        <v/>
      </c>
      <c r="K69" s="31" t="str">
        <f>IF(csv!Q59="","",csv!Q59)</f>
        <v/>
      </c>
      <c r="L69" s="31" t="s">
        <v>0</v>
      </c>
      <c r="M69" s="66" t="str">
        <f>IF(csv!R59="","",csv!R59)</f>
        <v/>
      </c>
      <c r="N69" s="47" t="s">
        <v>0</v>
      </c>
      <c r="O69" s="243" t="str">
        <f t="shared" si="36"/>
        <v/>
      </c>
      <c r="P69" s="47"/>
      <c r="Q69" s="52" t="str">
        <f t="shared" si="37"/>
        <v>M21A</v>
      </c>
      <c r="R69" s="73">
        <f>IF(Q69="","",IF(COUNTIF(Q$12:Q68,Q69)=0,R68+1,R68))</f>
        <v>5</v>
      </c>
      <c r="S69" s="73">
        <f t="shared" si="38"/>
        <v>101</v>
      </c>
      <c r="T69" s="73">
        <f t="shared" si="1"/>
        <v>13</v>
      </c>
      <c r="U69" s="66" t="str">
        <f t="shared" si="2"/>
        <v>M21A</v>
      </c>
      <c r="V69" s="47" t="s">
        <v>0</v>
      </c>
      <c r="W69" s="222" t="str">
        <f t="shared" si="3"/>
        <v/>
      </c>
      <c r="X69" s="223" t="str">
        <f t="shared" si="4"/>
        <v/>
      </c>
      <c r="Y69" s="47" t="s">
        <v>0</v>
      </c>
      <c r="Z69" s="52" t="str">
        <f t="shared" si="39"/>
        <v/>
      </c>
      <c r="AA69" s="73" t="str">
        <f t="shared" si="5"/>
        <v/>
      </c>
      <c r="AB69" s="31" t="str">
        <f t="shared" si="40"/>
        <v/>
      </c>
      <c r="AC69" s="66" t="str">
        <f>IF(AB69="","",MAX(AC$12:AC68)+1)</f>
        <v/>
      </c>
      <c r="AD69" s="47" t="s">
        <v>0</v>
      </c>
      <c r="AE69" s="125"/>
      <c r="AF69" s="47" t="s">
        <v>0</v>
      </c>
      <c r="AG69" s="19" t="str">
        <f t="shared" si="41"/>
        <v/>
      </c>
      <c r="AH69" s="47" t="s">
        <v>0</v>
      </c>
      <c r="AI69" s="143" t="str">
        <f t="shared" si="42"/>
        <v/>
      </c>
      <c r="AJ69" s="47"/>
      <c r="AK69" s="52" t="str">
        <f t="shared" si="43"/>
        <v/>
      </c>
      <c r="AL69" s="31" t="str">
        <f t="shared" si="44"/>
        <v/>
      </c>
      <c r="AM69" s="73" t="str">
        <f t="shared" si="45"/>
        <v/>
      </c>
      <c r="AN69" s="73" t="str">
        <f t="shared" si="46"/>
        <v/>
      </c>
      <c r="AO69" s="31" t="str">
        <f t="shared" si="8"/>
        <v/>
      </c>
      <c r="AP69" s="66" t="str">
        <f t="shared" si="9"/>
        <v/>
      </c>
      <c r="AQ69" s="47" t="s">
        <v>0</v>
      </c>
      <c r="AR69" s="82" t="str">
        <f t="shared" si="47"/>
        <v/>
      </c>
      <c r="AS69" s="47" t="s">
        <v>0</v>
      </c>
      <c r="AT69" s="19" t="str">
        <f t="shared" si="48"/>
        <v/>
      </c>
      <c r="AU69" s="47" t="s">
        <v>0</v>
      </c>
      <c r="AV69" s="103"/>
      <c r="AW69" s="105"/>
      <c r="AX69" s="47" t="s">
        <v>0</v>
      </c>
      <c r="AY69" s="256" t="str">
        <f t="shared" si="68"/>
        <v/>
      </c>
      <c r="AZ69" s="47" t="s">
        <v>0</v>
      </c>
      <c r="BA69" s="52" t="str">
        <f t="shared" si="11"/>
        <v/>
      </c>
      <c r="BB69" s="73" t="str">
        <f>IF(AV69&amp;AW69="","",MAX(BB$12:BB68)+1)</f>
        <v/>
      </c>
      <c r="BC69" s="268" t="str">
        <f t="shared" si="12"/>
        <v/>
      </c>
      <c r="BD69" s="53" t="str">
        <f>IF(AND(AM69="NEMA",AN69="NEMA",OR(AV69&amp;AW69="",BC69="NEMA")),MAX(BD$12:BD68)+1,"")</f>
        <v/>
      </c>
      <c r="BE69" s="47" t="s">
        <v>0</v>
      </c>
      <c r="BF69" s="52" t="str">
        <f t="shared" si="13"/>
        <v/>
      </c>
      <c r="BG69" s="31" t="str">
        <f t="shared" si="14"/>
        <v/>
      </c>
      <c r="BH69" s="73" t="str">
        <f t="shared" si="49"/>
        <v/>
      </c>
      <c r="BI69" s="53" t="str">
        <f t="shared" si="50"/>
        <v/>
      </c>
      <c r="BJ69" s="47" t="s">
        <v>0</v>
      </c>
      <c r="BK69" s="52" t="str">
        <f t="shared" si="15"/>
        <v/>
      </c>
      <c r="BL69" s="31" t="str">
        <f t="shared" si="16"/>
        <v/>
      </c>
      <c r="BM69" s="73" t="str">
        <f t="shared" si="17"/>
        <v/>
      </c>
      <c r="BN69" s="73" t="str">
        <f t="shared" si="18"/>
        <v/>
      </c>
      <c r="BO69" s="31" t="str" cm="1">
        <f t="array" ref="BO69">IF(BN69="",""&amp;BL69,IF(BN69="NEMA",BL69,INDEX(regKlub_naziv,MATCH(INDEX(regKlub_alias_klubId,BN69),regKlub_id,0))))</f>
        <v/>
      </c>
      <c r="BP69" s="31" t="str" cm="1">
        <f t="array" ref="BP69">IFERROR(""&amp;INDEX(regNatjecatelj_klub,DY69),"")</f>
        <v/>
      </c>
      <c r="BQ69" s="88" t="str">
        <f t="shared" si="51"/>
        <v/>
      </c>
      <c r="BR69" s="66" t="str">
        <f t="shared" si="52"/>
        <v/>
      </c>
      <c r="BS69" s="47" t="s">
        <v>0</v>
      </c>
      <c r="BT69" s="82" t="str">
        <f>IF(BN69&lt;&gt;"NEMA","",IF(IFERROR(MATCH(BL69,BL$12:BL68,0),0)&lt;&gt;0,"",BL69))</f>
        <v/>
      </c>
      <c r="BU69" s="47" t="s">
        <v>0</v>
      </c>
      <c r="BV69" s="125"/>
      <c r="BW69" s="47" t="s">
        <v>0</v>
      </c>
      <c r="BX69" s="58" t="str">
        <f t="shared" si="53"/>
        <v/>
      </c>
      <c r="BY69" s="31" t="str">
        <f t="shared" si="54"/>
        <v/>
      </c>
      <c r="BZ69" s="31" t="str">
        <f>IF(BY69="","",MAX(BZ$12:BZ68)+1)</f>
        <v/>
      </c>
      <c r="CA69" s="31" t="str">
        <f>IF(BY69="","",IF(AA69="","",IF(AA69="NEMA",AC69,AA69)))</f>
        <v/>
      </c>
      <c r="CB69" s="31" t="str">
        <f t="shared" si="55"/>
        <v/>
      </c>
      <c r="CC69" s="31" t="str">
        <f>IF(BV69="","",MAX(CC$12:CC68)+1)</f>
        <v/>
      </c>
      <c r="CD69" s="31" t="str">
        <f t="shared" si="56"/>
        <v/>
      </c>
      <c r="CE69" s="66" t="str">
        <f t="shared" si="57"/>
        <v/>
      </c>
      <c r="CF69" s="47" t="s">
        <v>0</v>
      </c>
      <c r="CG69" s="73" t="str">
        <f>IF(BN69="","",IF(BN69&lt;&gt;"NEMA","",IFERROR(INDEX(nat_klubAliasId,MATCH(BL69,nat_noviKluboviAliasi,0)),"")))</f>
        <v/>
      </c>
      <c r="CH69" s="47"/>
      <c r="CI69" s="19" t="str">
        <f t="shared" si="58"/>
        <v/>
      </c>
      <c r="CJ69" s="47" t="s">
        <v>0</v>
      </c>
      <c r="CK69" s="52" t="str">
        <f>IF(X69&lt;&gt;"NEMA","",IF(IFERROR(MATCH(W69,W$12:W68,0),0)&lt;&gt;0,"",W69))</f>
        <v/>
      </c>
      <c r="CL69" s="73" t="str">
        <f>IF(CK69="","",IFERROR(INDEX(regKlub_alias_id,MATCH(CK69,regKlub_alias_alias,0)),"NEMA"))</f>
        <v/>
      </c>
      <c r="CM69" s="31" t="str">
        <f>IF(OR(CL69="",CL69&lt;&gt;"NEMA"),"",MAX(CM$12:CM68)+1)</f>
        <v/>
      </c>
      <c r="CN69" s="66" t="str">
        <f>IF(OR(CL69="",CL69&lt;&gt;"NEMA"),"",INDEX(regKlub_id,MATCH(CK69,regKlub_naziv,0)))</f>
        <v/>
      </c>
      <c r="CO69" s="47" t="s">
        <v>0</v>
      </c>
      <c r="CP69" s="19" t="str">
        <f>IF(OR(CL69="",CL69&lt;&gt;"NEMA"),"","INSERT INTO klub_alias(id,alias,klub_id) VALUES ("&amp;CM69&amp;",'"&amp;CK69&amp;"',"&amp;CN69&amp;");")</f>
        <v/>
      </c>
      <c r="CQ69" s="47" t="s">
        <v>0</v>
      </c>
      <c r="CR69" s="143" t="str">
        <f>IF(BR69="","",IF(BV69="",IF(IFERROR(MATCH(BR69,nat_noviKluboviAliasi,0),0)&gt;0,INDEX(nat_kluboviAliasi,MATCH(BR69,nat_noviKluboviAliasi,0)),BR69),BV69))</f>
        <v/>
      </c>
      <c r="CS69" s="47" t="s">
        <v>0</v>
      </c>
      <c r="CT69" s="58" t="str">
        <f>IF(G69="","",G69)</f>
        <v/>
      </c>
      <c r="CU69" s="73" t="str">
        <f>IF(H69="","",H69)</f>
        <v>0</v>
      </c>
      <c r="CV69" s="229" t="str">
        <f>IF(CT69="",IF(OR(AL69="",CU69&lt;&gt;"0"),"","GREŠKA"),IF(AND(65535&gt;=VALUE(LEFT(CT69,SEARCH(":",CT69)-1))*60+VALUE(RIGHT(CT69,2)),OR(CU69="0",CU69="1",CU69="2",CU69="3",CU69="4")),"","GREŠKA"))</f>
        <v/>
      </c>
      <c r="CW69" s="230" t="str">
        <f t="shared" si="71"/>
        <v/>
      </c>
      <c r="CX69" s="163" t="str">
        <f t="shared" si="24"/>
        <v/>
      </c>
      <c r="CY69" s="47" t="s">
        <v>0</v>
      </c>
      <c r="CZ69" s="222" t="str">
        <f>IF(CV69&lt;&gt;"GREŠKA","",AK69&amp;" "&amp;AL69&amp;" – Molim u OEventu provjeriti i ispraviti rezultat – vrijeme ("&amp;IF(CT69="","nije upisano",CT69)&amp;") i classifier ("&amp;CU69&amp;").")&amp;IF(OR(CV69&lt;&gt;"GREŠKA",CX69&lt;&gt;5),"
","")&amp;IF(CX69&lt;&gt;5,"",AK69&amp;" "&amp;AL69&amp;" – Molim u provjeriti je li natjecatelj zaista diskvalificiran. Ako je koje je obrazloženje, ako nije molim u OEventu ispraviti rezultat")</f>
        <v xml:space="preserve">
</v>
      </c>
      <c r="DA69" s="223" t="str">
        <f t="shared" si="60"/>
        <v/>
      </c>
      <c r="DB69" s="47" t="s">
        <v>0</v>
      </c>
      <c r="DC69" s="47"/>
      <c r="DD69" s="47"/>
      <c r="DE69" s="47"/>
      <c r="DF69" s="47" t="s">
        <v>0</v>
      </c>
      <c r="DG69" s="53" t="str">
        <f>IF(BD69="","",IF(DI69="O",1,""))</f>
        <v/>
      </c>
      <c r="DH69" t="s">
        <v>0</v>
      </c>
      <c r="DI69" s="128" t="str">
        <f>IF(Q69="","",LEFT(INDEX(regKategorija_oznaka,MATCH(S69,regKategorija_id,0)),1))</f>
        <v>M</v>
      </c>
      <c r="DJ69" t="s">
        <v>0</v>
      </c>
      <c r="DK69" s="52" t="str">
        <f>IF(BD69="","",IF(M69&lt;&gt;"CRO","","INSERT INTO osoba (id,reg_broj,oib,spol_id,dat_rodjenja) VALUES ("&amp;BD69&amp;",(SELECT max(os.reg_broj)+1 FROM osoba AS os),Null,'"&amp;DI69&amp;"',Null); INSERT INTO osoba_log (id,reg_broj,oib,spol_id,dat_rodjenja,dnevnik_id) SELECT id,reg_broj,oib,spol_id,dat_rodjenja,"&amp;data_dnevnik_id&amp;" FROM osoba WHERE id = "&amp;BD69&amp;";"))</f>
        <v/>
      </c>
      <c r="DL69" s="66" t="str">
        <f>IF(BD69="","","INSERT INTO imeprezime (id,osoba_id,rbr,ime,prezime,klub_id,identitet_id,sintaksa_id,info,aktivno,dnevnik_id) VALUES ("&amp;BD69&amp;","&amp;IF(DK69="","Null",BD69)&amp;",1,'"&amp;IF(AV69&lt;&gt;"",AV69,AK69)&amp;"','"&amp;IF(AW69&lt;&gt;"",AW69,AL69)&amp;"',(SELECT id FROM klub WHERE naziv = '"&amp;CR69&amp;"'),Null,1,'',1,"&amp;data_dnevnik_id&amp;");")</f>
        <v/>
      </c>
      <c r="DM69" t="s">
        <v>0</v>
      </c>
      <c r="DN69" s="19" t="str">
        <f t="shared" si="69"/>
        <v/>
      </c>
      <c r="DO69" s="47" t="s">
        <v>0</v>
      </c>
      <c r="DP69" s="19" t="str">
        <f>IF(BA69="","","INSERT INTO imeprezime_alias(id,alias,imeprezime_id) VALUES ("&amp;BB69&amp;",'"&amp;BA69&amp;"',"&amp;IF(BC69="NEMA",BD69,BC69)&amp;");")</f>
        <v/>
      </c>
      <c r="DQ69" s="47" t="s">
        <v>0</v>
      </c>
      <c r="DR69" s="52" t="str">
        <f>IF(AL69="","",DU69 &amp; IF(Q69="",""," – " &amp; Q69))</f>
        <v/>
      </c>
      <c r="DS69" s="53" t="str">
        <f t="shared" si="26"/>
        <v/>
      </c>
      <c r="DT69" s="47" t="s">
        <v>0</v>
      </c>
      <c r="DU69" s="52" t="str">
        <f>IF(AL69="","",DX69 &amp; IF(CR69="",""," – " &amp; CR69))</f>
        <v/>
      </c>
      <c r="DV69" s="53" t="str">
        <f t="shared" si="27"/>
        <v/>
      </c>
      <c r="DW69" s="47" t="s">
        <v>0</v>
      </c>
      <c r="DX69" s="52" t="str">
        <f>IF(BG69="","",BF69&amp;" – "&amp;BG69)</f>
        <v/>
      </c>
      <c r="DY69" s="53" t="str">
        <f t="shared" si="28"/>
        <v/>
      </c>
      <c r="DZ69" s="47" t="s">
        <v>0</v>
      </c>
      <c r="EA69" s="58" t="str">
        <f t="shared" si="61"/>
        <v/>
      </c>
      <c r="EB69" s="53" t="str" cm="1">
        <f t="array" ref="EB69">IF(EA69&lt;&gt;"",INDEX(regNatjecatelj_id,EA69,0),IF(BD69&lt;&gt;"",BD69,""))</f>
        <v/>
      </c>
      <c r="EC69" s="47" t="s">
        <v>0</v>
      </c>
      <c r="ED69" s="58" t="str">
        <f>IF(AL69="","",IF(BD69&lt;&gt;"","novo",IF(AN69="","imepre","imepre(ali)")))</f>
        <v/>
      </c>
      <c r="EE69" s="73" t="str">
        <f>IF(AL69="","",IF(BL69="",IF(IFERROR(INDEX(regNatjecatelj_klub,MATCH(EB69,regNatjecatelj_id,0)),"NEMA")="","klu",""),IF(OR(AND(BN69&lt;&gt;"",BN69&lt;&gt;"NEMA"),CD69&lt;&gt;""),"klu(ali)",IF(AND(BP69&lt;&gt;"",BP69&lt;&gt;BO69),"(raz-klu)","klu"))))</f>
        <v/>
      </c>
      <c r="EF69" s="73" t="str">
        <f>IF(AL69="","","kat"&amp;IF(AND(W69&lt;&gt;Q69,Q69&lt;&gt;"Open"),"(ali)",""))</f>
        <v/>
      </c>
      <c r="EG69" s="73" t="str">
        <f t="shared" si="29"/>
        <v/>
      </c>
      <c r="EH69" s="66" t="str">
        <f>IF(AL69="","",ED69&amp;IF(ED69="novo","","-"&amp;EE69&amp;"-"&amp;EF69)&amp;IF(EG69="","","-"&amp;EG69))</f>
        <v/>
      </c>
      <c r="EI69" s="47" t="s">
        <v>0</v>
      </c>
      <c r="EJ69" s="58" t="str">
        <f>IF(AL69="","",MAX(EJ$12:EJ68)+1)</f>
        <v/>
      </c>
      <c r="EK69" s="73" t="str">
        <f>IF(AO69="","",X69)</f>
        <v/>
      </c>
      <c r="EL69" s="73" t="str">
        <f t="shared" si="62"/>
        <v/>
      </c>
      <c r="EM69" s="73" t="str">
        <f t="shared" si="30"/>
        <v/>
      </c>
      <c r="EN69" s="73" t="str">
        <f t="shared" si="31"/>
        <v/>
      </c>
      <c r="EO69" s="73" t="str">
        <f t="shared" si="63"/>
        <v/>
      </c>
      <c r="EP69" s="73" t="str">
        <f t="shared" si="64"/>
        <v/>
      </c>
      <c r="EQ69" s="73" t="str">
        <f t="shared" si="34"/>
        <v/>
      </c>
      <c r="ER69" s="73" t="str">
        <f>IF(OR(AN69="",AN69="NEMA"),BB69,AN69)</f>
        <v/>
      </c>
      <c r="ES69" s="73" t="str">
        <f>IF(AND(BN69&lt;&gt;"",BN69&lt;&gt;"NEMA"),BN69,IF(CG69&lt;&gt;"",CG69,IF(AND(CL69&lt;&gt;"",CL69&lt;&gt;"NEMA"),CL69,IF(CM69&lt;&gt;"",CM69,""))))</f>
        <v/>
      </c>
      <c r="ET69" s="53" t="str">
        <f>IF(INDEX(natKategorija_alias_Id,MATCH(S69,natKategorija_katRegId,0))="","",INDEX(natKategorija_alias_Id,MATCH(S69,natKategorija_katRegId,0)))</f>
        <v/>
      </c>
      <c r="EU69" s="47" t="s">
        <v>0</v>
      </c>
      <c r="EV69" s="19" t="str">
        <f t="shared" si="65"/>
        <v/>
      </c>
      <c r="EW69" s="47" t="s">
        <v>0</v>
      </c>
      <c r="EX69" s="19" t="str">
        <f t="shared" si="66"/>
        <v/>
      </c>
      <c r="EY69" s="47" t="s">
        <v>0</v>
      </c>
      <c r="EZ69" s="180" t="str">
        <f>AG69&amp;IF(CP69="","","
")&amp;CP69&amp;IF(CI69="","","
")&amp;CI69&amp;IF(DN69="","","
")&amp;DN69&amp;IF(DP69="","","
")&amp;DP69&amp;IF(EV69="","","
")&amp;EV69&amp;IF(EX69="","","
")&amp;EX69</f>
        <v/>
      </c>
      <c r="FA69" s="47" t="s">
        <v>0</v>
      </c>
    </row>
    <row r="70" spans="1:157" x14ac:dyDescent="0.25">
      <c r="A70" t="s">
        <v>0</v>
      </c>
      <c r="B70" s="52" t="str">
        <f>IF(csv!F60="","",csv!T60)</f>
        <v>M21A</v>
      </c>
      <c r="C70" s="31" t="s">
        <v>0</v>
      </c>
      <c r="D70" s="31" t="str">
        <f>IF(csv!F60="","",csv!F60)</f>
        <v>Luka</v>
      </c>
      <c r="E70" s="31" t="str">
        <f>IF(csv!E60="","",csv!E60)</f>
        <v>Filetin</v>
      </c>
      <c r="F70" s="31" t="s">
        <v>0</v>
      </c>
      <c r="G70" s="73" t="str">
        <f>IF(csv!M60="","",csv!M60)</f>
        <v/>
      </c>
      <c r="H70" s="73" t="str">
        <f>IF(csv!N60="","",csv!N60)</f>
        <v>1</v>
      </c>
      <c r="I70" s="31" t="s">
        <v>0</v>
      </c>
      <c r="J70" s="31" t="str">
        <f>IF(csv!P60="","",csv!P60)</f>
        <v>KAP</v>
      </c>
      <c r="K70" s="31" t="str">
        <f>IF(csv!Q60="","",csv!Q60)</f>
        <v>OK Kapela</v>
      </c>
      <c r="L70" s="31" t="s">
        <v>0</v>
      </c>
      <c r="M70" s="66" t="str">
        <f>IF(csv!R60="","",csv!R60)</f>
        <v>CRO</v>
      </c>
      <c r="N70" s="47" t="s">
        <v>0</v>
      </c>
      <c r="O70" s="243" t="str">
        <f t="shared" si="36"/>
        <v>ok</v>
      </c>
      <c r="P70" s="47"/>
      <c r="Q70" s="52" t="str">
        <f t="shared" si="37"/>
        <v>M21A</v>
      </c>
      <c r="R70" s="73">
        <f>IF(Q70="","",IF(COUNTIF(Q$12:Q69,Q70)=0,R69+1,R69))</f>
        <v>5</v>
      </c>
      <c r="S70" s="73">
        <f t="shared" si="38"/>
        <v>101</v>
      </c>
      <c r="T70" s="73">
        <f t="shared" si="1"/>
        <v>13</v>
      </c>
      <c r="U70" s="66" t="str">
        <f t="shared" si="2"/>
        <v>M21A</v>
      </c>
      <c r="V70" s="47" t="s">
        <v>0</v>
      </c>
      <c r="W70" s="222" t="str">
        <f t="shared" si="3"/>
        <v>M21A</v>
      </c>
      <c r="X70" s="223">
        <f t="shared" si="4"/>
        <v>27</v>
      </c>
      <c r="Y70" s="47" t="s">
        <v>0</v>
      </c>
      <c r="Z70" s="52" t="str">
        <f t="shared" si="39"/>
        <v>CRO</v>
      </c>
      <c r="AA70" s="73">
        <f t="shared" si="5"/>
        <v>1</v>
      </c>
      <c r="AB70" s="31" t="str">
        <f t="shared" si="40"/>
        <v/>
      </c>
      <c r="AC70" s="66" t="str">
        <f>IF(AB70="","",MAX(AC$12:AC69)+1)</f>
        <v/>
      </c>
      <c r="AD70" s="47" t="s">
        <v>0</v>
      </c>
      <c r="AE70" s="125"/>
      <c r="AF70" s="47" t="s">
        <v>0</v>
      </c>
      <c r="AG70" s="19" t="str">
        <f t="shared" si="41"/>
        <v/>
      </c>
      <c r="AH70" s="47" t="s">
        <v>0</v>
      </c>
      <c r="AI70" s="143" t="str">
        <f t="shared" si="42"/>
        <v>CRO</v>
      </c>
      <c r="AJ70" s="47"/>
      <c r="AK70" s="52" t="str">
        <f t="shared" si="43"/>
        <v>Luka</v>
      </c>
      <c r="AL70" s="31" t="str">
        <f t="shared" si="44"/>
        <v>Filetin</v>
      </c>
      <c r="AM70" s="73">
        <f t="shared" si="45"/>
        <v>1195</v>
      </c>
      <c r="AN70" s="73" t="str">
        <f t="shared" si="46"/>
        <v/>
      </c>
      <c r="AO70" s="31" t="str">
        <f t="shared" si="8"/>
        <v>Luka</v>
      </c>
      <c r="AP70" s="66" t="str">
        <f t="shared" si="9"/>
        <v>Filetin</v>
      </c>
      <c r="AQ70" s="47" t="s">
        <v>0</v>
      </c>
      <c r="AR70" s="82" t="str">
        <f t="shared" si="47"/>
        <v/>
      </c>
      <c r="AS70" s="47" t="s">
        <v>0</v>
      </c>
      <c r="AT70" s="19" t="str">
        <f t="shared" si="48"/>
        <v/>
      </c>
      <c r="AU70" s="47" t="s">
        <v>0</v>
      </c>
      <c r="AV70" s="103"/>
      <c r="AW70" s="105"/>
      <c r="AX70" s="47" t="s">
        <v>0</v>
      </c>
      <c r="AY70" s="256" t="str">
        <f t="shared" si="68"/>
        <v/>
      </c>
      <c r="AZ70" s="47" t="s">
        <v>0</v>
      </c>
      <c r="BA70" s="52" t="str">
        <f t="shared" si="11"/>
        <v/>
      </c>
      <c r="BB70" s="73" t="str">
        <f>IF(AV70&amp;AW70="","",MAX(BB$12:BB69)+1)</f>
        <v/>
      </c>
      <c r="BC70" s="268" t="str">
        <f t="shared" si="12"/>
        <v/>
      </c>
      <c r="BD70" s="53" t="str">
        <f>IF(AND(AM70="NEMA",AN70="NEMA",OR(AV70&amp;AW70="",BC70="NEMA")),MAX(BD$12:BD69)+1,"")</f>
        <v/>
      </c>
      <c r="BE70" s="47" t="s">
        <v>0</v>
      </c>
      <c r="BF70" s="52" t="str">
        <f t="shared" si="13"/>
        <v>Luka</v>
      </c>
      <c r="BG70" s="31" t="str">
        <f t="shared" si="14"/>
        <v>Filetin</v>
      </c>
      <c r="BH70" s="73" t="str">
        <f t="shared" si="49"/>
        <v/>
      </c>
      <c r="BI70" s="53">
        <f t="shared" si="50"/>
        <v>1195</v>
      </c>
      <c r="BJ70" s="47" t="s">
        <v>0</v>
      </c>
      <c r="BK70" s="52" t="str">
        <f t="shared" si="15"/>
        <v>KAP</v>
      </c>
      <c r="BL70" s="31" t="str">
        <f t="shared" si="16"/>
        <v>OK Kapela</v>
      </c>
      <c r="BM70" s="73">
        <f t="shared" si="17"/>
        <v>5</v>
      </c>
      <c r="BN70" s="73" t="str">
        <f t="shared" si="18"/>
        <v/>
      </c>
      <c r="BO70" s="31" t="str" cm="1">
        <f t="array" ref="BO70">IF(BN70="",""&amp;BL70,IF(BN70="NEMA",BL70,INDEX(regKlub_naziv,MATCH(INDEX(regKlub_alias_klubId,BN70),regKlub_id,0))))</f>
        <v>OK Kapela</v>
      </c>
      <c r="BP70" s="31" t="str" cm="1">
        <f t="array" ref="BP70">IFERROR(""&amp;INDEX(regNatjecatelj_klub,DY70),"")</f>
        <v>OK Kapela</v>
      </c>
      <c r="BQ70" s="88" t="str">
        <f t="shared" si="51"/>
        <v/>
      </c>
      <c r="BR70" s="66" t="str">
        <f t="shared" si="52"/>
        <v>OK Kapela</v>
      </c>
      <c r="BS70" s="47" t="s">
        <v>0</v>
      </c>
      <c r="BT70" s="82" t="str">
        <f>IF(BN70&lt;&gt;"NEMA","",IF(IFERROR(MATCH(BL70,BL$12:BL69,0),0)&lt;&gt;0,"",BL70))</f>
        <v/>
      </c>
      <c r="BU70" s="47" t="s">
        <v>0</v>
      </c>
      <c r="BV70" s="125"/>
      <c r="BW70" s="47" t="s">
        <v>0</v>
      </c>
      <c r="BX70" s="58" t="str">
        <f t="shared" si="53"/>
        <v/>
      </c>
      <c r="BY70" s="31" t="str">
        <f t="shared" si="54"/>
        <v/>
      </c>
      <c r="BZ70" s="31" t="str">
        <f>IF(BY70="","",MAX(BZ$12:BZ69)+1)</f>
        <v/>
      </c>
      <c r="CA70" s="31" t="str">
        <f>IF(BY70="","",IF(AA70="","",IF(AA70="NEMA",AC70,AA70)))</f>
        <v/>
      </c>
      <c r="CB70" s="31" t="str">
        <f t="shared" si="55"/>
        <v/>
      </c>
      <c r="CC70" s="31" t="str">
        <f>IF(BV70="","",MAX(CC$12:CC69)+1)</f>
        <v/>
      </c>
      <c r="CD70" s="31" t="str">
        <f t="shared" si="56"/>
        <v/>
      </c>
      <c r="CE70" s="66" t="str">
        <f t="shared" si="57"/>
        <v/>
      </c>
      <c r="CF70" s="47" t="s">
        <v>0</v>
      </c>
      <c r="CG70" s="73" t="str">
        <f>IF(BN70="","",IF(BN70&lt;&gt;"NEMA","",IFERROR(INDEX(nat_klubAliasId,MATCH(BL70,nat_noviKluboviAliasi,0)),"")))</f>
        <v/>
      </c>
      <c r="CH70" s="47"/>
      <c r="CI70" s="19" t="str">
        <f t="shared" si="58"/>
        <v/>
      </c>
      <c r="CJ70" s="47" t="s">
        <v>0</v>
      </c>
      <c r="CK70" s="52" t="str">
        <f>IF(X70&lt;&gt;"NEMA","",IF(IFERROR(MATCH(W70,W$12:W69,0),0)&lt;&gt;0,"",W70))</f>
        <v/>
      </c>
      <c r="CL70" s="73" t="str">
        <f>IF(CK70="","",IFERROR(INDEX(regKlub_alias_id,MATCH(CK70,regKlub_alias_alias,0)),"NEMA"))</f>
        <v/>
      </c>
      <c r="CM70" s="31" t="str">
        <f>IF(OR(CL70="",CL70&lt;&gt;"NEMA"),"",MAX(CM$12:CM69)+1)</f>
        <v/>
      </c>
      <c r="CN70" s="66" t="str">
        <f>IF(OR(CL70="",CL70&lt;&gt;"NEMA"),"",INDEX(regKlub_id,MATCH(CK70,regKlub_naziv,0)))</f>
        <v/>
      </c>
      <c r="CO70" s="47" t="s">
        <v>0</v>
      </c>
      <c r="CP70" s="19" t="str">
        <f>IF(OR(CL70="",CL70&lt;&gt;"NEMA"),"","INSERT INTO klub_alias(id,alias,klub_id) VALUES ("&amp;CM70&amp;",'"&amp;CK70&amp;"',"&amp;CN70&amp;");")</f>
        <v/>
      </c>
      <c r="CQ70" s="47" t="s">
        <v>0</v>
      </c>
      <c r="CR70" s="143" t="str">
        <f>IF(BR70="","",IF(BV70="",IF(IFERROR(MATCH(BR70,nat_noviKluboviAliasi,0),0)&gt;0,INDEX(nat_kluboviAliasi,MATCH(BR70,nat_noviKluboviAliasi,0)),BR70),BV70))</f>
        <v>OK Kapela</v>
      </c>
      <c r="CS70" s="47" t="s">
        <v>0</v>
      </c>
      <c r="CT70" s="58" t="str">
        <f>IF(G70="","",G70)</f>
        <v/>
      </c>
      <c r="CU70" s="73" t="str">
        <f>IF(H70="","",H70)</f>
        <v>1</v>
      </c>
      <c r="CV70" s="229" t="str">
        <f>IF(CT70="",IF(OR(AL70="",CU70&lt;&gt;"0"),"","GREŠKA"),IF(AND(65535&gt;=VALUE(LEFT(CT70,SEARCH(":",CT70)-1))*60+VALUE(RIGHT(CT70,2)),OR(CU70="0",CU70="1",CU70="2",CU70="3",CU70="4")),"","GREŠKA"))</f>
        <v/>
      </c>
      <c r="CW70" s="230" t="str">
        <f t="shared" si="71"/>
        <v/>
      </c>
      <c r="CX70" s="163">
        <f t="shared" si="24"/>
        <v>6</v>
      </c>
      <c r="CY70" s="47" t="s">
        <v>0</v>
      </c>
      <c r="CZ70" s="222" t="str">
        <f>IF(CV70&lt;&gt;"GREŠKA","",AK70&amp;" "&amp;AL70&amp;" – Molim u OEventu provjeriti i ispraviti rezultat – vrijeme ("&amp;IF(CT70="","nije upisano",CT70)&amp;") i classifier ("&amp;CU70&amp;").")&amp;IF(OR(CV70&lt;&gt;"GREŠKA",CX70&lt;&gt;5),"
","")&amp;IF(CX70&lt;&gt;5,"",AK70&amp;" "&amp;AL70&amp;" – Molim u provjeriti je li natjecatelj zaista diskvalificiran. Ako je koje je obrazloženje, ako nije molim u OEventu ispraviti rezultat")</f>
        <v xml:space="preserve">
</v>
      </c>
      <c r="DA70" s="223" t="e">
        <f t="shared" si="60"/>
        <v>#N/A</v>
      </c>
      <c r="DB70" s="47" t="s">
        <v>0</v>
      </c>
      <c r="DC70" s="47"/>
      <c r="DD70" s="47"/>
      <c r="DE70" s="47"/>
      <c r="DF70" s="47" t="s">
        <v>0</v>
      </c>
      <c r="DG70" s="53" t="str">
        <f>IF(BD70="","",IF(DI70="O",1,""))</f>
        <v/>
      </c>
      <c r="DH70" t="s">
        <v>0</v>
      </c>
      <c r="DI70" s="128" t="str">
        <f>IF(Q70="","",LEFT(INDEX(regKategorija_oznaka,MATCH(S70,regKategorija_id,0)),1))</f>
        <v>M</v>
      </c>
      <c r="DJ70" t="s">
        <v>0</v>
      </c>
      <c r="DK70" s="52" t="str">
        <f>IF(BD70="","",IF(M70&lt;&gt;"CRO","","INSERT INTO osoba (id,reg_broj,oib,spol_id,dat_rodjenja) VALUES ("&amp;BD70&amp;",(SELECT max(os.reg_broj)+1 FROM osoba AS os),Null,'"&amp;DI70&amp;"',Null); INSERT INTO osoba_log (id,reg_broj,oib,spol_id,dat_rodjenja,dnevnik_id) SELECT id,reg_broj,oib,spol_id,dat_rodjenja,"&amp;data_dnevnik_id&amp;" FROM osoba WHERE id = "&amp;BD70&amp;";"))</f>
        <v/>
      </c>
      <c r="DL70" s="66" t="str">
        <f>IF(BD70="","","INSERT INTO imeprezime (id,osoba_id,rbr,ime,prezime,klub_id,identitet_id,sintaksa_id,info,aktivno,dnevnik_id) VALUES ("&amp;BD70&amp;","&amp;IF(DK70="","Null",BD70)&amp;",1,'"&amp;IF(AV70&lt;&gt;"",AV70,AK70)&amp;"','"&amp;IF(AW70&lt;&gt;"",AW70,AL70)&amp;"',(SELECT id FROM klub WHERE naziv = '"&amp;CR70&amp;"'),Null,1,'',1,"&amp;data_dnevnik_id&amp;");")</f>
        <v/>
      </c>
      <c r="DM70" t="s">
        <v>0</v>
      </c>
      <c r="DN70" s="19" t="str">
        <f t="shared" si="69"/>
        <v/>
      </c>
      <c r="DO70" s="47" t="s">
        <v>0</v>
      </c>
      <c r="DP70" s="19" t="str">
        <f>IF(BA70="","","INSERT INTO imeprezime_alias(id,alias,imeprezime_id) VALUES ("&amp;BB70&amp;",'"&amp;BA70&amp;"',"&amp;IF(BC70="NEMA",BD70,BC70)&amp;");")</f>
        <v/>
      </c>
      <c r="DQ70" s="47" t="s">
        <v>0</v>
      </c>
      <c r="DR70" s="52" t="str">
        <f>IF(AL70="","",DU70 &amp; IF(Q70="",""," – " &amp; Q70))</f>
        <v>Luka – Filetin – OK Kapela – M21A</v>
      </c>
      <c r="DS70" s="53">
        <f t="shared" si="26"/>
        <v>236</v>
      </c>
      <c r="DT70" s="47" t="s">
        <v>0</v>
      </c>
      <c r="DU70" s="52" t="str">
        <f>IF(AL70="","",DX70 &amp; IF(CR70="",""," – " &amp; CR70))</f>
        <v>Luka – Filetin – OK Kapela</v>
      </c>
      <c r="DV70" s="53">
        <f t="shared" si="27"/>
        <v>236</v>
      </c>
      <c r="DW70" s="47" t="s">
        <v>0</v>
      </c>
      <c r="DX70" s="52" t="str">
        <f>IF(BG70="","",BF70&amp;" – "&amp;BG70)</f>
        <v>Luka – Filetin</v>
      </c>
      <c r="DY70" s="53">
        <f t="shared" si="28"/>
        <v>236</v>
      </c>
      <c r="DZ70" s="47" t="s">
        <v>0</v>
      </c>
      <c r="EA70" s="58">
        <f t="shared" si="61"/>
        <v>236</v>
      </c>
      <c r="EB70" s="53" cm="1">
        <f t="array" ref="EB70">IF(EA70&lt;&gt;"",INDEX(regNatjecatelj_id,EA70,0),IF(BD70&lt;&gt;"",BD70,""))</f>
        <v>1195</v>
      </c>
      <c r="EC70" s="47" t="s">
        <v>0</v>
      </c>
      <c r="ED70" s="58" t="str">
        <f>IF(AL70="","",IF(BD70&lt;&gt;"","novo",IF(AN70="","imepre","imepre(ali)")))</f>
        <v>imepre</v>
      </c>
      <c r="EE70" s="73" t="str">
        <f>IF(AL70="","",IF(BL70="",IF(IFERROR(INDEX(regNatjecatelj_klub,MATCH(EB70,regNatjecatelj_id,0)),"NEMA")="","klu",""),IF(OR(AND(BN70&lt;&gt;"",BN70&lt;&gt;"NEMA"),CD70&lt;&gt;""),"klu(ali)",IF(AND(BP70&lt;&gt;"",BP70&lt;&gt;BO70),"(raz-klu)","klu"))))</f>
        <v>klu</v>
      </c>
      <c r="EF70" s="73" t="str">
        <f>IF(AL70="","","kat"&amp;IF(AND(W70&lt;&gt;Q70,Q70&lt;&gt;"Open"),"(ali)",""))</f>
        <v>kat</v>
      </c>
      <c r="EG70" s="73" t="str">
        <f t="shared" si="29"/>
        <v/>
      </c>
      <c r="EH70" s="66" t="str">
        <f>IF(AL70="","",ED70&amp;IF(ED70="novo","","-"&amp;EE70&amp;"-"&amp;EF70)&amp;IF(EG70="","","-"&amp;EG70))</f>
        <v>imepre-klu-kat</v>
      </c>
      <c r="EI70" s="47" t="s">
        <v>0</v>
      </c>
      <c r="EJ70" s="58">
        <f>IF(AL70="","",MAX(EJ$12:EJ69)+1)</f>
        <v>240</v>
      </c>
      <c r="EK70" s="73">
        <f>IF(AO70="","",X70)</f>
        <v>27</v>
      </c>
      <c r="EL70" s="73">
        <f t="shared" si="62"/>
        <v>1195</v>
      </c>
      <c r="EM70" s="73" t="str">
        <f t="shared" si="30"/>
        <v/>
      </c>
      <c r="EN70" s="73">
        <f t="shared" si="31"/>
        <v>6</v>
      </c>
      <c r="EO70" s="73">
        <f t="shared" si="63"/>
        <v>1</v>
      </c>
      <c r="EP70" s="73">
        <f t="shared" si="64"/>
        <v>1</v>
      </c>
      <c r="EQ70" s="73" t="str">
        <f t="shared" si="34"/>
        <v>1</v>
      </c>
      <c r="ER70" s="73" t="str">
        <f>IF(OR(AN70="",AN70="NEMA"),BB70,AN70)</f>
        <v/>
      </c>
      <c r="ES70" s="73" t="str">
        <f>IF(AND(BN70&lt;&gt;"",BN70&lt;&gt;"NEMA"),BN70,IF(CG70&lt;&gt;"",CG70,IF(AND(CL70&lt;&gt;"",CL70&lt;&gt;"NEMA"),CL70,IF(CM70&lt;&gt;"",CM70,""))))</f>
        <v/>
      </c>
      <c r="ET70" s="53" t="str">
        <f>IF(INDEX(natKategorija_alias_Id,MATCH(S70,natKategorija_katRegId,0))="","",INDEX(natKategorija_alias_Id,MATCH(S70,natKategorija_katRegId,0)))</f>
        <v/>
      </c>
      <c r="EU70" s="47" t="s">
        <v>0</v>
      </c>
      <c r="EV70" s="19" t="str">
        <f t="shared" si="65"/>
        <v>INSERT INTO rezultat(id,stazakategorija_id,imeprezime_id,vrijeme_sec,status_id,registracija,uparivanje_id,originalstatus_id,imeprezimealias_id,klubalias_id,kategorijaalias_id) VALUES (240,27,1195,Null,6,1,1,1,Null,Null,Null);</v>
      </c>
      <c r="EW70" s="47" t="s">
        <v>0</v>
      </c>
      <c r="EX70" s="19" t="str">
        <f t="shared" si="66"/>
        <v>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EY70" s="47" t="s">
        <v>0</v>
      </c>
      <c r="EZ70" s="180" t="str">
        <f>AG70&amp;IF(CP70="","","
")&amp;CP70&amp;IF(CI70="","","
")&amp;CI70&amp;IF(DN70="","","
")&amp;DN70&amp;IF(DP70="","","
")&amp;DP70&amp;IF(EV70="","","
")&amp;EV70&amp;IF(EX70="","","
")&amp;EX70</f>
        <v xml:space="preserve">
INSERT INTO rezultat(id,stazakategorija_id,imeprezime_id,vrijeme_sec,status_id,registracija,uparivanje_id,originalstatus_id,imeprezimealias_id,klubalias_id,kategorijaalias_id) VALUES (240,27,1195,Null,6,1,1,1,Null,Null,Null);
UPDATE
	registar
SET
	potvrda = 1
WHERE
	imeprezime_id=1195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27)
                         		AND
                         	kategorija_liga.liga_id = 101)
		AND
	datum_od &lt;= '2021-04-18'
    	AND
    datum_do is Null;</v>
      </c>
      <c r="FA70" s="47" t="s">
        <v>0</v>
      </c>
    </row>
    <row r="71" spans="1:157" x14ac:dyDescent="0.25">
      <c r="A71" t="s">
        <v>0</v>
      </c>
      <c r="B71" s="52" t="str">
        <f>IF(csv!F61="","",csv!T61)</f>
        <v>M21B</v>
      </c>
      <c r="C71" s="31" t="s">
        <v>0</v>
      </c>
      <c r="D71" s="31" t="str">
        <f>IF(csv!F61="","",csv!F61)</f>
        <v>Ivor</v>
      </c>
      <c r="E71" s="31" t="str">
        <f>IF(csv!E61="","",csv!E61)</f>
        <v>Jelić</v>
      </c>
      <c r="F71" s="31" t="s">
        <v>0</v>
      </c>
      <c r="G71" s="73" t="str">
        <f>IF(csv!M61="","",csv!M61)</f>
        <v>42:32</v>
      </c>
      <c r="H71" s="73" t="str">
        <f>IF(csv!N61="","",csv!N61)</f>
        <v>0</v>
      </c>
      <c r="I71" s="31" t="s">
        <v>0</v>
      </c>
      <c r="J71" s="31" t="str">
        <f>IF(csv!P61="","",csv!P61)</f>
        <v>KAP</v>
      </c>
      <c r="K71" s="31" t="str">
        <f>IF(csv!Q61="","",csv!Q61)</f>
        <v>OK Kapela</v>
      </c>
      <c r="L71" s="31" t="s">
        <v>0</v>
      </c>
      <c r="M71" s="66" t="str">
        <f>IF(csv!R61="","",csv!R61)</f>
        <v>CRO</v>
      </c>
      <c r="N71" s="47" t="s">
        <v>0</v>
      </c>
      <c r="O71" s="243" t="str">
        <f t="shared" si="36"/>
        <v>ok</v>
      </c>
      <c r="P71" s="47"/>
      <c r="Q71" s="52" t="str">
        <f t="shared" si="37"/>
        <v>M21B</v>
      </c>
      <c r="R71" s="73">
        <f>IF(Q71="","",IF(COUNTIF(Q$12:Q70,Q71)=0,R70+1,R70))</f>
        <v>6</v>
      </c>
      <c r="S71" s="73">
        <f t="shared" si="38"/>
        <v>108</v>
      </c>
      <c r="T71" s="73">
        <f t="shared" si="1"/>
        <v>19</v>
      </c>
      <c r="U71" s="66" t="str">
        <f t="shared" si="2"/>
        <v>M21B – M16</v>
      </c>
      <c r="V71" s="47" t="s">
        <v>0</v>
      </c>
      <c r="W71" s="222" t="str">
        <f t="shared" si="3"/>
        <v>M21B</v>
      </c>
      <c r="X71" s="223">
        <f t="shared" si="4"/>
        <v>28</v>
      </c>
      <c r="Y71" s="47" t="s">
        <v>0</v>
      </c>
      <c r="Z71" s="52" t="str">
        <f t="shared" si="39"/>
        <v>CRO</v>
      </c>
      <c r="AA71" s="73">
        <f t="shared" si="5"/>
        <v>1</v>
      </c>
      <c r="AB71" s="31" t="str">
        <f t="shared" si="40"/>
        <v/>
      </c>
      <c r="AC71" s="66" t="str">
        <f>IF(AB71="","",MAX(AC$12:AC70)+1)</f>
        <v/>
      </c>
      <c r="AD71" s="47" t="s">
        <v>0</v>
      </c>
      <c r="AE71" s="125"/>
      <c r="AF71" s="47" t="s">
        <v>0</v>
      </c>
      <c r="AG71" s="19" t="str">
        <f t="shared" si="41"/>
        <v/>
      </c>
      <c r="AH71" s="47" t="s">
        <v>0</v>
      </c>
      <c r="AI71" s="143" t="str">
        <f t="shared" si="42"/>
        <v>CRO</v>
      </c>
      <c r="AJ71" s="47"/>
      <c r="AK71" s="52" t="str">
        <f t="shared" si="43"/>
        <v>Ivor</v>
      </c>
      <c r="AL71" s="31" t="str">
        <f t="shared" si="44"/>
        <v>Jelić</v>
      </c>
      <c r="AM71" s="73">
        <f t="shared" si="45"/>
        <v>1514</v>
      </c>
      <c r="AN71" s="73" t="str">
        <f t="shared" si="46"/>
        <v/>
      </c>
      <c r="AO71" s="31" t="str">
        <f t="shared" si="8"/>
        <v>Ivor</v>
      </c>
      <c r="AP71" s="66" t="str">
        <f t="shared" si="9"/>
        <v>Jelić</v>
      </c>
      <c r="AQ71" s="47" t="s">
        <v>0</v>
      </c>
      <c r="AR71" s="82" t="str">
        <f t="shared" si="47"/>
        <v/>
      </c>
      <c r="AS71" s="47" t="s">
        <v>0</v>
      </c>
      <c r="AT71" s="19" t="str">
        <f t="shared" si="48"/>
        <v/>
      </c>
      <c r="AU71" s="47" t="s">
        <v>0</v>
      </c>
      <c r="AV71" s="103"/>
      <c r="AW71" s="105"/>
      <c r="AX71" s="47" t="s">
        <v>0</v>
      </c>
      <c r="AY71" s="256" t="str">
        <f t="shared" si="68"/>
        <v/>
      </c>
      <c r="AZ71" s="47" t="s">
        <v>0</v>
      </c>
      <c r="BA71" s="52" t="str">
        <f t="shared" si="11"/>
        <v/>
      </c>
      <c r="BB71" s="73" t="str">
        <f>IF(AV71&amp;AW71="","",MAX(BB$12:BB70)+1)</f>
        <v/>
      </c>
      <c r="BC71" s="268" t="str">
        <f t="shared" si="12"/>
        <v/>
      </c>
      <c r="BD71" s="53" t="str">
        <f>IF(AND(AM71="NEMA",AN71="NEMA",OR(AV71&amp;AW71="",BC71="NEMA")),MAX(BD$12:BD70)+1,"")</f>
        <v/>
      </c>
      <c r="BE71" s="47" t="s">
        <v>0</v>
      </c>
      <c r="BF71" s="52" t="str">
        <f t="shared" si="13"/>
        <v>Ivor</v>
      </c>
      <c r="BG71" s="31" t="str">
        <f t="shared" si="14"/>
        <v>Jelić</v>
      </c>
      <c r="BH71" s="73" t="str">
        <f t="shared" si="49"/>
        <v/>
      </c>
      <c r="BI71" s="53">
        <f t="shared" si="50"/>
        <v>1514</v>
      </c>
      <c r="BJ71" s="47" t="s">
        <v>0</v>
      </c>
      <c r="BK71" s="52" t="str">
        <f t="shared" si="15"/>
        <v>KAP</v>
      </c>
      <c r="BL71" s="31" t="str">
        <f t="shared" si="16"/>
        <v>OK Kapela</v>
      </c>
      <c r="BM71" s="73">
        <f t="shared" si="17"/>
        <v>5</v>
      </c>
      <c r="BN71" s="73" t="str">
        <f t="shared" si="18"/>
        <v/>
      </c>
      <c r="BO71" s="31" t="str" cm="1">
        <f t="array" ref="BO71">IF(BN71="",""&amp;BL71,IF(BN71="NEMA",BL71,INDEX(regKlub_naziv,MATCH(INDEX(regKlub_alias_klubId,BN71),regKlub_id,0))))</f>
        <v>OK Kapela</v>
      </c>
      <c r="BP71" s="31" t="str" cm="1">
        <f t="array" ref="BP71">IFERROR(""&amp;INDEX(regNatjecatelj_klub,DY71),"")</f>
        <v>OK Kapela</v>
      </c>
      <c r="BQ71" s="88" t="str">
        <f t="shared" si="51"/>
        <v/>
      </c>
      <c r="BR71" s="66" t="str">
        <f t="shared" si="52"/>
        <v>OK Kapela</v>
      </c>
      <c r="BS71" s="47" t="s">
        <v>0</v>
      </c>
      <c r="BT71" s="82" t="str">
        <f>IF(BN71&lt;&gt;"NEMA","",IF(IFERROR(MATCH(BL71,BL$12:BL70,0),0)&lt;&gt;0,"",BL71))</f>
        <v/>
      </c>
      <c r="BU71" s="47" t="s">
        <v>0</v>
      </c>
      <c r="BV71" s="125"/>
      <c r="BW71" s="47" t="s">
        <v>0</v>
      </c>
      <c r="BX71" s="58" t="str">
        <f t="shared" si="53"/>
        <v/>
      </c>
      <c r="BY71" s="31" t="str">
        <f t="shared" si="54"/>
        <v/>
      </c>
      <c r="BZ71" s="31" t="str">
        <f>IF(BY71="","",MAX(BZ$12:BZ70)+1)</f>
        <v/>
      </c>
      <c r="CA71" s="31" t="str">
        <f>IF(BY71="","",IF(AA71="","",IF(AA71="NEMA",AC71,AA71)))</f>
        <v/>
      </c>
      <c r="CB71" s="31" t="str">
        <f t="shared" si="55"/>
        <v/>
      </c>
      <c r="CC71" s="31" t="str">
        <f>IF(BV71="","",MAX(CC$12:CC70)+1)</f>
        <v/>
      </c>
      <c r="CD71" s="31" t="str">
        <f t="shared" si="56"/>
        <v/>
      </c>
      <c r="CE71" s="66" t="str">
        <f t="shared" si="57"/>
        <v/>
      </c>
      <c r="CF71" s="47" t="s">
        <v>0</v>
      </c>
      <c r="CG71" s="73" t="str">
        <f>IF(BN71="","",IF(BN71&lt;&gt;"NEMA","",IFERROR(INDEX(nat_klubAliasId,MATCH(BL71,nat_noviKluboviAliasi,0)),"")))</f>
        <v/>
      </c>
      <c r="CH71" s="47"/>
      <c r="CI71" s="19" t="str">
        <f t="shared" si="58"/>
        <v/>
      </c>
      <c r="CJ71" s="47" t="s">
        <v>0</v>
      </c>
      <c r="CK71" s="52" t="str">
        <f>IF(X71&lt;&gt;"NEMA","",IF(IFERROR(MATCH(W71,W$12:W70,0),0)&lt;&gt;0,"",W71))</f>
        <v/>
      </c>
      <c r="CL71" s="73" t="str">
        <f>IF(CK71="","",IFERROR(INDEX(regKlub_alias_id,MATCH(CK71,regKlub_alias_alias,0)),"NEMA"))</f>
        <v/>
      </c>
      <c r="CM71" s="31" t="str">
        <f>IF(OR(CL71="",CL71&lt;&gt;"NEMA"),"",MAX(CM$12:CM70)+1)</f>
        <v/>
      </c>
      <c r="CN71" s="66" t="str">
        <f>IF(OR(CL71="",CL71&lt;&gt;"NEMA"),"",INDEX(regKlub_id,MATCH(CK71,regKlub_naziv,0)))</f>
        <v/>
      </c>
      <c r="CO71" s="47" t="s">
        <v>0</v>
      </c>
      <c r="CP71" s="19" t="str">
        <f>IF(OR(CL71="",CL71&lt;&gt;"NEMA"),"","INSERT INTO klub_alias(id,alias,klub_id) VALUES ("&amp;CM71&amp;",'"&amp;CK71&amp;"',"&amp;CN71&amp;");")</f>
        <v/>
      </c>
      <c r="CQ71" s="47" t="s">
        <v>0</v>
      </c>
      <c r="CR71" s="143" t="str">
        <f>IF(BR71="","",IF(BV71="",IF(IFERROR(MATCH(BR71,nat_noviKluboviAliasi,0),0)&gt;0,INDEX(nat_kluboviAliasi,MATCH(BR71,nat_noviKluboviAliasi,0)),BR71),BV71))</f>
        <v>OK Kapela</v>
      </c>
      <c r="CS71" s="47" t="s">
        <v>0</v>
      </c>
      <c r="CT71" s="58" t="str">
        <f>IF(G71="","",G71)</f>
        <v>42:32</v>
      </c>
      <c r="CU71" s="73" t="str">
        <f>IF(H71="","",H71)</f>
        <v>0</v>
      </c>
      <c r="CV71" s="229" t="str">
        <f>IF(CT71="",IF(OR(AL71="",CU71&lt;&gt;"0"),"","GREŠKA"),IF(AND(65535&gt;=VALUE(LEFT(CT71,SEARCH(":",CT71)-1))*60+VALUE(RIGHT(CT71,2)),OR(CU71="0",CU71="1",CU71="2",CU71="3",CU71="4")),"","GREŠKA"))</f>
        <v/>
      </c>
      <c r="CW71" s="230">
        <f t="shared" si="71"/>
        <v>2552</v>
      </c>
      <c r="CX71" s="163">
        <f t="shared" si="24"/>
        <v>1</v>
      </c>
      <c r="CY71" s="47" t="s">
        <v>0</v>
      </c>
      <c r="CZ71" s="222" t="str">
        <f>IF(CV71&lt;&gt;"GREŠKA","",AK71&amp;" "&amp;AL71&amp;" – Molim u OEventu provjeriti i ispraviti rezultat – vrijeme ("&amp;IF(CT71="","nije upisano",CT71)&amp;") i classifier ("&amp;CU71&amp;").")&amp;IF(OR(CV71&lt;&gt;"GREŠKA",CX71&lt;&gt;5),"
","")&amp;IF(CX71&lt;&gt;5,"",AK71&amp;" "&amp;AL71&amp;" – Molim u provjeriti je li natjecatelj zaista diskvalificiran. Ako je koje je obrazloženje, ako nije molim u OEventu ispraviti rezultat")</f>
        <v xml:space="preserve">
</v>
      </c>
      <c r="DA71" s="223">
        <f t="shared" si="60"/>
        <v>6</v>
      </c>
      <c r="DB71" s="47" t="s">
        <v>0</v>
      </c>
      <c r="DC71" s="47"/>
      <c r="DD71" s="47"/>
      <c r="DE71" s="47"/>
      <c r="DF71" s="47" t="s">
        <v>0</v>
      </c>
      <c r="DG71" s="53" t="str">
        <f>IF(BD71="","",IF(DI71="O",1,""))</f>
        <v/>
      </c>
      <c r="DH71" t="s">
        <v>0</v>
      </c>
      <c r="DI71" s="128" t="str">
        <f>IF(Q71="","",LEFT(INDEX(regKategorija_oznaka,MATCH(S71,regKategorija_id,0)),1))</f>
        <v>M</v>
      </c>
      <c r="DJ71" t="s">
        <v>0</v>
      </c>
      <c r="DK71" s="52" t="str">
        <f>IF(BD71="","",IF(M71&lt;&gt;"CRO","","INSERT INTO osoba (id,reg_broj,oib,spol_id,dat_rodjenja) VALUES ("&amp;BD71&amp;",(SELECT max(os.reg_broj)+1 FROM osoba AS os),Null,'"&amp;DI71&amp;"',Null); INSERT INTO osoba_log (id,reg_broj,oib,spol_id,dat_rodjenja,dnevnik_id) SELECT id,reg_broj,oib,spol_id,dat_rodjenja,"&amp;data_dnevnik_id&amp;" FROM osoba WHERE id = "&amp;BD71&amp;";"))</f>
        <v/>
      </c>
      <c r="DL71" s="66" t="str">
        <f>IF(BD71="","","INSERT INTO imeprezime (id,osoba_id,rbr,ime,prezime,klub_id,identitet_id,sintaksa_id,info,aktivno,dnevnik_id) VALUES ("&amp;BD71&amp;","&amp;IF(DK71="","Null",BD71)&amp;",1,'"&amp;IF(AV71&lt;&gt;"",AV71,AK71)&amp;"','"&amp;IF(AW71&lt;&gt;"",AW71,AL71)&amp;"',(SELECT id FROM klub WHERE naziv = '"&amp;CR71&amp;"'),Null,1,'',1,"&amp;data_dnevnik_id&amp;");")</f>
        <v/>
      </c>
      <c r="DM71" t="s">
        <v>0</v>
      </c>
      <c r="DN71" s="19" t="str">
        <f t="shared" si="69"/>
        <v/>
      </c>
      <c r="DO71" s="47" t="s">
        <v>0</v>
      </c>
      <c r="DP71" s="19" t="str">
        <f>IF(BA71="","","INSERT INTO imeprezime_alias(id,alias,imeprezime_id) VALUES ("&amp;BB71&amp;",'"&amp;BA71&amp;"',"&amp;IF(BC71="NEMA",BD71,BC71)&amp;");")</f>
        <v/>
      </c>
      <c r="DQ71" s="47" t="s">
        <v>0</v>
      </c>
      <c r="DR71" s="52" t="str">
        <f>IF(AL71="","",DU71 &amp; IF(Q71="",""," – " &amp; Q71))</f>
        <v>Ivor – Jelić – OK Kapela – M21B</v>
      </c>
      <c r="DS71" s="53">
        <f t="shared" si="26"/>
        <v>259</v>
      </c>
      <c r="DT71" s="47" t="s">
        <v>0</v>
      </c>
      <c r="DU71" s="52" t="str">
        <f>IF(AL71="","",DX71 &amp; IF(CR71="",""," – " &amp; CR71))</f>
        <v>Ivor – Jelić – OK Kapela</v>
      </c>
      <c r="DV71" s="53">
        <f t="shared" si="27"/>
        <v>259</v>
      </c>
      <c r="DW71" s="47" t="s">
        <v>0</v>
      </c>
      <c r="DX71" s="52" t="str">
        <f>IF(BG71="","",BF71&amp;" – "&amp;BG71)</f>
        <v>Ivor – Jelić</v>
      </c>
      <c r="DY71" s="53">
        <f t="shared" si="28"/>
        <v>259</v>
      </c>
      <c r="DZ71" s="47" t="s">
        <v>0</v>
      </c>
      <c r="EA71" s="58">
        <f t="shared" si="61"/>
        <v>259</v>
      </c>
      <c r="EB71" s="53" cm="1">
        <f t="array" ref="EB71">IF(EA71&lt;&gt;"",INDEX(regNatjecatelj_id,EA71,0),IF(BD71&lt;&gt;"",BD71,""))</f>
        <v>1514</v>
      </c>
      <c r="EC71" s="47" t="s">
        <v>0</v>
      </c>
      <c r="ED71" s="58" t="str">
        <f>IF(AL71="","",IF(BD71&lt;&gt;"","novo",IF(AN71="","imepre","imepre(ali)")))</f>
        <v>imepre</v>
      </c>
      <c r="EE71" s="73" t="str">
        <f>IF(AL71="","",IF(BL71="",IF(IFERROR(INDEX(regNatjecatelj_klub,MATCH(EB71,regNatjecatelj_id,0)),"NEMA")="","klu",""),IF(OR(AND(BN71&lt;&gt;"",BN71&lt;&gt;"NEMA"),CD71&lt;&gt;""),"klu(ali)",IF(AND(BP71&lt;&gt;"",BP71&lt;&gt;BO71),"(raz-klu)","klu"))))</f>
        <v>klu</v>
      </c>
      <c r="EF71" s="73" t="str">
        <f>IF(AL71="","","kat"&amp;IF(AND(W71&lt;&gt;Q71,Q71&lt;&gt;"Open"),"(ali)",""))</f>
        <v>kat</v>
      </c>
      <c r="EG71" s="73" t="str">
        <f t="shared" si="29"/>
        <v/>
      </c>
      <c r="EH71" s="66" t="str">
        <f>IF(AL71="","",ED71&amp;IF(ED71="novo","","-"&amp;EE71&amp;"-"&amp;EF71)&amp;IF(EG71="","","-"&amp;EG71))</f>
        <v>imepre-klu-kat</v>
      </c>
      <c r="EI71" s="47" t="s">
        <v>0</v>
      </c>
      <c r="EJ71" s="58">
        <f>IF(AL71="","",MAX(EJ$12:EJ70)+1)</f>
        <v>241</v>
      </c>
      <c r="EK71" s="73">
        <f>IF(AO71="","",X71)</f>
        <v>28</v>
      </c>
      <c r="EL71" s="73">
        <f t="shared" si="62"/>
        <v>1514</v>
      </c>
      <c r="EM71" s="73">
        <f t="shared" si="30"/>
        <v>2552</v>
      </c>
      <c r="EN71" s="73">
        <f t="shared" si="31"/>
        <v>1</v>
      </c>
      <c r="EO71" s="73">
        <f t="shared" si="63"/>
        <v>1</v>
      </c>
      <c r="EP71" s="73">
        <f t="shared" si="64"/>
        <v>1</v>
      </c>
      <c r="EQ71" s="73" t="str">
        <f t="shared" si="34"/>
        <v>0</v>
      </c>
      <c r="ER71" s="73" t="str">
        <f>IF(OR(AN71="",AN71="NEMA"),BB71,AN71)</f>
        <v/>
      </c>
      <c r="ES71" s="73" t="str">
        <f>IF(AND(BN71&lt;&gt;"",BN71&lt;&gt;"NEMA"),BN71,IF(CG71&lt;&gt;"",CG71,IF(AND(CL71&lt;&gt;"",CL71&lt;&gt;"NEMA"),CL71,IF(CM71&lt;&gt;"",CM71,""))))</f>
        <v/>
      </c>
      <c r="ET71" s="53" t="str">
        <f>IF(INDEX(natKategorija_alias_Id,MATCH(S71,natKategorija_katRegId,0))="","",INDEX(natKategorija_alias_Id,MATCH(S71,natKategorija_katRegId,0)))</f>
        <v/>
      </c>
      <c r="EU71" s="47" t="s">
        <v>0</v>
      </c>
      <c r="EV71" s="19" t="str">
        <f t="shared" si="65"/>
        <v>INSERT INTO rezultat(id,stazakategorija_id,imeprezime_id,vrijeme_sec,status_id,registracija,uparivanje_id,originalstatus_id,imeprezimealias_id,klubalias_id,kategorijaalias_id) VALUES (241,28,1514,2552,1,1,1,0,Null,Null,Null);</v>
      </c>
      <c r="EW71" s="47" t="s">
        <v>0</v>
      </c>
      <c r="EX71" s="19" t="str">
        <f t="shared" si="66"/>
        <v>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71" s="47" t="s">
        <v>0</v>
      </c>
      <c r="EZ71" s="180" t="str">
        <f>AG71&amp;IF(CP71="","","
")&amp;CP71&amp;IF(CI71="","","
")&amp;CI71&amp;IF(DN71="","","
")&amp;DN71&amp;IF(DP71="","","
")&amp;DP71&amp;IF(EV71="","","
")&amp;EV71&amp;IF(EX71="","","
")&amp;EX71</f>
        <v xml:space="preserve">
INSERT INTO rezultat(id,stazakategorija_id,imeprezime_id,vrijeme_sec,status_id,registracija,uparivanje_id,originalstatus_id,imeprezimealias_id,klubalias_id,kategorijaalias_id) VALUES (241,28,1514,2552,1,1,1,0,Null,Null,Null);
UPDATE
	registar
SET
	potvrda = 1
WHERE
	imeprezime_id=1514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71" s="47" t="s">
        <v>0</v>
      </c>
    </row>
    <row r="72" spans="1:157" x14ac:dyDescent="0.25">
      <c r="A72" t="s">
        <v>0</v>
      </c>
      <c r="B72" s="52" t="str">
        <f>IF(csv!F62="","",csv!T62)</f>
        <v>M21B</v>
      </c>
      <c r="C72" s="31" t="s">
        <v>0</v>
      </c>
      <c r="D72" s="31" t="str">
        <f>IF(csv!F62="","",csv!F62)</f>
        <v>Danko</v>
      </c>
      <c r="E72" s="31" t="str">
        <f>IF(csv!E62="","",csv!E62)</f>
        <v>Pleše</v>
      </c>
      <c r="F72" s="31" t="s">
        <v>0</v>
      </c>
      <c r="G72" s="73" t="str">
        <f>IF(csv!M62="","",csv!M62)</f>
        <v>43:55</v>
      </c>
      <c r="H72" s="73" t="str">
        <f>IF(csv!N62="","",csv!N62)</f>
        <v>0</v>
      </c>
      <c r="I72" s="31" t="s">
        <v>0</v>
      </c>
      <c r="J72" s="31" t="str">
        <f>IF(csv!P62="","",csv!P62)</f>
        <v>Vihor</v>
      </c>
      <c r="K72" s="31" t="str">
        <f>IF(csv!Q62="","",csv!Q62)</f>
        <v>OK Vihor</v>
      </c>
      <c r="L72" s="31" t="s">
        <v>0</v>
      </c>
      <c r="M72" s="66" t="str">
        <f>IF(csv!R62="","",csv!R62)</f>
        <v>CRO</v>
      </c>
      <c r="N72" s="47" t="s">
        <v>0</v>
      </c>
      <c r="O72" s="243" t="str">
        <f t="shared" si="36"/>
        <v>ok</v>
      </c>
      <c r="P72" s="47"/>
      <c r="Q72" s="52" t="str">
        <f t="shared" si="37"/>
        <v>M21B</v>
      </c>
      <c r="R72" s="73">
        <f>IF(Q72="","",IF(COUNTIF(Q$12:Q71,Q72)=0,R71+1,R71))</f>
        <v>6</v>
      </c>
      <c r="S72" s="73">
        <f t="shared" si="38"/>
        <v>108</v>
      </c>
      <c r="T72" s="73">
        <f t="shared" si="1"/>
        <v>19</v>
      </c>
      <c r="U72" s="66" t="str">
        <f t="shared" si="2"/>
        <v>M21B – M16</v>
      </c>
      <c r="V72" s="47" t="s">
        <v>0</v>
      </c>
      <c r="W72" s="222" t="str">
        <f t="shared" si="3"/>
        <v>M21B</v>
      </c>
      <c r="X72" s="223">
        <f t="shared" si="4"/>
        <v>28</v>
      </c>
      <c r="Y72" s="47" t="s">
        <v>0</v>
      </c>
      <c r="Z72" s="52" t="str">
        <f t="shared" si="39"/>
        <v>CRO</v>
      </c>
      <c r="AA72" s="73">
        <f t="shared" si="5"/>
        <v>1</v>
      </c>
      <c r="AB72" s="31" t="str">
        <f t="shared" si="40"/>
        <v/>
      </c>
      <c r="AC72" s="66" t="str">
        <f>IF(AB72="","",MAX(AC$12:AC71)+1)</f>
        <v/>
      </c>
      <c r="AD72" s="47" t="s">
        <v>0</v>
      </c>
      <c r="AE72" s="125"/>
      <c r="AF72" s="47" t="s">
        <v>0</v>
      </c>
      <c r="AG72" s="19" t="str">
        <f t="shared" si="41"/>
        <v/>
      </c>
      <c r="AH72" s="47" t="s">
        <v>0</v>
      </c>
      <c r="AI72" s="143" t="str">
        <f t="shared" si="42"/>
        <v>CRO</v>
      </c>
      <c r="AJ72" s="47"/>
      <c r="AK72" s="52" t="str">
        <f t="shared" si="43"/>
        <v>Danko</v>
      </c>
      <c r="AL72" s="31" t="str">
        <f t="shared" si="44"/>
        <v>Pleše</v>
      </c>
      <c r="AM72" s="73">
        <f t="shared" si="45"/>
        <v>1359</v>
      </c>
      <c r="AN72" s="73" t="str">
        <f t="shared" si="46"/>
        <v/>
      </c>
      <c r="AO72" s="31" t="str">
        <f t="shared" si="8"/>
        <v>Danko</v>
      </c>
      <c r="AP72" s="66" t="str">
        <f t="shared" si="9"/>
        <v>Pleše</v>
      </c>
      <c r="AQ72" s="47" t="s">
        <v>0</v>
      </c>
      <c r="AR72" s="82" t="str">
        <f t="shared" si="47"/>
        <v/>
      </c>
      <c r="AS72" s="47" t="s">
        <v>0</v>
      </c>
      <c r="AT72" s="19" t="str">
        <f t="shared" si="48"/>
        <v/>
      </c>
      <c r="AU72" s="47" t="s">
        <v>0</v>
      </c>
      <c r="AV72" s="103"/>
      <c r="AW72" s="105"/>
      <c r="AX72" s="47" t="s">
        <v>0</v>
      </c>
      <c r="AY72" s="256" t="str">
        <f t="shared" si="68"/>
        <v/>
      </c>
      <c r="AZ72" s="47" t="s">
        <v>0</v>
      </c>
      <c r="BA72" s="52" t="str">
        <f t="shared" si="11"/>
        <v/>
      </c>
      <c r="BB72" s="73" t="str">
        <f>IF(AV72&amp;AW72="","",MAX(BB$12:BB71)+1)</f>
        <v/>
      </c>
      <c r="BC72" s="268" t="str">
        <f t="shared" si="12"/>
        <v/>
      </c>
      <c r="BD72" s="53" t="str">
        <f>IF(AND(AM72="NEMA",AN72="NEMA",OR(AV72&amp;AW72="",BC72="NEMA")),MAX(BD$12:BD71)+1,"")</f>
        <v/>
      </c>
      <c r="BE72" s="47" t="s">
        <v>0</v>
      </c>
      <c r="BF72" s="52" t="str">
        <f t="shared" si="13"/>
        <v>Danko</v>
      </c>
      <c r="BG72" s="31" t="str">
        <f t="shared" si="14"/>
        <v>Pleše</v>
      </c>
      <c r="BH72" s="73" t="str">
        <f t="shared" si="49"/>
        <v/>
      </c>
      <c r="BI72" s="53">
        <f t="shared" si="50"/>
        <v>1359</v>
      </c>
      <c r="BJ72" s="47" t="s">
        <v>0</v>
      </c>
      <c r="BK72" s="52" t="str">
        <f t="shared" si="15"/>
        <v>Vihor</v>
      </c>
      <c r="BL72" s="31" t="str">
        <f t="shared" si="16"/>
        <v>OK Vihor</v>
      </c>
      <c r="BM72" s="73">
        <f t="shared" si="17"/>
        <v>12</v>
      </c>
      <c r="BN72" s="73" t="str">
        <f t="shared" si="18"/>
        <v/>
      </c>
      <c r="BO72" s="31" t="str" cm="1">
        <f t="array" ref="BO72">IF(BN72="",""&amp;BL72,IF(BN72="NEMA",BL72,INDEX(regKlub_naziv,MATCH(INDEX(regKlub_alias_klubId,BN72),regKlub_id,0))))</f>
        <v>OK Vihor</v>
      </c>
      <c r="BP72" s="31" t="str" cm="1">
        <f t="array" ref="BP72">IFERROR(""&amp;INDEX(regNatjecatelj_klub,DY72),"")</f>
        <v>OK Vihor</v>
      </c>
      <c r="BQ72" s="88" t="str">
        <f t="shared" si="51"/>
        <v/>
      </c>
      <c r="BR72" s="66" t="str">
        <f t="shared" si="52"/>
        <v>OK Vihor</v>
      </c>
      <c r="BS72" s="47" t="s">
        <v>0</v>
      </c>
      <c r="BT72" s="82" t="str">
        <f>IF(BN72&lt;&gt;"NEMA","",IF(IFERROR(MATCH(BL72,BL$12:BL71,0),0)&lt;&gt;0,"",BL72))</f>
        <v/>
      </c>
      <c r="BU72" s="47" t="s">
        <v>0</v>
      </c>
      <c r="BV72" s="125"/>
      <c r="BW72" s="47" t="s">
        <v>0</v>
      </c>
      <c r="BX72" s="58" t="str">
        <f t="shared" si="53"/>
        <v/>
      </c>
      <c r="BY72" s="31" t="str">
        <f t="shared" si="54"/>
        <v/>
      </c>
      <c r="BZ72" s="31" t="str">
        <f>IF(BY72="","",MAX(BZ$12:BZ71)+1)</f>
        <v/>
      </c>
      <c r="CA72" s="31" t="str">
        <f>IF(BY72="","",IF(AA72="","",IF(AA72="NEMA",AC72,AA72)))</f>
        <v/>
      </c>
      <c r="CB72" s="31" t="str">
        <f t="shared" si="55"/>
        <v/>
      </c>
      <c r="CC72" s="31" t="str">
        <f>IF(BV72="","",MAX(CC$12:CC71)+1)</f>
        <v/>
      </c>
      <c r="CD72" s="31" t="str">
        <f t="shared" si="56"/>
        <v/>
      </c>
      <c r="CE72" s="66" t="str">
        <f t="shared" si="57"/>
        <v/>
      </c>
      <c r="CF72" s="47" t="s">
        <v>0</v>
      </c>
      <c r="CG72" s="73" t="str">
        <f>IF(BN72="","",IF(BN72&lt;&gt;"NEMA","",IFERROR(INDEX(nat_klubAliasId,MATCH(BL72,nat_noviKluboviAliasi,0)),"")))</f>
        <v/>
      </c>
      <c r="CH72" s="47"/>
      <c r="CI72" s="19" t="str">
        <f t="shared" si="58"/>
        <v/>
      </c>
      <c r="CJ72" s="47" t="s">
        <v>0</v>
      </c>
      <c r="CK72" s="52" t="str">
        <f>IF(X72&lt;&gt;"NEMA","",IF(IFERROR(MATCH(W72,W$12:W71,0),0)&lt;&gt;0,"",W72))</f>
        <v/>
      </c>
      <c r="CL72" s="73" t="str">
        <f>IF(CK72="","",IFERROR(INDEX(regKlub_alias_id,MATCH(CK72,regKlub_alias_alias,0)),"NEMA"))</f>
        <v/>
      </c>
      <c r="CM72" s="31" t="str">
        <f>IF(OR(CL72="",CL72&lt;&gt;"NEMA"),"",MAX(CM$12:CM71)+1)</f>
        <v/>
      </c>
      <c r="CN72" s="66" t="str">
        <f>IF(OR(CL72="",CL72&lt;&gt;"NEMA"),"",INDEX(regKlub_id,MATCH(CK72,regKlub_naziv,0)))</f>
        <v/>
      </c>
      <c r="CO72" s="47" t="s">
        <v>0</v>
      </c>
      <c r="CP72" s="19" t="str">
        <f>IF(OR(CL72="",CL72&lt;&gt;"NEMA"),"","INSERT INTO klub_alias(id,alias,klub_id) VALUES ("&amp;CM72&amp;",'"&amp;CK72&amp;"',"&amp;CN72&amp;");")</f>
        <v/>
      </c>
      <c r="CQ72" s="47" t="s">
        <v>0</v>
      </c>
      <c r="CR72" s="143" t="str">
        <f>IF(BR72="","",IF(BV72="",IF(IFERROR(MATCH(BR72,nat_noviKluboviAliasi,0),0)&gt;0,INDEX(nat_kluboviAliasi,MATCH(BR72,nat_noviKluboviAliasi,0)),BR72),BV72))</f>
        <v>OK Vihor</v>
      </c>
      <c r="CS72" s="47" t="s">
        <v>0</v>
      </c>
      <c r="CT72" s="58" t="str">
        <f>IF(G72="","",G72)</f>
        <v>43:55</v>
      </c>
      <c r="CU72" s="73" t="str">
        <f>IF(H72="","",H72)</f>
        <v>0</v>
      </c>
      <c r="CV72" s="229" t="str">
        <f>IF(CT72="",IF(OR(AL72="",CU72&lt;&gt;"0"),"","GREŠKA"),IF(AND(65535&gt;=VALUE(LEFT(CT72,SEARCH(":",CT72)-1))*60+VALUE(RIGHT(CT72,2)),OR(CU72="0",CU72="1",CU72="2",CU72="3",CU72="4")),"","GREŠKA"))</f>
        <v/>
      </c>
      <c r="CW72" s="230">
        <f t="shared" si="71"/>
        <v>2635</v>
      </c>
      <c r="CX72" s="163">
        <f t="shared" si="24"/>
        <v>1</v>
      </c>
      <c r="CY72" s="47" t="s">
        <v>0</v>
      </c>
      <c r="CZ72" s="222" t="str">
        <f>IF(CV72&lt;&gt;"GREŠKA","",AK72&amp;" "&amp;AL72&amp;" – Molim u OEventu provjeriti i ispraviti rezultat – vrijeme ("&amp;IF(CT72="","nije upisano",CT72)&amp;") i classifier ("&amp;CU72&amp;").")&amp;IF(OR(CV72&lt;&gt;"GREŠKA",CX72&lt;&gt;5),"
","")&amp;IF(CX72&lt;&gt;5,"",AK72&amp;" "&amp;AL72&amp;" – Molim u provjeriti je li natjecatelj zaista diskvalificiran. Ako je koje je obrazloženje, ako nije molim u OEventu ispraviti rezultat")</f>
        <v xml:space="preserve">
</v>
      </c>
      <c r="DA72" s="223">
        <f t="shared" si="60"/>
        <v>6</v>
      </c>
      <c r="DB72" s="47" t="s">
        <v>0</v>
      </c>
      <c r="DC72" s="47"/>
      <c r="DD72" s="47"/>
      <c r="DE72" s="47"/>
      <c r="DF72" s="47" t="s">
        <v>0</v>
      </c>
      <c r="DG72" s="53" t="str">
        <f>IF(BD72="","",IF(DI72="O",1,""))</f>
        <v/>
      </c>
      <c r="DH72" t="s">
        <v>0</v>
      </c>
      <c r="DI72" s="128" t="str">
        <f>IF(Q72="","",LEFT(INDEX(regKategorija_oznaka,MATCH(S72,regKategorija_id,0)),1))</f>
        <v>M</v>
      </c>
      <c r="DJ72" t="s">
        <v>0</v>
      </c>
      <c r="DK72" s="52" t="str">
        <f>IF(BD72="","",IF(M72&lt;&gt;"CRO","","INSERT INTO osoba (id,reg_broj,oib,spol_id,dat_rodjenja) VALUES ("&amp;BD72&amp;",(SELECT max(os.reg_broj)+1 FROM osoba AS os),Null,'"&amp;DI72&amp;"',Null); INSERT INTO osoba_log (id,reg_broj,oib,spol_id,dat_rodjenja,dnevnik_id) SELECT id,reg_broj,oib,spol_id,dat_rodjenja,"&amp;data_dnevnik_id&amp;" FROM osoba WHERE id = "&amp;BD72&amp;";"))</f>
        <v/>
      </c>
      <c r="DL72" s="66" t="str">
        <f>IF(BD72="","","INSERT INTO imeprezime (id,osoba_id,rbr,ime,prezime,klub_id,identitet_id,sintaksa_id,info,aktivno,dnevnik_id) VALUES ("&amp;BD72&amp;","&amp;IF(DK72="","Null",BD72)&amp;",1,'"&amp;IF(AV72&lt;&gt;"",AV72,AK72)&amp;"','"&amp;IF(AW72&lt;&gt;"",AW72,AL72)&amp;"',(SELECT id FROM klub WHERE naziv = '"&amp;CR72&amp;"'),Null,1,'',1,"&amp;data_dnevnik_id&amp;");")</f>
        <v/>
      </c>
      <c r="DM72" t="s">
        <v>0</v>
      </c>
      <c r="DN72" s="19" t="str">
        <f t="shared" si="69"/>
        <v/>
      </c>
      <c r="DO72" s="47" t="s">
        <v>0</v>
      </c>
      <c r="DP72" s="19" t="str">
        <f>IF(BA72="","","INSERT INTO imeprezime_alias(id,alias,imeprezime_id) VALUES ("&amp;BB72&amp;",'"&amp;BA72&amp;"',"&amp;IF(BC72="NEMA",BD72,BC72)&amp;");")</f>
        <v/>
      </c>
      <c r="DQ72" s="47" t="s">
        <v>0</v>
      </c>
      <c r="DR72" s="52" t="str">
        <f>IF(AL72="","",DU72 &amp; IF(Q72="",""," – " &amp; Q72))</f>
        <v>Danko – Pleše – OK Vihor – M21B</v>
      </c>
      <c r="DS72" s="53">
        <f t="shared" si="26"/>
        <v>852</v>
      </c>
      <c r="DT72" s="47" t="s">
        <v>0</v>
      </c>
      <c r="DU72" s="52" t="str">
        <f>IF(AL72="","",DX72 &amp; IF(CR72="",""," – " &amp; CR72))</f>
        <v>Danko – Pleše – OK Vihor</v>
      </c>
      <c r="DV72" s="53">
        <f t="shared" si="27"/>
        <v>852</v>
      </c>
      <c r="DW72" s="47" t="s">
        <v>0</v>
      </c>
      <c r="DX72" s="52" t="str">
        <f>IF(BG72="","",BF72&amp;" – "&amp;BG72)</f>
        <v>Danko – Pleše</v>
      </c>
      <c r="DY72" s="53">
        <f t="shared" si="28"/>
        <v>852</v>
      </c>
      <c r="DZ72" s="47" t="s">
        <v>0</v>
      </c>
      <c r="EA72" s="58">
        <f t="shared" si="61"/>
        <v>852</v>
      </c>
      <c r="EB72" s="53" cm="1">
        <f t="array" ref="EB72">IF(EA72&lt;&gt;"",INDEX(regNatjecatelj_id,EA72,0),IF(BD72&lt;&gt;"",BD72,""))</f>
        <v>1359</v>
      </c>
      <c r="EC72" s="47" t="s">
        <v>0</v>
      </c>
      <c r="ED72" s="58" t="str">
        <f>IF(AL72="","",IF(BD72&lt;&gt;"","novo",IF(AN72="","imepre","imepre(ali)")))</f>
        <v>imepre</v>
      </c>
      <c r="EE72" s="73" t="str">
        <f>IF(AL72="","",IF(BL72="",IF(IFERROR(INDEX(regNatjecatelj_klub,MATCH(EB72,regNatjecatelj_id,0)),"NEMA")="","klu",""),IF(OR(AND(BN72&lt;&gt;"",BN72&lt;&gt;"NEMA"),CD72&lt;&gt;""),"klu(ali)",IF(AND(BP72&lt;&gt;"",BP72&lt;&gt;BO72),"(raz-klu)","klu"))))</f>
        <v>klu</v>
      </c>
      <c r="EF72" s="73" t="str">
        <f>IF(AL72="","","kat"&amp;IF(AND(W72&lt;&gt;Q72,Q72&lt;&gt;"Open"),"(ali)",""))</f>
        <v>kat</v>
      </c>
      <c r="EG72" s="73" t="str">
        <f t="shared" si="29"/>
        <v/>
      </c>
      <c r="EH72" s="66" t="str">
        <f>IF(AL72="","",ED72&amp;IF(ED72="novo","","-"&amp;EE72&amp;"-"&amp;EF72)&amp;IF(EG72="","","-"&amp;EG72))</f>
        <v>imepre-klu-kat</v>
      </c>
      <c r="EI72" s="47" t="s">
        <v>0</v>
      </c>
      <c r="EJ72" s="58">
        <f>IF(AL72="","",MAX(EJ$12:EJ71)+1)</f>
        <v>242</v>
      </c>
      <c r="EK72" s="73">
        <f>IF(AO72="","",X72)</f>
        <v>28</v>
      </c>
      <c r="EL72" s="73">
        <f t="shared" si="62"/>
        <v>1359</v>
      </c>
      <c r="EM72" s="73">
        <f t="shared" si="30"/>
        <v>2635</v>
      </c>
      <c r="EN72" s="73">
        <f t="shared" si="31"/>
        <v>1</v>
      </c>
      <c r="EO72" s="73">
        <f t="shared" si="63"/>
        <v>1</v>
      </c>
      <c r="EP72" s="73">
        <f t="shared" si="64"/>
        <v>1</v>
      </c>
      <c r="EQ72" s="73" t="str">
        <f t="shared" si="34"/>
        <v>0</v>
      </c>
      <c r="ER72" s="73" t="str">
        <f>IF(OR(AN72="",AN72="NEMA"),BB72,AN72)</f>
        <v/>
      </c>
      <c r="ES72" s="73" t="str">
        <f>IF(AND(BN72&lt;&gt;"",BN72&lt;&gt;"NEMA"),BN72,IF(CG72&lt;&gt;"",CG72,IF(AND(CL72&lt;&gt;"",CL72&lt;&gt;"NEMA"),CL72,IF(CM72&lt;&gt;"",CM72,""))))</f>
        <v/>
      </c>
      <c r="ET72" s="53" t="str">
        <f>IF(INDEX(natKategorija_alias_Id,MATCH(S72,natKategorija_katRegId,0))="","",INDEX(natKategorija_alias_Id,MATCH(S72,natKategorija_katRegId,0)))</f>
        <v/>
      </c>
      <c r="EU72" s="47" t="s">
        <v>0</v>
      </c>
      <c r="EV72" s="19" t="str">
        <f t="shared" si="65"/>
        <v>INSERT INTO rezultat(id,stazakategorija_id,imeprezime_id,vrijeme_sec,status_id,registracija,uparivanje_id,originalstatus_id,imeprezimealias_id,klubalias_id,kategorijaalias_id) VALUES (242,28,1359,2635,1,1,1,0,Null,Null,Null);</v>
      </c>
      <c r="EW72" s="47" t="s">
        <v>0</v>
      </c>
      <c r="EX72" s="19" t="str">
        <f t="shared" si="66"/>
        <v>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72" s="47" t="s">
        <v>0</v>
      </c>
      <c r="EZ72" s="180" t="str">
        <f>AG72&amp;IF(CP72="","","
")&amp;CP72&amp;IF(CI72="","","
")&amp;CI72&amp;IF(DN72="","","
")&amp;DN72&amp;IF(DP72="","","
")&amp;DP72&amp;IF(EV72="","","
")&amp;EV72&amp;IF(EX72="","","
")&amp;EX72</f>
        <v xml:space="preserve">
INSERT INTO rezultat(id,stazakategorija_id,imeprezime_id,vrijeme_sec,status_id,registracija,uparivanje_id,originalstatus_id,imeprezimealias_id,klubalias_id,kategorijaalias_id) VALUES (242,28,1359,2635,1,1,1,0,Null,Null,Null);
UPDATE
	registar
SET
	potvrda = 1
WHERE
	imeprezime_id=1359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72" s="47" t="s">
        <v>0</v>
      </c>
    </row>
    <row r="73" spans="1:157" x14ac:dyDescent="0.25">
      <c r="A73" t="s">
        <v>0</v>
      </c>
      <c r="B73" s="52" t="str">
        <f>IF(csv!F63="","",csv!T63)</f>
        <v>M21B</v>
      </c>
      <c r="C73" s="31" t="s">
        <v>0</v>
      </c>
      <c r="D73" s="31" t="str">
        <f>IF(csv!F63="","",csv!F63)</f>
        <v>Timo Vilim</v>
      </c>
      <c r="E73" s="31" t="str">
        <f>IF(csv!E63="","",csv!E63)</f>
        <v>Gobec</v>
      </c>
      <c r="F73" s="31" t="s">
        <v>0</v>
      </c>
      <c r="G73" s="73" t="str">
        <f>IF(csv!M63="","",csv!M63)</f>
        <v>45:03</v>
      </c>
      <c r="H73" s="73" t="str">
        <f>IF(csv!N63="","",csv!N63)</f>
        <v>0</v>
      </c>
      <c r="I73" s="31" t="s">
        <v>0</v>
      </c>
      <c r="J73" s="31" t="str">
        <f>IF(csv!P63="","",csv!P63)</f>
        <v>Vihor</v>
      </c>
      <c r="K73" s="31" t="str">
        <f>IF(csv!Q63="","",csv!Q63)</f>
        <v>OK Vihor</v>
      </c>
      <c r="L73" s="31" t="s">
        <v>0</v>
      </c>
      <c r="M73" s="66" t="str">
        <f>IF(csv!R63="","",csv!R63)</f>
        <v>CRO</v>
      </c>
      <c r="N73" s="47" t="s">
        <v>0</v>
      </c>
      <c r="O73" s="243" t="str">
        <f t="shared" si="36"/>
        <v>ok</v>
      </c>
      <c r="P73" s="47"/>
      <c r="Q73" s="52" t="str">
        <f t="shared" si="37"/>
        <v>M21B</v>
      </c>
      <c r="R73" s="73">
        <f>IF(Q73="","",IF(COUNTIF(Q$12:Q72,Q73)=0,R72+1,R72))</f>
        <v>6</v>
      </c>
      <c r="S73" s="73">
        <f t="shared" si="38"/>
        <v>108</v>
      </c>
      <c r="T73" s="73">
        <f t="shared" si="1"/>
        <v>19</v>
      </c>
      <c r="U73" s="66" t="str">
        <f t="shared" si="2"/>
        <v>M21B – M16</v>
      </c>
      <c r="V73" s="47" t="s">
        <v>0</v>
      </c>
      <c r="W73" s="222" t="str">
        <f t="shared" si="3"/>
        <v>M21B</v>
      </c>
      <c r="X73" s="223">
        <f t="shared" si="4"/>
        <v>28</v>
      </c>
      <c r="Y73" s="47" t="s">
        <v>0</v>
      </c>
      <c r="Z73" s="52" t="str">
        <f t="shared" si="39"/>
        <v>CRO</v>
      </c>
      <c r="AA73" s="73">
        <f t="shared" si="5"/>
        <v>1</v>
      </c>
      <c r="AB73" s="31" t="str">
        <f t="shared" si="40"/>
        <v/>
      </c>
      <c r="AC73" s="66" t="str">
        <f>IF(AB73="","",MAX(AC$12:AC72)+1)</f>
        <v/>
      </c>
      <c r="AD73" s="47" t="s">
        <v>0</v>
      </c>
      <c r="AE73" s="125"/>
      <c r="AF73" s="47" t="s">
        <v>0</v>
      </c>
      <c r="AG73" s="19" t="str">
        <f t="shared" si="41"/>
        <v/>
      </c>
      <c r="AH73" s="47" t="s">
        <v>0</v>
      </c>
      <c r="AI73" s="143" t="str">
        <f t="shared" si="42"/>
        <v>CRO</v>
      </c>
      <c r="AJ73" s="47"/>
      <c r="AK73" s="52" t="str">
        <f t="shared" si="43"/>
        <v>Timo Vilim</v>
      </c>
      <c r="AL73" s="31" t="str">
        <f t="shared" si="44"/>
        <v>Gobec</v>
      </c>
      <c r="AM73" s="73">
        <f t="shared" si="45"/>
        <v>1297</v>
      </c>
      <c r="AN73" s="73" t="str">
        <f t="shared" si="46"/>
        <v/>
      </c>
      <c r="AO73" s="31" t="str">
        <f t="shared" si="8"/>
        <v>Timo Vilim</v>
      </c>
      <c r="AP73" s="66" t="str">
        <f t="shared" si="9"/>
        <v>Gobec</v>
      </c>
      <c r="AQ73" s="47" t="s">
        <v>0</v>
      </c>
      <c r="AR73" s="82" t="str">
        <f t="shared" si="47"/>
        <v/>
      </c>
      <c r="AS73" s="47" t="s">
        <v>0</v>
      </c>
      <c r="AT73" s="19" t="str">
        <f t="shared" si="48"/>
        <v/>
      </c>
      <c r="AU73" s="47" t="s">
        <v>0</v>
      </c>
      <c r="AV73" s="103"/>
      <c r="AW73" s="105"/>
      <c r="AX73" s="47" t="s">
        <v>0</v>
      </c>
      <c r="AY73" s="256" t="str">
        <f t="shared" si="68"/>
        <v/>
      </c>
      <c r="AZ73" s="47" t="s">
        <v>0</v>
      </c>
      <c r="BA73" s="52" t="str">
        <f t="shared" si="11"/>
        <v/>
      </c>
      <c r="BB73" s="73" t="str">
        <f>IF(AV73&amp;AW73="","",MAX(BB$12:BB72)+1)</f>
        <v/>
      </c>
      <c r="BC73" s="268" t="str">
        <f t="shared" si="12"/>
        <v/>
      </c>
      <c r="BD73" s="53" t="str">
        <f>IF(AND(AM73="NEMA",AN73="NEMA",OR(AV73&amp;AW73="",BC73="NEMA")),MAX(BD$12:BD72)+1,"")</f>
        <v/>
      </c>
      <c r="BE73" s="47" t="s">
        <v>0</v>
      </c>
      <c r="BF73" s="52" t="str">
        <f t="shared" si="13"/>
        <v>Timo Vilim</v>
      </c>
      <c r="BG73" s="31" t="str">
        <f t="shared" si="14"/>
        <v>Gobec</v>
      </c>
      <c r="BH73" s="73" t="str">
        <f t="shared" si="49"/>
        <v/>
      </c>
      <c r="BI73" s="53">
        <f t="shared" si="50"/>
        <v>1297</v>
      </c>
      <c r="BJ73" s="47" t="s">
        <v>0</v>
      </c>
      <c r="BK73" s="52" t="str">
        <f t="shared" si="15"/>
        <v>Vihor</v>
      </c>
      <c r="BL73" s="31" t="str">
        <f t="shared" si="16"/>
        <v>OK Vihor</v>
      </c>
      <c r="BM73" s="73">
        <f t="shared" si="17"/>
        <v>12</v>
      </c>
      <c r="BN73" s="73" t="str">
        <f t="shared" si="18"/>
        <v/>
      </c>
      <c r="BO73" s="31" t="str" cm="1">
        <f t="array" ref="BO73">IF(BN73="",""&amp;BL73,IF(BN73="NEMA",BL73,INDEX(regKlub_naziv,MATCH(INDEX(regKlub_alias_klubId,BN73),regKlub_id,0))))</f>
        <v>OK Vihor</v>
      </c>
      <c r="BP73" s="31" t="str" cm="1">
        <f t="array" ref="BP73">IFERROR(""&amp;INDEX(regNatjecatelj_klub,DY73),"")</f>
        <v>OK Vihor</v>
      </c>
      <c r="BQ73" s="88" t="str">
        <f t="shared" si="51"/>
        <v/>
      </c>
      <c r="BR73" s="66" t="str">
        <f t="shared" si="52"/>
        <v>OK Vihor</v>
      </c>
      <c r="BS73" s="47" t="s">
        <v>0</v>
      </c>
      <c r="BT73" s="82" t="str">
        <f>IF(BN73&lt;&gt;"NEMA","",IF(IFERROR(MATCH(BL73,BL$12:BL72,0),0)&lt;&gt;0,"",BL73))</f>
        <v/>
      </c>
      <c r="BU73" s="47" t="s">
        <v>0</v>
      </c>
      <c r="BV73" s="125"/>
      <c r="BW73" s="47" t="s">
        <v>0</v>
      </c>
      <c r="BX73" s="58" t="str">
        <f t="shared" si="53"/>
        <v/>
      </c>
      <c r="BY73" s="31" t="str">
        <f t="shared" si="54"/>
        <v/>
      </c>
      <c r="BZ73" s="31" t="str">
        <f>IF(BY73="","",MAX(BZ$12:BZ72)+1)</f>
        <v/>
      </c>
      <c r="CA73" s="31" t="str">
        <f>IF(BY73="","",IF(AA73="","",IF(AA73="NEMA",AC73,AA73)))</f>
        <v/>
      </c>
      <c r="CB73" s="31" t="str">
        <f t="shared" si="55"/>
        <v/>
      </c>
      <c r="CC73" s="31" t="str">
        <f>IF(BV73="","",MAX(CC$12:CC72)+1)</f>
        <v/>
      </c>
      <c r="CD73" s="31" t="str">
        <f t="shared" si="56"/>
        <v/>
      </c>
      <c r="CE73" s="66" t="str">
        <f t="shared" si="57"/>
        <v/>
      </c>
      <c r="CF73" s="47" t="s">
        <v>0</v>
      </c>
      <c r="CG73" s="73" t="str">
        <f>IF(BN73="","",IF(BN73&lt;&gt;"NEMA","",IFERROR(INDEX(nat_klubAliasId,MATCH(BL73,nat_noviKluboviAliasi,0)),"")))</f>
        <v/>
      </c>
      <c r="CH73" s="47"/>
      <c r="CI73" s="19" t="str">
        <f t="shared" si="58"/>
        <v/>
      </c>
      <c r="CJ73" s="47" t="s">
        <v>0</v>
      </c>
      <c r="CK73" s="52" t="str">
        <f>IF(X73&lt;&gt;"NEMA","",IF(IFERROR(MATCH(W73,W$12:W72,0),0)&lt;&gt;0,"",W73))</f>
        <v/>
      </c>
      <c r="CL73" s="73" t="str">
        <f>IF(CK73="","",IFERROR(INDEX(regKlub_alias_id,MATCH(CK73,regKlub_alias_alias,0)),"NEMA"))</f>
        <v/>
      </c>
      <c r="CM73" s="31" t="str">
        <f>IF(OR(CL73="",CL73&lt;&gt;"NEMA"),"",MAX(CM$12:CM72)+1)</f>
        <v/>
      </c>
      <c r="CN73" s="66" t="str">
        <f>IF(OR(CL73="",CL73&lt;&gt;"NEMA"),"",INDEX(regKlub_id,MATCH(CK73,regKlub_naziv,0)))</f>
        <v/>
      </c>
      <c r="CO73" s="47" t="s">
        <v>0</v>
      </c>
      <c r="CP73" s="19" t="str">
        <f>IF(OR(CL73="",CL73&lt;&gt;"NEMA"),"","INSERT INTO klub_alias(id,alias,klub_id) VALUES ("&amp;CM73&amp;",'"&amp;CK73&amp;"',"&amp;CN73&amp;");")</f>
        <v/>
      </c>
      <c r="CQ73" s="47" t="s">
        <v>0</v>
      </c>
      <c r="CR73" s="143" t="str">
        <f>IF(BR73="","",IF(BV73="",IF(IFERROR(MATCH(BR73,nat_noviKluboviAliasi,0),0)&gt;0,INDEX(nat_kluboviAliasi,MATCH(BR73,nat_noviKluboviAliasi,0)),BR73),BV73))</f>
        <v>OK Vihor</v>
      </c>
      <c r="CS73" s="47" t="s">
        <v>0</v>
      </c>
      <c r="CT73" s="58" t="str">
        <f>IF(G73="","",G73)</f>
        <v>45:03</v>
      </c>
      <c r="CU73" s="73" t="str">
        <f>IF(H73="","",H73)</f>
        <v>0</v>
      </c>
      <c r="CV73" s="229" t="str">
        <f>IF(CT73="",IF(OR(AL73="",CU73&lt;&gt;"0"),"","GREŠKA"),IF(AND(65535&gt;=VALUE(LEFT(CT73,SEARCH(":",CT73)-1))*60+VALUE(RIGHT(CT73,2)),OR(CU73="0",CU73="1",CU73="2",CU73="3",CU73="4")),"","GREŠKA"))</f>
        <v/>
      </c>
      <c r="CW73" s="230">
        <f t="shared" si="71"/>
        <v>2703</v>
      </c>
      <c r="CX73" s="163">
        <f t="shared" si="24"/>
        <v>1</v>
      </c>
      <c r="CY73" s="47" t="s">
        <v>0</v>
      </c>
      <c r="CZ73" s="222" t="str">
        <f>IF(CV73&lt;&gt;"GREŠKA","",AK73&amp;" "&amp;AL73&amp;" – Molim u OEventu provjeriti i ispraviti rezultat – vrijeme ("&amp;IF(CT73="","nije upisano",CT73)&amp;") i classifier ("&amp;CU73&amp;").")&amp;IF(OR(CV73&lt;&gt;"GREŠKA",CX73&lt;&gt;5),"
","")&amp;IF(CX73&lt;&gt;5,"",AK73&amp;" "&amp;AL73&amp;" – Molim u provjeriti je li natjecatelj zaista diskvalificiran. Ako je koje je obrazloženje, ako nije molim u OEventu ispraviti rezultat")</f>
        <v xml:space="preserve">
</v>
      </c>
      <c r="DA73" s="223">
        <f t="shared" si="60"/>
        <v>6</v>
      </c>
      <c r="DB73" s="47" t="s">
        <v>0</v>
      </c>
      <c r="DC73" s="47"/>
      <c r="DD73" s="47"/>
      <c r="DE73" s="47"/>
      <c r="DF73" s="47" t="s">
        <v>0</v>
      </c>
      <c r="DG73" s="53" t="str">
        <f>IF(BD73="","",IF(DI73="O",1,""))</f>
        <v/>
      </c>
      <c r="DH73" t="s">
        <v>0</v>
      </c>
      <c r="DI73" s="128" t="str">
        <f>IF(Q73="","",LEFT(INDEX(regKategorija_oznaka,MATCH(S73,regKategorija_id,0)),1))</f>
        <v>M</v>
      </c>
      <c r="DJ73" t="s">
        <v>0</v>
      </c>
      <c r="DK73" s="52" t="str">
        <f>IF(BD73="","",IF(M73&lt;&gt;"CRO","","INSERT INTO osoba (id,reg_broj,oib,spol_id,dat_rodjenja) VALUES ("&amp;BD73&amp;",(SELECT max(os.reg_broj)+1 FROM osoba AS os),Null,'"&amp;DI73&amp;"',Null); INSERT INTO osoba_log (id,reg_broj,oib,spol_id,dat_rodjenja,dnevnik_id) SELECT id,reg_broj,oib,spol_id,dat_rodjenja,"&amp;data_dnevnik_id&amp;" FROM osoba WHERE id = "&amp;BD73&amp;";"))</f>
        <v/>
      </c>
      <c r="DL73" s="66" t="str">
        <f>IF(BD73="","","INSERT INTO imeprezime (id,osoba_id,rbr,ime,prezime,klub_id,identitet_id,sintaksa_id,info,aktivno,dnevnik_id) VALUES ("&amp;BD73&amp;","&amp;IF(DK73="","Null",BD73)&amp;",1,'"&amp;IF(AV73&lt;&gt;"",AV73,AK73)&amp;"','"&amp;IF(AW73&lt;&gt;"",AW73,AL73)&amp;"',(SELECT id FROM klub WHERE naziv = '"&amp;CR73&amp;"'),Null,1,'',1,"&amp;data_dnevnik_id&amp;");")</f>
        <v/>
      </c>
      <c r="DM73" t="s">
        <v>0</v>
      </c>
      <c r="DN73" s="19" t="str">
        <f t="shared" si="69"/>
        <v/>
      </c>
      <c r="DO73" s="47" t="s">
        <v>0</v>
      </c>
      <c r="DP73" s="19" t="str">
        <f>IF(BA73="","","INSERT INTO imeprezime_alias(id,alias,imeprezime_id) VALUES ("&amp;BB73&amp;",'"&amp;BA73&amp;"',"&amp;IF(BC73="NEMA",BD73,BC73)&amp;");")</f>
        <v/>
      </c>
      <c r="DQ73" s="47" t="s">
        <v>0</v>
      </c>
      <c r="DR73" s="52" t="str">
        <f>IF(AL73="","",DU73 &amp; IF(Q73="",""," – " &amp; Q73))</f>
        <v>Timo Vilim – Gobec – OK Vihor – M21B</v>
      </c>
      <c r="DS73" s="53">
        <f t="shared" si="26"/>
        <v>680</v>
      </c>
      <c r="DT73" s="47" t="s">
        <v>0</v>
      </c>
      <c r="DU73" s="52" t="str">
        <f>IF(AL73="","",DX73 &amp; IF(CR73="",""," – " &amp; CR73))</f>
        <v>Timo Vilim – Gobec – OK Vihor</v>
      </c>
      <c r="DV73" s="53">
        <f t="shared" si="27"/>
        <v>680</v>
      </c>
      <c r="DW73" s="47" t="s">
        <v>0</v>
      </c>
      <c r="DX73" s="52" t="str">
        <f>IF(BG73="","",BF73&amp;" – "&amp;BG73)</f>
        <v>Timo Vilim – Gobec</v>
      </c>
      <c r="DY73" s="53">
        <f t="shared" si="28"/>
        <v>680</v>
      </c>
      <c r="DZ73" s="47" t="s">
        <v>0</v>
      </c>
      <c r="EA73" s="58">
        <f t="shared" si="61"/>
        <v>680</v>
      </c>
      <c r="EB73" s="53" cm="1">
        <f t="array" ref="EB73">IF(EA73&lt;&gt;"",INDEX(regNatjecatelj_id,EA73,0),IF(BD73&lt;&gt;"",BD73,""))</f>
        <v>1297</v>
      </c>
      <c r="EC73" s="47" t="s">
        <v>0</v>
      </c>
      <c r="ED73" s="58" t="str">
        <f>IF(AL73="","",IF(BD73&lt;&gt;"","novo",IF(AN73="","imepre","imepre(ali)")))</f>
        <v>imepre</v>
      </c>
      <c r="EE73" s="73" t="str">
        <f>IF(AL73="","",IF(BL73="",IF(IFERROR(INDEX(regNatjecatelj_klub,MATCH(EB73,regNatjecatelj_id,0)),"NEMA")="","klu",""),IF(OR(AND(BN73&lt;&gt;"",BN73&lt;&gt;"NEMA"),CD73&lt;&gt;""),"klu(ali)",IF(AND(BP73&lt;&gt;"",BP73&lt;&gt;BO73),"(raz-klu)","klu"))))</f>
        <v>klu</v>
      </c>
      <c r="EF73" s="73" t="str">
        <f>IF(AL73="","","kat"&amp;IF(AND(W73&lt;&gt;Q73,Q73&lt;&gt;"Open"),"(ali)",""))</f>
        <v>kat</v>
      </c>
      <c r="EG73" s="73" t="str">
        <f t="shared" si="29"/>
        <v/>
      </c>
      <c r="EH73" s="66" t="str">
        <f>IF(AL73="","",ED73&amp;IF(ED73="novo","","-"&amp;EE73&amp;"-"&amp;EF73)&amp;IF(EG73="","","-"&amp;EG73))</f>
        <v>imepre-klu-kat</v>
      </c>
      <c r="EI73" s="47" t="s">
        <v>0</v>
      </c>
      <c r="EJ73" s="58">
        <f>IF(AL73="","",MAX(EJ$12:EJ72)+1)</f>
        <v>243</v>
      </c>
      <c r="EK73" s="73">
        <f>IF(AO73="","",X73)</f>
        <v>28</v>
      </c>
      <c r="EL73" s="73">
        <f t="shared" si="62"/>
        <v>1297</v>
      </c>
      <c r="EM73" s="73">
        <f t="shared" si="30"/>
        <v>2703</v>
      </c>
      <c r="EN73" s="73">
        <f t="shared" si="31"/>
        <v>1</v>
      </c>
      <c r="EO73" s="73">
        <f t="shared" si="63"/>
        <v>1</v>
      </c>
      <c r="EP73" s="73">
        <f t="shared" si="64"/>
        <v>1</v>
      </c>
      <c r="EQ73" s="73" t="str">
        <f t="shared" si="34"/>
        <v>0</v>
      </c>
      <c r="ER73" s="73" t="str">
        <f>IF(OR(AN73="",AN73="NEMA"),BB73,AN73)</f>
        <v/>
      </c>
      <c r="ES73" s="73" t="str">
        <f>IF(AND(BN73&lt;&gt;"",BN73&lt;&gt;"NEMA"),BN73,IF(CG73&lt;&gt;"",CG73,IF(AND(CL73&lt;&gt;"",CL73&lt;&gt;"NEMA"),CL73,IF(CM73&lt;&gt;"",CM73,""))))</f>
        <v/>
      </c>
      <c r="ET73" s="53" t="str">
        <f>IF(INDEX(natKategorija_alias_Id,MATCH(S73,natKategorija_katRegId,0))="","",INDEX(natKategorija_alias_Id,MATCH(S73,natKategorija_katRegId,0)))</f>
        <v/>
      </c>
      <c r="EU73" s="47" t="s">
        <v>0</v>
      </c>
      <c r="EV73" s="19" t="str">
        <f t="shared" si="65"/>
        <v>INSERT INTO rezultat(id,stazakategorija_id,imeprezime_id,vrijeme_sec,status_id,registracija,uparivanje_id,originalstatus_id,imeprezimealias_id,klubalias_id,kategorijaalias_id) VALUES (243,28,1297,2703,1,1,1,0,Null,Null,Null);</v>
      </c>
      <c r="EW73" s="47" t="s">
        <v>0</v>
      </c>
      <c r="EX73" s="19" t="str">
        <f t="shared" si="66"/>
        <v>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73" s="47" t="s">
        <v>0</v>
      </c>
      <c r="EZ73" s="180" t="str">
        <f>AG73&amp;IF(CP73="","","
")&amp;CP73&amp;IF(CI73="","","
")&amp;CI73&amp;IF(DN73="","","
")&amp;DN73&amp;IF(DP73="","","
")&amp;DP73&amp;IF(EV73="","","
")&amp;EV73&amp;IF(EX73="","","
")&amp;EX73</f>
        <v xml:space="preserve">
INSERT INTO rezultat(id,stazakategorija_id,imeprezime_id,vrijeme_sec,status_id,registracija,uparivanje_id,originalstatus_id,imeprezimealias_id,klubalias_id,kategorijaalias_id) VALUES (243,28,1297,2703,1,1,1,0,Null,Null,Null);
UPDATE
	registar
SET
	potvrda = 1
WHERE
	imeprezime_id=1297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73" s="47" t="s">
        <v>0</v>
      </c>
    </row>
    <row r="74" spans="1:157" x14ac:dyDescent="0.25">
      <c r="A74" t="s">
        <v>0</v>
      </c>
      <c r="B74" s="52" t="str">
        <f>IF(csv!F64="","",csv!T64)</f>
        <v>M21B</v>
      </c>
      <c r="C74" s="31" t="s">
        <v>0</v>
      </c>
      <c r="D74" s="31" t="str">
        <f>IF(csv!F64="","",csv!F64)</f>
        <v>Matija</v>
      </c>
      <c r="E74" s="31" t="str">
        <f>IF(csv!E64="","",csv!E64)</f>
        <v>Kučinac</v>
      </c>
      <c r="F74" s="31" t="s">
        <v>0</v>
      </c>
      <c r="G74" s="73" t="str">
        <f>IF(csv!M64="","",csv!M64)</f>
        <v>45:11</v>
      </c>
      <c r="H74" s="73" t="str">
        <f>IF(csv!N64="","",csv!N64)</f>
        <v>0</v>
      </c>
      <c r="I74" s="31" t="s">
        <v>0</v>
      </c>
      <c r="J74" s="31" t="str">
        <f>IF(csv!P64="","",csv!P64)</f>
        <v>Vihor</v>
      </c>
      <c r="K74" s="31" t="str">
        <f>IF(csv!Q64="","",csv!Q64)</f>
        <v>OK Vihor</v>
      </c>
      <c r="L74" s="31" t="s">
        <v>0</v>
      </c>
      <c r="M74" s="66" t="str">
        <f>IF(csv!R64="","",csv!R64)</f>
        <v>CRO</v>
      </c>
      <c r="N74" s="47" t="s">
        <v>0</v>
      </c>
      <c r="O74" s="243" t="str">
        <f t="shared" si="36"/>
        <v>ok</v>
      </c>
      <c r="P74" s="47"/>
      <c r="Q74" s="52" t="str">
        <f t="shared" si="37"/>
        <v>M21B</v>
      </c>
      <c r="R74" s="73">
        <f>IF(Q74="","",IF(COUNTIF(Q$12:Q73,Q74)=0,R73+1,R73))</f>
        <v>6</v>
      </c>
      <c r="S74" s="73">
        <f t="shared" si="38"/>
        <v>108</v>
      </c>
      <c r="T74" s="73">
        <f t="shared" si="1"/>
        <v>19</v>
      </c>
      <c r="U74" s="66" t="str">
        <f t="shared" si="2"/>
        <v>M21B – M16</v>
      </c>
      <c r="V74" s="47" t="s">
        <v>0</v>
      </c>
      <c r="W74" s="222" t="str">
        <f t="shared" si="3"/>
        <v>M21B</v>
      </c>
      <c r="X74" s="223">
        <f t="shared" si="4"/>
        <v>28</v>
      </c>
      <c r="Y74" s="47" t="s">
        <v>0</v>
      </c>
      <c r="Z74" s="52" t="str">
        <f t="shared" si="39"/>
        <v>CRO</v>
      </c>
      <c r="AA74" s="73">
        <f t="shared" si="5"/>
        <v>1</v>
      </c>
      <c r="AB74" s="31" t="str">
        <f t="shared" si="40"/>
        <v/>
      </c>
      <c r="AC74" s="66" t="str">
        <f>IF(AB74="","",MAX(AC$12:AC73)+1)</f>
        <v/>
      </c>
      <c r="AD74" s="47" t="s">
        <v>0</v>
      </c>
      <c r="AE74" s="125"/>
      <c r="AF74" s="47" t="s">
        <v>0</v>
      </c>
      <c r="AG74" s="19" t="str">
        <f t="shared" si="41"/>
        <v/>
      </c>
      <c r="AH74" s="47" t="s">
        <v>0</v>
      </c>
      <c r="AI74" s="143" t="str">
        <f t="shared" si="42"/>
        <v>CRO</v>
      </c>
      <c r="AJ74" s="47"/>
      <c r="AK74" s="52" t="str">
        <f t="shared" si="43"/>
        <v>Matija</v>
      </c>
      <c r="AL74" s="31" t="str">
        <f t="shared" si="44"/>
        <v>Kučinac</v>
      </c>
      <c r="AM74" s="73">
        <f t="shared" si="45"/>
        <v>1489</v>
      </c>
      <c r="AN74" s="73" t="str">
        <f t="shared" si="46"/>
        <v/>
      </c>
      <c r="AO74" s="31" t="str">
        <f t="shared" si="8"/>
        <v>Matija</v>
      </c>
      <c r="AP74" s="66" t="str">
        <f t="shared" si="9"/>
        <v>Kučinac</v>
      </c>
      <c r="AQ74" s="47" t="s">
        <v>0</v>
      </c>
      <c r="AR74" s="82" t="str">
        <f t="shared" si="47"/>
        <v/>
      </c>
      <c r="AS74" s="47" t="s">
        <v>0</v>
      </c>
      <c r="AT74" s="19" t="str">
        <f t="shared" si="48"/>
        <v/>
      </c>
      <c r="AU74" s="47" t="s">
        <v>0</v>
      </c>
      <c r="AV74" s="103"/>
      <c r="AW74" s="105"/>
      <c r="AX74" s="47" t="s">
        <v>0</v>
      </c>
      <c r="AY74" s="256" t="str">
        <f t="shared" si="68"/>
        <v/>
      </c>
      <c r="AZ74" s="47" t="s">
        <v>0</v>
      </c>
      <c r="BA74" s="52" t="str">
        <f t="shared" si="11"/>
        <v/>
      </c>
      <c r="BB74" s="73" t="str">
        <f>IF(AV74&amp;AW74="","",MAX(BB$12:BB73)+1)</f>
        <v/>
      </c>
      <c r="BC74" s="268" t="str">
        <f t="shared" si="12"/>
        <v/>
      </c>
      <c r="BD74" s="53" t="str">
        <f>IF(AND(AM74="NEMA",AN74="NEMA",OR(AV74&amp;AW74="",BC74="NEMA")),MAX(BD$12:BD73)+1,"")</f>
        <v/>
      </c>
      <c r="BE74" s="47" t="s">
        <v>0</v>
      </c>
      <c r="BF74" s="52" t="str">
        <f t="shared" si="13"/>
        <v>Matija</v>
      </c>
      <c r="BG74" s="31" t="str">
        <f t="shared" si="14"/>
        <v>Kučinac</v>
      </c>
      <c r="BH74" s="73" t="str">
        <f t="shared" si="49"/>
        <v/>
      </c>
      <c r="BI74" s="53">
        <f t="shared" si="50"/>
        <v>1489</v>
      </c>
      <c r="BJ74" s="47" t="s">
        <v>0</v>
      </c>
      <c r="BK74" s="52" t="str">
        <f t="shared" si="15"/>
        <v>Vihor</v>
      </c>
      <c r="BL74" s="31" t="str">
        <f t="shared" si="16"/>
        <v>OK Vihor</v>
      </c>
      <c r="BM74" s="73">
        <f t="shared" si="17"/>
        <v>12</v>
      </c>
      <c r="BN74" s="73" t="str">
        <f t="shared" si="18"/>
        <v/>
      </c>
      <c r="BO74" s="31" t="str" cm="1">
        <f t="array" ref="BO74">IF(BN74="",""&amp;BL74,IF(BN74="NEMA",BL74,INDEX(regKlub_naziv,MATCH(INDEX(regKlub_alias_klubId,BN74),regKlub_id,0))))</f>
        <v>OK Vihor</v>
      </c>
      <c r="BP74" s="31" t="str" cm="1">
        <f t="array" ref="BP74">IFERROR(""&amp;INDEX(regNatjecatelj_klub,DY74),"")</f>
        <v>OK Vihor</v>
      </c>
      <c r="BQ74" s="88" t="str">
        <f t="shared" si="51"/>
        <v/>
      </c>
      <c r="BR74" s="66" t="str">
        <f t="shared" si="52"/>
        <v>OK Vihor</v>
      </c>
      <c r="BS74" s="47" t="s">
        <v>0</v>
      </c>
      <c r="BT74" s="82" t="str">
        <f>IF(BN74&lt;&gt;"NEMA","",IF(IFERROR(MATCH(BL74,BL$12:BL73,0),0)&lt;&gt;0,"",BL74))</f>
        <v/>
      </c>
      <c r="BU74" s="47" t="s">
        <v>0</v>
      </c>
      <c r="BV74" s="125"/>
      <c r="BW74" s="47" t="s">
        <v>0</v>
      </c>
      <c r="BX74" s="58" t="str">
        <f t="shared" si="53"/>
        <v/>
      </c>
      <c r="BY74" s="31" t="str">
        <f t="shared" si="54"/>
        <v/>
      </c>
      <c r="BZ74" s="31" t="str">
        <f>IF(BY74="","",MAX(BZ$12:BZ73)+1)</f>
        <v/>
      </c>
      <c r="CA74" s="31" t="str">
        <f>IF(BY74="","",IF(AA74="","",IF(AA74="NEMA",AC74,AA74)))</f>
        <v/>
      </c>
      <c r="CB74" s="31" t="str">
        <f t="shared" si="55"/>
        <v/>
      </c>
      <c r="CC74" s="31" t="str">
        <f>IF(BV74="","",MAX(CC$12:CC73)+1)</f>
        <v/>
      </c>
      <c r="CD74" s="31" t="str">
        <f t="shared" si="56"/>
        <v/>
      </c>
      <c r="CE74" s="66" t="str">
        <f t="shared" si="57"/>
        <v/>
      </c>
      <c r="CF74" s="47" t="s">
        <v>0</v>
      </c>
      <c r="CG74" s="73" t="str">
        <f>IF(BN74="","",IF(BN74&lt;&gt;"NEMA","",IFERROR(INDEX(nat_klubAliasId,MATCH(BL74,nat_noviKluboviAliasi,0)),"")))</f>
        <v/>
      </c>
      <c r="CH74" s="47"/>
      <c r="CI74" s="19" t="str">
        <f t="shared" si="58"/>
        <v/>
      </c>
      <c r="CJ74" s="47" t="s">
        <v>0</v>
      </c>
      <c r="CK74" s="52" t="str">
        <f>IF(X74&lt;&gt;"NEMA","",IF(IFERROR(MATCH(W74,W$12:W73,0),0)&lt;&gt;0,"",W74))</f>
        <v/>
      </c>
      <c r="CL74" s="73" t="str">
        <f>IF(CK74="","",IFERROR(INDEX(regKlub_alias_id,MATCH(CK74,regKlub_alias_alias,0)),"NEMA"))</f>
        <v/>
      </c>
      <c r="CM74" s="31" t="str">
        <f>IF(OR(CL74="",CL74&lt;&gt;"NEMA"),"",MAX(CM$12:CM73)+1)</f>
        <v/>
      </c>
      <c r="CN74" s="66" t="str">
        <f>IF(OR(CL74="",CL74&lt;&gt;"NEMA"),"",INDEX(regKlub_id,MATCH(CK74,regKlub_naziv,0)))</f>
        <v/>
      </c>
      <c r="CO74" s="47" t="s">
        <v>0</v>
      </c>
      <c r="CP74" s="19" t="str">
        <f>IF(OR(CL74="",CL74&lt;&gt;"NEMA"),"","INSERT INTO klub_alias(id,alias,klub_id) VALUES ("&amp;CM74&amp;",'"&amp;CK74&amp;"',"&amp;CN74&amp;");")</f>
        <v/>
      </c>
      <c r="CQ74" s="47" t="s">
        <v>0</v>
      </c>
      <c r="CR74" s="143" t="str">
        <f>IF(BR74="","",IF(BV74="",IF(IFERROR(MATCH(BR74,nat_noviKluboviAliasi,0),0)&gt;0,INDEX(nat_kluboviAliasi,MATCH(BR74,nat_noviKluboviAliasi,0)),BR74),BV74))</f>
        <v>OK Vihor</v>
      </c>
      <c r="CS74" s="47" t="s">
        <v>0</v>
      </c>
      <c r="CT74" s="58" t="str">
        <f>IF(G74="","",G74)</f>
        <v>45:11</v>
      </c>
      <c r="CU74" s="73" t="str">
        <f>IF(H74="","",H74)</f>
        <v>0</v>
      </c>
      <c r="CV74" s="229" t="str">
        <f>IF(CT74="",IF(OR(AL74="",CU74&lt;&gt;"0"),"","GREŠKA"),IF(AND(65535&gt;=VALUE(LEFT(CT74,SEARCH(":",CT74)-1))*60+VALUE(RIGHT(CT74,2)),OR(CU74="0",CU74="1",CU74="2",CU74="3",CU74="4")),"","GREŠKA"))</f>
        <v/>
      </c>
      <c r="CW74" s="230">
        <f t="shared" si="71"/>
        <v>2711</v>
      </c>
      <c r="CX74" s="163">
        <f t="shared" si="24"/>
        <v>1</v>
      </c>
      <c r="CY74" s="47" t="s">
        <v>0</v>
      </c>
      <c r="CZ74" s="222" t="str">
        <f>IF(CV74&lt;&gt;"GREŠKA","",AK74&amp;" "&amp;AL74&amp;" – Molim u OEventu provjeriti i ispraviti rezultat – vrijeme ("&amp;IF(CT74="","nije upisano",CT74)&amp;") i classifier ("&amp;CU74&amp;").")&amp;IF(OR(CV74&lt;&gt;"GREŠKA",CX74&lt;&gt;5),"
","")&amp;IF(CX74&lt;&gt;5,"",AK74&amp;" "&amp;AL74&amp;" – Molim u provjeriti je li natjecatelj zaista diskvalificiran. Ako je koje je obrazloženje, ako nije molim u OEventu ispraviti rezultat")</f>
        <v xml:space="preserve">
</v>
      </c>
      <c r="DA74" s="223">
        <f t="shared" si="60"/>
        <v>6</v>
      </c>
      <c r="DB74" s="47" t="s">
        <v>0</v>
      </c>
      <c r="DC74" s="47"/>
      <c r="DD74" s="47"/>
      <c r="DE74" s="47"/>
      <c r="DF74" s="47" t="s">
        <v>0</v>
      </c>
      <c r="DG74" s="53" t="str">
        <f>IF(BD74="","",IF(DI74="O",1,""))</f>
        <v/>
      </c>
      <c r="DH74" t="s">
        <v>0</v>
      </c>
      <c r="DI74" s="128" t="str">
        <f>IF(Q74="","",LEFT(INDEX(regKategorija_oznaka,MATCH(S74,regKategorija_id,0)),1))</f>
        <v>M</v>
      </c>
      <c r="DJ74" t="s">
        <v>0</v>
      </c>
      <c r="DK74" s="52" t="str">
        <f>IF(BD74="","",IF(M74&lt;&gt;"CRO","","INSERT INTO osoba (id,reg_broj,oib,spol_id,dat_rodjenja) VALUES ("&amp;BD74&amp;",(SELECT max(os.reg_broj)+1 FROM osoba AS os),Null,'"&amp;DI74&amp;"',Null); INSERT INTO osoba_log (id,reg_broj,oib,spol_id,dat_rodjenja,dnevnik_id) SELECT id,reg_broj,oib,spol_id,dat_rodjenja,"&amp;data_dnevnik_id&amp;" FROM osoba WHERE id = "&amp;BD74&amp;";"))</f>
        <v/>
      </c>
      <c r="DL74" s="66" t="str">
        <f>IF(BD74="","","INSERT INTO imeprezime (id,osoba_id,rbr,ime,prezime,klub_id,identitet_id,sintaksa_id,info,aktivno,dnevnik_id) VALUES ("&amp;BD74&amp;","&amp;IF(DK74="","Null",BD74)&amp;",1,'"&amp;IF(AV74&lt;&gt;"",AV74,AK74)&amp;"','"&amp;IF(AW74&lt;&gt;"",AW74,AL74)&amp;"',(SELECT id FROM klub WHERE naziv = '"&amp;CR74&amp;"'),Null,1,'',1,"&amp;data_dnevnik_id&amp;");")</f>
        <v/>
      </c>
      <c r="DM74" t="s">
        <v>0</v>
      </c>
      <c r="DN74" s="19" t="str">
        <f t="shared" si="69"/>
        <v/>
      </c>
      <c r="DO74" s="47" t="s">
        <v>0</v>
      </c>
      <c r="DP74" s="19" t="str">
        <f>IF(BA74="","","INSERT INTO imeprezime_alias(id,alias,imeprezime_id) VALUES ("&amp;BB74&amp;",'"&amp;BA74&amp;"',"&amp;IF(BC74="NEMA",BD74,BC74)&amp;");")</f>
        <v/>
      </c>
      <c r="DQ74" s="47" t="s">
        <v>0</v>
      </c>
      <c r="DR74" s="52" t="str">
        <f>IF(AL74="","",DU74 &amp; IF(Q74="",""," – " &amp; Q74))</f>
        <v>Matija – Kučinac – OK Vihor – M21B</v>
      </c>
      <c r="DS74" s="53">
        <f t="shared" si="26"/>
        <v>761</v>
      </c>
      <c r="DT74" s="47" t="s">
        <v>0</v>
      </c>
      <c r="DU74" s="52" t="str">
        <f>IF(AL74="","",DX74 &amp; IF(CR74="",""," – " &amp; CR74))</f>
        <v>Matija – Kučinac – OK Vihor</v>
      </c>
      <c r="DV74" s="53">
        <f t="shared" si="27"/>
        <v>761</v>
      </c>
      <c r="DW74" s="47" t="s">
        <v>0</v>
      </c>
      <c r="DX74" s="52" t="str">
        <f>IF(BG74="","",BF74&amp;" – "&amp;BG74)</f>
        <v>Matija – Kučinac</v>
      </c>
      <c r="DY74" s="53">
        <f t="shared" si="28"/>
        <v>761</v>
      </c>
      <c r="DZ74" s="47" t="s">
        <v>0</v>
      </c>
      <c r="EA74" s="58">
        <f t="shared" si="61"/>
        <v>761</v>
      </c>
      <c r="EB74" s="53" cm="1">
        <f t="array" ref="EB74">IF(EA74&lt;&gt;"",INDEX(regNatjecatelj_id,EA74,0),IF(BD74&lt;&gt;"",BD74,""))</f>
        <v>1489</v>
      </c>
      <c r="EC74" s="47" t="s">
        <v>0</v>
      </c>
      <c r="ED74" s="58" t="str">
        <f>IF(AL74="","",IF(BD74&lt;&gt;"","novo",IF(AN74="","imepre","imepre(ali)")))</f>
        <v>imepre</v>
      </c>
      <c r="EE74" s="73" t="str">
        <f>IF(AL74="","",IF(BL74="",IF(IFERROR(INDEX(regNatjecatelj_klub,MATCH(EB74,regNatjecatelj_id,0)),"NEMA")="","klu",""),IF(OR(AND(BN74&lt;&gt;"",BN74&lt;&gt;"NEMA"),CD74&lt;&gt;""),"klu(ali)",IF(AND(BP74&lt;&gt;"",BP74&lt;&gt;BO74),"(raz-klu)","klu"))))</f>
        <v>klu</v>
      </c>
      <c r="EF74" s="73" t="str">
        <f>IF(AL74="","","kat"&amp;IF(AND(W74&lt;&gt;Q74,Q74&lt;&gt;"Open"),"(ali)",""))</f>
        <v>kat</v>
      </c>
      <c r="EG74" s="73" t="str">
        <f t="shared" si="29"/>
        <v/>
      </c>
      <c r="EH74" s="66" t="str">
        <f>IF(AL74="","",ED74&amp;IF(ED74="novo","","-"&amp;EE74&amp;"-"&amp;EF74)&amp;IF(EG74="","","-"&amp;EG74))</f>
        <v>imepre-klu-kat</v>
      </c>
      <c r="EI74" s="47" t="s">
        <v>0</v>
      </c>
      <c r="EJ74" s="58">
        <f>IF(AL74="","",MAX(EJ$12:EJ73)+1)</f>
        <v>244</v>
      </c>
      <c r="EK74" s="73">
        <f>IF(AO74="","",X74)</f>
        <v>28</v>
      </c>
      <c r="EL74" s="73">
        <f t="shared" si="62"/>
        <v>1489</v>
      </c>
      <c r="EM74" s="73">
        <f t="shared" si="30"/>
        <v>2711</v>
      </c>
      <c r="EN74" s="73">
        <f t="shared" si="31"/>
        <v>1</v>
      </c>
      <c r="EO74" s="73">
        <f t="shared" si="63"/>
        <v>1</v>
      </c>
      <c r="EP74" s="73">
        <f t="shared" si="64"/>
        <v>1</v>
      </c>
      <c r="EQ74" s="73" t="str">
        <f t="shared" si="34"/>
        <v>0</v>
      </c>
      <c r="ER74" s="73" t="str">
        <f>IF(OR(AN74="",AN74="NEMA"),BB74,AN74)</f>
        <v/>
      </c>
      <c r="ES74" s="73" t="str">
        <f>IF(AND(BN74&lt;&gt;"",BN74&lt;&gt;"NEMA"),BN74,IF(CG74&lt;&gt;"",CG74,IF(AND(CL74&lt;&gt;"",CL74&lt;&gt;"NEMA"),CL74,IF(CM74&lt;&gt;"",CM74,""))))</f>
        <v/>
      </c>
      <c r="ET74" s="53" t="str">
        <f>IF(INDEX(natKategorija_alias_Id,MATCH(S74,natKategorija_katRegId,0))="","",INDEX(natKategorija_alias_Id,MATCH(S74,natKategorija_katRegId,0)))</f>
        <v/>
      </c>
      <c r="EU74" s="47" t="s">
        <v>0</v>
      </c>
      <c r="EV74" s="19" t="str">
        <f t="shared" si="65"/>
        <v>INSERT INTO rezultat(id,stazakategorija_id,imeprezime_id,vrijeme_sec,status_id,registracija,uparivanje_id,originalstatus_id,imeprezimealias_id,klubalias_id,kategorijaalias_id) VALUES (244,28,1489,2711,1,1,1,0,Null,Null,Null);</v>
      </c>
      <c r="EW74" s="47" t="s">
        <v>0</v>
      </c>
      <c r="EX74" s="19" t="str">
        <f t="shared" si="66"/>
        <v>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74" s="47" t="s">
        <v>0</v>
      </c>
      <c r="EZ74" s="180" t="str">
        <f>AG74&amp;IF(CP74="","","
")&amp;CP74&amp;IF(CI74="","","
")&amp;CI74&amp;IF(DN74="","","
")&amp;DN74&amp;IF(DP74="","","
")&amp;DP74&amp;IF(EV74="","","
")&amp;EV74&amp;IF(EX74="","","
")&amp;EX74</f>
        <v xml:space="preserve">
INSERT INTO rezultat(id,stazakategorija_id,imeprezime_id,vrijeme_sec,status_id,registracija,uparivanje_id,originalstatus_id,imeprezimealias_id,klubalias_id,kategorijaalias_id) VALUES (244,28,1489,2711,1,1,1,0,Null,Null,Null);
UPDATE
	registar
SET
	potvrda = 1
WHERE
	imeprezime_id=1489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74" s="47" t="s">
        <v>0</v>
      </c>
    </row>
    <row r="75" spans="1:157" x14ac:dyDescent="0.25">
      <c r="A75" t="s">
        <v>0</v>
      </c>
      <c r="B75" s="52" t="str">
        <f>IF(csv!F65="","",csv!T65)</f>
        <v>M21B</v>
      </c>
      <c r="C75" s="31" t="s">
        <v>0</v>
      </c>
      <c r="D75" s="31" t="str">
        <f>IF(csv!F65="","",csv!F65)</f>
        <v>Dominik</v>
      </c>
      <c r="E75" s="31" t="str">
        <f>IF(csv!E65="","",csv!E65)</f>
        <v>Klasić</v>
      </c>
      <c r="F75" s="31" t="s">
        <v>0</v>
      </c>
      <c r="G75" s="73" t="str">
        <f>IF(csv!M65="","",csv!M65)</f>
        <v>48:04</v>
      </c>
      <c r="H75" s="73" t="str">
        <f>IF(csv!N65="","",csv!N65)</f>
        <v>0</v>
      </c>
      <c r="I75" s="31" t="s">
        <v>0</v>
      </c>
      <c r="J75" s="31" t="str">
        <f>IF(csv!P65="","",csv!P65)</f>
        <v>Maksimir</v>
      </c>
      <c r="K75" s="31" t="str">
        <f>IF(csv!Q65="","",csv!Q65)</f>
        <v>OK Maksimir</v>
      </c>
      <c r="L75" s="31" t="s">
        <v>0</v>
      </c>
      <c r="M75" s="66" t="str">
        <f>IF(csv!R65="","",csv!R65)</f>
        <v>CRO</v>
      </c>
      <c r="N75" s="47" t="s">
        <v>0</v>
      </c>
      <c r="O75" s="243" t="str">
        <f t="shared" si="36"/>
        <v>ok</v>
      </c>
      <c r="P75" s="47"/>
      <c r="Q75" s="52" t="str">
        <f t="shared" si="37"/>
        <v>M21B</v>
      </c>
      <c r="R75" s="73">
        <f>IF(Q75="","",IF(COUNTIF(Q$12:Q74,Q75)=0,R74+1,R74))</f>
        <v>6</v>
      </c>
      <c r="S75" s="73">
        <f t="shared" si="38"/>
        <v>108</v>
      </c>
      <c r="T75" s="73">
        <f t="shared" si="1"/>
        <v>19</v>
      </c>
      <c r="U75" s="66" t="str">
        <f t="shared" si="2"/>
        <v>M21B – M16</v>
      </c>
      <c r="V75" s="47" t="s">
        <v>0</v>
      </c>
      <c r="W75" s="222" t="str">
        <f t="shared" si="3"/>
        <v>M21B</v>
      </c>
      <c r="X75" s="223">
        <f t="shared" si="4"/>
        <v>28</v>
      </c>
      <c r="Y75" s="47" t="s">
        <v>0</v>
      </c>
      <c r="Z75" s="52" t="str">
        <f t="shared" si="39"/>
        <v>CRO</v>
      </c>
      <c r="AA75" s="73">
        <f t="shared" si="5"/>
        <v>1</v>
      </c>
      <c r="AB75" s="31" t="str">
        <f t="shared" si="40"/>
        <v/>
      </c>
      <c r="AC75" s="66" t="str">
        <f>IF(AB75="","",MAX(AC$12:AC74)+1)</f>
        <v/>
      </c>
      <c r="AD75" s="47" t="s">
        <v>0</v>
      </c>
      <c r="AE75" s="125"/>
      <c r="AF75" s="47" t="s">
        <v>0</v>
      </c>
      <c r="AG75" s="19" t="str">
        <f t="shared" si="41"/>
        <v/>
      </c>
      <c r="AH75" s="47" t="s">
        <v>0</v>
      </c>
      <c r="AI75" s="143" t="str">
        <f t="shared" si="42"/>
        <v>CRO</v>
      </c>
      <c r="AJ75" s="47"/>
      <c r="AK75" s="52" t="str">
        <f t="shared" si="43"/>
        <v>Dominik</v>
      </c>
      <c r="AL75" s="31" t="str">
        <f t="shared" si="44"/>
        <v>Klasić</v>
      </c>
      <c r="AM75" s="73">
        <f t="shared" si="45"/>
        <v>1176</v>
      </c>
      <c r="AN75" s="73" t="str">
        <f t="shared" si="46"/>
        <v/>
      </c>
      <c r="AO75" s="31" t="str">
        <f t="shared" si="8"/>
        <v>Dominik</v>
      </c>
      <c r="AP75" s="66" t="str">
        <f t="shared" si="9"/>
        <v>Klasić</v>
      </c>
      <c r="AQ75" s="47" t="s">
        <v>0</v>
      </c>
      <c r="AR75" s="82" t="str">
        <f t="shared" si="47"/>
        <v/>
      </c>
      <c r="AS75" s="47" t="s">
        <v>0</v>
      </c>
      <c r="AT75" s="19" t="str">
        <f t="shared" si="48"/>
        <v/>
      </c>
      <c r="AU75" s="47" t="s">
        <v>0</v>
      </c>
      <c r="AV75" s="103"/>
      <c r="AW75" s="105"/>
      <c r="AX75" s="47" t="s">
        <v>0</v>
      </c>
      <c r="AY75" s="256" t="str">
        <f t="shared" si="68"/>
        <v/>
      </c>
      <c r="AZ75" s="47" t="s">
        <v>0</v>
      </c>
      <c r="BA75" s="52" t="str">
        <f t="shared" si="11"/>
        <v/>
      </c>
      <c r="BB75" s="73" t="str">
        <f>IF(AV75&amp;AW75="","",MAX(BB$12:BB74)+1)</f>
        <v/>
      </c>
      <c r="BC75" s="268" t="str">
        <f t="shared" si="12"/>
        <v/>
      </c>
      <c r="BD75" s="53" t="str">
        <f>IF(AND(AM75="NEMA",AN75="NEMA",OR(AV75&amp;AW75="",BC75="NEMA")),MAX(BD$12:BD74)+1,"")</f>
        <v/>
      </c>
      <c r="BE75" s="47" t="s">
        <v>0</v>
      </c>
      <c r="BF75" s="52" t="str">
        <f t="shared" si="13"/>
        <v>Dominik</v>
      </c>
      <c r="BG75" s="31" t="str">
        <f t="shared" si="14"/>
        <v>Klasić</v>
      </c>
      <c r="BH75" s="73" t="str">
        <f t="shared" si="49"/>
        <v/>
      </c>
      <c r="BI75" s="53">
        <f t="shared" si="50"/>
        <v>1176</v>
      </c>
      <c r="BJ75" s="47" t="s">
        <v>0</v>
      </c>
      <c r="BK75" s="52" t="str">
        <f t="shared" si="15"/>
        <v>Maksimir</v>
      </c>
      <c r="BL75" s="31" t="str">
        <f t="shared" si="16"/>
        <v>OK Maksimir</v>
      </c>
      <c r="BM75" s="73">
        <f t="shared" si="17"/>
        <v>6</v>
      </c>
      <c r="BN75" s="73" t="str">
        <f t="shared" si="18"/>
        <v/>
      </c>
      <c r="BO75" s="31" t="str" cm="1">
        <f t="array" ref="BO75">IF(BN75="",""&amp;BL75,IF(BN75="NEMA",BL75,INDEX(regKlub_naziv,MATCH(INDEX(regKlub_alias_klubId,BN75),regKlub_id,0))))</f>
        <v>OK Maksimir</v>
      </c>
      <c r="BP75" s="31" t="str" cm="1">
        <f t="array" ref="BP75">IFERROR(""&amp;INDEX(regNatjecatelj_klub,DY75),"")</f>
        <v>OK Maksimir</v>
      </c>
      <c r="BQ75" s="88" t="str">
        <f t="shared" si="51"/>
        <v/>
      </c>
      <c r="BR75" s="66" t="str">
        <f t="shared" si="52"/>
        <v>OK Maksimir</v>
      </c>
      <c r="BS75" s="47" t="s">
        <v>0</v>
      </c>
      <c r="BT75" s="82" t="str">
        <f>IF(BN75&lt;&gt;"NEMA","",IF(IFERROR(MATCH(BL75,BL$12:BL74,0),0)&lt;&gt;0,"",BL75))</f>
        <v/>
      </c>
      <c r="BU75" s="47" t="s">
        <v>0</v>
      </c>
      <c r="BV75" s="125"/>
      <c r="BW75" s="47" t="s">
        <v>0</v>
      </c>
      <c r="BX75" s="58" t="str">
        <f t="shared" si="53"/>
        <v/>
      </c>
      <c r="BY75" s="31" t="str">
        <f t="shared" si="54"/>
        <v/>
      </c>
      <c r="BZ75" s="31" t="str">
        <f>IF(BY75="","",MAX(BZ$12:BZ74)+1)</f>
        <v/>
      </c>
      <c r="CA75" s="31" t="str">
        <f>IF(BY75="","",IF(AA75="","",IF(AA75="NEMA",AC75,AA75)))</f>
        <v/>
      </c>
      <c r="CB75" s="31" t="str">
        <f t="shared" si="55"/>
        <v/>
      </c>
      <c r="CC75" s="31" t="str">
        <f>IF(BV75="","",MAX(CC$12:CC74)+1)</f>
        <v/>
      </c>
      <c r="CD75" s="31" t="str">
        <f t="shared" si="56"/>
        <v/>
      </c>
      <c r="CE75" s="66" t="str">
        <f t="shared" si="57"/>
        <v/>
      </c>
      <c r="CF75" s="47" t="s">
        <v>0</v>
      </c>
      <c r="CG75" s="73" t="str">
        <f>IF(BN75="","",IF(BN75&lt;&gt;"NEMA","",IFERROR(INDEX(nat_klubAliasId,MATCH(BL75,nat_noviKluboviAliasi,0)),"")))</f>
        <v/>
      </c>
      <c r="CH75" s="47"/>
      <c r="CI75" s="19" t="str">
        <f t="shared" si="58"/>
        <v/>
      </c>
      <c r="CJ75" s="47" t="s">
        <v>0</v>
      </c>
      <c r="CK75" s="52" t="str">
        <f>IF(X75&lt;&gt;"NEMA","",IF(IFERROR(MATCH(W75,W$12:W74,0),0)&lt;&gt;0,"",W75))</f>
        <v/>
      </c>
      <c r="CL75" s="73" t="str">
        <f>IF(CK75="","",IFERROR(INDEX(regKlub_alias_id,MATCH(CK75,regKlub_alias_alias,0)),"NEMA"))</f>
        <v/>
      </c>
      <c r="CM75" s="31" t="str">
        <f>IF(OR(CL75="",CL75&lt;&gt;"NEMA"),"",MAX(CM$12:CM74)+1)</f>
        <v/>
      </c>
      <c r="CN75" s="66" t="str">
        <f>IF(OR(CL75="",CL75&lt;&gt;"NEMA"),"",INDEX(regKlub_id,MATCH(CK75,regKlub_naziv,0)))</f>
        <v/>
      </c>
      <c r="CO75" s="47" t="s">
        <v>0</v>
      </c>
      <c r="CP75" s="19" t="str">
        <f>IF(OR(CL75="",CL75&lt;&gt;"NEMA"),"","INSERT INTO klub_alias(id,alias,klub_id) VALUES ("&amp;CM75&amp;",'"&amp;CK75&amp;"',"&amp;CN75&amp;");")</f>
        <v/>
      </c>
      <c r="CQ75" s="47" t="s">
        <v>0</v>
      </c>
      <c r="CR75" s="143" t="str">
        <f>IF(BR75="","",IF(BV75="",IF(IFERROR(MATCH(BR75,nat_noviKluboviAliasi,0),0)&gt;0,INDEX(nat_kluboviAliasi,MATCH(BR75,nat_noviKluboviAliasi,0)),BR75),BV75))</f>
        <v>OK Maksimir</v>
      </c>
      <c r="CS75" s="47" t="s">
        <v>0</v>
      </c>
      <c r="CT75" s="58" t="str">
        <f>IF(G75="","",G75)</f>
        <v>48:04</v>
      </c>
      <c r="CU75" s="73" t="str">
        <f>IF(H75="","",H75)</f>
        <v>0</v>
      </c>
      <c r="CV75" s="229" t="str">
        <f>IF(CT75="",IF(OR(AL75="",CU75&lt;&gt;"0"),"","GREŠKA"),IF(AND(65535&gt;=VALUE(LEFT(CT75,SEARCH(":",CT75)-1))*60+VALUE(RIGHT(CT75,2)),OR(CU75="0",CU75="1",CU75="2",CU75="3",CU75="4")),"","GREŠKA"))</f>
        <v/>
      </c>
      <c r="CW75" s="230">
        <f t="shared" si="71"/>
        <v>2884</v>
      </c>
      <c r="CX75" s="163">
        <f t="shared" si="24"/>
        <v>1</v>
      </c>
      <c r="CY75" s="47" t="s">
        <v>0</v>
      </c>
      <c r="CZ75" s="222" t="str">
        <f>IF(CV75&lt;&gt;"GREŠKA","",AK75&amp;" "&amp;AL75&amp;" – Molim u OEventu provjeriti i ispraviti rezultat – vrijeme ("&amp;IF(CT75="","nije upisano",CT75)&amp;") i classifier ("&amp;CU75&amp;").")&amp;IF(OR(CV75&lt;&gt;"GREŠKA",CX75&lt;&gt;5),"
","")&amp;IF(CX75&lt;&gt;5,"",AK75&amp;" "&amp;AL75&amp;" – Molim u provjeriti je li natjecatelj zaista diskvalificiran. Ako je koje je obrazloženje, ako nije molim u OEventu ispraviti rezultat")</f>
        <v xml:space="preserve">
</v>
      </c>
      <c r="DA75" s="223">
        <f t="shared" si="60"/>
        <v>6</v>
      </c>
      <c r="DB75" s="47" t="s">
        <v>0</v>
      </c>
      <c r="DC75" s="47"/>
      <c r="DD75" s="47"/>
      <c r="DE75" s="47"/>
      <c r="DF75" s="47" t="s">
        <v>0</v>
      </c>
      <c r="DG75" s="53" t="str">
        <f>IF(BD75="","",IF(DI75="O",1,""))</f>
        <v/>
      </c>
      <c r="DH75" t="s">
        <v>0</v>
      </c>
      <c r="DI75" s="128" t="str">
        <f>IF(Q75="","",LEFT(INDEX(regKategorija_oznaka,MATCH(S75,regKategorija_id,0)),1))</f>
        <v>M</v>
      </c>
      <c r="DJ75" t="s">
        <v>0</v>
      </c>
      <c r="DK75" s="52" t="str">
        <f>IF(BD75="","",IF(M75&lt;&gt;"CRO","","INSERT INTO osoba (id,reg_broj,oib,spol_id,dat_rodjenja) VALUES ("&amp;BD75&amp;",(SELECT max(os.reg_broj)+1 FROM osoba AS os),Null,'"&amp;DI75&amp;"',Null); INSERT INTO osoba_log (id,reg_broj,oib,spol_id,dat_rodjenja,dnevnik_id) SELECT id,reg_broj,oib,spol_id,dat_rodjenja,"&amp;data_dnevnik_id&amp;" FROM osoba WHERE id = "&amp;BD75&amp;";"))</f>
        <v/>
      </c>
      <c r="DL75" s="66" t="str">
        <f>IF(BD75="","","INSERT INTO imeprezime (id,osoba_id,rbr,ime,prezime,klub_id,identitet_id,sintaksa_id,info,aktivno,dnevnik_id) VALUES ("&amp;BD75&amp;","&amp;IF(DK75="","Null",BD75)&amp;",1,'"&amp;IF(AV75&lt;&gt;"",AV75,AK75)&amp;"','"&amp;IF(AW75&lt;&gt;"",AW75,AL75)&amp;"',(SELECT id FROM klub WHERE naziv = '"&amp;CR75&amp;"'),Null,1,'',1,"&amp;data_dnevnik_id&amp;");")</f>
        <v/>
      </c>
      <c r="DM75" t="s">
        <v>0</v>
      </c>
      <c r="DN75" s="19" t="str">
        <f t="shared" si="69"/>
        <v/>
      </c>
      <c r="DO75" s="47" t="s">
        <v>0</v>
      </c>
      <c r="DP75" s="19" t="str">
        <f>IF(BA75="","","INSERT INTO imeprezime_alias(id,alias,imeprezime_id) VALUES ("&amp;BB75&amp;",'"&amp;BA75&amp;"',"&amp;IF(BC75="NEMA",BD75,BC75)&amp;");")</f>
        <v/>
      </c>
      <c r="DQ75" s="47" t="s">
        <v>0</v>
      </c>
      <c r="DR75" s="52" t="str">
        <f>IF(AL75="","",DU75 &amp; IF(Q75="",""," – " &amp; Q75))</f>
        <v>Dominik – Klasić – OK Maksimir – M21B</v>
      </c>
      <c r="DS75" s="53">
        <f t="shared" si="26"/>
        <v>361</v>
      </c>
      <c r="DT75" s="47" t="s">
        <v>0</v>
      </c>
      <c r="DU75" s="52" t="str">
        <f>IF(AL75="","",DX75 &amp; IF(CR75="",""," – " &amp; CR75))</f>
        <v>Dominik – Klasić – OK Maksimir</v>
      </c>
      <c r="DV75" s="53">
        <f t="shared" si="27"/>
        <v>361</v>
      </c>
      <c r="DW75" s="47" t="s">
        <v>0</v>
      </c>
      <c r="DX75" s="52" t="str">
        <f>IF(BG75="","",BF75&amp;" – "&amp;BG75)</f>
        <v>Dominik – Klasić</v>
      </c>
      <c r="DY75" s="53">
        <f t="shared" si="28"/>
        <v>361</v>
      </c>
      <c r="DZ75" s="47" t="s">
        <v>0</v>
      </c>
      <c r="EA75" s="58">
        <f t="shared" si="61"/>
        <v>361</v>
      </c>
      <c r="EB75" s="53" cm="1">
        <f t="array" ref="EB75">IF(EA75&lt;&gt;"",INDEX(regNatjecatelj_id,EA75,0),IF(BD75&lt;&gt;"",BD75,""))</f>
        <v>1176</v>
      </c>
      <c r="EC75" s="47" t="s">
        <v>0</v>
      </c>
      <c r="ED75" s="58" t="str">
        <f>IF(AL75="","",IF(BD75&lt;&gt;"","novo",IF(AN75="","imepre","imepre(ali)")))</f>
        <v>imepre</v>
      </c>
      <c r="EE75" s="73" t="str">
        <f>IF(AL75="","",IF(BL75="",IF(IFERROR(INDEX(regNatjecatelj_klub,MATCH(EB75,regNatjecatelj_id,0)),"NEMA")="","klu",""),IF(OR(AND(BN75&lt;&gt;"",BN75&lt;&gt;"NEMA"),CD75&lt;&gt;""),"klu(ali)",IF(AND(BP75&lt;&gt;"",BP75&lt;&gt;BO75),"(raz-klu)","klu"))))</f>
        <v>klu</v>
      </c>
      <c r="EF75" s="73" t="str">
        <f>IF(AL75="","","kat"&amp;IF(AND(W75&lt;&gt;Q75,Q75&lt;&gt;"Open"),"(ali)",""))</f>
        <v>kat</v>
      </c>
      <c r="EG75" s="73" t="str">
        <f t="shared" si="29"/>
        <v/>
      </c>
      <c r="EH75" s="66" t="str">
        <f>IF(AL75="","",ED75&amp;IF(ED75="novo","","-"&amp;EE75&amp;"-"&amp;EF75)&amp;IF(EG75="","","-"&amp;EG75))</f>
        <v>imepre-klu-kat</v>
      </c>
      <c r="EI75" s="47" t="s">
        <v>0</v>
      </c>
      <c r="EJ75" s="58">
        <f>IF(AL75="","",MAX(EJ$12:EJ74)+1)</f>
        <v>245</v>
      </c>
      <c r="EK75" s="73">
        <f>IF(AO75="","",X75)</f>
        <v>28</v>
      </c>
      <c r="EL75" s="73">
        <f t="shared" si="62"/>
        <v>1176</v>
      </c>
      <c r="EM75" s="73">
        <f t="shared" si="30"/>
        <v>2884</v>
      </c>
      <c r="EN75" s="73">
        <f t="shared" si="31"/>
        <v>1</v>
      </c>
      <c r="EO75" s="73">
        <f t="shared" si="63"/>
        <v>1</v>
      </c>
      <c r="EP75" s="73">
        <f t="shared" si="64"/>
        <v>1</v>
      </c>
      <c r="EQ75" s="73" t="str">
        <f t="shared" si="34"/>
        <v>0</v>
      </c>
      <c r="ER75" s="73" t="str">
        <f>IF(OR(AN75="",AN75="NEMA"),BB75,AN75)</f>
        <v/>
      </c>
      <c r="ES75" s="73" t="str">
        <f>IF(AND(BN75&lt;&gt;"",BN75&lt;&gt;"NEMA"),BN75,IF(CG75&lt;&gt;"",CG75,IF(AND(CL75&lt;&gt;"",CL75&lt;&gt;"NEMA"),CL75,IF(CM75&lt;&gt;"",CM75,""))))</f>
        <v/>
      </c>
      <c r="ET75" s="53" t="str">
        <f>IF(INDEX(natKategorija_alias_Id,MATCH(S75,natKategorija_katRegId,0))="","",INDEX(natKategorija_alias_Id,MATCH(S75,natKategorija_katRegId,0)))</f>
        <v/>
      </c>
      <c r="EU75" s="47" t="s">
        <v>0</v>
      </c>
      <c r="EV75" s="19" t="str">
        <f t="shared" si="65"/>
        <v>INSERT INTO rezultat(id,stazakategorija_id,imeprezime_id,vrijeme_sec,status_id,registracija,uparivanje_id,originalstatus_id,imeprezimealias_id,klubalias_id,kategorijaalias_id) VALUES (245,28,1176,2884,1,1,1,0,Null,Null,Null);</v>
      </c>
      <c r="EW75" s="47" t="s">
        <v>0</v>
      </c>
      <c r="EX75" s="19" t="str">
        <f t="shared" si="66"/>
        <v>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75" s="47" t="s">
        <v>0</v>
      </c>
      <c r="EZ75" s="180" t="str">
        <f>AG75&amp;IF(CP75="","","
")&amp;CP75&amp;IF(CI75="","","
")&amp;CI75&amp;IF(DN75="","","
")&amp;DN75&amp;IF(DP75="","","
")&amp;DP75&amp;IF(EV75="","","
")&amp;EV75&amp;IF(EX75="","","
")&amp;EX75</f>
        <v xml:space="preserve">
INSERT INTO rezultat(id,stazakategorija_id,imeprezime_id,vrijeme_sec,status_id,registracija,uparivanje_id,originalstatus_id,imeprezimealias_id,klubalias_id,kategorijaalias_id) VALUES (245,28,1176,2884,1,1,1,0,Null,Null,Null);
UPDATE
	registar
SET
	potvrda = 1
WHERE
	imeprezime_id=1176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75" s="47" t="s">
        <v>0</v>
      </c>
    </row>
    <row r="76" spans="1:157" x14ac:dyDescent="0.25">
      <c r="A76" t="s">
        <v>0</v>
      </c>
      <c r="B76" s="52" t="str">
        <f>IF(csv!F66="","",csv!T66)</f>
        <v>M21B</v>
      </c>
      <c r="C76" s="31" t="s">
        <v>0</v>
      </c>
      <c r="D76" s="31" t="str">
        <f>IF(csv!F66="","",csv!F66)</f>
        <v>Predrag</v>
      </c>
      <c r="E76" s="31" t="str">
        <f>IF(csv!E66="","",csv!E66)</f>
        <v>Mađarić</v>
      </c>
      <c r="F76" s="31" t="s">
        <v>0</v>
      </c>
      <c r="G76" s="73" t="str">
        <f>IF(csv!M66="","",csv!M66)</f>
        <v>50:25</v>
      </c>
      <c r="H76" s="73" t="str">
        <f>IF(csv!N66="","",csv!N66)</f>
        <v>0</v>
      </c>
      <c r="I76" s="31" t="s">
        <v>0</v>
      </c>
      <c r="J76" s="31" t="str">
        <f>IF(csv!P66="","",csv!P66)</f>
        <v>OK Varaždin</v>
      </c>
      <c r="K76" s="31" t="str">
        <f>IF(csv!Q66="","",csv!Q66)</f>
        <v>OK Varaždin</v>
      </c>
      <c r="L76" s="31" t="s">
        <v>0</v>
      </c>
      <c r="M76" s="66" t="str">
        <f>IF(csv!R66="","",csv!R66)</f>
        <v>CRO</v>
      </c>
      <c r="N76" s="47" t="s">
        <v>0</v>
      </c>
      <c r="O76" s="243" t="str">
        <f t="shared" si="36"/>
        <v>ok</v>
      </c>
      <c r="P76" s="47"/>
      <c r="Q76" s="52" t="str">
        <f t="shared" si="37"/>
        <v>M21B</v>
      </c>
      <c r="R76" s="73">
        <f>IF(Q76="","",IF(COUNTIF(Q$12:Q75,Q76)=0,R75+1,R75))</f>
        <v>6</v>
      </c>
      <c r="S76" s="73">
        <f t="shared" si="38"/>
        <v>108</v>
      </c>
      <c r="T76" s="73">
        <f t="shared" si="1"/>
        <v>19</v>
      </c>
      <c r="U76" s="66" t="str">
        <f t="shared" si="2"/>
        <v>M21B – M16</v>
      </c>
      <c r="V76" s="47" t="s">
        <v>0</v>
      </c>
      <c r="W76" s="222" t="str">
        <f t="shared" si="3"/>
        <v>M21B</v>
      </c>
      <c r="X76" s="223">
        <f t="shared" si="4"/>
        <v>28</v>
      </c>
      <c r="Y76" s="47" t="s">
        <v>0</v>
      </c>
      <c r="Z76" s="52" t="str">
        <f t="shared" si="39"/>
        <v>CRO</v>
      </c>
      <c r="AA76" s="73">
        <f t="shared" si="5"/>
        <v>1</v>
      </c>
      <c r="AB76" s="31" t="str">
        <f t="shared" si="40"/>
        <v/>
      </c>
      <c r="AC76" s="66" t="str">
        <f>IF(AB76="","",MAX(AC$12:AC75)+1)</f>
        <v/>
      </c>
      <c r="AD76" s="47" t="s">
        <v>0</v>
      </c>
      <c r="AE76" s="125"/>
      <c r="AF76" s="47" t="s">
        <v>0</v>
      </c>
      <c r="AG76" s="19" t="str">
        <f t="shared" si="41"/>
        <v/>
      </c>
      <c r="AH76" s="47" t="s">
        <v>0</v>
      </c>
      <c r="AI76" s="143" t="str">
        <f t="shared" si="42"/>
        <v>CRO</v>
      </c>
      <c r="AJ76" s="47"/>
      <c r="AK76" s="52" t="str">
        <f t="shared" si="43"/>
        <v>Predrag</v>
      </c>
      <c r="AL76" s="31" t="str">
        <f t="shared" si="44"/>
        <v>Mađarić</v>
      </c>
      <c r="AM76" s="73">
        <f t="shared" si="45"/>
        <v>1936</v>
      </c>
      <c r="AN76" s="73" t="str">
        <f t="shared" si="46"/>
        <v/>
      </c>
      <c r="AO76" s="31" t="str">
        <f t="shared" si="8"/>
        <v>Predrag</v>
      </c>
      <c r="AP76" s="66" t="str">
        <f t="shared" si="9"/>
        <v>Mađarić</v>
      </c>
      <c r="AQ76" s="47" t="s">
        <v>0</v>
      </c>
      <c r="AR76" s="82" t="str">
        <f t="shared" si="47"/>
        <v/>
      </c>
      <c r="AS76" s="47" t="s">
        <v>0</v>
      </c>
      <c r="AT76" s="19" t="str">
        <f t="shared" si="48"/>
        <v/>
      </c>
      <c r="AU76" s="47" t="s">
        <v>0</v>
      </c>
      <c r="AV76" s="103"/>
      <c r="AW76" s="105"/>
      <c r="AX76" s="47" t="s">
        <v>0</v>
      </c>
      <c r="AY76" s="256" t="str">
        <f t="shared" si="68"/>
        <v/>
      </c>
      <c r="AZ76" s="47" t="s">
        <v>0</v>
      </c>
      <c r="BA76" s="52" t="str">
        <f t="shared" si="11"/>
        <v/>
      </c>
      <c r="BB76" s="73" t="str">
        <f>IF(AV76&amp;AW76="","",MAX(BB$12:BB75)+1)</f>
        <v/>
      </c>
      <c r="BC76" s="268" t="str">
        <f t="shared" si="12"/>
        <v/>
      </c>
      <c r="BD76" s="53" t="str">
        <f>IF(AND(AM76="NEMA",AN76="NEMA",OR(AV76&amp;AW76="",BC76="NEMA")),MAX(BD$12:BD75)+1,"")</f>
        <v/>
      </c>
      <c r="BE76" s="47" t="s">
        <v>0</v>
      </c>
      <c r="BF76" s="52" t="str">
        <f t="shared" si="13"/>
        <v>Predrag</v>
      </c>
      <c r="BG76" s="31" t="str">
        <f t="shared" si="14"/>
        <v>Mađarić</v>
      </c>
      <c r="BH76" s="73" t="str">
        <f t="shared" si="49"/>
        <v/>
      </c>
      <c r="BI76" s="53">
        <f t="shared" si="50"/>
        <v>1936</v>
      </c>
      <c r="BJ76" s="47" t="s">
        <v>0</v>
      </c>
      <c r="BK76" s="52" t="str">
        <f t="shared" si="15"/>
        <v>OK Varaždin</v>
      </c>
      <c r="BL76" s="31" t="str">
        <f t="shared" si="16"/>
        <v>OK Varaždin</v>
      </c>
      <c r="BM76" s="73">
        <f t="shared" si="17"/>
        <v>11</v>
      </c>
      <c r="BN76" s="73" t="str">
        <f t="shared" si="18"/>
        <v/>
      </c>
      <c r="BO76" s="31" t="str" cm="1">
        <f t="array" ref="BO76">IF(BN76="",""&amp;BL76,IF(BN76="NEMA",BL76,INDEX(regKlub_naziv,MATCH(INDEX(regKlub_alias_klubId,BN76),regKlub_id,0))))</f>
        <v>OK Varaždin</v>
      </c>
      <c r="BP76" s="31" t="str" cm="1">
        <f t="array" ref="BP76">IFERROR(""&amp;INDEX(regNatjecatelj_klub,DY76),"")</f>
        <v>OK Varaždin</v>
      </c>
      <c r="BQ76" s="88" t="str">
        <f t="shared" si="51"/>
        <v/>
      </c>
      <c r="BR76" s="66" t="str">
        <f t="shared" si="52"/>
        <v>OK Varaždin</v>
      </c>
      <c r="BS76" s="47" t="s">
        <v>0</v>
      </c>
      <c r="BT76" s="82" t="str">
        <f>IF(BN76&lt;&gt;"NEMA","",IF(IFERROR(MATCH(BL76,BL$12:BL75,0),0)&lt;&gt;0,"",BL76))</f>
        <v/>
      </c>
      <c r="BU76" s="47" t="s">
        <v>0</v>
      </c>
      <c r="BV76" s="125"/>
      <c r="BW76" s="47" t="s">
        <v>0</v>
      </c>
      <c r="BX76" s="58" t="str">
        <f t="shared" si="53"/>
        <v/>
      </c>
      <c r="BY76" s="31" t="str">
        <f t="shared" si="54"/>
        <v/>
      </c>
      <c r="BZ76" s="31" t="str">
        <f>IF(BY76="","",MAX(BZ$12:BZ75)+1)</f>
        <v/>
      </c>
      <c r="CA76" s="31" t="str">
        <f>IF(BY76="","",IF(AA76="","",IF(AA76="NEMA",AC76,AA76)))</f>
        <v/>
      </c>
      <c r="CB76" s="31" t="str">
        <f t="shared" si="55"/>
        <v/>
      </c>
      <c r="CC76" s="31" t="str">
        <f>IF(BV76="","",MAX(CC$12:CC75)+1)</f>
        <v/>
      </c>
      <c r="CD76" s="31" t="str">
        <f t="shared" si="56"/>
        <v/>
      </c>
      <c r="CE76" s="66" t="str">
        <f t="shared" si="57"/>
        <v/>
      </c>
      <c r="CF76" s="47" t="s">
        <v>0</v>
      </c>
      <c r="CG76" s="73" t="str">
        <f>IF(BN76="","",IF(BN76&lt;&gt;"NEMA","",IFERROR(INDEX(nat_klubAliasId,MATCH(BL76,nat_noviKluboviAliasi,0)),"")))</f>
        <v/>
      </c>
      <c r="CH76" s="47"/>
      <c r="CI76" s="19" t="str">
        <f t="shared" si="58"/>
        <v/>
      </c>
      <c r="CJ76" s="47" t="s">
        <v>0</v>
      </c>
      <c r="CK76" s="52" t="str">
        <f>IF(X76&lt;&gt;"NEMA","",IF(IFERROR(MATCH(W76,W$12:W75,0),0)&lt;&gt;0,"",W76))</f>
        <v/>
      </c>
      <c r="CL76" s="73" t="str">
        <f>IF(CK76="","",IFERROR(INDEX(regKlub_alias_id,MATCH(CK76,regKlub_alias_alias,0)),"NEMA"))</f>
        <v/>
      </c>
      <c r="CM76" s="31" t="str">
        <f>IF(OR(CL76="",CL76&lt;&gt;"NEMA"),"",MAX(CM$12:CM75)+1)</f>
        <v/>
      </c>
      <c r="CN76" s="66" t="str">
        <f>IF(OR(CL76="",CL76&lt;&gt;"NEMA"),"",INDEX(regKlub_id,MATCH(CK76,regKlub_naziv,0)))</f>
        <v/>
      </c>
      <c r="CO76" s="47" t="s">
        <v>0</v>
      </c>
      <c r="CP76" s="19" t="str">
        <f>IF(OR(CL76="",CL76&lt;&gt;"NEMA"),"","INSERT INTO klub_alias(id,alias,klub_id) VALUES ("&amp;CM76&amp;",'"&amp;CK76&amp;"',"&amp;CN76&amp;");")</f>
        <v/>
      </c>
      <c r="CQ76" s="47" t="s">
        <v>0</v>
      </c>
      <c r="CR76" s="143" t="str">
        <f>IF(BR76="","",IF(BV76="",IF(IFERROR(MATCH(BR76,nat_noviKluboviAliasi,0),0)&gt;0,INDEX(nat_kluboviAliasi,MATCH(BR76,nat_noviKluboviAliasi,0)),BR76),BV76))</f>
        <v>OK Varaždin</v>
      </c>
      <c r="CS76" s="47" t="s">
        <v>0</v>
      </c>
      <c r="CT76" s="58" t="str">
        <f>IF(G76="","",G76)</f>
        <v>50:25</v>
      </c>
      <c r="CU76" s="73" t="str">
        <f>IF(H76="","",H76)</f>
        <v>0</v>
      </c>
      <c r="CV76" s="229" t="str">
        <f>IF(CT76="",IF(OR(AL76="",CU76&lt;&gt;"0"),"","GREŠKA"),IF(AND(65535&gt;=VALUE(LEFT(CT76,SEARCH(":",CT76)-1))*60+VALUE(RIGHT(CT76,2)),OR(CU76="0",CU76="1",CU76="2",CU76="3",CU76="4")),"","GREŠKA"))</f>
        <v/>
      </c>
      <c r="CW76" s="230">
        <f t="shared" si="71"/>
        <v>3025</v>
      </c>
      <c r="CX76" s="163">
        <f t="shared" si="24"/>
        <v>1</v>
      </c>
      <c r="CY76" s="47" t="s">
        <v>0</v>
      </c>
      <c r="CZ76" s="222" t="str">
        <f>IF(CV76&lt;&gt;"GREŠKA","",AK76&amp;" "&amp;AL76&amp;" – Molim u OEventu provjeriti i ispraviti rezultat – vrijeme ("&amp;IF(CT76="","nije upisano",CT76)&amp;") i classifier ("&amp;CU76&amp;").")&amp;IF(OR(CV76&lt;&gt;"GREŠKA",CX76&lt;&gt;5),"
","")&amp;IF(CX76&lt;&gt;5,"",AK76&amp;" "&amp;AL76&amp;" – Molim u provjeriti je li natjecatelj zaista diskvalificiran. Ako je koje je obrazloženje, ako nije molim u OEventu ispraviti rezultat")</f>
        <v xml:space="preserve">
</v>
      </c>
      <c r="DA76" s="223">
        <f t="shared" si="60"/>
        <v>6</v>
      </c>
      <c r="DB76" s="47" t="s">
        <v>0</v>
      </c>
      <c r="DC76" s="47"/>
      <c r="DD76" s="47"/>
      <c r="DE76" s="47"/>
      <c r="DF76" s="47" t="s">
        <v>0</v>
      </c>
      <c r="DG76" s="53" t="str">
        <f>IF(BD76="","",IF(DI76="O",1,""))</f>
        <v/>
      </c>
      <c r="DH76" t="s">
        <v>0</v>
      </c>
      <c r="DI76" s="128" t="str">
        <f>IF(Q76="","",LEFT(INDEX(regKategorija_oznaka,MATCH(S76,regKategorija_id,0)),1))</f>
        <v>M</v>
      </c>
      <c r="DJ76" t="s">
        <v>0</v>
      </c>
      <c r="DK76" s="52" t="str">
        <f>IF(BD76="","",IF(M76&lt;&gt;"CRO","","INSERT INTO osoba (id,reg_broj,oib,spol_id,dat_rodjenja) VALUES ("&amp;BD76&amp;",(SELECT max(os.reg_broj)+1 FROM osoba AS os),Null,'"&amp;DI76&amp;"',Null); INSERT INTO osoba_log (id,reg_broj,oib,spol_id,dat_rodjenja,dnevnik_id) SELECT id,reg_broj,oib,spol_id,dat_rodjenja,"&amp;data_dnevnik_id&amp;" FROM osoba WHERE id = "&amp;BD76&amp;";"))</f>
        <v/>
      </c>
      <c r="DL76" s="66" t="str">
        <f>IF(BD76="","","INSERT INTO imeprezime (id,osoba_id,rbr,ime,prezime,klub_id,identitet_id,sintaksa_id,info,aktivno,dnevnik_id) VALUES ("&amp;BD76&amp;","&amp;IF(DK76="","Null",BD76)&amp;",1,'"&amp;IF(AV76&lt;&gt;"",AV76,AK76)&amp;"','"&amp;IF(AW76&lt;&gt;"",AW76,AL76)&amp;"',(SELECT id FROM klub WHERE naziv = '"&amp;CR76&amp;"'),Null,1,'',1,"&amp;data_dnevnik_id&amp;");")</f>
        <v/>
      </c>
      <c r="DM76" t="s">
        <v>0</v>
      </c>
      <c r="DN76" s="19" t="str">
        <f t="shared" si="69"/>
        <v/>
      </c>
      <c r="DO76" s="47" t="s">
        <v>0</v>
      </c>
      <c r="DP76" s="19" t="str">
        <f>IF(BA76="","","INSERT INTO imeprezime_alias(id,alias,imeprezime_id) VALUES ("&amp;BB76&amp;",'"&amp;BA76&amp;"',"&amp;IF(BC76="NEMA",BD76,BC76)&amp;");")</f>
        <v/>
      </c>
      <c r="DQ76" s="47" t="s">
        <v>0</v>
      </c>
      <c r="DR76" s="52" t="str">
        <f>IF(AL76="","",DU76 &amp; IF(Q76="",""," – " &amp; Q76))</f>
        <v>Predrag – Mađarić – OK Varaždin – M21B</v>
      </c>
      <c r="DS76" s="53">
        <f t="shared" si="26"/>
        <v>557</v>
      </c>
      <c r="DT76" s="47" t="s">
        <v>0</v>
      </c>
      <c r="DU76" s="52" t="str">
        <f>IF(AL76="","",DX76 &amp; IF(CR76="",""," – " &amp; CR76))</f>
        <v>Predrag – Mađarić – OK Varaždin</v>
      </c>
      <c r="DV76" s="53">
        <f t="shared" si="27"/>
        <v>557</v>
      </c>
      <c r="DW76" s="47" t="s">
        <v>0</v>
      </c>
      <c r="DX76" s="52" t="str">
        <f>IF(BG76="","",BF76&amp;" – "&amp;BG76)</f>
        <v>Predrag – Mađarić</v>
      </c>
      <c r="DY76" s="53">
        <f t="shared" si="28"/>
        <v>557</v>
      </c>
      <c r="DZ76" s="47" t="s">
        <v>0</v>
      </c>
      <c r="EA76" s="58">
        <f t="shared" si="61"/>
        <v>557</v>
      </c>
      <c r="EB76" s="53" cm="1">
        <f t="array" ref="EB76">IF(EA76&lt;&gt;"",INDEX(regNatjecatelj_id,EA76,0),IF(BD76&lt;&gt;"",BD76,""))</f>
        <v>1936</v>
      </c>
      <c r="EC76" s="47" t="s">
        <v>0</v>
      </c>
      <c r="ED76" s="58" t="str">
        <f>IF(AL76="","",IF(BD76&lt;&gt;"","novo",IF(AN76="","imepre","imepre(ali)")))</f>
        <v>imepre</v>
      </c>
      <c r="EE76" s="73" t="str">
        <f>IF(AL76="","",IF(BL76="",IF(IFERROR(INDEX(regNatjecatelj_klub,MATCH(EB76,regNatjecatelj_id,0)),"NEMA")="","klu",""),IF(OR(AND(BN76&lt;&gt;"",BN76&lt;&gt;"NEMA"),CD76&lt;&gt;""),"klu(ali)",IF(AND(BP76&lt;&gt;"",BP76&lt;&gt;BO76),"(raz-klu)","klu"))))</f>
        <v>klu</v>
      </c>
      <c r="EF76" s="73" t="str">
        <f>IF(AL76="","","kat"&amp;IF(AND(W76&lt;&gt;Q76,Q76&lt;&gt;"Open"),"(ali)",""))</f>
        <v>kat</v>
      </c>
      <c r="EG76" s="73" t="str">
        <f t="shared" si="29"/>
        <v/>
      </c>
      <c r="EH76" s="66" t="str">
        <f>IF(AL76="","",ED76&amp;IF(ED76="novo","","-"&amp;EE76&amp;"-"&amp;EF76)&amp;IF(EG76="","","-"&amp;EG76))</f>
        <v>imepre-klu-kat</v>
      </c>
      <c r="EI76" s="47" t="s">
        <v>0</v>
      </c>
      <c r="EJ76" s="58">
        <f>IF(AL76="","",MAX(EJ$12:EJ75)+1)</f>
        <v>246</v>
      </c>
      <c r="EK76" s="73">
        <f>IF(AO76="","",X76)</f>
        <v>28</v>
      </c>
      <c r="EL76" s="73">
        <f t="shared" si="62"/>
        <v>1936</v>
      </c>
      <c r="EM76" s="73">
        <f t="shared" si="30"/>
        <v>3025</v>
      </c>
      <c r="EN76" s="73">
        <f t="shared" si="31"/>
        <v>1</v>
      </c>
      <c r="EO76" s="73">
        <f t="shared" si="63"/>
        <v>1</v>
      </c>
      <c r="EP76" s="73">
        <f t="shared" si="64"/>
        <v>1</v>
      </c>
      <c r="EQ76" s="73" t="str">
        <f t="shared" si="34"/>
        <v>0</v>
      </c>
      <c r="ER76" s="73" t="str">
        <f>IF(OR(AN76="",AN76="NEMA"),BB76,AN76)</f>
        <v/>
      </c>
      <c r="ES76" s="73" t="str">
        <f>IF(AND(BN76&lt;&gt;"",BN76&lt;&gt;"NEMA"),BN76,IF(CG76&lt;&gt;"",CG76,IF(AND(CL76&lt;&gt;"",CL76&lt;&gt;"NEMA"),CL76,IF(CM76&lt;&gt;"",CM76,""))))</f>
        <v/>
      </c>
      <c r="ET76" s="53" t="str">
        <f>IF(INDEX(natKategorija_alias_Id,MATCH(S76,natKategorija_katRegId,0))="","",INDEX(natKategorija_alias_Id,MATCH(S76,natKategorija_katRegId,0)))</f>
        <v/>
      </c>
      <c r="EU76" s="47" t="s">
        <v>0</v>
      </c>
      <c r="EV76" s="19" t="str">
        <f t="shared" si="65"/>
        <v>INSERT INTO rezultat(id,stazakategorija_id,imeprezime_id,vrijeme_sec,status_id,registracija,uparivanje_id,originalstatus_id,imeprezimealias_id,klubalias_id,kategorijaalias_id) VALUES (246,28,1936,3025,1,1,1,0,Null,Null,Null);</v>
      </c>
      <c r="EW76" s="47" t="s">
        <v>0</v>
      </c>
      <c r="EX76" s="19" t="str">
        <f t="shared" si="66"/>
        <v>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76" s="47" t="s">
        <v>0</v>
      </c>
      <c r="EZ76" s="180" t="str">
        <f>AG76&amp;IF(CP76="","","
")&amp;CP76&amp;IF(CI76="","","
")&amp;CI76&amp;IF(DN76="","","
")&amp;DN76&amp;IF(DP76="","","
")&amp;DP76&amp;IF(EV76="","","
")&amp;EV76&amp;IF(EX76="","","
")&amp;EX76</f>
        <v xml:space="preserve">
INSERT INTO rezultat(id,stazakategorija_id,imeprezime_id,vrijeme_sec,status_id,registracija,uparivanje_id,originalstatus_id,imeprezimealias_id,klubalias_id,kategorijaalias_id) VALUES (246,28,1936,3025,1,1,1,0,Null,Null,Null);
UPDATE
	registar
SET
	potvrda = 1
WHERE
	imeprezime_id=1936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76" s="47" t="s">
        <v>0</v>
      </c>
    </row>
    <row r="77" spans="1:157" x14ac:dyDescent="0.25">
      <c r="A77" t="s">
        <v>0</v>
      </c>
      <c r="B77" s="52" t="str">
        <f>IF(csv!F67="","",csv!T67)</f>
        <v>M21B</v>
      </c>
      <c r="C77" s="31" t="s">
        <v>0</v>
      </c>
      <c r="D77" s="31" t="str">
        <f>IF(csv!F67="","",csv!F67)</f>
        <v>Branimir</v>
      </c>
      <c r="E77" s="31" t="str">
        <f>IF(csv!E67="","",csv!E67)</f>
        <v>Putniković</v>
      </c>
      <c r="F77" s="31" t="s">
        <v>0</v>
      </c>
      <c r="G77" s="73" t="str">
        <f>IF(csv!M67="","",csv!M67)</f>
        <v>51:30</v>
      </c>
      <c r="H77" s="73" t="str">
        <f>IF(csv!N67="","",csv!N67)</f>
        <v>0</v>
      </c>
      <c r="I77" s="31" t="s">
        <v>0</v>
      </c>
      <c r="J77" s="31" t="str">
        <f>IF(csv!P67="","",csv!P67)</f>
        <v>KAP</v>
      </c>
      <c r="K77" s="31" t="str">
        <f>IF(csv!Q67="","",csv!Q67)</f>
        <v>OK Kapela</v>
      </c>
      <c r="L77" s="31" t="s">
        <v>0</v>
      </c>
      <c r="M77" s="66" t="str">
        <f>IF(csv!R67="","",csv!R67)</f>
        <v>CRO</v>
      </c>
      <c r="N77" s="47" t="s">
        <v>0</v>
      </c>
      <c r="O77" s="243" t="str">
        <f t="shared" si="36"/>
        <v>ok</v>
      </c>
      <c r="P77" s="47"/>
      <c r="Q77" s="52" t="str">
        <f t="shared" si="37"/>
        <v>M21B</v>
      </c>
      <c r="R77" s="73">
        <f>IF(Q77="","",IF(COUNTIF(Q$12:Q76,Q77)=0,R76+1,R76))</f>
        <v>6</v>
      </c>
      <c r="S77" s="73">
        <f t="shared" si="38"/>
        <v>108</v>
      </c>
      <c r="T77" s="73">
        <f t="shared" ref="T77:T140" si="72">IF(Q77="","",IFERROR(INDEX(natStaza_id,MATCH(Q77,natStaza_kategorija,0)),""))</f>
        <v>19</v>
      </c>
      <c r="U77" s="66" t="str">
        <f t="shared" ref="U77:U140" si="73">IF(T77="","",INDEX(natStaza_naziv,MATCH(T77,natStaza_id,0)))</f>
        <v>M21B – M16</v>
      </c>
      <c r="V77" s="47" t="s">
        <v>0</v>
      </c>
      <c r="W77" s="222" t="str">
        <f t="shared" ref="W77:W140" si="74">IF(O77="","",INDEX(regKategorija_oznaka,MATCH(S77,regKategorija_id,0)))</f>
        <v>M21B</v>
      </c>
      <c r="X77" s="223">
        <f t="shared" ref="X77:X140" si="75">IF(W77="","",INDEX(natKategorija_stazaKatId,MATCH(S77,natKategorija_katRegId,0)))</f>
        <v>28</v>
      </c>
      <c r="Y77" s="47" t="s">
        <v>0</v>
      </c>
      <c r="Z77" s="52" t="str">
        <f t="shared" si="39"/>
        <v>CRO</v>
      </c>
      <c r="AA77" s="73">
        <f t="shared" ref="AA77:AA140" si="76">IF(Z77="","",IFERROR(INDEX(regDrzava_id,MATCH(Z77,regDrzava_oznaka,0)),"NEMA"))</f>
        <v>1</v>
      </c>
      <c r="AB77" s="31" t="str">
        <f t="shared" si="40"/>
        <v/>
      </c>
      <c r="AC77" s="66" t="str">
        <f>IF(AB77="","",MAX(AC$12:AC76)+1)</f>
        <v/>
      </c>
      <c r="AD77" s="47" t="s">
        <v>0</v>
      </c>
      <c r="AE77" s="125"/>
      <c r="AF77" s="47" t="s">
        <v>0</v>
      </c>
      <c r="AG77" s="19" t="str">
        <f t="shared" si="41"/>
        <v/>
      </c>
      <c r="AH77" s="47" t="s">
        <v>0</v>
      </c>
      <c r="AI77" s="143" t="str">
        <f t="shared" si="42"/>
        <v>CRO</v>
      </c>
      <c r="AJ77" s="47"/>
      <c r="AK77" s="52" t="str">
        <f t="shared" si="43"/>
        <v>Branimir</v>
      </c>
      <c r="AL77" s="31" t="str">
        <f t="shared" si="44"/>
        <v>Putniković</v>
      </c>
      <c r="AM77" s="73">
        <f t="shared" si="45"/>
        <v>1350</v>
      </c>
      <c r="AN77" s="73" t="str">
        <f t="shared" si="46"/>
        <v/>
      </c>
      <c r="AO77" s="31" t="str">
        <f t="shared" ref="AO77:AO140" si="77">IF(O77="","",IF(OR(AN77="",AN77="NEMA"),AK77,INDEX(regNatjecatelj_ime,MATCH(AN77,regNatjecatelj_id,0))))</f>
        <v>Branimir</v>
      </c>
      <c r="AP77" s="66" t="str">
        <f t="shared" ref="AP77:AP140" si="78">IF(O77="","",IF(OR(AN77="",AN77="NEMA"),AL77,INDEX(regNatjecatelj_prezime,MATCH(AN77,regNatjecatelj_id,0))))</f>
        <v>Putniković</v>
      </c>
      <c r="AQ77" s="47" t="s">
        <v>0</v>
      </c>
      <c r="AR77" s="82" t="str">
        <f t="shared" si="47"/>
        <v/>
      </c>
      <c r="AS77" s="47" t="s">
        <v>0</v>
      </c>
      <c r="AT77" s="19" t="str">
        <f t="shared" si="48"/>
        <v/>
      </c>
      <c r="AU77" s="47" t="s">
        <v>0</v>
      </c>
      <c r="AV77" s="103"/>
      <c r="AW77" s="105"/>
      <c r="AX77" s="47" t="s">
        <v>0</v>
      </c>
      <c r="AY77" s="256" t="str">
        <f t="shared" si="68"/>
        <v/>
      </c>
      <c r="AZ77" s="47" t="s">
        <v>0</v>
      </c>
      <c r="BA77" s="52" t="str">
        <f t="shared" ref="BA77:BA140" si="79">IF(AV77&amp;AW77="","",AR77)</f>
        <v/>
      </c>
      <c r="BB77" s="73" t="str">
        <f>IF(AV77&amp;AW77="","",MAX(BB$12:BB76)+1)</f>
        <v/>
      </c>
      <c r="BC77" s="268" t="str">
        <f t="shared" ref="BC77:BC140" si="80">IF(AV77&amp;AW77="","",IFERROR(INDEX(regNatjecatelj_id,MATCH(AV77&amp;" – "&amp;AW77,regNatjecatelj_imePrezime,0)),"NEMA"))</f>
        <v/>
      </c>
      <c r="BD77" s="53" t="str">
        <f>IF(AND(AM77="NEMA",AN77="NEMA",OR(AV77&amp;AW77="",BC77="NEMA")),MAX(BD$12:BD76)+1,"")</f>
        <v/>
      </c>
      <c r="BE77" s="47" t="s">
        <v>0</v>
      </c>
      <c r="BF77" s="52" t="str">
        <f t="shared" ref="BF77:BF140" si="81">IF(O77="","",IF(BC77="",AO77,IF(BC77="NEMA",AV77,INDEX(regNatjecatelj_ime,MATCH(BC77,regNatjecatelj_id,0)))))</f>
        <v>Branimir</v>
      </c>
      <c r="BG77" s="31" t="str">
        <f t="shared" ref="BG77:BG140" si="82">IF(O77="","",IF(BC77="",AP77,IF(BC77="NEMA",AW77,INDEX(regNatjecatelj_prezime,MATCH(BC77,regNatjecatelj_id,0)))))</f>
        <v>Putniković</v>
      </c>
      <c r="BH77" s="73" t="str">
        <f t="shared" si="49"/>
        <v/>
      </c>
      <c r="BI77" s="53">
        <f t="shared" si="50"/>
        <v>1350</v>
      </c>
      <c r="BJ77" s="47" t="s">
        <v>0</v>
      </c>
      <c r="BK77" s="52" t="str">
        <f t="shared" ref="BK77:BK140" si="83">IF(O77="","",J77)</f>
        <v>KAP</v>
      </c>
      <c r="BL77" s="31" t="str">
        <f t="shared" ref="BL77:BL140" si="84">IF(O77="","",K77)</f>
        <v>OK Kapela</v>
      </c>
      <c r="BM77" s="73">
        <f t="shared" ref="BM77:BM140" si="85">IF(BL77="","",IFERROR(INDEX(regKlub_id,MATCH(BL77,regKlub_naziv,0)),"NEMA"))</f>
        <v>5</v>
      </c>
      <c r="BN77" s="73" t="str">
        <f t="shared" ref="BN77:BN140" si="86">IF(BL77="","",IF(IFERROR(MATCH(BL77,regKlub_naziv,0),"")&lt;&gt;"","",IFERROR(MATCH(BL77,regKlub_alias_alias,0),"NEMA")))</f>
        <v/>
      </c>
      <c r="BO77" s="31" t="str" cm="1">
        <f t="array" ref="BO77">IF(BN77="",""&amp;BL77,IF(BN77="NEMA",BL77,INDEX(regKlub_naziv,MATCH(INDEX(regKlub_alias_klubId,BN77),regKlub_id,0))))</f>
        <v>OK Kapela</v>
      </c>
      <c r="BP77" s="31" t="str" cm="1">
        <f t="array" ref="BP77">IFERROR(""&amp;INDEX(regNatjecatelj_klub,DY77),"")</f>
        <v>OK Kapela</v>
      </c>
      <c r="BQ77" s="88" t="str">
        <f t="shared" si="51"/>
        <v/>
      </c>
      <c r="BR77" s="66" t="str">
        <f t="shared" si="52"/>
        <v>OK Kapela</v>
      </c>
      <c r="BS77" s="47" t="s">
        <v>0</v>
      </c>
      <c r="BT77" s="82" t="str">
        <f>IF(BN77&lt;&gt;"NEMA","",IF(IFERROR(MATCH(BL77,BL$12:BL76,0),0)&lt;&gt;0,"",BL77))</f>
        <v/>
      </c>
      <c r="BU77" s="47" t="s">
        <v>0</v>
      </c>
      <c r="BV77" s="125"/>
      <c r="BW77" s="47" t="s">
        <v>0</v>
      </c>
      <c r="BX77" s="58" t="str">
        <f t="shared" si="53"/>
        <v/>
      </c>
      <c r="BY77" s="31" t="str">
        <f t="shared" si="54"/>
        <v/>
      </c>
      <c r="BZ77" s="31" t="str">
        <f>IF(BY77="","",MAX(BZ$12:BZ76)+1)</f>
        <v/>
      </c>
      <c r="CA77" s="31" t="str">
        <f>IF(BY77="","",IF(AA77="","",IF(AA77="NEMA",AC77,AA77)))</f>
        <v/>
      </c>
      <c r="CB77" s="31" t="str">
        <f t="shared" si="55"/>
        <v/>
      </c>
      <c r="CC77" s="31" t="str">
        <f>IF(BV77="","",MAX(CC$12:CC76)+1)</f>
        <v/>
      </c>
      <c r="CD77" s="31" t="str">
        <f t="shared" si="56"/>
        <v/>
      </c>
      <c r="CE77" s="66" t="str">
        <f t="shared" si="57"/>
        <v/>
      </c>
      <c r="CF77" s="47" t="s">
        <v>0</v>
      </c>
      <c r="CG77" s="73" t="str">
        <f>IF(BN77="","",IF(BN77&lt;&gt;"NEMA","",IFERROR(INDEX(nat_klubAliasId,MATCH(BL77,nat_noviKluboviAliasi,0)),"")))</f>
        <v/>
      </c>
      <c r="CH77" s="47"/>
      <c r="CI77" s="19" t="str">
        <f t="shared" si="58"/>
        <v/>
      </c>
      <c r="CJ77" s="47" t="s">
        <v>0</v>
      </c>
      <c r="CK77" s="52" t="str">
        <f>IF(X77&lt;&gt;"NEMA","",IF(IFERROR(MATCH(W77,W$12:W76,0),0)&lt;&gt;0,"",W77))</f>
        <v/>
      </c>
      <c r="CL77" s="73" t="str">
        <f>IF(CK77="","",IFERROR(INDEX(regKlub_alias_id,MATCH(CK77,regKlub_alias_alias,0)),"NEMA"))</f>
        <v/>
      </c>
      <c r="CM77" s="31" t="str">
        <f>IF(OR(CL77="",CL77&lt;&gt;"NEMA"),"",MAX(CM$12:CM76)+1)</f>
        <v/>
      </c>
      <c r="CN77" s="66" t="str">
        <f>IF(OR(CL77="",CL77&lt;&gt;"NEMA"),"",INDEX(regKlub_id,MATCH(CK77,regKlub_naziv,0)))</f>
        <v/>
      </c>
      <c r="CO77" s="47" t="s">
        <v>0</v>
      </c>
      <c r="CP77" s="19" t="str">
        <f>IF(OR(CL77="",CL77&lt;&gt;"NEMA"),"","INSERT INTO klub_alias(id,alias,klub_id) VALUES ("&amp;CM77&amp;",'"&amp;CK77&amp;"',"&amp;CN77&amp;");")</f>
        <v/>
      </c>
      <c r="CQ77" s="47" t="s">
        <v>0</v>
      </c>
      <c r="CR77" s="143" t="str">
        <f>IF(BR77="","",IF(BV77="",IF(IFERROR(MATCH(BR77,nat_noviKluboviAliasi,0),0)&gt;0,INDEX(nat_kluboviAliasi,MATCH(BR77,nat_noviKluboviAliasi,0)),BR77),BV77))</f>
        <v>OK Kapela</v>
      </c>
      <c r="CS77" s="47" t="s">
        <v>0</v>
      </c>
      <c r="CT77" s="58" t="str">
        <f>IF(G77="","",G77)</f>
        <v>51:30</v>
      </c>
      <c r="CU77" s="73" t="str">
        <f>IF(H77="","",H77)</f>
        <v>0</v>
      </c>
      <c r="CV77" s="229" t="str">
        <f>IF(CT77="",IF(OR(AL77="",CU77&lt;&gt;"0"),"","GREŠKA"),IF(AND(65535&gt;=VALUE(LEFT(CT77,SEARCH(":",CT77)-1))*60+VALUE(RIGHT(CT77,2)),OR(CU77="0",CU77="1",CU77="2",CU77="3",CU77="4")),"","GREŠKA"))</f>
        <v/>
      </c>
      <c r="CW77" s="230">
        <f t="shared" si="71"/>
        <v>3090</v>
      </c>
      <c r="CX77" s="163">
        <f t="shared" ref="CX77:CX140" si="87">IF(DX77="","",IF(AND(CU77="0",N(CW77)&gt;data_max_minuta*60),2,INDEX(regStatusRezultat_id,MATCH(VALUE(CU77),regStatusRezultat_oEvent,0))))</f>
        <v>1</v>
      </c>
      <c r="CY77" s="47" t="s">
        <v>0</v>
      </c>
      <c r="CZ77" s="222" t="str">
        <f>IF(CV77&lt;&gt;"GREŠKA","",AK77&amp;" "&amp;AL77&amp;" – Molim u OEventu provjeriti i ispraviti rezultat – vrijeme ("&amp;IF(CT77="","nije upisano",CT77)&amp;") i classifier ("&amp;CU77&amp;").")&amp;IF(OR(CV77&lt;&gt;"GREŠKA",CX77&lt;&gt;5),"
","")&amp;IF(CX77&lt;&gt;5,"",AK77&amp;" "&amp;AL77&amp;" – Molim u provjeriti je li natjecatelj zaista diskvalificiran. Ako je koje je obrazloženje, ako nije molim u OEventu ispraviti rezultat")</f>
        <v xml:space="preserve">
</v>
      </c>
      <c r="DA77" s="223">
        <f t="shared" si="60"/>
        <v>6</v>
      </c>
      <c r="DB77" s="47" t="s">
        <v>0</v>
      </c>
      <c r="DC77" s="47"/>
      <c r="DD77" s="47"/>
      <c r="DE77" s="47"/>
      <c r="DF77" s="47" t="s">
        <v>0</v>
      </c>
      <c r="DG77" s="53" t="str">
        <f>IF(BD77="","",IF(DI77="O",1,""))</f>
        <v/>
      </c>
      <c r="DH77" t="s">
        <v>0</v>
      </c>
      <c r="DI77" s="128" t="str">
        <f>IF(Q77="","",LEFT(INDEX(regKategorija_oznaka,MATCH(S77,regKategorija_id,0)),1))</f>
        <v>M</v>
      </c>
      <c r="DJ77" t="s">
        <v>0</v>
      </c>
      <c r="DK77" s="52" t="str">
        <f>IF(BD77="","",IF(M77&lt;&gt;"CRO","","INSERT INTO osoba (id,reg_broj,oib,spol_id,dat_rodjenja) VALUES ("&amp;BD77&amp;",(SELECT max(os.reg_broj)+1 FROM osoba AS os),Null,'"&amp;DI77&amp;"',Null); INSERT INTO osoba_log (id,reg_broj,oib,spol_id,dat_rodjenja,dnevnik_id) SELECT id,reg_broj,oib,spol_id,dat_rodjenja,"&amp;data_dnevnik_id&amp;" FROM osoba WHERE id = "&amp;BD77&amp;";"))</f>
        <v/>
      </c>
      <c r="DL77" s="66" t="str">
        <f>IF(BD77="","","INSERT INTO imeprezime (id,osoba_id,rbr,ime,prezime,klub_id,identitet_id,sintaksa_id,info,aktivno,dnevnik_id) VALUES ("&amp;BD77&amp;","&amp;IF(DK77="","Null",BD77)&amp;",1,'"&amp;IF(AV77&lt;&gt;"",AV77,AK77)&amp;"','"&amp;IF(AW77&lt;&gt;"",AW77,AL77)&amp;"',(SELECT id FROM klub WHERE naziv = '"&amp;CR77&amp;"'),Null,1,'',1,"&amp;data_dnevnik_id&amp;");")</f>
        <v/>
      </c>
      <c r="DM77" t="s">
        <v>0</v>
      </c>
      <c r="DN77" s="19" t="str">
        <f t="shared" si="69"/>
        <v/>
      </c>
      <c r="DO77" s="47" t="s">
        <v>0</v>
      </c>
      <c r="DP77" s="19" t="str">
        <f>IF(BA77="","","INSERT INTO imeprezime_alias(id,alias,imeprezime_id) VALUES ("&amp;BB77&amp;",'"&amp;BA77&amp;"',"&amp;IF(BC77="NEMA",BD77,BC77)&amp;");")</f>
        <v/>
      </c>
      <c r="DQ77" s="47" t="s">
        <v>0</v>
      </c>
      <c r="DR77" s="52" t="str">
        <f>IF(AL77="","",DU77 &amp; IF(Q77="",""," – " &amp; Q77))</f>
        <v>Branimir – Putniković – OK Kapela – M21B</v>
      </c>
      <c r="DS77" s="53">
        <f t="shared" ref="DS77:DS140" si="88">IF(DR77="","",IFERROR(MATCH(DR77,regNatjecatelj_imePrezimeKlubKategorija,0),"NEMA"))</f>
        <v>300</v>
      </c>
      <c r="DT77" s="47" t="s">
        <v>0</v>
      </c>
      <c r="DU77" s="52" t="str">
        <f>IF(AL77="","",DX77 &amp; IF(CR77="",""," – " &amp; CR77))</f>
        <v>Branimir – Putniković – OK Kapela</v>
      </c>
      <c r="DV77" s="53">
        <f t="shared" ref="DV77:DV140" si="89">IF(DU77="","",IFERROR(MATCH(DU77,regNatjecatelj_imePrezimeKlub,0),"NEMA"))</f>
        <v>300</v>
      </c>
      <c r="DW77" s="47" t="s">
        <v>0</v>
      </c>
      <c r="DX77" s="52" t="str">
        <f>IF(BG77="","",BF77&amp;" – "&amp;BG77)</f>
        <v>Branimir – Putniković</v>
      </c>
      <c r="DY77" s="53">
        <f t="shared" ref="DY77:DY140" si="90">IF(DX77="","",IFERROR(MATCH(DX77,regNatjecatelj_imePrezime,0),"NEMA"))</f>
        <v>300</v>
      </c>
      <c r="DZ77" s="47" t="s">
        <v>0</v>
      </c>
      <c r="EA77" s="58">
        <f t="shared" si="61"/>
        <v>300</v>
      </c>
      <c r="EB77" s="53" cm="1">
        <f t="array" ref="EB77">IF(EA77&lt;&gt;"",INDEX(regNatjecatelj_id,EA77,0),IF(BD77&lt;&gt;"",BD77,""))</f>
        <v>1350</v>
      </c>
      <c r="EC77" s="47" t="s">
        <v>0</v>
      </c>
      <c r="ED77" s="58" t="str">
        <f>IF(AL77="","",IF(BD77&lt;&gt;"","novo",IF(AN77="","imepre","imepre(ali)")))</f>
        <v>imepre</v>
      </c>
      <c r="EE77" s="73" t="str">
        <f>IF(AL77="","",IF(BL77="",IF(IFERROR(INDEX(regNatjecatelj_klub,MATCH(EB77,regNatjecatelj_id,0)),"NEMA")="","klu",""),IF(OR(AND(BN77&lt;&gt;"",BN77&lt;&gt;"NEMA"),CD77&lt;&gt;""),"klu(ali)",IF(AND(BP77&lt;&gt;"",BP77&lt;&gt;BO77),"(raz-klu)","klu"))))</f>
        <v>klu</v>
      </c>
      <c r="EF77" s="73" t="str">
        <f>IF(AL77="","","kat"&amp;IF(AND(W77&lt;&gt;Q77,Q77&lt;&gt;"Open"),"(ali)",""))</f>
        <v>kat</v>
      </c>
      <c r="EG77" s="73" t="str">
        <f t="shared" ref="EG77:EG140" si="91">IF(OR(CV77&lt;&gt;"",CX77=2),"ot","")</f>
        <v/>
      </c>
      <c r="EH77" s="66" t="str">
        <f>IF(AL77="","",ED77&amp;IF(ED77="novo","","-"&amp;EE77&amp;"-"&amp;EF77)&amp;IF(EG77="","","-"&amp;EG77))</f>
        <v>imepre-klu-kat</v>
      </c>
      <c r="EI77" s="47" t="s">
        <v>0</v>
      </c>
      <c r="EJ77" s="58">
        <f>IF(AL77="","",MAX(EJ$12:EJ76)+1)</f>
        <v>247</v>
      </c>
      <c r="EK77" s="73">
        <f>IF(AO77="","",X77)</f>
        <v>28</v>
      </c>
      <c r="EL77" s="73">
        <f t="shared" si="62"/>
        <v>1350</v>
      </c>
      <c r="EM77" s="73">
        <f t="shared" ref="EM77:EM140" si="92">IF(CW77="","",CW77)</f>
        <v>3090</v>
      </c>
      <c r="EN77" s="73">
        <f t="shared" ref="EN77:EN140" si="93">IF(CX77="","",IF(AND(EM77="",CX77=1),6,CX77))</f>
        <v>1</v>
      </c>
      <c r="EO77" s="73">
        <f t="shared" si="63"/>
        <v>1</v>
      </c>
      <c r="EP77" s="73">
        <f t="shared" si="64"/>
        <v>1</v>
      </c>
      <c r="EQ77" s="73" t="str">
        <f t="shared" ref="EQ77:EQ140" si="94">IF(CX77="","",CU77)</f>
        <v>0</v>
      </c>
      <c r="ER77" s="73" t="str">
        <f>IF(OR(AN77="",AN77="NEMA"),BB77,AN77)</f>
        <v/>
      </c>
      <c r="ES77" s="73" t="str">
        <f>IF(AND(BN77&lt;&gt;"",BN77&lt;&gt;"NEMA"),BN77,IF(CG77&lt;&gt;"",CG77,IF(AND(CL77&lt;&gt;"",CL77&lt;&gt;"NEMA"),CL77,IF(CM77&lt;&gt;"",CM77,""))))</f>
        <v/>
      </c>
      <c r="ET77" s="53" t="str">
        <f>IF(INDEX(natKategorija_alias_Id,MATCH(S77,natKategorija_katRegId,0))="","",INDEX(natKategorija_alias_Id,MATCH(S77,natKategorija_katRegId,0)))</f>
        <v/>
      </c>
      <c r="EU77" s="47" t="s">
        <v>0</v>
      </c>
      <c r="EV77" s="19" t="str">
        <f t="shared" si="65"/>
        <v>INSERT INTO rezultat(id,stazakategorija_id,imeprezime_id,vrijeme_sec,status_id,registracija,uparivanje_id,originalstatus_id,imeprezimealias_id,klubalias_id,kategorijaalias_id) VALUES (247,28,1350,3090,1,1,1,0,Null,Null,Null);</v>
      </c>
      <c r="EW77" s="47" t="s">
        <v>0</v>
      </c>
      <c r="EX77" s="19" t="str">
        <f t="shared" si="66"/>
        <v>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77" s="47" t="s">
        <v>0</v>
      </c>
      <c r="EZ77" s="180" t="str">
        <f>AG77&amp;IF(CP77="","","
")&amp;CP77&amp;IF(CI77="","","
")&amp;CI77&amp;IF(DN77="","","
")&amp;DN77&amp;IF(DP77="","","
")&amp;DP77&amp;IF(EV77="","","
")&amp;EV77&amp;IF(EX77="","","
")&amp;EX77</f>
        <v xml:space="preserve">
INSERT INTO rezultat(id,stazakategorija_id,imeprezime_id,vrijeme_sec,status_id,registracija,uparivanje_id,originalstatus_id,imeprezimealias_id,klubalias_id,kategorijaalias_id) VALUES (247,28,1350,3090,1,1,1,0,Null,Null,Null);
UPDATE
	registar
SET
	potvrda = 1
WHERE
	imeprezime_id=1350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77" s="47" t="s">
        <v>0</v>
      </c>
    </row>
    <row r="78" spans="1:157" x14ac:dyDescent="0.25">
      <c r="A78" t="s">
        <v>0</v>
      </c>
      <c r="B78" s="52" t="str">
        <f>IF(csv!F68="","",csv!T68)</f>
        <v>M21B</v>
      </c>
      <c r="C78" s="31" t="s">
        <v>0</v>
      </c>
      <c r="D78" s="31" t="str">
        <f>IF(csv!F68="","",csv!F68)</f>
        <v>Zlatan</v>
      </c>
      <c r="E78" s="31" t="str">
        <f>IF(csv!E68="","",csv!E68)</f>
        <v>Kos</v>
      </c>
      <c r="F78" s="31" t="s">
        <v>0</v>
      </c>
      <c r="G78" s="73" t="str">
        <f>IF(csv!M68="","",csv!M68)</f>
        <v>53:23</v>
      </c>
      <c r="H78" s="73" t="str">
        <f>IF(csv!N68="","",csv!N68)</f>
        <v>0</v>
      </c>
      <c r="I78" s="31" t="s">
        <v>0</v>
      </c>
      <c r="J78" s="31" t="str">
        <f>IF(csv!P68="","",csv!P68)</f>
        <v>Vihor</v>
      </c>
      <c r="K78" s="31" t="str">
        <f>IF(csv!Q68="","",csv!Q68)</f>
        <v>OK Vihor</v>
      </c>
      <c r="L78" s="31" t="s">
        <v>0</v>
      </c>
      <c r="M78" s="66" t="str">
        <f>IF(csv!R68="","",csv!R68)</f>
        <v>CRO</v>
      </c>
      <c r="N78" s="47" t="s">
        <v>0</v>
      </c>
      <c r="O78" s="243" t="str">
        <f t="shared" ref="O78:O141" si="95">IF(E78="","","ok")</f>
        <v>ok</v>
      </c>
      <c r="P78" s="47"/>
      <c r="Q78" s="52" t="str">
        <f t="shared" ref="Q78:Q141" si="96">IF(B78="","",B78)</f>
        <v>M21B</v>
      </c>
      <c r="R78" s="73">
        <f>IF(Q78="","",IF(COUNTIF(Q$12:Q77,Q78)=0,R77+1,R77))</f>
        <v>6</v>
      </c>
      <c r="S78" s="73">
        <f t="shared" ref="S78:S141" si="97">IF(Q78="","",IFERROR(INDEX(regKategorija_id,MATCH(Q78,regKategorija_oznaka,0)),IFERROR(INDEX(regKategorija_alias_id,MATCH(Q78,regKategorija_alias_oznaka,0)),INDEX(natKategorija_katRegId,MATCH(Q78,natKategorija_kategorija,0)))))</f>
        <v>108</v>
      </c>
      <c r="T78" s="73">
        <f t="shared" si="72"/>
        <v>19</v>
      </c>
      <c r="U78" s="66" t="str">
        <f t="shared" si="73"/>
        <v>M21B – M16</v>
      </c>
      <c r="V78" s="47" t="s">
        <v>0</v>
      </c>
      <c r="W78" s="222" t="str">
        <f t="shared" si="74"/>
        <v>M21B</v>
      </c>
      <c r="X78" s="223">
        <f t="shared" si="75"/>
        <v>28</v>
      </c>
      <c r="Y78" s="47" t="s">
        <v>0</v>
      </c>
      <c r="Z78" s="52" t="str">
        <f t="shared" ref="Z78:Z141" si="98">IF(O78="","",M78)</f>
        <v>CRO</v>
      </c>
      <c r="AA78" s="73">
        <f t="shared" si="76"/>
        <v>1</v>
      </c>
      <c r="AB78" s="31" t="str">
        <f t="shared" ref="AB78:AB141" si="99">IF(OR(AA78="",AA78&lt;&gt;"NEMA"),"",Z78)</f>
        <v/>
      </c>
      <c r="AC78" s="66" t="str">
        <f>IF(AB78="","",MAX(AC$12:AC77)+1)</f>
        <v/>
      </c>
      <c r="AD78" s="47" t="s">
        <v>0</v>
      </c>
      <c r="AE78" s="125"/>
      <c r="AF78" s="47" t="s">
        <v>0</v>
      </c>
      <c r="AG78" s="19" t="str">
        <f t="shared" ref="AG78:AG141" si="100">IF(AB78="","","INSERT INTO drzava(id,naziv,oznaka) VALUES ("&amp;AC78&amp;",'"&amp;AE78&amp;"','"&amp;UPPER(LEFT(AB78,1))&amp;LOWER(RIGHT(AB78,2))&amp;"');")</f>
        <v/>
      </c>
      <c r="AH78" s="47" t="s">
        <v>0</v>
      </c>
      <c r="AI78" s="143" t="str">
        <f t="shared" ref="AI78:AI141" si="101">IF(AA78="","",IF(AA78="NEMA",AB78,Z78))</f>
        <v>CRO</v>
      </c>
      <c r="AJ78" s="47"/>
      <c r="AK78" s="52" t="str">
        <f t="shared" ref="AK78:AK141" si="102">IF(O78="","",D78)</f>
        <v>Zlatan</v>
      </c>
      <c r="AL78" s="31" t="str">
        <f t="shared" ref="AL78:AL141" si="103">IF(O78="","",E78)</f>
        <v>Kos</v>
      </c>
      <c r="AM78" s="73">
        <f t="shared" ref="AM78:AM141" si="104">IF(AL78="","",IFERROR(INDEX(regNatjecatelj_id,MATCH(AK78&amp;" – "&amp;AL78,regNatjecatelj_imePrezime,0)),"NEMA"))</f>
        <v>1930</v>
      </c>
      <c r="AN78" s="73" t="str">
        <f t="shared" ref="AN78:AN141" si="105">IF(AM78&lt;&gt;"NEMA","",IFERROR(INDEX(regNatjecatelj_alias_natjecateljId,MATCH(AK78&amp;" "&amp;AL78,regNatjecatelj_alias_alias,0)),"NEMA"))</f>
        <v/>
      </c>
      <c r="AO78" s="31" t="str">
        <f t="shared" si="77"/>
        <v>Zlatan</v>
      </c>
      <c r="AP78" s="66" t="str">
        <f t="shared" si="78"/>
        <v>Kos</v>
      </c>
      <c r="AQ78" s="47" t="s">
        <v>0</v>
      </c>
      <c r="AR78" s="82" t="str">
        <f t="shared" ref="AR78:AR141" si="106">IF(OR(O78="",AN78&lt;&gt;"NEMA"),"",AK78&amp;" "&amp;AL78)</f>
        <v/>
      </c>
      <c r="AS78" s="47" t="s">
        <v>0</v>
      </c>
      <c r="AT78" s="19" t="str">
        <f t="shared" ref="AT78:AT141" si="107">IF(OR(AM78&lt;&gt;"NEMA",AN78&lt;&gt;"NEMA"),"","SELECT '"&amp;AO78&amp;" – "&amp;AP78&amp;"', ime, prezime FROM imeprezime WHERE ime LIKE '%"&amp;MID(AO78,2,LEN(AO78)-2)&amp;"%' Or prezime LIKE '%"&amp;MID(AP78,2,LEN(AP78)-2)&amp;"%' Or ime LIKE '%"&amp;MID(AP78,2,LEN(AP78)-2)&amp;"%' Or prezime LIKE '%"&amp;MID(AO78,2,LEN(AO78)-2)&amp;"%' ORDER BY ime, prezime;")</f>
        <v/>
      </c>
      <c r="AU78" s="47" t="s">
        <v>0</v>
      </c>
      <c r="AV78" s="103"/>
      <c r="AW78" s="105"/>
      <c r="AX78" s="47" t="s">
        <v>0</v>
      </c>
      <c r="AY78" s="256" t="str">
        <f t="shared" si="68"/>
        <v/>
      </c>
      <c r="AZ78" s="47" t="s">
        <v>0</v>
      </c>
      <c r="BA78" s="52" t="str">
        <f t="shared" si="79"/>
        <v/>
      </c>
      <c r="BB78" s="73" t="str">
        <f>IF(AV78&amp;AW78="","",MAX(BB$12:BB77)+1)</f>
        <v/>
      </c>
      <c r="BC78" s="268" t="str">
        <f t="shared" si="80"/>
        <v/>
      </c>
      <c r="BD78" s="53" t="str">
        <f>IF(AND(AM78="NEMA",AN78="NEMA",OR(AV78&amp;AW78="",BC78="NEMA")),MAX(BD$12:BD77)+1,"")</f>
        <v/>
      </c>
      <c r="BE78" s="47" t="s">
        <v>0</v>
      </c>
      <c r="BF78" s="52" t="str">
        <f t="shared" si="81"/>
        <v>Zlatan</v>
      </c>
      <c r="BG78" s="31" t="str">
        <f t="shared" si="82"/>
        <v>Kos</v>
      </c>
      <c r="BH78" s="73" t="str">
        <f t="shared" ref="BH78:BH141" si="108">IF(AND(AN78&lt;&gt;"",AN78&lt;&gt;"NEMA"),AN78,IF(BB78&lt;&gt;"",BB78,""))</f>
        <v/>
      </c>
      <c r="BI78" s="53">
        <f t="shared" ref="BI78:BI141" si="109">IF(AND(AM78&lt;&gt;"",AM78&lt;&gt;"NEMA"),AM78,IF(BC78&lt;&gt;"",BC78,IF(BD78&lt;&gt;"",BD78,"")))</f>
        <v>1930</v>
      </c>
      <c r="BJ78" s="47" t="s">
        <v>0</v>
      </c>
      <c r="BK78" s="52" t="str">
        <f t="shared" si="83"/>
        <v>Vihor</v>
      </c>
      <c r="BL78" s="31" t="str">
        <f t="shared" si="84"/>
        <v>OK Vihor</v>
      </c>
      <c r="BM78" s="73">
        <f t="shared" si="85"/>
        <v>12</v>
      </c>
      <c r="BN78" s="73" t="str">
        <f t="shared" si="86"/>
        <v/>
      </c>
      <c r="BO78" s="31" t="str" cm="1">
        <f t="array" ref="BO78">IF(BN78="",""&amp;BL78,IF(BN78="NEMA",BL78,INDEX(regKlub_naziv,MATCH(INDEX(regKlub_alias_klubId,BN78),regKlub_id,0))))</f>
        <v>OK Vihor</v>
      </c>
      <c r="BP78" s="31" t="str" cm="1">
        <f t="array" ref="BP78">IFERROR(""&amp;INDEX(regNatjecatelj_klub,DY78),"")</f>
        <v>OK Vihor</v>
      </c>
      <c r="BQ78" s="88" t="str">
        <f t="shared" ref="BQ78:BQ141" si="110">IF(BO78=BP78,"",IF(BP78="","",1))</f>
        <v/>
      </c>
      <c r="BR78" s="66" t="str">
        <f t="shared" ref="BR78:BR141" si="111">IF(AND(BP78&lt;&gt;"",BP78&lt;&gt;BO78),BP78,""&amp;BO78)</f>
        <v>OK Vihor</v>
      </c>
      <c r="BS78" s="47" t="s">
        <v>0</v>
      </c>
      <c r="BT78" s="82" t="str">
        <f>IF(BN78&lt;&gt;"NEMA","",IF(IFERROR(MATCH(BL78,BL$12:BL77,0),0)&lt;&gt;0,"",BL78))</f>
        <v/>
      </c>
      <c r="BU78" s="47" t="s">
        <v>0</v>
      </c>
      <c r="BV78" s="125"/>
      <c r="BW78" s="47" t="s">
        <v>0</v>
      </c>
      <c r="BX78" s="58" t="str">
        <f t="shared" ref="BX78:BX141" si="112">IF(BV78="","",IFERROR(INDEX(regKlub_id,MATCH(BV78,regKlub_naziv,0)),"NEMA"))</f>
        <v/>
      </c>
      <c r="BY78" s="31" t="str">
        <f t="shared" ref="BY78:BY141" si="113">IF(BT78="","",IF(BV78="",BT78,""))</f>
        <v/>
      </c>
      <c r="BZ78" s="31" t="str">
        <f>IF(BY78="","",MAX(BZ$12:BZ77)+1)</f>
        <v/>
      </c>
      <c r="CA78" s="31" t="str">
        <f>IF(BY78="","",IF(AA78="","",IF(AA78="NEMA",AC78,AA78)))</f>
        <v/>
      </c>
      <c r="CB78" s="31" t="str">
        <f t="shared" ref="CB78:CB141" si="114">IF(BY78="","","INSERT INTO klub(id,naziv,drzava_id,aktivan) VALUES ("&amp;BZ78&amp;",'"&amp;BY78&amp;"',"&amp;CA78&amp;",1);")</f>
        <v/>
      </c>
      <c r="CC78" s="31" t="str">
        <f>IF(BV78="","",MAX(CC$12:CC77)+1)</f>
        <v/>
      </c>
      <c r="CD78" s="31" t="str">
        <f t="shared" ref="CD78:CD141" si="115">IF(BV78="","",IF(BZ78="",INDEX(regKlub_id,MATCH(BV78,regKlub_naziv,0)),BZ78))</f>
        <v/>
      </c>
      <c r="CE78" s="66" t="str">
        <f t="shared" ref="CE78:CE141" si="116">IF(BV78="","","INSERT INTO klub_alias(id,alias,klub_id) VALUES ("&amp;CC78&amp;",'"&amp;BT78&amp;"',"&amp;CD78&amp;");")</f>
        <v/>
      </c>
      <c r="CF78" s="47" t="s">
        <v>0</v>
      </c>
      <c r="CG78" s="73" t="str">
        <f>IF(BN78="","",IF(BN78&lt;&gt;"NEMA","",IFERROR(INDEX(nat_klubAliasId,MATCH(BL78,nat_noviKluboviAliasi,0)),"")))</f>
        <v/>
      </c>
      <c r="CH78" s="47"/>
      <c r="CI78" s="19" t="str">
        <f t="shared" ref="CI78:CI141" si="117">""&amp;CB78&amp;IF(AND(CB78&lt;&gt;"",CE78&lt;&gt;""),"
","")&amp;CE78</f>
        <v/>
      </c>
      <c r="CJ78" s="47" t="s">
        <v>0</v>
      </c>
      <c r="CK78" s="52" t="str">
        <f>IF(X78&lt;&gt;"NEMA","",IF(IFERROR(MATCH(W78,W$12:W77,0),0)&lt;&gt;0,"",W78))</f>
        <v/>
      </c>
      <c r="CL78" s="73" t="str">
        <f>IF(CK78="","",IFERROR(INDEX(regKlub_alias_id,MATCH(CK78,regKlub_alias_alias,0)),"NEMA"))</f>
        <v/>
      </c>
      <c r="CM78" s="31" t="str">
        <f>IF(OR(CL78="",CL78&lt;&gt;"NEMA"),"",MAX(CM$12:CM77)+1)</f>
        <v/>
      </c>
      <c r="CN78" s="66" t="str">
        <f>IF(OR(CL78="",CL78&lt;&gt;"NEMA"),"",INDEX(regKlub_id,MATCH(CK78,regKlub_naziv,0)))</f>
        <v/>
      </c>
      <c r="CO78" s="47" t="s">
        <v>0</v>
      </c>
      <c r="CP78" s="19" t="str">
        <f>IF(OR(CL78="",CL78&lt;&gt;"NEMA"),"","INSERT INTO klub_alias(id,alias,klub_id) VALUES ("&amp;CM78&amp;",'"&amp;CK78&amp;"',"&amp;CN78&amp;");")</f>
        <v/>
      </c>
      <c r="CQ78" s="47" t="s">
        <v>0</v>
      </c>
      <c r="CR78" s="143" t="str">
        <f>IF(BR78="","",IF(BV78="",IF(IFERROR(MATCH(BR78,nat_noviKluboviAliasi,0),0)&gt;0,INDEX(nat_kluboviAliasi,MATCH(BR78,nat_noviKluboviAliasi,0)),BR78),BV78))</f>
        <v>OK Vihor</v>
      </c>
      <c r="CS78" s="47" t="s">
        <v>0</v>
      </c>
      <c r="CT78" s="58" t="str">
        <f>IF(G78="","",G78)</f>
        <v>53:23</v>
      </c>
      <c r="CU78" s="73" t="str">
        <f>IF(H78="","",H78)</f>
        <v>0</v>
      </c>
      <c r="CV78" s="229" t="str">
        <f>IF(CT78="",IF(OR(AL78="",CU78&lt;&gt;"0"),"","GREŠKA"),IF(AND(65535&gt;=VALUE(LEFT(CT78,SEARCH(":",CT78)-1))*60+VALUE(RIGHT(CT78,2)),OR(CU78="0",CU78="1",CU78="2",CU78="3",CU78="4")),"","GREŠKA"))</f>
        <v/>
      </c>
      <c r="CW78" s="230">
        <f t="shared" si="71"/>
        <v>3203</v>
      </c>
      <c r="CX78" s="163">
        <f t="shared" si="87"/>
        <v>1</v>
      </c>
      <c r="CY78" s="47" t="s">
        <v>0</v>
      </c>
      <c r="CZ78" s="222" t="str">
        <f>IF(CV78&lt;&gt;"GREŠKA","",AK78&amp;" "&amp;AL78&amp;" – Molim u OEventu provjeriti i ispraviti rezultat – vrijeme ("&amp;IF(CT78="","nije upisano",CT78)&amp;") i classifier ("&amp;CU78&amp;").")&amp;IF(OR(CV78&lt;&gt;"GREŠKA",CX78&lt;&gt;5),"
","")&amp;IF(CX78&lt;&gt;5,"",AK78&amp;" "&amp;AL78&amp;" – Molim u provjeriti je li natjecatelj zaista diskvalificiran. Ako je koje je obrazloženje, ako nije molim u OEventu ispraviti rezultat")</f>
        <v xml:space="preserve">
</v>
      </c>
      <c r="DA78" s="223">
        <f t="shared" ref="DA78:DA141" si="118">IF(EA78="","",IF(AND(CX78="0",N(CZ78)&gt;data_max_minuta*60),2,INDEX(regStatusRezultat_id,MATCH(VALUE(CX78),regStatusRezultat_oEvent,0))))</f>
        <v>6</v>
      </c>
      <c r="DB78" s="47" t="s">
        <v>0</v>
      </c>
      <c r="DC78" s="47"/>
      <c r="DD78" s="47"/>
      <c r="DE78" s="47"/>
      <c r="DF78" s="47" t="s">
        <v>0</v>
      </c>
      <c r="DG78" s="53" t="str">
        <f>IF(BD78="","",IF(DI78="O",1,""))</f>
        <v/>
      </c>
      <c r="DH78" t="s">
        <v>0</v>
      </c>
      <c r="DI78" s="128" t="str">
        <f>IF(Q78="","",LEFT(INDEX(regKategorija_oznaka,MATCH(S78,regKategorija_id,0)),1))</f>
        <v>M</v>
      </c>
      <c r="DJ78" t="s">
        <v>0</v>
      </c>
      <c r="DK78" s="52" t="str">
        <f>IF(BD78="","",IF(M78&lt;&gt;"CRO","","INSERT INTO osoba (id,reg_broj,oib,spol_id,dat_rodjenja) VALUES ("&amp;BD78&amp;",(SELECT max(os.reg_broj)+1 FROM osoba AS os),Null,'"&amp;DI78&amp;"',Null); INSERT INTO osoba_log (id,reg_broj,oib,spol_id,dat_rodjenja,dnevnik_id) SELECT id,reg_broj,oib,spol_id,dat_rodjenja,"&amp;data_dnevnik_id&amp;" FROM osoba WHERE id = "&amp;BD78&amp;";"))</f>
        <v/>
      </c>
      <c r="DL78" s="66" t="str">
        <f>IF(BD78="","","INSERT INTO imeprezime (id,osoba_id,rbr,ime,prezime,klub_id,identitet_id,sintaksa_id,info,aktivno,dnevnik_id) VALUES ("&amp;BD78&amp;","&amp;IF(DK78="","Null",BD78)&amp;",1,'"&amp;IF(AV78&lt;&gt;"",AV78,AK78)&amp;"','"&amp;IF(AW78&lt;&gt;"",AW78,AL78)&amp;"',(SELECT id FROM klub WHERE naziv = '"&amp;CR78&amp;"'),Null,1,'',1,"&amp;data_dnevnik_id&amp;");")</f>
        <v/>
      </c>
      <c r="DM78" t="s">
        <v>0</v>
      </c>
      <c r="DN78" s="19" t="str">
        <f t="shared" si="69"/>
        <v/>
      </c>
      <c r="DO78" s="47" t="s">
        <v>0</v>
      </c>
      <c r="DP78" s="19" t="str">
        <f>IF(BA78="","","INSERT INTO imeprezime_alias(id,alias,imeprezime_id) VALUES ("&amp;BB78&amp;",'"&amp;BA78&amp;"',"&amp;IF(BC78="NEMA",BD78,BC78)&amp;");")</f>
        <v/>
      </c>
      <c r="DQ78" s="47" t="s">
        <v>0</v>
      </c>
      <c r="DR78" s="52" t="str">
        <f>IF(AL78="","",DU78 &amp; IF(Q78="",""," – " &amp; Q78))</f>
        <v>Zlatan – Kos – OK Vihor – M21B</v>
      </c>
      <c r="DS78" s="53">
        <f t="shared" si="88"/>
        <v>749</v>
      </c>
      <c r="DT78" s="47" t="s">
        <v>0</v>
      </c>
      <c r="DU78" s="52" t="str">
        <f>IF(AL78="","",DX78 &amp; IF(CR78="",""," – " &amp; CR78))</f>
        <v>Zlatan – Kos – OK Vihor</v>
      </c>
      <c r="DV78" s="53">
        <f t="shared" si="89"/>
        <v>749</v>
      </c>
      <c r="DW78" s="47" t="s">
        <v>0</v>
      </c>
      <c r="DX78" s="52" t="str">
        <f>IF(BG78="","",BF78&amp;" – "&amp;BG78)</f>
        <v>Zlatan – Kos</v>
      </c>
      <c r="DY78" s="53">
        <f t="shared" si="90"/>
        <v>749</v>
      </c>
      <c r="DZ78" s="47" t="s">
        <v>0</v>
      </c>
      <c r="EA78" s="58">
        <f t="shared" ref="EA78:EA141" si="119">IF(DS78="","",IF(DS78&lt;&gt;"NEMA",DS78,IF(DV78&lt;&gt;"NEMA",DV78,IF(DY78&lt;&gt;"NEMA",DY78,""))))</f>
        <v>749</v>
      </c>
      <c r="EB78" s="53" cm="1">
        <f t="array" ref="EB78">IF(EA78&lt;&gt;"",INDEX(regNatjecatelj_id,EA78,0),IF(BD78&lt;&gt;"",BD78,""))</f>
        <v>1930</v>
      </c>
      <c r="EC78" s="47" t="s">
        <v>0</v>
      </c>
      <c r="ED78" s="58" t="str">
        <f>IF(AL78="","",IF(BD78&lt;&gt;"","novo",IF(AN78="","imepre","imepre(ali)")))</f>
        <v>imepre</v>
      </c>
      <c r="EE78" s="73" t="str">
        <f>IF(AL78="","",IF(BL78="",IF(IFERROR(INDEX(regNatjecatelj_klub,MATCH(EB78,regNatjecatelj_id,0)),"NEMA")="","klu",""),IF(OR(AND(BN78&lt;&gt;"",BN78&lt;&gt;"NEMA"),CD78&lt;&gt;""),"klu(ali)",IF(AND(BP78&lt;&gt;"",BP78&lt;&gt;BO78),"(raz-klu)","klu"))))</f>
        <v>klu</v>
      </c>
      <c r="EF78" s="73" t="str">
        <f>IF(AL78="","","kat"&amp;IF(AND(W78&lt;&gt;Q78,Q78&lt;&gt;"Open"),"(ali)",""))</f>
        <v>kat</v>
      </c>
      <c r="EG78" s="73" t="str">
        <f t="shared" si="91"/>
        <v/>
      </c>
      <c r="EH78" s="66" t="str">
        <f>IF(AL78="","",ED78&amp;IF(ED78="novo","","-"&amp;EE78&amp;"-"&amp;EF78)&amp;IF(EG78="","","-"&amp;EG78))</f>
        <v>imepre-klu-kat</v>
      </c>
      <c r="EI78" s="47" t="s">
        <v>0</v>
      </c>
      <c r="EJ78" s="58">
        <f>IF(AL78="","",MAX(EJ$12:EJ77)+1)</f>
        <v>248</v>
      </c>
      <c r="EK78" s="73">
        <f>IF(AO78="","",X78)</f>
        <v>28</v>
      </c>
      <c r="EL78" s="73">
        <f t="shared" ref="EL78:EL141" si="120">IF(EB78="","",EB78)</f>
        <v>1930</v>
      </c>
      <c r="EM78" s="73">
        <f t="shared" si="92"/>
        <v>3203</v>
      </c>
      <c r="EN78" s="73">
        <f t="shared" si="93"/>
        <v>1</v>
      </c>
      <c r="EO78" s="73">
        <f t="shared" ref="EO78:EO141" si="121">IF(DX78="","",IF(data_trka_je_rangirana=0,0,IF(OR(DS78="",DS78="NEMA"),0,1)))</f>
        <v>1</v>
      </c>
      <c r="EP78" s="73">
        <f t="shared" ref="EP78:EP141" si="122">IF(EJ78="","",INDEX(regUparivanje_id,MATCH(EH78,regUparivanje_oznaka,0)))</f>
        <v>1</v>
      </c>
      <c r="EQ78" s="73" t="str">
        <f t="shared" si="94"/>
        <v>0</v>
      </c>
      <c r="ER78" s="73" t="str">
        <f>IF(OR(AN78="",AN78="NEMA"),BB78,AN78)</f>
        <v/>
      </c>
      <c r="ES78" s="73" t="str">
        <f>IF(AND(BN78&lt;&gt;"",BN78&lt;&gt;"NEMA"),BN78,IF(CG78&lt;&gt;"",CG78,IF(AND(CL78&lt;&gt;"",CL78&lt;&gt;"NEMA"),CL78,IF(CM78&lt;&gt;"",CM78,""))))</f>
        <v/>
      </c>
      <c r="ET78" s="53" t="str">
        <f>IF(INDEX(natKategorija_alias_Id,MATCH(S78,natKategorija_katRegId,0))="","",INDEX(natKategorija_alias_Id,MATCH(S78,natKategorija_katRegId,0)))</f>
        <v/>
      </c>
      <c r="EU78" s="47" t="s">
        <v>0</v>
      </c>
      <c r="EV78" s="19" t="str">
        <f t="shared" ref="EV78:EV141" si="123">IF(EK78="","","INSERT INTO rezultat(id,stazakategorija_id,imeprezime_id,vrijeme_sec,status_id,registracija,uparivanje_id,originalstatus_id,imeprezimealias_id,klubalias_id,kategorijaalias_id) VALUES ("&amp;EJ78&amp;","&amp;EK78&amp;","&amp;EL78&amp;","&amp;IF(EM78="","Null",EM78)&amp;","&amp;EN78&amp;","&amp;EO78&amp;","&amp;EP78&amp;","&amp;EQ78&amp;","&amp;IF(ER78="","Null",ER78)&amp;","&amp;IF(ES78="","Null",ES78)&amp;","&amp;IF(ET78="","Null",ET78)&amp;");")</f>
        <v>INSERT INTO rezultat(id,stazakategorija_id,imeprezime_id,vrijeme_sec,status_id,registracija,uparivanje_id,originalstatus_id,imeprezimealias_id,klubalias_id,kategorijaalias_id) VALUES (248,28,1930,3203,1,1,1,0,Null,Null,Null);</v>
      </c>
      <c r="EW78" s="47" t="s">
        <v>0</v>
      </c>
      <c r="EX78" s="19" t="str">
        <f t="shared" ref="EX78:EX141" si="124">IF(EK78="","",IF(EO78=1,"UPDATE
	registar
SET
	potvrda = 1
WHERE
	imeprezime_id="&amp;EL78&amp;"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"&amp;EK78&amp;")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78" s="47" t="s">
        <v>0</v>
      </c>
      <c r="EZ78" s="180" t="str">
        <f>AG78&amp;IF(CP78="","","
")&amp;CP78&amp;IF(CI78="","","
")&amp;CI78&amp;IF(DN78="","","
")&amp;DN78&amp;IF(DP78="","","
")&amp;DP78&amp;IF(EV78="","","
")&amp;EV78&amp;IF(EX78="","","
")&amp;EX78</f>
        <v xml:space="preserve">
INSERT INTO rezultat(id,stazakategorija_id,imeprezime_id,vrijeme_sec,status_id,registracija,uparivanje_id,originalstatus_id,imeprezimealias_id,klubalias_id,kategorijaalias_id) VALUES (248,28,1930,3203,1,1,1,0,Null,Null,Null);
UPDATE
	registar
SET
	potvrda = 1
WHERE
	imeprezime_id=1930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78" s="47" t="s">
        <v>0</v>
      </c>
    </row>
    <row r="79" spans="1:157" x14ac:dyDescent="0.25">
      <c r="A79" t="s">
        <v>0</v>
      </c>
      <c r="B79" s="52" t="str">
        <f>IF(csv!F69="","",csv!T69)</f>
        <v>M21B</v>
      </c>
      <c r="C79" s="31" t="s">
        <v>0</v>
      </c>
      <c r="D79" s="31" t="str">
        <f>IF(csv!F69="","",csv!F69)</f>
        <v>Ivan</v>
      </c>
      <c r="E79" s="31" t="str">
        <f>IF(csv!E69="","",csv!E69)</f>
        <v>Malović</v>
      </c>
      <c r="F79" s="31" t="s">
        <v>0</v>
      </c>
      <c r="G79" s="73" t="str">
        <f>IF(csv!M69="","",csv!M69)</f>
        <v>61:09</v>
      </c>
      <c r="H79" s="73" t="str">
        <f>IF(csv!N69="","",csv!N69)</f>
        <v>0</v>
      </c>
      <c r="I79" s="31" t="s">
        <v>0</v>
      </c>
      <c r="J79" s="31" t="str">
        <f>IF(csv!P69="","",csv!P69)</f>
        <v>KAP</v>
      </c>
      <c r="K79" s="31" t="str">
        <f>IF(csv!Q69="","",csv!Q69)</f>
        <v>OK Kapela</v>
      </c>
      <c r="L79" s="31" t="s">
        <v>0</v>
      </c>
      <c r="M79" s="66" t="str">
        <f>IF(csv!R69="","",csv!R69)</f>
        <v>CRO</v>
      </c>
      <c r="N79" s="47" t="s">
        <v>0</v>
      </c>
      <c r="O79" s="243" t="str">
        <f t="shared" si="95"/>
        <v>ok</v>
      </c>
      <c r="P79" s="47"/>
      <c r="Q79" s="52" t="str">
        <f t="shared" si="96"/>
        <v>M21B</v>
      </c>
      <c r="R79" s="73">
        <f>IF(Q79="","",IF(COUNTIF(Q$12:Q78,Q79)=0,R78+1,R78))</f>
        <v>6</v>
      </c>
      <c r="S79" s="73">
        <f t="shared" si="97"/>
        <v>108</v>
      </c>
      <c r="T79" s="73">
        <f t="shared" si="72"/>
        <v>19</v>
      </c>
      <c r="U79" s="66" t="str">
        <f t="shared" si="73"/>
        <v>M21B – M16</v>
      </c>
      <c r="V79" s="47" t="s">
        <v>0</v>
      </c>
      <c r="W79" s="222" t="str">
        <f t="shared" si="74"/>
        <v>M21B</v>
      </c>
      <c r="X79" s="223">
        <f t="shared" si="75"/>
        <v>28</v>
      </c>
      <c r="Y79" s="47" t="s">
        <v>0</v>
      </c>
      <c r="Z79" s="52" t="str">
        <f t="shared" si="98"/>
        <v>CRO</v>
      </c>
      <c r="AA79" s="73">
        <f t="shared" si="76"/>
        <v>1</v>
      </c>
      <c r="AB79" s="31" t="str">
        <f t="shared" si="99"/>
        <v/>
      </c>
      <c r="AC79" s="66" t="str">
        <f>IF(AB79="","",MAX(AC$12:AC78)+1)</f>
        <v/>
      </c>
      <c r="AD79" s="47" t="s">
        <v>0</v>
      </c>
      <c r="AE79" s="125"/>
      <c r="AF79" s="47" t="s">
        <v>0</v>
      </c>
      <c r="AG79" s="19" t="str">
        <f t="shared" si="100"/>
        <v/>
      </c>
      <c r="AH79" s="47" t="s">
        <v>0</v>
      </c>
      <c r="AI79" s="143" t="str">
        <f t="shared" si="101"/>
        <v>CRO</v>
      </c>
      <c r="AJ79" s="47"/>
      <c r="AK79" s="52" t="str">
        <f t="shared" si="102"/>
        <v>Ivan</v>
      </c>
      <c r="AL79" s="31" t="str">
        <f t="shared" si="103"/>
        <v>Malović</v>
      </c>
      <c r="AM79" s="73">
        <f t="shared" si="104"/>
        <v>1948</v>
      </c>
      <c r="AN79" s="73" t="str">
        <f t="shared" si="105"/>
        <v/>
      </c>
      <c r="AO79" s="31" t="str">
        <f t="shared" si="77"/>
        <v>Ivan</v>
      </c>
      <c r="AP79" s="66" t="str">
        <f t="shared" si="78"/>
        <v>Malović</v>
      </c>
      <c r="AQ79" s="47" t="s">
        <v>0</v>
      </c>
      <c r="AR79" s="82" t="str">
        <f t="shared" si="106"/>
        <v/>
      </c>
      <c r="AS79" s="47" t="s">
        <v>0</v>
      </c>
      <c r="AT79" s="19" t="str">
        <f t="shared" si="107"/>
        <v/>
      </c>
      <c r="AU79" s="47" t="s">
        <v>0</v>
      </c>
      <c r="AV79" s="103"/>
      <c r="AW79" s="105"/>
      <c r="AX79" s="47" t="s">
        <v>0</v>
      </c>
      <c r="AY79" s="256" t="str">
        <f t="shared" si="68"/>
        <v/>
      </c>
      <c r="AZ79" s="47" t="s">
        <v>0</v>
      </c>
      <c r="BA79" s="52" t="str">
        <f t="shared" si="79"/>
        <v/>
      </c>
      <c r="BB79" s="73" t="str">
        <f>IF(AV79&amp;AW79="","",MAX(BB$12:BB78)+1)</f>
        <v/>
      </c>
      <c r="BC79" s="268" t="str">
        <f t="shared" si="80"/>
        <v/>
      </c>
      <c r="BD79" s="53" t="str">
        <f>IF(AND(AM79="NEMA",AN79="NEMA",OR(AV79&amp;AW79="",BC79="NEMA")),MAX(BD$12:BD78)+1,"")</f>
        <v/>
      </c>
      <c r="BE79" s="47" t="s">
        <v>0</v>
      </c>
      <c r="BF79" s="52" t="str">
        <f t="shared" si="81"/>
        <v>Ivan</v>
      </c>
      <c r="BG79" s="31" t="str">
        <f t="shared" si="82"/>
        <v>Malović</v>
      </c>
      <c r="BH79" s="73" t="str">
        <f t="shared" si="108"/>
        <v/>
      </c>
      <c r="BI79" s="53">
        <f t="shared" si="109"/>
        <v>1948</v>
      </c>
      <c r="BJ79" s="47" t="s">
        <v>0</v>
      </c>
      <c r="BK79" s="52" t="str">
        <f t="shared" si="83"/>
        <v>KAP</v>
      </c>
      <c r="BL79" s="31" t="str">
        <f t="shared" si="84"/>
        <v>OK Kapela</v>
      </c>
      <c r="BM79" s="73">
        <f t="shared" si="85"/>
        <v>5</v>
      </c>
      <c r="BN79" s="73" t="str">
        <f t="shared" si="86"/>
        <v/>
      </c>
      <c r="BO79" s="31" t="str" cm="1">
        <f t="array" ref="BO79">IF(BN79="",""&amp;BL79,IF(BN79="NEMA",BL79,INDEX(regKlub_naziv,MATCH(INDEX(regKlub_alias_klubId,BN79),regKlub_id,0))))</f>
        <v>OK Kapela</v>
      </c>
      <c r="BP79" s="31" t="str" cm="1">
        <f t="array" ref="BP79">IFERROR(""&amp;INDEX(regNatjecatelj_klub,DY79),"")</f>
        <v>OK Kapela</v>
      </c>
      <c r="BQ79" s="88" t="str">
        <f t="shared" si="110"/>
        <v/>
      </c>
      <c r="BR79" s="66" t="str">
        <f t="shared" si="111"/>
        <v>OK Kapela</v>
      </c>
      <c r="BS79" s="47" t="s">
        <v>0</v>
      </c>
      <c r="BT79" s="82" t="str">
        <f>IF(BN79&lt;&gt;"NEMA","",IF(IFERROR(MATCH(BL79,BL$12:BL78,0),0)&lt;&gt;0,"",BL79))</f>
        <v/>
      </c>
      <c r="BU79" s="47" t="s">
        <v>0</v>
      </c>
      <c r="BV79" s="125"/>
      <c r="BW79" s="47" t="s">
        <v>0</v>
      </c>
      <c r="BX79" s="58" t="str">
        <f t="shared" si="112"/>
        <v/>
      </c>
      <c r="BY79" s="31" t="str">
        <f t="shared" si="113"/>
        <v/>
      </c>
      <c r="BZ79" s="31" t="str">
        <f>IF(BY79="","",MAX(BZ$12:BZ78)+1)</f>
        <v/>
      </c>
      <c r="CA79" s="31" t="str">
        <f>IF(BY79="","",IF(AA79="","",IF(AA79="NEMA",AC79,AA79)))</f>
        <v/>
      </c>
      <c r="CB79" s="31" t="str">
        <f t="shared" si="114"/>
        <v/>
      </c>
      <c r="CC79" s="31" t="str">
        <f>IF(BV79="","",MAX(CC$12:CC78)+1)</f>
        <v/>
      </c>
      <c r="CD79" s="31" t="str">
        <f t="shared" si="115"/>
        <v/>
      </c>
      <c r="CE79" s="66" t="str">
        <f t="shared" si="116"/>
        <v/>
      </c>
      <c r="CF79" s="47" t="s">
        <v>0</v>
      </c>
      <c r="CG79" s="73" t="str">
        <f>IF(BN79="","",IF(BN79&lt;&gt;"NEMA","",IFERROR(INDEX(nat_klubAliasId,MATCH(BL79,nat_noviKluboviAliasi,0)),"")))</f>
        <v/>
      </c>
      <c r="CH79" s="47"/>
      <c r="CI79" s="19" t="str">
        <f t="shared" si="117"/>
        <v/>
      </c>
      <c r="CJ79" s="47" t="s">
        <v>0</v>
      </c>
      <c r="CK79" s="52" t="str">
        <f>IF(X79&lt;&gt;"NEMA","",IF(IFERROR(MATCH(W79,W$12:W78,0),0)&lt;&gt;0,"",W79))</f>
        <v/>
      </c>
      <c r="CL79" s="73" t="str">
        <f>IF(CK79="","",IFERROR(INDEX(regKlub_alias_id,MATCH(CK79,regKlub_alias_alias,0)),"NEMA"))</f>
        <v/>
      </c>
      <c r="CM79" s="31" t="str">
        <f>IF(OR(CL79="",CL79&lt;&gt;"NEMA"),"",MAX(CM$12:CM78)+1)</f>
        <v/>
      </c>
      <c r="CN79" s="66" t="str">
        <f>IF(OR(CL79="",CL79&lt;&gt;"NEMA"),"",INDEX(regKlub_id,MATCH(CK79,regKlub_naziv,0)))</f>
        <v/>
      </c>
      <c r="CO79" s="47" t="s">
        <v>0</v>
      </c>
      <c r="CP79" s="19" t="str">
        <f>IF(OR(CL79="",CL79&lt;&gt;"NEMA"),"","INSERT INTO klub_alias(id,alias,klub_id) VALUES ("&amp;CM79&amp;",'"&amp;CK79&amp;"',"&amp;CN79&amp;");")</f>
        <v/>
      </c>
      <c r="CQ79" s="47" t="s">
        <v>0</v>
      </c>
      <c r="CR79" s="143" t="str">
        <f>IF(BR79="","",IF(BV79="",IF(IFERROR(MATCH(BR79,nat_noviKluboviAliasi,0),0)&gt;0,INDEX(nat_kluboviAliasi,MATCH(BR79,nat_noviKluboviAliasi,0)),BR79),BV79))</f>
        <v>OK Kapela</v>
      </c>
      <c r="CS79" s="47" t="s">
        <v>0</v>
      </c>
      <c r="CT79" s="58" t="str">
        <f>IF(G79="","",G79)</f>
        <v>61:09</v>
      </c>
      <c r="CU79" s="73" t="str">
        <f>IF(H79="","",H79)</f>
        <v>0</v>
      </c>
      <c r="CV79" s="229" t="str">
        <f>IF(CT79="",IF(OR(AL79="",CU79&lt;&gt;"0"),"","GREŠKA"),IF(AND(65535&gt;=VALUE(LEFT(CT79,SEARCH(":",CT79)-1))*60+VALUE(RIGHT(CT79,2)),OR(CU79="0",CU79="1",CU79="2",CU79="3",CU79="4")),"","GREŠKA"))</f>
        <v/>
      </c>
      <c r="CW79" s="230">
        <f t="shared" si="71"/>
        <v>3669</v>
      </c>
      <c r="CX79" s="163">
        <f t="shared" si="87"/>
        <v>1</v>
      </c>
      <c r="CY79" s="47" t="s">
        <v>0</v>
      </c>
      <c r="CZ79" s="222" t="str">
        <f>IF(CV79&lt;&gt;"GREŠKA","",AK79&amp;" "&amp;AL79&amp;" – Molim u OEventu provjeriti i ispraviti rezultat – vrijeme ("&amp;IF(CT79="","nije upisano",CT79)&amp;") i classifier ("&amp;CU79&amp;").")&amp;IF(OR(CV79&lt;&gt;"GREŠKA",CX79&lt;&gt;5),"
","")&amp;IF(CX79&lt;&gt;5,"",AK79&amp;" "&amp;AL79&amp;" – Molim u provjeriti je li natjecatelj zaista diskvalificiran. Ako je koje je obrazloženje, ako nije molim u OEventu ispraviti rezultat")</f>
        <v xml:space="preserve">
</v>
      </c>
      <c r="DA79" s="223">
        <f t="shared" si="118"/>
        <v>6</v>
      </c>
      <c r="DB79" s="47" t="s">
        <v>0</v>
      </c>
      <c r="DC79" s="47"/>
      <c r="DD79" s="47"/>
      <c r="DE79" s="47"/>
      <c r="DF79" s="47" t="s">
        <v>0</v>
      </c>
      <c r="DG79" s="53" t="str">
        <f>IF(BD79="","",IF(DI79="O",1,""))</f>
        <v/>
      </c>
      <c r="DH79" t="s">
        <v>0</v>
      </c>
      <c r="DI79" s="128" t="str">
        <f>IF(Q79="","",LEFT(INDEX(regKategorija_oznaka,MATCH(S79,regKategorija_id,0)),1))</f>
        <v>M</v>
      </c>
      <c r="DJ79" t="s">
        <v>0</v>
      </c>
      <c r="DK79" s="52" t="str">
        <f>IF(BD79="","",IF(M79&lt;&gt;"CRO","","INSERT INTO osoba (id,reg_broj,oib,spol_id,dat_rodjenja) VALUES ("&amp;BD79&amp;",(SELECT max(os.reg_broj)+1 FROM osoba AS os),Null,'"&amp;DI79&amp;"',Null); INSERT INTO osoba_log (id,reg_broj,oib,spol_id,dat_rodjenja,dnevnik_id) SELECT id,reg_broj,oib,spol_id,dat_rodjenja,"&amp;data_dnevnik_id&amp;" FROM osoba WHERE id = "&amp;BD79&amp;";"))</f>
        <v/>
      </c>
      <c r="DL79" s="66" t="str">
        <f>IF(BD79="","","INSERT INTO imeprezime (id,osoba_id,rbr,ime,prezime,klub_id,identitet_id,sintaksa_id,info,aktivno,dnevnik_id) VALUES ("&amp;BD79&amp;","&amp;IF(DK79="","Null",BD79)&amp;",1,'"&amp;IF(AV79&lt;&gt;"",AV79,AK79)&amp;"','"&amp;IF(AW79&lt;&gt;"",AW79,AL79)&amp;"',(SELECT id FROM klub WHERE naziv = '"&amp;CR79&amp;"'),Null,1,'',1,"&amp;data_dnevnik_id&amp;");")</f>
        <v/>
      </c>
      <c r="DM79" t="s">
        <v>0</v>
      </c>
      <c r="DN79" s="19" t="str">
        <f t="shared" si="69"/>
        <v/>
      </c>
      <c r="DO79" s="47" t="s">
        <v>0</v>
      </c>
      <c r="DP79" s="19" t="str">
        <f>IF(BA79="","","INSERT INTO imeprezime_alias(id,alias,imeprezime_id) VALUES ("&amp;BB79&amp;",'"&amp;BA79&amp;"',"&amp;IF(BC79="NEMA",BD79,BC79)&amp;");")</f>
        <v/>
      </c>
      <c r="DQ79" s="47" t="s">
        <v>0</v>
      </c>
      <c r="DR79" s="52" t="str">
        <f>IF(AL79="","",DU79 &amp; IF(Q79="",""," – " &amp; Q79))</f>
        <v>Ivan – Malović – OK Kapela – M21B</v>
      </c>
      <c r="DS79" s="53" t="str">
        <f t="shared" si="88"/>
        <v>NEMA</v>
      </c>
      <c r="DT79" s="47" t="s">
        <v>0</v>
      </c>
      <c r="DU79" s="52" t="str">
        <f>IF(AL79="","",DX79 &amp; IF(CR79="",""," – " &amp; CR79))</f>
        <v>Ivan – Malović – OK Kapela</v>
      </c>
      <c r="DV79" s="53">
        <f t="shared" si="89"/>
        <v>276</v>
      </c>
      <c r="DW79" s="47" t="s">
        <v>0</v>
      </c>
      <c r="DX79" s="52" t="str">
        <f>IF(BG79="","",BF79&amp;" – "&amp;BG79)</f>
        <v>Ivan – Malović</v>
      </c>
      <c r="DY79" s="53">
        <f t="shared" si="90"/>
        <v>276</v>
      </c>
      <c r="DZ79" s="47" t="s">
        <v>0</v>
      </c>
      <c r="EA79" s="58">
        <f t="shared" si="119"/>
        <v>276</v>
      </c>
      <c r="EB79" s="53" cm="1">
        <f t="array" ref="EB79">IF(EA79&lt;&gt;"",INDEX(regNatjecatelj_id,EA79,0),IF(BD79&lt;&gt;"",BD79,""))</f>
        <v>1948</v>
      </c>
      <c r="EC79" s="47" t="s">
        <v>0</v>
      </c>
      <c r="ED79" s="58" t="str">
        <f>IF(AL79="","",IF(BD79&lt;&gt;"","novo",IF(AN79="","imepre","imepre(ali)")))</f>
        <v>imepre</v>
      </c>
      <c r="EE79" s="73" t="str">
        <f>IF(AL79="","",IF(BL79="",IF(IFERROR(INDEX(regNatjecatelj_klub,MATCH(EB79,regNatjecatelj_id,0)),"NEMA")="","klu",""),IF(OR(AND(BN79&lt;&gt;"",BN79&lt;&gt;"NEMA"),CD79&lt;&gt;""),"klu(ali)",IF(AND(BP79&lt;&gt;"",BP79&lt;&gt;BO79),"(raz-klu)","klu"))))</f>
        <v>klu</v>
      </c>
      <c r="EF79" s="73" t="str">
        <f>IF(AL79="","","kat"&amp;IF(AND(W79&lt;&gt;Q79,Q79&lt;&gt;"Open"),"(ali)",""))</f>
        <v>kat</v>
      </c>
      <c r="EG79" s="73" t="str">
        <f t="shared" si="91"/>
        <v/>
      </c>
      <c r="EH79" s="66" t="str">
        <f>IF(AL79="","",ED79&amp;IF(ED79="novo","","-"&amp;EE79&amp;"-"&amp;EF79)&amp;IF(EG79="","","-"&amp;EG79))</f>
        <v>imepre-klu-kat</v>
      </c>
      <c r="EI79" s="47" t="s">
        <v>0</v>
      </c>
      <c r="EJ79" s="58">
        <f>IF(AL79="","",MAX(EJ$12:EJ78)+1)</f>
        <v>249</v>
      </c>
      <c r="EK79" s="73">
        <f>IF(AO79="","",X79)</f>
        <v>28</v>
      </c>
      <c r="EL79" s="73">
        <f t="shared" si="120"/>
        <v>1948</v>
      </c>
      <c r="EM79" s="73">
        <f t="shared" si="92"/>
        <v>3669</v>
      </c>
      <c r="EN79" s="73">
        <f t="shared" si="93"/>
        <v>1</v>
      </c>
      <c r="EO79" s="73">
        <f t="shared" si="121"/>
        <v>0</v>
      </c>
      <c r="EP79" s="73">
        <f t="shared" si="122"/>
        <v>1</v>
      </c>
      <c r="EQ79" s="73" t="str">
        <f t="shared" si="94"/>
        <v>0</v>
      </c>
      <c r="ER79" s="73" t="str">
        <f>IF(OR(AN79="",AN79="NEMA"),BB79,AN79)</f>
        <v/>
      </c>
      <c r="ES79" s="73" t="str">
        <f>IF(AND(BN79&lt;&gt;"",BN79&lt;&gt;"NEMA"),BN79,IF(CG79&lt;&gt;"",CG79,IF(AND(CL79&lt;&gt;"",CL79&lt;&gt;"NEMA"),CL79,IF(CM79&lt;&gt;"",CM79,""))))</f>
        <v/>
      </c>
      <c r="ET79" s="53" t="str">
        <f>IF(INDEX(natKategorija_alias_Id,MATCH(S79,natKategorija_katRegId,0))="","",INDEX(natKategorija_alias_Id,MATCH(S79,natKategorija_katRegId,0)))</f>
        <v/>
      </c>
      <c r="EU79" s="47" t="s">
        <v>0</v>
      </c>
      <c r="EV79" s="19" t="str">
        <f t="shared" si="123"/>
        <v>INSERT INTO rezultat(id,stazakategorija_id,imeprezime_id,vrijeme_sec,status_id,registracija,uparivanje_id,originalstatus_id,imeprezimealias_id,klubalias_id,kategorijaalias_id) VALUES (249,28,1948,3669,1,0,1,0,Null,Null,Null);</v>
      </c>
      <c r="EW79" s="47" t="s">
        <v>0</v>
      </c>
      <c r="EX79" s="19" t="str">
        <f t="shared" si="124"/>
        <v/>
      </c>
      <c r="EY79" s="47" t="s">
        <v>0</v>
      </c>
      <c r="EZ79" s="180" t="str">
        <f>AG79&amp;IF(CP79="","","
")&amp;CP79&amp;IF(CI79="","","
")&amp;CI79&amp;IF(DN79="","","
")&amp;DN79&amp;IF(DP79="","","
")&amp;DP79&amp;IF(EV79="","","
")&amp;EV79&amp;IF(EX79="","","
")&amp;EX79</f>
        <v xml:space="preserve">
INSERT INTO rezultat(id,stazakategorija_id,imeprezime_id,vrijeme_sec,status_id,registracija,uparivanje_id,originalstatus_id,imeprezimealias_id,klubalias_id,kategorijaalias_id) VALUES (249,28,1948,3669,1,0,1,0,Null,Null,Null);</v>
      </c>
      <c r="FA79" s="47" t="s">
        <v>0</v>
      </c>
    </row>
    <row r="80" spans="1:157" x14ac:dyDescent="0.25">
      <c r="A80" t="s">
        <v>0</v>
      </c>
      <c r="B80" s="52" t="str">
        <f>IF(csv!F70="","",csv!T70)</f>
        <v>M21B</v>
      </c>
      <c r="C80" s="31" t="s">
        <v>0</v>
      </c>
      <c r="D80" s="31" t="str">
        <f>IF(csv!F70="","",csv!F70)</f>
        <v>Zdravko</v>
      </c>
      <c r="E80" s="31" t="str">
        <f>IF(csv!E70="","",csv!E70)</f>
        <v>Tonković</v>
      </c>
      <c r="F80" s="31" t="s">
        <v>0</v>
      </c>
      <c r="G80" s="73" t="str">
        <f>IF(csv!M70="","",csv!M70)</f>
        <v>61:21</v>
      </c>
      <c r="H80" s="73" t="str">
        <f>IF(csv!N70="","",csv!N70)</f>
        <v>0</v>
      </c>
      <c r="I80" s="31" t="s">
        <v>0</v>
      </c>
      <c r="J80" s="31" t="str">
        <f>IF(csv!P70="","",csv!P70)</f>
        <v>KAP</v>
      </c>
      <c r="K80" s="31" t="str">
        <f>IF(csv!Q70="","",csv!Q70)</f>
        <v>OK Kapela</v>
      </c>
      <c r="L80" s="31" t="s">
        <v>0</v>
      </c>
      <c r="M80" s="66" t="str">
        <f>IF(csv!R70="","",csv!R70)</f>
        <v>CRO</v>
      </c>
      <c r="N80" s="47" t="s">
        <v>0</v>
      </c>
      <c r="O80" s="243" t="str">
        <f t="shared" si="95"/>
        <v>ok</v>
      </c>
      <c r="P80" s="47"/>
      <c r="Q80" s="52" t="str">
        <f t="shared" si="96"/>
        <v>M21B</v>
      </c>
      <c r="R80" s="73">
        <f>IF(Q80="","",IF(COUNTIF(Q$12:Q79,Q80)=0,R79+1,R79))</f>
        <v>6</v>
      </c>
      <c r="S80" s="73">
        <f t="shared" si="97"/>
        <v>108</v>
      </c>
      <c r="T80" s="73">
        <f t="shared" si="72"/>
        <v>19</v>
      </c>
      <c r="U80" s="66" t="str">
        <f t="shared" si="73"/>
        <v>M21B – M16</v>
      </c>
      <c r="V80" s="47" t="s">
        <v>0</v>
      </c>
      <c r="W80" s="222" t="str">
        <f t="shared" si="74"/>
        <v>M21B</v>
      </c>
      <c r="X80" s="223">
        <f t="shared" si="75"/>
        <v>28</v>
      </c>
      <c r="Y80" s="47" t="s">
        <v>0</v>
      </c>
      <c r="Z80" s="52" t="str">
        <f t="shared" si="98"/>
        <v>CRO</v>
      </c>
      <c r="AA80" s="73">
        <f t="shared" si="76"/>
        <v>1</v>
      </c>
      <c r="AB80" s="31" t="str">
        <f t="shared" si="99"/>
        <v/>
      </c>
      <c r="AC80" s="66" t="str">
        <f>IF(AB80="","",MAX(AC$12:AC79)+1)</f>
        <v/>
      </c>
      <c r="AD80" s="47" t="s">
        <v>0</v>
      </c>
      <c r="AE80" s="125"/>
      <c r="AF80" s="47" t="s">
        <v>0</v>
      </c>
      <c r="AG80" s="19" t="str">
        <f t="shared" si="100"/>
        <v/>
      </c>
      <c r="AH80" s="47" t="s">
        <v>0</v>
      </c>
      <c r="AI80" s="143" t="str">
        <f t="shared" si="101"/>
        <v>CRO</v>
      </c>
      <c r="AJ80" s="47"/>
      <c r="AK80" s="52" t="str">
        <f t="shared" si="102"/>
        <v>Zdravko</v>
      </c>
      <c r="AL80" s="31" t="str">
        <f t="shared" si="103"/>
        <v>Tonković</v>
      </c>
      <c r="AM80" s="73">
        <f t="shared" si="104"/>
        <v>1420</v>
      </c>
      <c r="AN80" s="73" t="str">
        <f t="shared" si="105"/>
        <v/>
      </c>
      <c r="AO80" s="31" t="str">
        <f t="shared" si="77"/>
        <v>Zdravko</v>
      </c>
      <c r="AP80" s="66" t="str">
        <f t="shared" si="78"/>
        <v>Tonković</v>
      </c>
      <c r="AQ80" s="47" t="s">
        <v>0</v>
      </c>
      <c r="AR80" s="82" t="str">
        <f t="shared" si="106"/>
        <v/>
      </c>
      <c r="AS80" s="47" t="s">
        <v>0</v>
      </c>
      <c r="AT80" s="19" t="str">
        <f t="shared" si="107"/>
        <v/>
      </c>
      <c r="AU80" s="47" t="s">
        <v>0</v>
      </c>
      <c r="AV80" s="103"/>
      <c r="AW80" s="105"/>
      <c r="AX80" s="47" t="s">
        <v>0</v>
      </c>
      <c r="AY80" s="256" t="str">
        <f t="shared" si="68"/>
        <v/>
      </c>
      <c r="AZ80" s="47" t="s">
        <v>0</v>
      </c>
      <c r="BA80" s="52" t="str">
        <f t="shared" si="79"/>
        <v/>
      </c>
      <c r="BB80" s="73" t="str">
        <f>IF(AV80&amp;AW80="","",MAX(BB$12:BB79)+1)</f>
        <v/>
      </c>
      <c r="BC80" s="268" t="str">
        <f t="shared" si="80"/>
        <v/>
      </c>
      <c r="BD80" s="53" t="str">
        <f>IF(AND(AM80="NEMA",AN80="NEMA",OR(AV80&amp;AW80="",BC80="NEMA")),MAX(BD$12:BD79)+1,"")</f>
        <v/>
      </c>
      <c r="BE80" s="47" t="s">
        <v>0</v>
      </c>
      <c r="BF80" s="52" t="str">
        <f t="shared" si="81"/>
        <v>Zdravko</v>
      </c>
      <c r="BG80" s="31" t="str">
        <f t="shared" si="82"/>
        <v>Tonković</v>
      </c>
      <c r="BH80" s="73" t="str">
        <f t="shared" si="108"/>
        <v/>
      </c>
      <c r="BI80" s="53">
        <f t="shared" si="109"/>
        <v>1420</v>
      </c>
      <c r="BJ80" s="47" t="s">
        <v>0</v>
      </c>
      <c r="BK80" s="52" t="str">
        <f t="shared" si="83"/>
        <v>KAP</v>
      </c>
      <c r="BL80" s="31" t="str">
        <f t="shared" si="84"/>
        <v>OK Kapela</v>
      </c>
      <c r="BM80" s="73">
        <f t="shared" si="85"/>
        <v>5</v>
      </c>
      <c r="BN80" s="73" t="str">
        <f t="shared" si="86"/>
        <v/>
      </c>
      <c r="BO80" s="31" t="str" cm="1">
        <f t="array" ref="BO80">IF(BN80="",""&amp;BL80,IF(BN80="NEMA",BL80,INDEX(regKlub_naziv,MATCH(INDEX(regKlub_alias_klubId,BN80),regKlub_id,0))))</f>
        <v>OK Kapela</v>
      </c>
      <c r="BP80" s="31" t="str" cm="1">
        <f t="array" ref="BP80">IFERROR(""&amp;INDEX(regNatjecatelj_klub,DY80),"")</f>
        <v>OK Kapela</v>
      </c>
      <c r="BQ80" s="88" t="str">
        <f t="shared" si="110"/>
        <v/>
      </c>
      <c r="BR80" s="66" t="str">
        <f t="shared" si="111"/>
        <v>OK Kapela</v>
      </c>
      <c r="BS80" s="47" t="s">
        <v>0</v>
      </c>
      <c r="BT80" s="82" t="str">
        <f>IF(BN80&lt;&gt;"NEMA","",IF(IFERROR(MATCH(BL80,BL$12:BL79,0),0)&lt;&gt;0,"",BL80))</f>
        <v/>
      </c>
      <c r="BU80" s="47" t="s">
        <v>0</v>
      </c>
      <c r="BV80" s="125"/>
      <c r="BW80" s="47" t="s">
        <v>0</v>
      </c>
      <c r="BX80" s="58" t="str">
        <f t="shared" si="112"/>
        <v/>
      </c>
      <c r="BY80" s="31" t="str">
        <f t="shared" si="113"/>
        <v/>
      </c>
      <c r="BZ80" s="31" t="str">
        <f>IF(BY80="","",MAX(BZ$12:BZ79)+1)</f>
        <v/>
      </c>
      <c r="CA80" s="31" t="str">
        <f>IF(BY80="","",IF(AA80="","",IF(AA80="NEMA",AC80,AA80)))</f>
        <v/>
      </c>
      <c r="CB80" s="31" t="str">
        <f t="shared" si="114"/>
        <v/>
      </c>
      <c r="CC80" s="31" t="str">
        <f>IF(BV80="","",MAX(CC$12:CC79)+1)</f>
        <v/>
      </c>
      <c r="CD80" s="31" t="str">
        <f t="shared" si="115"/>
        <v/>
      </c>
      <c r="CE80" s="66" t="str">
        <f t="shared" si="116"/>
        <v/>
      </c>
      <c r="CF80" s="47" t="s">
        <v>0</v>
      </c>
      <c r="CG80" s="73" t="str">
        <f>IF(BN80="","",IF(BN80&lt;&gt;"NEMA","",IFERROR(INDEX(nat_klubAliasId,MATCH(BL80,nat_noviKluboviAliasi,0)),"")))</f>
        <v/>
      </c>
      <c r="CH80" s="47"/>
      <c r="CI80" s="19" t="str">
        <f t="shared" si="117"/>
        <v/>
      </c>
      <c r="CJ80" s="47" t="s">
        <v>0</v>
      </c>
      <c r="CK80" s="52" t="str">
        <f>IF(X80&lt;&gt;"NEMA","",IF(IFERROR(MATCH(W80,W$12:W79,0),0)&lt;&gt;0,"",W80))</f>
        <v/>
      </c>
      <c r="CL80" s="73" t="str">
        <f>IF(CK80="","",IFERROR(INDEX(regKlub_alias_id,MATCH(CK80,regKlub_alias_alias,0)),"NEMA"))</f>
        <v/>
      </c>
      <c r="CM80" s="31" t="str">
        <f>IF(OR(CL80="",CL80&lt;&gt;"NEMA"),"",MAX(CM$12:CM79)+1)</f>
        <v/>
      </c>
      <c r="CN80" s="66" t="str">
        <f>IF(OR(CL80="",CL80&lt;&gt;"NEMA"),"",INDEX(regKlub_id,MATCH(CK80,regKlub_naziv,0)))</f>
        <v/>
      </c>
      <c r="CO80" s="47" t="s">
        <v>0</v>
      </c>
      <c r="CP80" s="19" t="str">
        <f>IF(OR(CL80="",CL80&lt;&gt;"NEMA"),"","INSERT INTO klub_alias(id,alias,klub_id) VALUES ("&amp;CM80&amp;",'"&amp;CK80&amp;"',"&amp;CN80&amp;");")</f>
        <v/>
      </c>
      <c r="CQ80" s="47" t="s">
        <v>0</v>
      </c>
      <c r="CR80" s="143" t="str">
        <f>IF(BR80="","",IF(BV80="",IF(IFERROR(MATCH(BR80,nat_noviKluboviAliasi,0),0)&gt;0,INDEX(nat_kluboviAliasi,MATCH(BR80,nat_noviKluboviAliasi,0)),BR80),BV80))</f>
        <v>OK Kapela</v>
      </c>
      <c r="CS80" s="47" t="s">
        <v>0</v>
      </c>
      <c r="CT80" s="58" t="str">
        <f>IF(G80="","",G80)</f>
        <v>61:21</v>
      </c>
      <c r="CU80" s="73" t="str">
        <f>IF(H80="","",H80)</f>
        <v>0</v>
      </c>
      <c r="CV80" s="229" t="str">
        <f>IF(CT80="",IF(OR(AL80="",CU80&lt;&gt;"0"),"","GREŠKA"),IF(AND(65535&gt;=VALUE(LEFT(CT80,SEARCH(":",CT80)-1))*60+VALUE(RIGHT(CT80,2)),OR(CU80="0",CU80="1",CU80="2",CU80="3",CU80="4")),"","GREŠKA"))</f>
        <v/>
      </c>
      <c r="CW80" s="230">
        <f t="shared" si="71"/>
        <v>3681</v>
      </c>
      <c r="CX80" s="163">
        <f t="shared" si="87"/>
        <v>1</v>
      </c>
      <c r="CY80" s="47" t="s">
        <v>0</v>
      </c>
      <c r="CZ80" s="222" t="str">
        <f>IF(CV80&lt;&gt;"GREŠKA","",AK80&amp;" "&amp;AL80&amp;" – Molim u OEventu provjeriti i ispraviti rezultat – vrijeme ("&amp;IF(CT80="","nije upisano",CT80)&amp;") i classifier ("&amp;CU80&amp;").")&amp;IF(OR(CV80&lt;&gt;"GREŠKA",CX80&lt;&gt;5),"
","")&amp;IF(CX80&lt;&gt;5,"",AK80&amp;" "&amp;AL80&amp;" – Molim u provjeriti je li natjecatelj zaista diskvalificiran. Ako je koje je obrazloženje, ako nije molim u OEventu ispraviti rezultat")</f>
        <v xml:space="preserve">
</v>
      </c>
      <c r="DA80" s="223">
        <f t="shared" si="118"/>
        <v>6</v>
      </c>
      <c r="DB80" s="47" t="s">
        <v>0</v>
      </c>
      <c r="DC80" s="47"/>
      <c r="DD80" s="47"/>
      <c r="DE80" s="47"/>
      <c r="DF80" s="47" t="s">
        <v>0</v>
      </c>
      <c r="DG80" s="53" t="str">
        <f>IF(BD80="","",IF(DI80="O",1,""))</f>
        <v/>
      </c>
      <c r="DH80" t="s">
        <v>0</v>
      </c>
      <c r="DI80" s="128" t="str">
        <f>IF(Q80="","",LEFT(INDEX(regKategorija_oznaka,MATCH(S80,regKategorija_id,0)),1))</f>
        <v>M</v>
      </c>
      <c r="DJ80" t="s">
        <v>0</v>
      </c>
      <c r="DK80" s="52" t="str">
        <f>IF(BD80="","",IF(M80&lt;&gt;"CRO","","INSERT INTO osoba (id,reg_broj,oib,spol_id,dat_rodjenja) VALUES ("&amp;BD80&amp;",(SELECT max(os.reg_broj)+1 FROM osoba AS os),Null,'"&amp;DI80&amp;"',Null); INSERT INTO osoba_log (id,reg_broj,oib,spol_id,dat_rodjenja,dnevnik_id) SELECT id,reg_broj,oib,spol_id,dat_rodjenja,"&amp;data_dnevnik_id&amp;" FROM osoba WHERE id = "&amp;BD80&amp;";"))</f>
        <v/>
      </c>
      <c r="DL80" s="66" t="str">
        <f>IF(BD80="","","INSERT INTO imeprezime (id,osoba_id,rbr,ime,prezime,klub_id,identitet_id,sintaksa_id,info,aktivno,dnevnik_id) VALUES ("&amp;BD80&amp;","&amp;IF(DK80="","Null",BD80)&amp;",1,'"&amp;IF(AV80&lt;&gt;"",AV80,AK80)&amp;"','"&amp;IF(AW80&lt;&gt;"",AW80,AL80)&amp;"',(SELECT id FROM klub WHERE naziv = '"&amp;CR80&amp;"'),Null,1,'',1,"&amp;data_dnevnik_id&amp;");")</f>
        <v/>
      </c>
      <c r="DM80" t="s">
        <v>0</v>
      </c>
      <c r="DN80" s="19" t="str">
        <f t="shared" si="69"/>
        <v/>
      </c>
      <c r="DO80" s="47" t="s">
        <v>0</v>
      </c>
      <c r="DP80" s="19" t="str">
        <f>IF(BA80="","","INSERT INTO imeprezime_alias(id,alias,imeprezime_id) VALUES ("&amp;BB80&amp;",'"&amp;BA80&amp;"',"&amp;IF(BC80="NEMA",BD80,BC80)&amp;");")</f>
        <v/>
      </c>
      <c r="DQ80" s="47" t="s">
        <v>0</v>
      </c>
      <c r="DR80" s="52" t="str">
        <f>IF(AL80="","",DU80 &amp; IF(Q80="",""," – " &amp; Q80))</f>
        <v>Zdravko – Tonković – OK Kapela – M21B</v>
      </c>
      <c r="DS80" s="53">
        <f t="shared" si="88"/>
        <v>319</v>
      </c>
      <c r="DT80" s="47" t="s">
        <v>0</v>
      </c>
      <c r="DU80" s="52" t="str">
        <f>IF(AL80="","",DX80 &amp; IF(CR80="",""," – " &amp; CR80))</f>
        <v>Zdravko – Tonković – OK Kapela</v>
      </c>
      <c r="DV80" s="53">
        <f t="shared" si="89"/>
        <v>319</v>
      </c>
      <c r="DW80" s="47" t="s">
        <v>0</v>
      </c>
      <c r="DX80" s="52" t="str">
        <f>IF(BG80="","",BF80&amp;" – "&amp;BG80)</f>
        <v>Zdravko – Tonković</v>
      </c>
      <c r="DY80" s="53">
        <f t="shared" si="90"/>
        <v>319</v>
      </c>
      <c r="DZ80" s="47" t="s">
        <v>0</v>
      </c>
      <c r="EA80" s="58">
        <f t="shared" si="119"/>
        <v>319</v>
      </c>
      <c r="EB80" s="53" cm="1">
        <f t="array" ref="EB80">IF(EA80&lt;&gt;"",INDEX(regNatjecatelj_id,EA80,0),IF(BD80&lt;&gt;"",BD80,""))</f>
        <v>1420</v>
      </c>
      <c r="EC80" s="47" t="s">
        <v>0</v>
      </c>
      <c r="ED80" s="58" t="str">
        <f>IF(AL80="","",IF(BD80&lt;&gt;"","novo",IF(AN80="","imepre","imepre(ali)")))</f>
        <v>imepre</v>
      </c>
      <c r="EE80" s="73" t="str">
        <f>IF(AL80="","",IF(BL80="",IF(IFERROR(INDEX(regNatjecatelj_klub,MATCH(EB80,regNatjecatelj_id,0)),"NEMA")="","klu",""),IF(OR(AND(BN80&lt;&gt;"",BN80&lt;&gt;"NEMA"),CD80&lt;&gt;""),"klu(ali)",IF(AND(BP80&lt;&gt;"",BP80&lt;&gt;BO80),"(raz-klu)","klu"))))</f>
        <v>klu</v>
      </c>
      <c r="EF80" s="73" t="str">
        <f>IF(AL80="","","kat"&amp;IF(AND(W80&lt;&gt;Q80,Q80&lt;&gt;"Open"),"(ali)",""))</f>
        <v>kat</v>
      </c>
      <c r="EG80" s="73" t="str">
        <f t="shared" si="91"/>
        <v/>
      </c>
      <c r="EH80" s="66" t="str">
        <f>IF(AL80="","",ED80&amp;IF(ED80="novo","","-"&amp;EE80&amp;"-"&amp;EF80)&amp;IF(EG80="","","-"&amp;EG80))</f>
        <v>imepre-klu-kat</v>
      </c>
      <c r="EI80" s="47" t="s">
        <v>0</v>
      </c>
      <c r="EJ80" s="58">
        <f>IF(AL80="","",MAX(EJ$12:EJ79)+1)</f>
        <v>250</v>
      </c>
      <c r="EK80" s="73">
        <f>IF(AO80="","",X80)</f>
        <v>28</v>
      </c>
      <c r="EL80" s="73">
        <f t="shared" si="120"/>
        <v>1420</v>
      </c>
      <c r="EM80" s="73">
        <f t="shared" si="92"/>
        <v>3681</v>
      </c>
      <c r="EN80" s="73">
        <f t="shared" si="93"/>
        <v>1</v>
      </c>
      <c r="EO80" s="73">
        <f t="shared" si="121"/>
        <v>1</v>
      </c>
      <c r="EP80" s="73">
        <f t="shared" si="122"/>
        <v>1</v>
      </c>
      <c r="EQ80" s="73" t="str">
        <f t="shared" si="94"/>
        <v>0</v>
      </c>
      <c r="ER80" s="73" t="str">
        <f>IF(OR(AN80="",AN80="NEMA"),BB80,AN80)</f>
        <v/>
      </c>
      <c r="ES80" s="73" t="str">
        <f>IF(AND(BN80&lt;&gt;"",BN80&lt;&gt;"NEMA"),BN80,IF(CG80&lt;&gt;"",CG80,IF(AND(CL80&lt;&gt;"",CL80&lt;&gt;"NEMA"),CL80,IF(CM80&lt;&gt;"",CM80,""))))</f>
        <v/>
      </c>
      <c r="ET80" s="53" t="str">
        <f>IF(INDEX(natKategorija_alias_Id,MATCH(S80,natKategorija_katRegId,0))="","",INDEX(natKategorija_alias_Id,MATCH(S80,natKategorija_katRegId,0)))</f>
        <v/>
      </c>
      <c r="EU80" s="47" t="s">
        <v>0</v>
      </c>
      <c r="EV80" s="19" t="str">
        <f t="shared" si="123"/>
        <v>INSERT INTO rezultat(id,stazakategorija_id,imeprezime_id,vrijeme_sec,status_id,registracija,uparivanje_id,originalstatus_id,imeprezimealias_id,klubalias_id,kategorijaalias_id) VALUES (250,28,1420,3681,1,1,1,0,Null,Null,Null);</v>
      </c>
      <c r="EW80" s="47" t="s">
        <v>0</v>
      </c>
      <c r="EX80" s="19" t="str">
        <f t="shared" si="124"/>
        <v>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0" s="47" t="s">
        <v>0</v>
      </c>
      <c r="EZ80" s="180" t="str">
        <f>AG80&amp;IF(CP80="","","
")&amp;CP80&amp;IF(CI80="","","
")&amp;CI80&amp;IF(DN80="","","
")&amp;DN80&amp;IF(DP80="","","
")&amp;DP80&amp;IF(EV80="","","
")&amp;EV80&amp;IF(EX80="","","
")&amp;EX80</f>
        <v xml:space="preserve">
INSERT INTO rezultat(id,stazakategorija_id,imeprezime_id,vrijeme_sec,status_id,registracija,uparivanje_id,originalstatus_id,imeprezimealias_id,klubalias_id,kategorijaalias_id) VALUES (250,28,1420,3681,1,1,1,0,Null,Null,Null);
UPDATE
	registar
SET
	potvrda = 1
WHERE
	imeprezime_id=1420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0" s="47" t="s">
        <v>0</v>
      </c>
    </row>
    <row r="81" spans="1:157" x14ac:dyDescent="0.25">
      <c r="A81" t="s">
        <v>0</v>
      </c>
      <c r="B81" s="52" t="str">
        <f>IF(csv!F71="","",csv!T71)</f>
        <v>M21B</v>
      </c>
      <c r="C81" s="31" t="s">
        <v>0</v>
      </c>
      <c r="D81" s="31" t="str">
        <f>IF(csv!F71="","",csv!F71)</f>
        <v>Kristijan</v>
      </c>
      <c r="E81" s="31" t="str">
        <f>IF(csv!E71="","",csv!E71)</f>
        <v>Verović</v>
      </c>
      <c r="F81" s="31" t="s">
        <v>0</v>
      </c>
      <c r="G81" s="73" t="str">
        <f>IF(csv!M71="","",csv!M71)</f>
        <v>69:26</v>
      </c>
      <c r="H81" s="73" t="str">
        <f>IF(csv!N71="","",csv!N71)</f>
        <v>0</v>
      </c>
      <c r="I81" s="31" t="s">
        <v>0</v>
      </c>
      <c r="J81" s="31" t="str">
        <f>IF(csv!P71="","",csv!P71)</f>
        <v>JAP</v>
      </c>
      <c r="K81" s="31" t="str">
        <f>IF(csv!Q71="","",csv!Q71)</f>
        <v>OK Japetic</v>
      </c>
      <c r="L81" s="31" t="s">
        <v>0</v>
      </c>
      <c r="M81" s="66" t="str">
        <f>IF(csv!R71="","",csv!R71)</f>
        <v>CRO</v>
      </c>
      <c r="N81" s="47" t="s">
        <v>0</v>
      </c>
      <c r="O81" s="243" t="str">
        <f t="shared" si="95"/>
        <v>ok</v>
      </c>
      <c r="P81" s="47"/>
      <c r="Q81" s="52" t="str">
        <f t="shared" si="96"/>
        <v>M21B</v>
      </c>
      <c r="R81" s="73">
        <f>IF(Q81="","",IF(COUNTIF(Q$12:Q80,Q81)=0,R80+1,R80))</f>
        <v>6</v>
      </c>
      <c r="S81" s="73">
        <f t="shared" si="97"/>
        <v>108</v>
      </c>
      <c r="T81" s="73">
        <f t="shared" si="72"/>
        <v>19</v>
      </c>
      <c r="U81" s="66" t="str">
        <f t="shared" si="73"/>
        <v>M21B – M16</v>
      </c>
      <c r="V81" s="47" t="s">
        <v>0</v>
      </c>
      <c r="W81" s="222" t="str">
        <f t="shared" si="74"/>
        <v>M21B</v>
      </c>
      <c r="X81" s="223">
        <f t="shared" si="75"/>
        <v>28</v>
      </c>
      <c r="Y81" s="47" t="s">
        <v>0</v>
      </c>
      <c r="Z81" s="52" t="str">
        <f t="shared" si="98"/>
        <v>CRO</v>
      </c>
      <c r="AA81" s="73">
        <f t="shared" si="76"/>
        <v>1</v>
      </c>
      <c r="AB81" s="31" t="str">
        <f t="shared" si="99"/>
        <v/>
      </c>
      <c r="AC81" s="66" t="str">
        <f>IF(AB81="","",MAX(AC$12:AC80)+1)</f>
        <v/>
      </c>
      <c r="AD81" s="47" t="s">
        <v>0</v>
      </c>
      <c r="AE81" s="125"/>
      <c r="AF81" s="47" t="s">
        <v>0</v>
      </c>
      <c r="AG81" s="19" t="str">
        <f t="shared" si="100"/>
        <v/>
      </c>
      <c r="AH81" s="47" t="s">
        <v>0</v>
      </c>
      <c r="AI81" s="143" t="str">
        <f t="shared" si="101"/>
        <v>CRO</v>
      </c>
      <c r="AJ81" s="47"/>
      <c r="AK81" s="52" t="str">
        <f t="shared" si="102"/>
        <v>Kristijan</v>
      </c>
      <c r="AL81" s="31" t="str">
        <f t="shared" si="103"/>
        <v>Verović</v>
      </c>
      <c r="AM81" s="73">
        <f t="shared" si="104"/>
        <v>1566</v>
      </c>
      <c r="AN81" s="73" t="str">
        <f t="shared" si="105"/>
        <v/>
      </c>
      <c r="AO81" s="31" t="str">
        <f t="shared" si="77"/>
        <v>Kristijan</v>
      </c>
      <c r="AP81" s="66" t="str">
        <f t="shared" si="78"/>
        <v>Verović</v>
      </c>
      <c r="AQ81" s="47" t="s">
        <v>0</v>
      </c>
      <c r="AR81" s="82" t="str">
        <f t="shared" si="106"/>
        <v/>
      </c>
      <c r="AS81" s="47" t="s">
        <v>0</v>
      </c>
      <c r="AT81" s="19" t="str">
        <f t="shared" si="107"/>
        <v/>
      </c>
      <c r="AU81" s="47" t="s">
        <v>0</v>
      </c>
      <c r="AV81" s="103"/>
      <c r="AW81" s="105"/>
      <c r="AX81" s="47" t="s">
        <v>0</v>
      </c>
      <c r="AY81" s="256" t="str">
        <f t="shared" si="68"/>
        <v/>
      </c>
      <c r="AZ81" s="47" t="s">
        <v>0</v>
      </c>
      <c r="BA81" s="52" t="str">
        <f t="shared" si="79"/>
        <v/>
      </c>
      <c r="BB81" s="73" t="str">
        <f>IF(AV81&amp;AW81="","",MAX(BB$12:BB80)+1)</f>
        <v/>
      </c>
      <c r="BC81" s="268" t="str">
        <f t="shared" si="80"/>
        <v/>
      </c>
      <c r="BD81" s="53" t="str">
        <f>IF(AND(AM81="NEMA",AN81="NEMA",OR(AV81&amp;AW81="",BC81="NEMA")),MAX(BD$12:BD80)+1,"")</f>
        <v/>
      </c>
      <c r="BE81" s="47" t="s">
        <v>0</v>
      </c>
      <c r="BF81" s="52" t="str">
        <f t="shared" si="81"/>
        <v>Kristijan</v>
      </c>
      <c r="BG81" s="31" t="str">
        <f t="shared" si="82"/>
        <v>Verović</v>
      </c>
      <c r="BH81" s="73" t="str">
        <f t="shared" si="108"/>
        <v/>
      </c>
      <c r="BI81" s="53">
        <f t="shared" si="109"/>
        <v>1566</v>
      </c>
      <c r="BJ81" s="47" t="s">
        <v>0</v>
      </c>
      <c r="BK81" s="52" t="str">
        <f t="shared" si="83"/>
        <v>JAP</v>
      </c>
      <c r="BL81" s="31" t="str">
        <f t="shared" si="84"/>
        <v>OK Japetic</v>
      </c>
      <c r="BM81" s="73" t="str">
        <f t="shared" si="85"/>
        <v>NEMA</v>
      </c>
      <c r="BN81" s="73">
        <f t="shared" si="86"/>
        <v>1</v>
      </c>
      <c r="BO81" s="31" t="str" cm="1">
        <f t="array" ref="BO81">IF(BN81="",""&amp;BL81,IF(BN81="NEMA",BL81,INDEX(regKlub_naziv,MATCH(INDEX(regKlub_alias_klubId,BN81),regKlub_id,0))))</f>
        <v>OK Japetić</v>
      </c>
      <c r="BP81" s="31" t="str" cm="1">
        <f t="array" ref="BP81">IFERROR(""&amp;INDEX(regNatjecatelj_klub,DY81),"")</f>
        <v>OK Japetić</v>
      </c>
      <c r="BQ81" s="88" t="str">
        <f t="shared" si="110"/>
        <v/>
      </c>
      <c r="BR81" s="66" t="str">
        <f t="shared" si="111"/>
        <v>OK Japetić</v>
      </c>
      <c r="BS81" s="47" t="s">
        <v>0</v>
      </c>
      <c r="BT81" s="82" t="str">
        <f>IF(BN81&lt;&gt;"NEMA","",IF(IFERROR(MATCH(BL81,BL$12:BL80,0),0)&lt;&gt;0,"",BL81))</f>
        <v/>
      </c>
      <c r="BU81" s="47" t="s">
        <v>0</v>
      </c>
      <c r="BV81" s="125"/>
      <c r="BW81" s="47" t="s">
        <v>0</v>
      </c>
      <c r="BX81" s="58" t="str">
        <f t="shared" si="112"/>
        <v/>
      </c>
      <c r="BY81" s="31" t="str">
        <f t="shared" si="113"/>
        <v/>
      </c>
      <c r="BZ81" s="31" t="str">
        <f>IF(BY81="","",MAX(BZ$12:BZ80)+1)</f>
        <v/>
      </c>
      <c r="CA81" s="31" t="str">
        <f>IF(BY81="","",IF(AA81="","",IF(AA81="NEMA",AC81,AA81)))</f>
        <v/>
      </c>
      <c r="CB81" s="31" t="str">
        <f t="shared" si="114"/>
        <v/>
      </c>
      <c r="CC81" s="31" t="str">
        <f>IF(BV81="","",MAX(CC$12:CC80)+1)</f>
        <v/>
      </c>
      <c r="CD81" s="31" t="str">
        <f t="shared" si="115"/>
        <v/>
      </c>
      <c r="CE81" s="66" t="str">
        <f t="shared" si="116"/>
        <v/>
      </c>
      <c r="CF81" s="47" t="s">
        <v>0</v>
      </c>
      <c r="CG81" s="73" t="str">
        <f>IF(BN81="","",IF(BN81&lt;&gt;"NEMA","",IFERROR(INDEX(nat_klubAliasId,MATCH(BL81,nat_noviKluboviAliasi,0)),"")))</f>
        <v/>
      </c>
      <c r="CH81" s="47"/>
      <c r="CI81" s="19" t="str">
        <f t="shared" si="117"/>
        <v/>
      </c>
      <c r="CJ81" s="47" t="s">
        <v>0</v>
      </c>
      <c r="CK81" s="52" t="str">
        <f>IF(X81&lt;&gt;"NEMA","",IF(IFERROR(MATCH(W81,W$12:W80,0),0)&lt;&gt;0,"",W81))</f>
        <v/>
      </c>
      <c r="CL81" s="73" t="str">
        <f>IF(CK81="","",IFERROR(INDEX(regKlub_alias_id,MATCH(CK81,regKlub_alias_alias,0)),"NEMA"))</f>
        <v/>
      </c>
      <c r="CM81" s="31" t="str">
        <f>IF(OR(CL81="",CL81&lt;&gt;"NEMA"),"",MAX(CM$12:CM80)+1)</f>
        <v/>
      </c>
      <c r="CN81" s="66" t="str">
        <f>IF(OR(CL81="",CL81&lt;&gt;"NEMA"),"",INDEX(regKlub_id,MATCH(CK81,regKlub_naziv,0)))</f>
        <v/>
      </c>
      <c r="CO81" s="47" t="s">
        <v>0</v>
      </c>
      <c r="CP81" s="19" t="str">
        <f>IF(OR(CL81="",CL81&lt;&gt;"NEMA"),"","INSERT INTO klub_alias(id,alias,klub_id) VALUES ("&amp;CM81&amp;",'"&amp;CK81&amp;"',"&amp;CN81&amp;");")</f>
        <v/>
      </c>
      <c r="CQ81" s="47" t="s">
        <v>0</v>
      </c>
      <c r="CR81" s="143" t="str">
        <f>IF(BR81="","",IF(BV81="",IF(IFERROR(MATCH(BR81,nat_noviKluboviAliasi,0),0)&gt;0,INDEX(nat_kluboviAliasi,MATCH(BR81,nat_noviKluboviAliasi,0)),BR81),BV81))</f>
        <v>OK Japetić</v>
      </c>
      <c r="CS81" s="47" t="s">
        <v>0</v>
      </c>
      <c r="CT81" s="58" t="str">
        <f>IF(G81="","",G81)</f>
        <v>69:26</v>
      </c>
      <c r="CU81" s="73" t="str">
        <f>IF(H81="","",H81)</f>
        <v>0</v>
      </c>
      <c r="CV81" s="229" t="str">
        <f>IF(CT81="",IF(OR(AL81="",CU81&lt;&gt;"0"),"","GREŠKA"),IF(AND(65535&gt;=VALUE(LEFT(CT81,SEARCH(":",CT81)-1))*60+VALUE(RIGHT(CT81,2)),OR(CU81="0",CU81="1",CU81="2",CU81="3",CU81="4")),"","GREŠKA"))</f>
        <v/>
      </c>
      <c r="CW81" s="230">
        <f t="shared" si="71"/>
        <v>4166</v>
      </c>
      <c r="CX81" s="163">
        <f t="shared" si="87"/>
        <v>1</v>
      </c>
      <c r="CY81" s="47" t="s">
        <v>0</v>
      </c>
      <c r="CZ81" s="222" t="str">
        <f>IF(CV81&lt;&gt;"GREŠKA","",AK81&amp;" "&amp;AL81&amp;" – Molim u OEventu provjeriti i ispraviti rezultat – vrijeme ("&amp;IF(CT81="","nije upisano",CT81)&amp;") i classifier ("&amp;CU81&amp;").")&amp;IF(OR(CV81&lt;&gt;"GREŠKA",CX81&lt;&gt;5),"
","")&amp;IF(CX81&lt;&gt;5,"",AK81&amp;" "&amp;AL81&amp;" – Molim u provjeriti je li natjecatelj zaista diskvalificiran. Ako je koje je obrazloženje, ako nije molim u OEventu ispraviti rezultat")</f>
        <v xml:space="preserve">
</v>
      </c>
      <c r="DA81" s="223">
        <f t="shared" si="118"/>
        <v>6</v>
      </c>
      <c r="DB81" s="47" t="s">
        <v>0</v>
      </c>
      <c r="DC81" s="47"/>
      <c r="DD81" s="47"/>
      <c r="DE81" s="47"/>
      <c r="DF81" s="47" t="s">
        <v>0</v>
      </c>
      <c r="DG81" s="53" t="str">
        <f>IF(BD81="","",IF(DI81="O",1,""))</f>
        <v/>
      </c>
      <c r="DH81" t="s">
        <v>0</v>
      </c>
      <c r="DI81" s="128" t="str">
        <f>IF(Q81="","",LEFT(INDEX(regKategorija_oznaka,MATCH(S81,regKategorija_id,0)),1))</f>
        <v>M</v>
      </c>
      <c r="DJ81" t="s">
        <v>0</v>
      </c>
      <c r="DK81" s="52" t="str">
        <f>IF(BD81="","",IF(M81&lt;&gt;"CRO","","INSERT INTO osoba (id,reg_broj,oib,spol_id,dat_rodjenja) VALUES ("&amp;BD81&amp;",(SELECT max(os.reg_broj)+1 FROM osoba AS os),Null,'"&amp;DI81&amp;"',Null); INSERT INTO osoba_log (id,reg_broj,oib,spol_id,dat_rodjenja,dnevnik_id) SELECT id,reg_broj,oib,spol_id,dat_rodjenja,"&amp;data_dnevnik_id&amp;" FROM osoba WHERE id = "&amp;BD81&amp;";"))</f>
        <v/>
      </c>
      <c r="DL81" s="66" t="str">
        <f>IF(BD81="","","INSERT INTO imeprezime (id,osoba_id,rbr,ime,prezime,klub_id,identitet_id,sintaksa_id,info,aktivno,dnevnik_id) VALUES ("&amp;BD81&amp;","&amp;IF(DK81="","Null",BD81)&amp;",1,'"&amp;IF(AV81&lt;&gt;"",AV81,AK81)&amp;"','"&amp;IF(AW81&lt;&gt;"",AW81,AL81)&amp;"',(SELECT id FROM klub WHERE naziv = '"&amp;CR81&amp;"'),Null,1,'',1,"&amp;data_dnevnik_id&amp;");")</f>
        <v/>
      </c>
      <c r="DM81" t="s">
        <v>0</v>
      </c>
      <c r="DN81" s="19" t="str">
        <f t="shared" si="69"/>
        <v/>
      </c>
      <c r="DO81" s="47" t="s">
        <v>0</v>
      </c>
      <c r="DP81" s="19" t="str">
        <f>IF(BA81="","","INSERT INTO imeprezime_alias(id,alias,imeprezime_id) VALUES ("&amp;BB81&amp;",'"&amp;BA81&amp;"',"&amp;IF(BC81="NEMA",BD81,BC81)&amp;");")</f>
        <v/>
      </c>
      <c r="DQ81" s="47" t="s">
        <v>0</v>
      </c>
      <c r="DR81" s="52" t="str">
        <f>IF(AL81="","",DU81 &amp; IF(Q81="",""," – " &amp; Q81))</f>
        <v>Kristijan – Verović – OK Japetić – M21B</v>
      </c>
      <c r="DS81" s="53">
        <f t="shared" si="88"/>
        <v>144</v>
      </c>
      <c r="DT81" s="47" t="s">
        <v>0</v>
      </c>
      <c r="DU81" s="52" t="str">
        <f>IF(AL81="","",DX81 &amp; IF(CR81="",""," – " &amp; CR81))</f>
        <v>Kristijan – Verović – OK Japetić</v>
      </c>
      <c r="DV81" s="53">
        <f t="shared" si="89"/>
        <v>144</v>
      </c>
      <c r="DW81" s="47" t="s">
        <v>0</v>
      </c>
      <c r="DX81" s="52" t="str">
        <f>IF(BG81="","",BF81&amp;" – "&amp;BG81)</f>
        <v>Kristijan – Verović</v>
      </c>
      <c r="DY81" s="53">
        <f t="shared" si="90"/>
        <v>144</v>
      </c>
      <c r="DZ81" s="47" t="s">
        <v>0</v>
      </c>
      <c r="EA81" s="58">
        <f t="shared" si="119"/>
        <v>144</v>
      </c>
      <c r="EB81" s="53" cm="1">
        <f t="array" ref="EB81">IF(EA81&lt;&gt;"",INDEX(regNatjecatelj_id,EA81,0),IF(BD81&lt;&gt;"",BD81,""))</f>
        <v>1566</v>
      </c>
      <c r="EC81" s="47" t="s">
        <v>0</v>
      </c>
      <c r="ED81" s="58" t="str">
        <f>IF(AL81="","",IF(BD81&lt;&gt;"","novo",IF(AN81="","imepre","imepre(ali)")))</f>
        <v>imepre</v>
      </c>
      <c r="EE81" s="73" t="str">
        <f>IF(AL81="","",IF(BL81="",IF(IFERROR(INDEX(regNatjecatelj_klub,MATCH(EB81,regNatjecatelj_id,0)),"NEMA")="","klu",""),IF(OR(AND(BN81&lt;&gt;"",BN81&lt;&gt;"NEMA"),CD81&lt;&gt;""),"klu(ali)",IF(AND(BP81&lt;&gt;"",BP81&lt;&gt;BO81),"(raz-klu)","klu"))))</f>
        <v>klu(ali)</v>
      </c>
      <c r="EF81" s="73" t="str">
        <f>IF(AL81="","","kat"&amp;IF(AND(W81&lt;&gt;Q81,Q81&lt;&gt;"Open"),"(ali)",""))</f>
        <v>kat</v>
      </c>
      <c r="EG81" s="73" t="str">
        <f t="shared" si="91"/>
        <v/>
      </c>
      <c r="EH81" s="66" t="str">
        <f>IF(AL81="","",ED81&amp;IF(ED81="novo","","-"&amp;EE81&amp;"-"&amp;EF81)&amp;IF(EG81="","","-"&amp;EG81))</f>
        <v>imepre-klu(ali)-kat</v>
      </c>
      <c r="EI81" s="47" t="s">
        <v>0</v>
      </c>
      <c r="EJ81" s="58">
        <f>IF(AL81="","",MAX(EJ$12:EJ80)+1)</f>
        <v>251</v>
      </c>
      <c r="EK81" s="73">
        <f>IF(AO81="","",X81)</f>
        <v>28</v>
      </c>
      <c r="EL81" s="73">
        <f t="shared" si="120"/>
        <v>1566</v>
      </c>
      <c r="EM81" s="73">
        <f t="shared" si="92"/>
        <v>4166</v>
      </c>
      <c r="EN81" s="73">
        <f t="shared" si="93"/>
        <v>1</v>
      </c>
      <c r="EO81" s="73">
        <f t="shared" si="121"/>
        <v>1</v>
      </c>
      <c r="EP81" s="73">
        <f t="shared" si="122"/>
        <v>3</v>
      </c>
      <c r="EQ81" s="73" t="str">
        <f t="shared" si="94"/>
        <v>0</v>
      </c>
      <c r="ER81" s="73" t="str">
        <f>IF(OR(AN81="",AN81="NEMA"),BB81,AN81)</f>
        <v/>
      </c>
      <c r="ES81" s="73">
        <f>IF(AND(BN81&lt;&gt;"",BN81&lt;&gt;"NEMA"),BN81,IF(CG81&lt;&gt;"",CG81,IF(AND(CL81&lt;&gt;"",CL81&lt;&gt;"NEMA"),CL81,IF(CM81&lt;&gt;"",CM81,""))))</f>
        <v>1</v>
      </c>
      <c r="ET81" s="53" t="str">
        <f>IF(INDEX(natKategorija_alias_Id,MATCH(S81,natKategorija_katRegId,0))="","",INDEX(natKategorija_alias_Id,MATCH(S81,natKategorija_katRegId,0)))</f>
        <v/>
      </c>
      <c r="EU81" s="47" t="s">
        <v>0</v>
      </c>
      <c r="EV81" s="19" t="str">
        <f t="shared" si="123"/>
        <v>INSERT INTO rezultat(id,stazakategorija_id,imeprezime_id,vrijeme_sec,status_id,registracija,uparivanje_id,originalstatus_id,imeprezimealias_id,klubalias_id,kategorijaalias_id) VALUES (251,28,1566,4166,1,1,3,0,Null,1,Null);</v>
      </c>
      <c r="EW81" s="47" t="s">
        <v>0</v>
      </c>
      <c r="EX81" s="19" t="str">
        <f t="shared" si="124"/>
        <v>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1" s="47" t="s">
        <v>0</v>
      </c>
      <c r="EZ81" s="180" t="str">
        <f>AG81&amp;IF(CP81="","","
")&amp;CP81&amp;IF(CI81="","","
")&amp;CI81&amp;IF(DN81="","","
")&amp;DN81&amp;IF(DP81="","","
")&amp;DP81&amp;IF(EV81="","","
")&amp;EV81&amp;IF(EX81="","","
")&amp;EX81</f>
        <v xml:space="preserve">
INSERT INTO rezultat(id,stazakategorija_id,imeprezime_id,vrijeme_sec,status_id,registracija,uparivanje_id,originalstatus_id,imeprezimealias_id,klubalias_id,kategorijaalias_id) VALUES (251,28,1566,4166,1,1,3,0,Null,1,Null);
UPDATE
	registar
SET
	potvrda = 1
WHERE
	imeprezime_id=1566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1" s="47" t="s">
        <v>0</v>
      </c>
    </row>
    <row r="82" spans="1:157" x14ac:dyDescent="0.25">
      <c r="A82" t="s">
        <v>0</v>
      </c>
      <c r="B82" s="52" t="str">
        <f>IF(csv!F72="","",csv!T72)</f>
        <v>M21B</v>
      </c>
      <c r="C82" s="31" t="s">
        <v>0</v>
      </c>
      <c r="D82" s="31" t="str">
        <f>IF(csv!F72="","",csv!F72)</f>
        <v>Tomislav</v>
      </c>
      <c r="E82" s="31" t="str">
        <f>IF(csv!E72="","",csv!E72)</f>
        <v>Burgund</v>
      </c>
      <c r="F82" s="31" t="s">
        <v>0</v>
      </c>
      <c r="G82" s="73" t="str">
        <f>IF(csv!M72="","",csv!M72)</f>
        <v>71:34</v>
      </c>
      <c r="H82" s="73" t="str">
        <f>IF(csv!N72="","",csv!N72)</f>
        <v>0</v>
      </c>
      <c r="I82" s="31" t="s">
        <v>0</v>
      </c>
      <c r="J82" s="31" t="str">
        <f>IF(csv!P72="","",csv!P72)</f>
        <v>Vihor</v>
      </c>
      <c r="K82" s="31" t="str">
        <f>IF(csv!Q72="","",csv!Q72)</f>
        <v>OK Vihor</v>
      </c>
      <c r="L82" s="31" t="s">
        <v>0</v>
      </c>
      <c r="M82" s="66" t="str">
        <f>IF(csv!R72="","",csv!R72)</f>
        <v>CRO</v>
      </c>
      <c r="N82" s="47" t="s">
        <v>0</v>
      </c>
      <c r="O82" s="243" t="str">
        <f t="shared" si="95"/>
        <v>ok</v>
      </c>
      <c r="P82" s="47"/>
      <c r="Q82" s="52" t="str">
        <f t="shared" si="96"/>
        <v>M21B</v>
      </c>
      <c r="R82" s="73">
        <f>IF(Q82="","",IF(COUNTIF(Q$12:Q81,Q82)=0,R81+1,R81))</f>
        <v>6</v>
      </c>
      <c r="S82" s="73">
        <f t="shared" si="97"/>
        <v>108</v>
      </c>
      <c r="T82" s="73">
        <f t="shared" si="72"/>
        <v>19</v>
      </c>
      <c r="U82" s="66" t="str">
        <f t="shared" si="73"/>
        <v>M21B – M16</v>
      </c>
      <c r="V82" s="47" t="s">
        <v>0</v>
      </c>
      <c r="W82" s="222" t="str">
        <f t="shared" si="74"/>
        <v>M21B</v>
      </c>
      <c r="X82" s="223">
        <f t="shared" si="75"/>
        <v>28</v>
      </c>
      <c r="Y82" s="47" t="s">
        <v>0</v>
      </c>
      <c r="Z82" s="52" t="str">
        <f t="shared" si="98"/>
        <v>CRO</v>
      </c>
      <c r="AA82" s="73">
        <f t="shared" si="76"/>
        <v>1</v>
      </c>
      <c r="AB82" s="31" t="str">
        <f t="shared" si="99"/>
        <v/>
      </c>
      <c r="AC82" s="66" t="str">
        <f>IF(AB82="","",MAX(AC$12:AC81)+1)</f>
        <v/>
      </c>
      <c r="AD82" s="47" t="s">
        <v>0</v>
      </c>
      <c r="AE82" s="125"/>
      <c r="AF82" s="47" t="s">
        <v>0</v>
      </c>
      <c r="AG82" s="19" t="str">
        <f t="shared" si="100"/>
        <v/>
      </c>
      <c r="AH82" s="47" t="s">
        <v>0</v>
      </c>
      <c r="AI82" s="143" t="str">
        <f t="shared" si="101"/>
        <v>CRO</v>
      </c>
      <c r="AJ82" s="47"/>
      <c r="AK82" s="52" t="str">
        <f t="shared" si="102"/>
        <v>Tomislav</v>
      </c>
      <c r="AL82" s="31" t="str">
        <f t="shared" si="103"/>
        <v>Burgund</v>
      </c>
      <c r="AM82" s="73">
        <f t="shared" si="104"/>
        <v>1884</v>
      </c>
      <c r="AN82" s="73" t="str">
        <f t="shared" si="105"/>
        <v/>
      </c>
      <c r="AO82" s="31" t="str">
        <f t="shared" si="77"/>
        <v>Tomislav</v>
      </c>
      <c r="AP82" s="66" t="str">
        <f t="shared" si="78"/>
        <v>Burgund</v>
      </c>
      <c r="AQ82" s="47" t="s">
        <v>0</v>
      </c>
      <c r="AR82" s="82" t="str">
        <f t="shared" si="106"/>
        <v/>
      </c>
      <c r="AS82" s="47" t="s">
        <v>0</v>
      </c>
      <c r="AT82" s="19" t="str">
        <f t="shared" si="107"/>
        <v/>
      </c>
      <c r="AU82" s="47" t="s">
        <v>0</v>
      </c>
      <c r="AV82" s="103"/>
      <c r="AW82" s="105"/>
      <c r="AX82" s="47" t="s">
        <v>0</v>
      </c>
      <c r="AY82" s="256" t="str">
        <f t="shared" si="68"/>
        <v/>
      </c>
      <c r="AZ82" s="47" t="s">
        <v>0</v>
      </c>
      <c r="BA82" s="52" t="str">
        <f t="shared" si="79"/>
        <v/>
      </c>
      <c r="BB82" s="73" t="str">
        <f>IF(AV82&amp;AW82="","",MAX(BB$12:BB81)+1)</f>
        <v/>
      </c>
      <c r="BC82" s="268" t="str">
        <f t="shared" si="80"/>
        <v/>
      </c>
      <c r="BD82" s="53" t="str">
        <f>IF(AND(AM82="NEMA",AN82="NEMA",OR(AV82&amp;AW82="",BC82="NEMA")),MAX(BD$12:BD81)+1,"")</f>
        <v/>
      </c>
      <c r="BE82" s="47" t="s">
        <v>0</v>
      </c>
      <c r="BF82" s="52" t="str">
        <f t="shared" si="81"/>
        <v>Tomislav</v>
      </c>
      <c r="BG82" s="31" t="str">
        <f t="shared" si="82"/>
        <v>Burgund</v>
      </c>
      <c r="BH82" s="73" t="str">
        <f t="shared" si="108"/>
        <v/>
      </c>
      <c r="BI82" s="53">
        <f t="shared" si="109"/>
        <v>1884</v>
      </c>
      <c r="BJ82" s="47" t="s">
        <v>0</v>
      </c>
      <c r="BK82" s="52" t="str">
        <f t="shared" si="83"/>
        <v>Vihor</v>
      </c>
      <c r="BL82" s="31" t="str">
        <f t="shared" si="84"/>
        <v>OK Vihor</v>
      </c>
      <c r="BM82" s="73">
        <f t="shared" si="85"/>
        <v>12</v>
      </c>
      <c r="BN82" s="73" t="str">
        <f t="shared" si="86"/>
        <v/>
      </c>
      <c r="BO82" s="31" t="str" cm="1">
        <f t="array" ref="BO82">IF(BN82="",""&amp;BL82,IF(BN82="NEMA",BL82,INDEX(regKlub_naziv,MATCH(INDEX(regKlub_alias_klubId,BN82),regKlub_id,0))))</f>
        <v>OK Vihor</v>
      </c>
      <c r="BP82" s="31" t="str" cm="1">
        <f t="array" ref="BP82">IFERROR(""&amp;INDEX(regNatjecatelj_klub,DY82),"")</f>
        <v>OK Vihor</v>
      </c>
      <c r="BQ82" s="88" t="str">
        <f t="shared" si="110"/>
        <v/>
      </c>
      <c r="BR82" s="66" t="str">
        <f t="shared" si="111"/>
        <v>OK Vihor</v>
      </c>
      <c r="BS82" s="47" t="s">
        <v>0</v>
      </c>
      <c r="BT82" s="82" t="str">
        <f>IF(BN82&lt;&gt;"NEMA","",IF(IFERROR(MATCH(BL82,BL$12:BL81,0),0)&lt;&gt;0,"",BL82))</f>
        <v/>
      </c>
      <c r="BU82" s="47" t="s">
        <v>0</v>
      </c>
      <c r="BV82" s="125"/>
      <c r="BW82" s="47" t="s">
        <v>0</v>
      </c>
      <c r="BX82" s="58" t="str">
        <f t="shared" si="112"/>
        <v/>
      </c>
      <c r="BY82" s="31" t="str">
        <f t="shared" si="113"/>
        <v/>
      </c>
      <c r="BZ82" s="31" t="str">
        <f>IF(BY82="","",MAX(BZ$12:BZ81)+1)</f>
        <v/>
      </c>
      <c r="CA82" s="31" t="str">
        <f>IF(BY82="","",IF(AA82="","",IF(AA82="NEMA",AC82,AA82)))</f>
        <v/>
      </c>
      <c r="CB82" s="31" t="str">
        <f t="shared" si="114"/>
        <v/>
      </c>
      <c r="CC82" s="31" t="str">
        <f>IF(BV82="","",MAX(CC$12:CC81)+1)</f>
        <v/>
      </c>
      <c r="CD82" s="31" t="str">
        <f t="shared" si="115"/>
        <v/>
      </c>
      <c r="CE82" s="66" t="str">
        <f t="shared" si="116"/>
        <v/>
      </c>
      <c r="CF82" s="47" t="s">
        <v>0</v>
      </c>
      <c r="CG82" s="73" t="str">
        <f>IF(BN82="","",IF(BN82&lt;&gt;"NEMA","",IFERROR(INDEX(nat_klubAliasId,MATCH(BL82,nat_noviKluboviAliasi,0)),"")))</f>
        <v/>
      </c>
      <c r="CH82" s="47"/>
      <c r="CI82" s="19" t="str">
        <f t="shared" si="117"/>
        <v/>
      </c>
      <c r="CJ82" s="47" t="s">
        <v>0</v>
      </c>
      <c r="CK82" s="52" t="str">
        <f>IF(X82&lt;&gt;"NEMA","",IF(IFERROR(MATCH(W82,W$12:W81,0),0)&lt;&gt;0,"",W82))</f>
        <v/>
      </c>
      <c r="CL82" s="73" t="str">
        <f>IF(CK82="","",IFERROR(INDEX(regKlub_alias_id,MATCH(CK82,regKlub_alias_alias,0)),"NEMA"))</f>
        <v/>
      </c>
      <c r="CM82" s="31" t="str">
        <f>IF(OR(CL82="",CL82&lt;&gt;"NEMA"),"",MAX(CM$12:CM81)+1)</f>
        <v/>
      </c>
      <c r="CN82" s="66" t="str">
        <f>IF(OR(CL82="",CL82&lt;&gt;"NEMA"),"",INDEX(regKlub_id,MATCH(CK82,regKlub_naziv,0)))</f>
        <v/>
      </c>
      <c r="CO82" s="47" t="s">
        <v>0</v>
      </c>
      <c r="CP82" s="19" t="str">
        <f>IF(OR(CL82="",CL82&lt;&gt;"NEMA"),"","INSERT INTO klub_alias(id,alias,klub_id) VALUES ("&amp;CM82&amp;",'"&amp;CK82&amp;"',"&amp;CN82&amp;");")</f>
        <v/>
      </c>
      <c r="CQ82" s="47" t="s">
        <v>0</v>
      </c>
      <c r="CR82" s="143" t="str">
        <f>IF(BR82="","",IF(BV82="",IF(IFERROR(MATCH(BR82,nat_noviKluboviAliasi,0),0)&gt;0,INDEX(nat_kluboviAliasi,MATCH(BR82,nat_noviKluboviAliasi,0)),BR82),BV82))</f>
        <v>OK Vihor</v>
      </c>
      <c r="CS82" s="47" t="s">
        <v>0</v>
      </c>
      <c r="CT82" s="58" t="str">
        <f>IF(G82="","",G82)</f>
        <v>71:34</v>
      </c>
      <c r="CU82" s="73" t="str">
        <f>IF(H82="","",H82)</f>
        <v>0</v>
      </c>
      <c r="CV82" s="229" t="str">
        <f>IF(CT82="",IF(OR(AL82="",CU82&lt;&gt;"0"),"","GREŠKA"),IF(AND(65535&gt;=VALUE(LEFT(CT82,SEARCH(":",CT82)-1))*60+VALUE(RIGHT(CT82,2)),OR(CU82="0",CU82="1",CU82="2",CU82="3",CU82="4")),"","GREŠKA"))</f>
        <v/>
      </c>
      <c r="CW82" s="230">
        <f t="shared" si="71"/>
        <v>4294</v>
      </c>
      <c r="CX82" s="163">
        <f t="shared" si="87"/>
        <v>1</v>
      </c>
      <c r="CY82" s="47" t="s">
        <v>0</v>
      </c>
      <c r="CZ82" s="222" t="str">
        <f>IF(CV82&lt;&gt;"GREŠKA","",AK82&amp;" "&amp;AL82&amp;" – Molim u OEventu provjeriti i ispraviti rezultat – vrijeme ("&amp;IF(CT82="","nije upisano",CT82)&amp;") i classifier ("&amp;CU82&amp;").")&amp;IF(OR(CV82&lt;&gt;"GREŠKA",CX82&lt;&gt;5),"
","")&amp;IF(CX82&lt;&gt;5,"",AK82&amp;" "&amp;AL82&amp;" – Molim u provjeriti je li natjecatelj zaista diskvalificiran. Ako je koje je obrazloženje, ako nije molim u OEventu ispraviti rezultat")</f>
        <v xml:space="preserve">
</v>
      </c>
      <c r="DA82" s="223">
        <f t="shared" si="118"/>
        <v>6</v>
      </c>
      <c r="DB82" s="47" t="s">
        <v>0</v>
      </c>
      <c r="DC82" s="47"/>
      <c r="DD82" s="47"/>
      <c r="DE82" s="47"/>
      <c r="DF82" s="47" t="s">
        <v>0</v>
      </c>
      <c r="DG82" s="53" t="str">
        <f>IF(BD82="","",IF(DI82="O",1,""))</f>
        <v/>
      </c>
      <c r="DH82" t="s">
        <v>0</v>
      </c>
      <c r="DI82" s="128" t="str">
        <f>IF(Q82="","",LEFT(INDEX(regKategorija_oznaka,MATCH(S82,regKategorija_id,0)),1))</f>
        <v>M</v>
      </c>
      <c r="DJ82" t="s">
        <v>0</v>
      </c>
      <c r="DK82" s="52" t="str">
        <f>IF(BD82="","",IF(M82&lt;&gt;"CRO","","INSERT INTO osoba (id,reg_broj,oib,spol_id,dat_rodjenja) VALUES ("&amp;BD82&amp;",(SELECT max(os.reg_broj)+1 FROM osoba AS os),Null,'"&amp;DI82&amp;"',Null); INSERT INTO osoba_log (id,reg_broj,oib,spol_id,dat_rodjenja,dnevnik_id) SELECT id,reg_broj,oib,spol_id,dat_rodjenja,"&amp;data_dnevnik_id&amp;" FROM osoba WHERE id = "&amp;BD82&amp;";"))</f>
        <v/>
      </c>
      <c r="DL82" s="66" t="str">
        <f>IF(BD82="","","INSERT INTO imeprezime (id,osoba_id,rbr,ime,prezime,klub_id,identitet_id,sintaksa_id,info,aktivno,dnevnik_id) VALUES ("&amp;BD82&amp;","&amp;IF(DK82="","Null",BD82)&amp;",1,'"&amp;IF(AV82&lt;&gt;"",AV82,AK82)&amp;"','"&amp;IF(AW82&lt;&gt;"",AW82,AL82)&amp;"',(SELECT id FROM klub WHERE naziv = '"&amp;CR82&amp;"'),Null,1,'',1,"&amp;data_dnevnik_id&amp;");")</f>
        <v/>
      </c>
      <c r="DM82" t="s">
        <v>0</v>
      </c>
      <c r="DN82" s="19" t="str">
        <f t="shared" si="69"/>
        <v/>
      </c>
      <c r="DO82" s="47" t="s">
        <v>0</v>
      </c>
      <c r="DP82" s="19" t="str">
        <f>IF(BA82="","","INSERT INTO imeprezime_alias(id,alias,imeprezime_id) VALUES ("&amp;BB82&amp;",'"&amp;BA82&amp;"',"&amp;IF(BC82="NEMA",BD82,BC82)&amp;");")</f>
        <v/>
      </c>
      <c r="DQ82" s="47" t="s">
        <v>0</v>
      </c>
      <c r="DR82" s="52" t="str">
        <f>IF(AL82="","",DU82 &amp; IF(Q82="",""," – " &amp; Q82))</f>
        <v>Tomislav – Burgund – OK Vihor – M21B</v>
      </c>
      <c r="DS82" s="53">
        <f t="shared" si="88"/>
        <v>636</v>
      </c>
      <c r="DT82" s="47" t="s">
        <v>0</v>
      </c>
      <c r="DU82" s="52" t="str">
        <f>IF(AL82="","",DX82 &amp; IF(CR82="",""," – " &amp; CR82))</f>
        <v>Tomislav – Burgund – OK Vihor</v>
      </c>
      <c r="DV82" s="53">
        <f t="shared" si="89"/>
        <v>636</v>
      </c>
      <c r="DW82" s="47" t="s">
        <v>0</v>
      </c>
      <c r="DX82" s="52" t="str">
        <f>IF(BG82="","",BF82&amp;" – "&amp;BG82)</f>
        <v>Tomislav – Burgund</v>
      </c>
      <c r="DY82" s="53">
        <f t="shared" si="90"/>
        <v>636</v>
      </c>
      <c r="DZ82" s="47" t="s">
        <v>0</v>
      </c>
      <c r="EA82" s="58">
        <f t="shared" si="119"/>
        <v>636</v>
      </c>
      <c r="EB82" s="53" cm="1">
        <f t="array" ref="EB82">IF(EA82&lt;&gt;"",INDEX(regNatjecatelj_id,EA82,0),IF(BD82&lt;&gt;"",BD82,""))</f>
        <v>1884</v>
      </c>
      <c r="EC82" s="47" t="s">
        <v>0</v>
      </c>
      <c r="ED82" s="58" t="str">
        <f>IF(AL82="","",IF(BD82&lt;&gt;"","novo",IF(AN82="","imepre","imepre(ali)")))</f>
        <v>imepre</v>
      </c>
      <c r="EE82" s="73" t="str">
        <f>IF(AL82="","",IF(BL82="",IF(IFERROR(INDEX(regNatjecatelj_klub,MATCH(EB82,regNatjecatelj_id,0)),"NEMA")="","klu",""),IF(OR(AND(BN82&lt;&gt;"",BN82&lt;&gt;"NEMA"),CD82&lt;&gt;""),"klu(ali)",IF(AND(BP82&lt;&gt;"",BP82&lt;&gt;BO82),"(raz-klu)","klu"))))</f>
        <v>klu</v>
      </c>
      <c r="EF82" s="73" t="str">
        <f>IF(AL82="","","kat"&amp;IF(AND(W82&lt;&gt;Q82,Q82&lt;&gt;"Open"),"(ali)",""))</f>
        <v>kat</v>
      </c>
      <c r="EG82" s="73" t="str">
        <f t="shared" si="91"/>
        <v/>
      </c>
      <c r="EH82" s="66" t="str">
        <f>IF(AL82="","",ED82&amp;IF(ED82="novo","","-"&amp;EE82&amp;"-"&amp;EF82)&amp;IF(EG82="","","-"&amp;EG82))</f>
        <v>imepre-klu-kat</v>
      </c>
      <c r="EI82" s="47" t="s">
        <v>0</v>
      </c>
      <c r="EJ82" s="58">
        <f>IF(AL82="","",MAX(EJ$12:EJ81)+1)</f>
        <v>252</v>
      </c>
      <c r="EK82" s="73">
        <f>IF(AO82="","",X82)</f>
        <v>28</v>
      </c>
      <c r="EL82" s="73">
        <f t="shared" si="120"/>
        <v>1884</v>
      </c>
      <c r="EM82" s="73">
        <f t="shared" si="92"/>
        <v>4294</v>
      </c>
      <c r="EN82" s="73">
        <f t="shared" si="93"/>
        <v>1</v>
      </c>
      <c r="EO82" s="73">
        <f t="shared" si="121"/>
        <v>1</v>
      </c>
      <c r="EP82" s="73">
        <f t="shared" si="122"/>
        <v>1</v>
      </c>
      <c r="EQ82" s="73" t="str">
        <f t="shared" si="94"/>
        <v>0</v>
      </c>
      <c r="ER82" s="73" t="str">
        <f>IF(OR(AN82="",AN82="NEMA"),BB82,AN82)</f>
        <v/>
      </c>
      <c r="ES82" s="73" t="str">
        <f>IF(AND(BN82&lt;&gt;"",BN82&lt;&gt;"NEMA"),BN82,IF(CG82&lt;&gt;"",CG82,IF(AND(CL82&lt;&gt;"",CL82&lt;&gt;"NEMA"),CL82,IF(CM82&lt;&gt;"",CM82,""))))</f>
        <v/>
      </c>
      <c r="ET82" s="53" t="str">
        <f>IF(INDEX(natKategorija_alias_Id,MATCH(S82,natKategorija_katRegId,0))="","",INDEX(natKategorija_alias_Id,MATCH(S82,natKategorija_katRegId,0)))</f>
        <v/>
      </c>
      <c r="EU82" s="47" t="s">
        <v>0</v>
      </c>
      <c r="EV82" s="19" t="str">
        <f t="shared" si="123"/>
        <v>INSERT INTO rezultat(id,stazakategorija_id,imeprezime_id,vrijeme_sec,status_id,registracija,uparivanje_id,originalstatus_id,imeprezimealias_id,klubalias_id,kategorijaalias_id) VALUES (252,28,1884,4294,1,1,1,0,Null,Null,Null);</v>
      </c>
      <c r="EW82" s="47" t="s">
        <v>0</v>
      </c>
      <c r="EX82" s="19" t="str">
        <f t="shared" si="124"/>
        <v>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2" s="47" t="s">
        <v>0</v>
      </c>
      <c r="EZ82" s="180" t="str">
        <f>AG82&amp;IF(CP82="","","
")&amp;CP82&amp;IF(CI82="","","
")&amp;CI82&amp;IF(DN82="","","
")&amp;DN82&amp;IF(DP82="","","
")&amp;DP82&amp;IF(EV82="","","
")&amp;EV82&amp;IF(EX82="","","
")&amp;EX82</f>
        <v xml:space="preserve">
INSERT INTO rezultat(id,stazakategorija_id,imeprezime_id,vrijeme_sec,status_id,registracija,uparivanje_id,originalstatus_id,imeprezimealias_id,klubalias_id,kategorijaalias_id) VALUES (252,28,1884,4294,1,1,1,0,Null,Null,Null);
UPDATE
	registar
SET
	potvrda = 1
WHERE
	imeprezime_id=1884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2" s="47" t="s">
        <v>0</v>
      </c>
    </row>
    <row r="83" spans="1:157" x14ac:dyDescent="0.25">
      <c r="A83" t="s">
        <v>0</v>
      </c>
      <c r="B83" s="52" t="str">
        <f>IF(csv!F73="","",csv!T73)</f>
        <v>M21B</v>
      </c>
      <c r="C83" s="31" t="s">
        <v>0</v>
      </c>
      <c r="D83" s="31" t="str">
        <f>IF(csv!F73="","",csv!F73)</f>
        <v>Siniša</v>
      </c>
      <c r="E83" s="31" t="str">
        <f>IF(csv!E73="","",csv!E73)</f>
        <v>Lah</v>
      </c>
      <c r="F83" s="31" t="s">
        <v>0</v>
      </c>
      <c r="G83" s="73" t="str">
        <f>IF(csv!M73="","",csv!M73)</f>
        <v>75:28</v>
      </c>
      <c r="H83" s="73" t="str">
        <f>IF(csv!N73="","",csv!N73)</f>
        <v>0</v>
      </c>
      <c r="I83" s="31" t="s">
        <v>0</v>
      </c>
      <c r="J83" s="31" t="str">
        <f>IF(csv!P73="","",csv!P73)</f>
        <v>OK Varaždin</v>
      </c>
      <c r="K83" s="31" t="str">
        <f>IF(csv!Q73="","",csv!Q73)</f>
        <v>OK Varaždin</v>
      </c>
      <c r="L83" s="31" t="s">
        <v>0</v>
      </c>
      <c r="M83" s="66" t="str">
        <f>IF(csv!R73="","",csv!R73)</f>
        <v>CRO</v>
      </c>
      <c r="N83" s="47" t="s">
        <v>0</v>
      </c>
      <c r="O83" s="243" t="str">
        <f t="shared" si="95"/>
        <v>ok</v>
      </c>
      <c r="P83" s="47"/>
      <c r="Q83" s="52" t="str">
        <f t="shared" si="96"/>
        <v>M21B</v>
      </c>
      <c r="R83" s="73">
        <f>IF(Q83="","",IF(COUNTIF(Q$12:Q82,Q83)=0,R82+1,R82))</f>
        <v>6</v>
      </c>
      <c r="S83" s="73">
        <f t="shared" si="97"/>
        <v>108</v>
      </c>
      <c r="T83" s="73">
        <f t="shared" si="72"/>
        <v>19</v>
      </c>
      <c r="U83" s="66" t="str">
        <f t="shared" si="73"/>
        <v>M21B – M16</v>
      </c>
      <c r="V83" s="47" t="s">
        <v>0</v>
      </c>
      <c r="W83" s="222" t="str">
        <f t="shared" si="74"/>
        <v>M21B</v>
      </c>
      <c r="X83" s="223">
        <f t="shared" si="75"/>
        <v>28</v>
      </c>
      <c r="Y83" s="47" t="s">
        <v>0</v>
      </c>
      <c r="Z83" s="52" t="str">
        <f t="shared" si="98"/>
        <v>CRO</v>
      </c>
      <c r="AA83" s="73">
        <f t="shared" si="76"/>
        <v>1</v>
      </c>
      <c r="AB83" s="31" t="str">
        <f t="shared" si="99"/>
        <v/>
      </c>
      <c r="AC83" s="66" t="str">
        <f>IF(AB83="","",MAX(AC$12:AC82)+1)</f>
        <v/>
      </c>
      <c r="AD83" s="47" t="s">
        <v>0</v>
      </c>
      <c r="AE83" s="125"/>
      <c r="AF83" s="47" t="s">
        <v>0</v>
      </c>
      <c r="AG83" s="19" t="str">
        <f t="shared" si="100"/>
        <v/>
      </c>
      <c r="AH83" s="47" t="s">
        <v>0</v>
      </c>
      <c r="AI83" s="143" t="str">
        <f t="shared" si="101"/>
        <v>CRO</v>
      </c>
      <c r="AJ83" s="47"/>
      <c r="AK83" s="52" t="str">
        <f t="shared" si="102"/>
        <v>Siniša</v>
      </c>
      <c r="AL83" s="31" t="str">
        <f t="shared" si="103"/>
        <v>Lah</v>
      </c>
      <c r="AM83" s="73">
        <f t="shared" si="104"/>
        <v>1310</v>
      </c>
      <c r="AN83" s="73" t="str">
        <f t="shared" si="105"/>
        <v/>
      </c>
      <c r="AO83" s="31" t="str">
        <f t="shared" si="77"/>
        <v>Siniša</v>
      </c>
      <c r="AP83" s="66" t="str">
        <f t="shared" si="78"/>
        <v>Lah</v>
      </c>
      <c r="AQ83" s="47" t="s">
        <v>0</v>
      </c>
      <c r="AR83" s="82" t="str">
        <f t="shared" si="106"/>
        <v/>
      </c>
      <c r="AS83" s="47" t="s">
        <v>0</v>
      </c>
      <c r="AT83" s="19" t="str">
        <f t="shared" si="107"/>
        <v/>
      </c>
      <c r="AU83" s="47" t="s">
        <v>0</v>
      </c>
      <c r="AV83" s="103"/>
      <c r="AW83" s="105"/>
      <c r="AX83" s="47" t="s">
        <v>0</v>
      </c>
      <c r="AY83" s="256" t="str">
        <f t="shared" si="68"/>
        <v/>
      </c>
      <c r="AZ83" s="47" t="s">
        <v>0</v>
      </c>
      <c r="BA83" s="52" t="str">
        <f t="shared" si="79"/>
        <v/>
      </c>
      <c r="BB83" s="73" t="str">
        <f>IF(AV83&amp;AW83="","",MAX(BB$12:BB82)+1)</f>
        <v/>
      </c>
      <c r="BC83" s="268" t="str">
        <f t="shared" si="80"/>
        <v/>
      </c>
      <c r="BD83" s="53" t="str">
        <f>IF(AND(AM83="NEMA",AN83="NEMA",OR(AV83&amp;AW83="",BC83="NEMA")),MAX(BD$12:BD82)+1,"")</f>
        <v/>
      </c>
      <c r="BE83" s="47" t="s">
        <v>0</v>
      </c>
      <c r="BF83" s="52" t="str">
        <f t="shared" si="81"/>
        <v>Siniša</v>
      </c>
      <c r="BG83" s="31" t="str">
        <f t="shared" si="82"/>
        <v>Lah</v>
      </c>
      <c r="BH83" s="73" t="str">
        <f t="shared" si="108"/>
        <v/>
      </c>
      <c r="BI83" s="53">
        <f t="shared" si="109"/>
        <v>1310</v>
      </c>
      <c r="BJ83" s="47" t="s">
        <v>0</v>
      </c>
      <c r="BK83" s="52" t="str">
        <f t="shared" si="83"/>
        <v>OK Varaždin</v>
      </c>
      <c r="BL83" s="31" t="str">
        <f t="shared" si="84"/>
        <v>OK Varaždin</v>
      </c>
      <c r="BM83" s="73">
        <f t="shared" si="85"/>
        <v>11</v>
      </c>
      <c r="BN83" s="73" t="str">
        <f t="shared" si="86"/>
        <v/>
      </c>
      <c r="BO83" s="31" t="str" cm="1">
        <f t="array" ref="BO83">IF(BN83="",""&amp;BL83,IF(BN83="NEMA",BL83,INDEX(regKlub_naziv,MATCH(INDEX(regKlub_alias_klubId,BN83),regKlub_id,0))))</f>
        <v>OK Varaždin</v>
      </c>
      <c r="BP83" s="31" t="str" cm="1">
        <f t="array" ref="BP83">IFERROR(""&amp;INDEX(regNatjecatelj_klub,DY83),"")</f>
        <v>OK Varaždin</v>
      </c>
      <c r="BQ83" s="88" t="str">
        <f t="shared" si="110"/>
        <v/>
      </c>
      <c r="BR83" s="66" t="str">
        <f t="shared" si="111"/>
        <v>OK Varaždin</v>
      </c>
      <c r="BS83" s="47" t="s">
        <v>0</v>
      </c>
      <c r="BT83" s="82" t="str">
        <f>IF(BN83&lt;&gt;"NEMA","",IF(IFERROR(MATCH(BL83,BL$12:BL82,0),0)&lt;&gt;0,"",BL83))</f>
        <v/>
      </c>
      <c r="BU83" s="47" t="s">
        <v>0</v>
      </c>
      <c r="BV83" s="125"/>
      <c r="BW83" s="47" t="s">
        <v>0</v>
      </c>
      <c r="BX83" s="58" t="str">
        <f t="shared" si="112"/>
        <v/>
      </c>
      <c r="BY83" s="31" t="str">
        <f t="shared" si="113"/>
        <v/>
      </c>
      <c r="BZ83" s="31" t="str">
        <f>IF(BY83="","",MAX(BZ$12:BZ82)+1)</f>
        <v/>
      </c>
      <c r="CA83" s="31" t="str">
        <f>IF(BY83="","",IF(AA83="","",IF(AA83="NEMA",AC83,AA83)))</f>
        <v/>
      </c>
      <c r="CB83" s="31" t="str">
        <f t="shared" si="114"/>
        <v/>
      </c>
      <c r="CC83" s="31" t="str">
        <f>IF(BV83="","",MAX(CC$12:CC82)+1)</f>
        <v/>
      </c>
      <c r="CD83" s="31" t="str">
        <f t="shared" si="115"/>
        <v/>
      </c>
      <c r="CE83" s="66" t="str">
        <f t="shared" si="116"/>
        <v/>
      </c>
      <c r="CF83" s="47" t="s">
        <v>0</v>
      </c>
      <c r="CG83" s="73" t="str">
        <f>IF(BN83="","",IF(BN83&lt;&gt;"NEMA","",IFERROR(INDEX(nat_klubAliasId,MATCH(BL83,nat_noviKluboviAliasi,0)),"")))</f>
        <v/>
      </c>
      <c r="CH83" s="47"/>
      <c r="CI83" s="19" t="str">
        <f t="shared" si="117"/>
        <v/>
      </c>
      <c r="CJ83" s="47" t="s">
        <v>0</v>
      </c>
      <c r="CK83" s="52" t="str">
        <f>IF(X83&lt;&gt;"NEMA","",IF(IFERROR(MATCH(W83,W$12:W82,0),0)&lt;&gt;0,"",W83))</f>
        <v/>
      </c>
      <c r="CL83" s="73" t="str">
        <f>IF(CK83="","",IFERROR(INDEX(regKlub_alias_id,MATCH(CK83,regKlub_alias_alias,0)),"NEMA"))</f>
        <v/>
      </c>
      <c r="CM83" s="31" t="str">
        <f>IF(OR(CL83="",CL83&lt;&gt;"NEMA"),"",MAX(CM$12:CM82)+1)</f>
        <v/>
      </c>
      <c r="CN83" s="66" t="str">
        <f>IF(OR(CL83="",CL83&lt;&gt;"NEMA"),"",INDEX(regKlub_id,MATCH(CK83,regKlub_naziv,0)))</f>
        <v/>
      </c>
      <c r="CO83" s="47" t="s">
        <v>0</v>
      </c>
      <c r="CP83" s="19" t="str">
        <f>IF(OR(CL83="",CL83&lt;&gt;"NEMA"),"","INSERT INTO klub_alias(id,alias,klub_id) VALUES ("&amp;CM83&amp;",'"&amp;CK83&amp;"',"&amp;CN83&amp;");")</f>
        <v/>
      </c>
      <c r="CQ83" s="47" t="s">
        <v>0</v>
      </c>
      <c r="CR83" s="143" t="str">
        <f>IF(BR83="","",IF(BV83="",IF(IFERROR(MATCH(BR83,nat_noviKluboviAliasi,0),0)&gt;0,INDEX(nat_kluboviAliasi,MATCH(BR83,nat_noviKluboviAliasi,0)),BR83),BV83))</f>
        <v>OK Varaždin</v>
      </c>
      <c r="CS83" s="47" t="s">
        <v>0</v>
      </c>
      <c r="CT83" s="58" t="str">
        <f>IF(G83="","",G83)</f>
        <v>75:28</v>
      </c>
      <c r="CU83" s="73" t="str">
        <f>IF(H83="","",H83)</f>
        <v>0</v>
      </c>
      <c r="CV83" s="229" t="str">
        <f>IF(CT83="",IF(OR(AL83="",CU83&lt;&gt;"0"),"","GREŠKA"),IF(AND(65535&gt;=VALUE(LEFT(CT83,SEARCH(":",CT83)-1))*60+VALUE(RIGHT(CT83,2)),OR(CU83="0",CU83="1",CU83="2",CU83="3",CU83="4")),"","GREŠKA"))</f>
        <v/>
      </c>
      <c r="CW83" s="230">
        <f t="shared" si="71"/>
        <v>4528</v>
      </c>
      <c r="CX83" s="163">
        <f t="shared" si="87"/>
        <v>1</v>
      </c>
      <c r="CY83" s="47" t="s">
        <v>0</v>
      </c>
      <c r="CZ83" s="222" t="str">
        <f>IF(CV83&lt;&gt;"GREŠKA","",AK83&amp;" "&amp;AL83&amp;" – Molim u OEventu provjeriti i ispraviti rezultat – vrijeme ("&amp;IF(CT83="","nije upisano",CT83)&amp;") i classifier ("&amp;CU83&amp;").")&amp;IF(OR(CV83&lt;&gt;"GREŠKA",CX83&lt;&gt;5),"
","")&amp;IF(CX83&lt;&gt;5,"",AK83&amp;" "&amp;AL83&amp;" – Molim u provjeriti je li natjecatelj zaista diskvalificiran. Ako je koje je obrazloženje, ako nije molim u OEventu ispraviti rezultat")</f>
        <v xml:space="preserve">
</v>
      </c>
      <c r="DA83" s="223">
        <f t="shared" si="118"/>
        <v>6</v>
      </c>
      <c r="DB83" s="47" t="s">
        <v>0</v>
      </c>
      <c r="DC83" s="47"/>
      <c r="DD83" s="47"/>
      <c r="DE83" s="47"/>
      <c r="DF83" s="47" t="s">
        <v>0</v>
      </c>
      <c r="DG83" s="53" t="str">
        <f>IF(BD83="","",IF(DI83="O",1,""))</f>
        <v/>
      </c>
      <c r="DH83" t="s">
        <v>0</v>
      </c>
      <c r="DI83" s="128" t="str">
        <f>IF(Q83="","",LEFT(INDEX(regKategorija_oznaka,MATCH(S83,regKategorija_id,0)),1))</f>
        <v>M</v>
      </c>
      <c r="DJ83" t="s">
        <v>0</v>
      </c>
      <c r="DK83" s="52" t="str">
        <f>IF(BD83="","",IF(M83&lt;&gt;"CRO","","INSERT INTO osoba (id,reg_broj,oib,spol_id,dat_rodjenja) VALUES ("&amp;BD83&amp;",(SELECT max(os.reg_broj)+1 FROM osoba AS os),Null,'"&amp;DI83&amp;"',Null); INSERT INTO osoba_log (id,reg_broj,oib,spol_id,dat_rodjenja,dnevnik_id) SELECT id,reg_broj,oib,spol_id,dat_rodjenja,"&amp;data_dnevnik_id&amp;" FROM osoba WHERE id = "&amp;BD83&amp;";"))</f>
        <v/>
      </c>
      <c r="DL83" s="66" t="str">
        <f>IF(BD83="","","INSERT INTO imeprezime (id,osoba_id,rbr,ime,prezime,klub_id,identitet_id,sintaksa_id,info,aktivno,dnevnik_id) VALUES ("&amp;BD83&amp;","&amp;IF(DK83="","Null",BD83)&amp;",1,'"&amp;IF(AV83&lt;&gt;"",AV83,AK83)&amp;"','"&amp;IF(AW83&lt;&gt;"",AW83,AL83)&amp;"',(SELECT id FROM klub WHERE naziv = '"&amp;CR83&amp;"'),Null,1,'',1,"&amp;data_dnevnik_id&amp;");")</f>
        <v/>
      </c>
      <c r="DM83" t="s">
        <v>0</v>
      </c>
      <c r="DN83" s="19" t="str">
        <f t="shared" si="69"/>
        <v/>
      </c>
      <c r="DO83" s="47" t="s">
        <v>0</v>
      </c>
      <c r="DP83" s="19" t="str">
        <f>IF(BA83="","","INSERT INTO imeprezime_alias(id,alias,imeprezime_id) VALUES ("&amp;BB83&amp;",'"&amp;BA83&amp;"',"&amp;IF(BC83="NEMA",BD83,BC83)&amp;");")</f>
        <v/>
      </c>
      <c r="DQ83" s="47" t="s">
        <v>0</v>
      </c>
      <c r="DR83" s="52" t="str">
        <f>IF(AL83="","",DU83 &amp; IF(Q83="",""," – " &amp; Q83))</f>
        <v>Siniša – Lah – OK Varaždin – M21B</v>
      </c>
      <c r="DS83" s="53">
        <f t="shared" si="88"/>
        <v>552</v>
      </c>
      <c r="DT83" s="47" t="s">
        <v>0</v>
      </c>
      <c r="DU83" s="52" t="str">
        <f>IF(AL83="","",DX83 &amp; IF(CR83="",""," – " &amp; CR83))</f>
        <v>Siniša – Lah – OK Varaždin</v>
      </c>
      <c r="DV83" s="53">
        <f t="shared" si="89"/>
        <v>552</v>
      </c>
      <c r="DW83" s="47" t="s">
        <v>0</v>
      </c>
      <c r="DX83" s="52" t="str">
        <f>IF(BG83="","",BF83&amp;" – "&amp;BG83)</f>
        <v>Siniša – Lah</v>
      </c>
      <c r="DY83" s="53">
        <f t="shared" si="90"/>
        <v>552</v>
      </c>
      <c r="DZ83" s="47" t="s">
        <v>0</v>
      </c>
      <c r="EA83" s="58">
        <f t="shared" si="119"/>
        <v>552</v>
      </c>
      <c r="EB83" s="53" cm="1">
        <f t="array" ref="EB83">IF(EA83&lt;&gt;"",INDEX(regNatjecatelj_id,EA83,0),IF(BD83&lt;&gt;"",BD83,""))</f>
        <v>1310</v>
      </c>
      <c r="EC83" s="47" t="s">
        <v>0</v>
      </c>
      <c r="ED83" s="58" t="str">
        <f>IF(AL83="","",IF(BD83&lt;&gt;"","novo",IF(AN83="","imepre","imepre(ali)")))</f>
        <v>imepre</v>
      </c>
      <c r="EE83" s="73" t="str">
        <f>IF(AL83="","",IF(BL83="",IF(IFERROR(INDEX(regNatjecatelj_klub,MATCH(EB83,regNatjecatelj_id,0)),"NEMA")="","klu",""),IF(OR(AND(BN83&lt;&gt;"",BN83&lt;&gt;"NEMA"),CD83&lt;&gt;""),"klu(ali)",IF(AND(BP83&lt;&gt;"",BP83&lt;&gt;BO83),"(raz-klu)","klu"))))</f>
        <v>klu</v>
      </c>
      <c r="EF83" s="73" t="str">
        <f>IF(AL83="","","kat"&amp;IF(AND(W83&lt;&gt;Q83,Q83&lt;&gt;"Open"),"(ali)",""))</f>
        <v>kat</v>
      </c>
      <c r="EG83" s="73" t="str">
        <f t="shared" si="91"/>
        <v/>
      </c>
      <c r="EH83" s="66" t="str">
        <f>IF(AL83="","",ED83&amp;IF(ED83="novo","","-"&amp;EE83&amp;"-"&amp;EF83)&amp;IF(EG83="","","-"&amp;EG83))</f>
        <v>imepre-klu-kat</v>
      </c>
      <c r="EI83" s="47" t="s">
        <v>0</v>
      </c>
      <c r="EJ83" s="58">
        <f>IF(AL83="","",MAX(EJ$12:EJ82)+1)</f>
        <v>253</v>
      </c>
      <c r="EK83" s="73">
        <f>IF(AO83="","",X83)</f>
        <v>28</v>
      </c>
      <c r="EL83" s="73">
        <f t="shared" si="120"/>
        <v>1310</v>
      </c>
      <c r="EM83" s="73">
        <f t="shared" si="92"/>
        <v>4528</v>
      </c>
      <c r="EN83" s="73">
        <f t="shared" si="93"/>
        <v>1</v>
      </c>
      <c r="EO83" s="73">
        <f t="shared" si="121"/>
        <v>1</v>
      </c>
      <c r="EP83" s="73">
        <f t="shared" si="122"/>
        <v>1</v>
      </c>
      <c r="EQ83" s="73" t="str">
        <f t="shared" si="94"/>
        <v>0</v>
      </c>
      <c r="ER83" s="73" t="str">
        <f>IF(OR(AN83="",AN83="NEMA"),BB83,AN83)</f>
        <v/>
      </c>
      <c r="ES83" s="73" t="str">
        <f>IF(AND(BN83&lt;&gt;"",BN83&lt;&gt;"NEMA"),BN83,IF(CG83&lt;&gt;"",CG83,IF(AND(CL83&lt;&gt;"",CL83&lt;&gt;"NEMA"),CL83,IF(CM83&lt;&gt;"",CM83,""))))</f>
        <v/>
      </c>
      <c r="ET83" s="53" t="str">
        <f>IF(INDEX(natKategorija_alias_Id,MATCH(S83,natKategorija_katRegId,0))="","",INDEX(natKategorija_alias_Id,MATCH(S83,natKategorija_katRegId,0)))</f>
        <v/>
      </c>
      <c r="EU83" s="47" t="s">
        <v>0</v>
      </c>
      <c r="EV83" s="19" t="str">
        <f t="shared" si="123"/>
        <v>INSERT INTO rezultat(id,stazakategorija_id,imeprezime_id,vrijeme_sec,status_id,registracija,uparivanje_id,originalstatus_id,imeprezimealias_id,klubalias_id,kategorijaalias_id) VALUES (253,28,1310,4528,1,1,1,0,Null,Null,Null);</v>
      </c>
      <c r="EW83" s="47" t="s">
        <v>0</v>
      </c>
      <c r="EX83" s="19" t="str">
        <f t="shared" si="124"/>
        <v>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3" s="47" t="s">
        <v>0</v>
      </c>
      <c r="EZ83" s="180" t="str">
        <f>AG83&amp;IF(CP83="","","
")&amp;CP83&amp;IF(CI83="","","
")&amp;CI83&amp;IF(DN83="","","
")&amp;DN83&amp;IF(DP83="","","
")&amp;DP83&amp;IF(EV83="","","
")&amp;EV83&amp;IF(EX83="","","
")&amp;EX83</f>
        <v xml:space="preserve">
INSERT INTO rezultat(id,stazakategorija_id,imeprezime_id,vrijeme_sec,status_id,registracija,uparivanje_id,originalstatus_id,imeprezimealias_id,klubalias_id,kategorijaalias_id) VALUES (253,28,1310,4528,1,1,1,0,Null,Null,Null);
UPDATE
	registar
SET
	potvrda = 1
WHERE
	imeprezime_id=1310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3" s="47" t="s">
        <v>0</v>
      </c>
    </row>
    <row r="84" spans="1:157" x14ac:dyDescent="0.25">
      <c r="A84" t="s">
        <v>0</v>
      </c>
      <c r="B84" s="52" t="str">
        <f>IF(csv!F74="","",csv!T74)</f>
        <v>M21B</v>
      </c>
      <c r="C84" s="31" t="s">
        <v>0</v>
      </c>
      <c r="D84" s="31" t="str">
        <f>IF(csv!F74="","",csv!F74)</f>
        <v>Tihomir</v>
      </c>
      <c r="E84" s="31" t="str">
        <f>IF(csv!E74="","",csv!E74)</f>
        <v>Klement</v>
      </c>
      <c r="F84" s="31" t="s">
        <v>0</v>
      </c>
      <c r="G84" s="73" t="str">
        <f>IF(csv!M74="","",csv!M74)</f>
        <v>85:50</v>
      </c>
      <c r="H84" s="73" t="str">
        <f>IF(csv!N74="","",csv!N74)</f>
        <v>0</v>
      </c>
      <c r="I84" s="31" t="s">
        <v>0</v>
      </c>
      <c r="J84" s="31" t="str">
        <f>IF(csv!P74="","",csv!P74)</f>
        <v>Vihor</v>
      </c>
      <c r="K84" s="31" t="str">
        <f>IF(csv!Q74="","",csv!Q74)</f>
        <v>OK Vihor</v>
      </c>
      <c r="L84" s="31" t="s">
        <v>0</v>
      </c>
      <c r="M84" s="66" t="str">
        <f>IF(csv!R74="","",csv!R74)</f>
        <v>CRO</v>
      </c>
      <c r="N84" s="47" t="s">
        <v>0</v>
      </c>
      <c r="O84" s="243" t="str">
        <f t="shared" si="95"/>
        <v>ok</v>
      </c>
      <c r="P84" s="47"/>
      <c r="Q84" s="52" t="str">
        <f t="shared" si="96"/>
        <v>M21B</v>
      </c>
      <c r="R84" s="73">
        <f>IF(Q84="","",IF(COUNTIF(Q$12:Q83,Q84)=0,R83+1,R83))</f>
        <v>6</v>
      </c>
      <c r="S84" s="73">
        <f t="shared" si="97"/>
        <v>108</v>
      </c>
      <c r="T84" s="73">
        <f t="shared" si="72"/>
        <v>19</v>
      </c>
      <c r="U84" s="66" t="str">
        <f t="shared" si="73"/>
        <v>M21B – M16</v>
      </c>
      <c r="V84" s="47" t="s">
        <v>0</v>
      </c>
      <c r="W84" s="222" t="str">
        <f t="shared" si="74"/>
        <v>M21B</v>
      </c>
      <c r="X84" s="223">
        <f t="shared" si="75"/>
        <v>28</v>
      </c>
      <c r="Y84" s="47" t="s">
        <v>0</v>
      </c>
      <c r="Z84" s="52" t="str">
        <f t="shared" si="98"/>
        <v>CRO</v>
      </c>
      <c r="AA84" s="73">
        <f t="shared" si="76"/>
        <v>1</v>
      </c>
      <c r="AB84" s="31" t="str">
        <f t="shared" si="99"/>
        <v/>
      </c>
      <c r="AC84" s="66" t="str">
        <f>IF(AB84="","",MAX(AC$12:AC83)+1)</f>
        <v/>
      </c>
      <c r="AD84" s="47" t="s">
        <v>0</v>
      </c>
      <c r="AE84" s="125"/>
      <c r="AF84" s="47" t="s">
        <v>0</v>
      </c>
      <c r="AG84" s="19" t="str">
        <f t="shared" si="100"/>
        <v/>
      </c>
      <c r="AH84" s="47" t="s">
        <v>0</v>
      </c>
      <c r="AI84" s="143" t="str">
        <f t="shared" si="101"/>
        <v>CRO</v>
      </c>
      <c r="AJ84" s="47"/>
      <c r="AK84" s="52" t="str">
        <f t="shared" si="102"/>
        <v>Tihomir</v>
      </c>
      <c r="AL84" s="31" t="str">
        <f t="shared" si="103"/>
        <v>Klement</v>
      </c>
      <c r="AM84" s="73">
        <f t="shared" si="104"/>
        <v>1922</v>
      </c>
      <c r="AN84" s="73" t="str">
        <f t="shared" si="105"/>
        <v/>
      </c>
      <c r="AO84" s="31" t="str">
        <f t="shared" si="77"/>
        <v>Tihomir</v>
      </c>
      <c r="AP84" s="66" t="str">
        <f t="shared" si="78"/>
        <v>Klement</v>
      </c>
      <c r="AQ84" s="47" t="s">
        <v>0</v>
      </c>
      <c r="AR84" s="82" t="str">
        <f t="shared" si="106"/>
        <v/>
      </c>
      <c r="AS84" s="47" t="s">
        <v>0</v>
      </c>
      <c r="AT84" s="19" t="str">
        <f t="shared" si="107"/>
        <v/>
      </c>
      <c r="AU84" s="47" t="s">
        <v>0</v>
      </c>
      <c r="AV84" s="103"/>
      <c r="AW84" s="105"/>
      <c r="AX84" s="47" t="s">
        <v>0</v>
      </c>
      <c r="AY84" s="256" t="str">
        <f t="shared" si="68"/>
        <v/>
      </c>
      <c r="AZ84" s="47" t="s">
        <v>0</v>
      </c>
      <c r="BA84" s="52" t="str">
        <f t="shared" si="79"/>
        <v/>
      </c>
      <c r="BB84" s="73" t="str">
        <f>IF(AV84&amp;AW84="","",MAX(BB$12:BB83)+1)</f>
        <v/>
      </c>
      <c r="BC84" s="268" t="str">
        <f t="shared" si="80"/>
        <v/>
      </c>
      <c r="BD84" s="53" t="str">
        <f>IF(AND(AM84="NEMA",AN84="NEMA",OR(AV84&amp;AW84="",BC84="NEMA")),MAX(BD$12:BD83)+1,"")</f>
        <v/>
      </c>
      <c r="BE84" s="47" t="s">
        <v>0</v>
      </c>
      <c r="BF84" s="52" t="str">
        <f t="shared" si="81"/>
        <v>Tihomir</v>
      </c>
      <c r="BG84" s="31" t="str">
        <f t="shared" si="82"/>
        <v>Klement</v>
      </c>
      <c r="BH84" s="73" t="str">
        <f t="shared" si="108"/>
        <v/>
      </c>
      <c r="BI84" s="53">
        <f t="shared" si="109"/>
        <v>1922</v>
      </c>
      <c r="BJ84" s="47" t="s">
        <v>0</v>
      </c>
      <c r="BK84" s="52" t="str">
        <f t="shared" si="83"/>
        <v>Vihor</v>
      </c>
      <c r="BL84" s="31" t="str">
        <f t="shared" si="84"/>
        <v>OK Vihor</v>
      </c>
      <c r="BM84" s="73">
        <f t="shared" si="85"/>
        <v>12</v>
      </c>
      <c r="BN84" s="73" t="str">
        <f t="shared" si="86"/>
        <v/>
      </c>
      <c r="BO84" s="31" t="str" cm="1">
        <f t="array" ref="BO84">IF(BN84="",""&amp;BL84,IF(BN84="NEMA",BL84,INDEX(regKlub_naziv,MATCH(INDEX(regKlub_alias_klubId,BN84),regKlub_id,0))))</f>
        <v>OK Vihor</v>
      </c>
      <c r="BP84" s="31" t="str" cm="1">
        <f t="array" ref="BP84">IFERROR(""&amp;INDEX(regNatjecatelj_klub,DY84),"")</f>
        <v>OK Vihor</v>
      </c>
      <c r="BQ84" s="88" t="str">
        <f t="shared" si="110"/>
        <v/>
      </c>
      <c r="BR84" s="66" t="str">
        <f t="shared" si="111"/>
        <v>OK Vihor</v>
      </c>
      <c r="BS84" s="47" t="s">
        <v>0</v>
      </c>
      <c r="BT84" s="82" t="str">
        <f>IF(BN84&lt;&gt;"NEMA","",IF(IFERROR(MATCH(BL84,BL$12:BL83,0),0)&lt;&gt;0,"",BL84))</f>
        <v/>
      </c>
      <c r="BU84" s="47" t="s">
        <v>0</v>
      </c>
      <c r="BV84" s="125"/>
      <c r="BW84" s="47" t="s">
        <v>0</v>
      </c>
      <c r="BX84" s="58" t="str">
        <f t="shared" si="112"/>
        <v/>
      </c>
      <c r="BY84" s="31" t="str">
        <f t="shared" si="113"/>
        <v/>
      </c>
      <c r="BZ84" s="31" t="str">
        <f>IF(BY84="","",MAX(BZ$12:BZ83)+1)</f>
        <v/>
      </c>
      <c r="CA84" s="31" t="str">
        <f>IF(BY84="","",IF(AA84="","",IF(AA84="NEMA",AC84,AA84)))</f>
        <v/>
      </c>
      <c r="CB84" s="31" t="str">
        <f t="shared" si="114"/>
        <v/>
      </c>
      <c r="CC84" s="31" t="str">
        <f>IF(BV84="","",MAX(CC$12:CC83)+1)</f>
        <v/>
      </c>
      <c r="CD84" s="31" t="str">
        <f t="shared" si="115"/>
        <v/>
      </c>
      <c r="CE84" s="66" t="str">
        <f t="shared" si="116"/>
        <v/>
      </c>
      <c r="CF84" s="47" t="s">
        <v>0</v>
      </c>
      <c r="CG84" s="73" t="str">
        <f>IF(BN84="","",IF(BN84&lt;&gt;"NEMA","",IFERROR(INDEX(nat_klubAliasId,MATCH(BL84,nat_noviKluboviAliasi,0)),"")))</f>
        <v/>
      </c>
      <c r="CH84" s="47"/>
      <c r="CI84" s="19" t="str">
        <f t="shared" si="117"/>
        <v/>
      </c>
      <c r="CJ84" s="47" t="s">
        <v>0</v>
      </c>
      <c r="CK84" s="52" t="str">
        <f>IF(X84&lt;&gt;"NEMA","",IF(IFERROR(MATCH(W84,W$12:W83,0),0)&lt;&gt;0,"",W84))</f>
        <v/>
      </c>
      <c r="CL84" s="73" t="str">
        <f>IF(CK84="","",IFERROR(INDEX(regKlub_alias_id,MATCH(CK84,regKlub_alias_alias,0)),"NEMA"))</f>
        <v/>
      </c>
      <c r="CM84" s="31" t="str">
        <f>IF(OR(CL84="",CL84&lt;&gt;"NEMA"),"",MAX(CM$12:CM83)+1)</f>
        <v/>
      </c>
      <c r="CN84" s="66" t="str">
        <f>IF(OR(CL84="",CL84&lt;&gt;"NEMA"),"",INDEX(regKlub_id,MATCH(CK84,regKlub_naziv,0)))</f>
        <v/>
      </c>
      <c r="CO84" s="47" t="s">
        <v>0</v>
      </c>
      <c r="CP84" s="19" t="str">
        <f>IF(OR(CL84="",CL84&lt;&gt;"NEMA"),"","INSERT INTO klub_alias(id,alias,klub_id) VALUES ("&amp;CM84&amp;",'"&amp;CK84&amp;"',"&amp;CN84&amp;");")</f>
        <v/>
      </c>
      <c r="CQ84" s="47" t="s">
        <v>0</v>
      </c>
      <c r="CR84" s="143" t="str">
        <f>IF(BR84="","",IF(BV84="",IF(IFERROR(MATCH(BR84,nat_noviKluboviAliasi,0),0)&gt;0,INDEX(nat_kluboviAliasi,MATCH(BR84,nat_noviKluboviAliasi,0)),BR84),BV84))</f>
        <v>OK Vihor</v>
      </c>
      <c r="CS84" s="47" t="s">
        <v>0</v>
      </c>
      <c r="CT84" s="58" t="str">
        <f>IF(G84="","",G84)</f>
        <v>85:50</v>
      </c>
      <c r="CU84" s="73" t="str">
        <f>IF(H84="","",H84)</f>
        <v>0</v>
      </c>
      <c r="CV84" s="229" t="str">
        <f>IF(CT84="",IF(OR(AL84="",CU84&lt;&gt;"0"),"","GREŠKA"),IF(AND(65535&gt;=VALUE(LEFT(CT84,SEARCH(":",CT84)-1))*60+VALUE(RIGHT(CT84,2)),OR(CU84="0",CU84="1",CU84="2",CU84="3",CU84="4")),"","GREŠKA"))</f>
        <v/>
      </c>
      <c r="CW84" s="230">
        <f t="shared" si="71"/>
        <v>5150</v>
      </c>
      <c r="CX84" s="163">
        <f t="shared" si="87"/>
        <v>1</v>
      </c>
      <c r="CY84" s="47" t="s">
        <v>0</v>
      </c>
      <c r="CZ84" s="222" t="str">
        <f>IF(CV84&lt;&gt;"GREŠKA","",AK84&amp;" "&amp;AL84&amp;" – Molim u OEventu provjeriti i ispraviti rezultat – vrijeme ("&amp;IF(CT84="","nije upisano",CT84)&amp;") i classifier ("&amp;CU84&amp;").")&amp;IF(OR(CV84&lt;&gt;"GREŠKA",CX84&lt;&gt;5),"
","")&amp;IF(CX84&lt;&gt;5,"",AK84&amp;" "&amp;AL84&amp;" – Molim u provjeriti je li natjecatelj zaista diskvalificiran. Ako je koje je obrazloženje, ako nije molim u OEventu ispraviti rezultat")</f>
        <v xml:space="preserve">
</v>
      </c>
      <c r="DA84" s="223">
        <f t="shared" si="118"/>
        <v>6</v>
      </c>
      <c r="DB84" s="47" t="s">
        <v>0</v>
      </c>
      <c r="DC84" s="47"/>
      <c r="DD84" s="47"/>
      <c r="DE84" s="47"/>
      <c r="DF84" s="47" t="s">
        <v>0</v>
      </c>
      <c r="DG84" s="53" t="str">
        <f>IF(BD84="","",IF(DI84="O",1,""))</f>
        <v/>
      </c>
      <c r="DH84" t="s">
        <v>0</v>
      </c>
      <c r="DI84" s="128" t="str">
        <f>IF(Q84="","",LEFT(INDEX(regKategorija_oznaka,MATCH(S84,regKategorija_id,0)),1))</f>
        <v>M</v>
      </c>
      <c r="DJ84" t="s">
        <v>0</v>
      </c>
      <c r="DK84" s="52" t="str">
        <f>IF(BD84="","",IF(M84&lt;&gt;"CRO","","INSERT INTO osoba (id,reg_broj,oib,spol_id,dat_rodjenja) VALUES ("&amp;BD84&amp;",(SELECT max(os.reg_broj)+1 FROM osoba AS os),Null,'"&amp;DI84&amp;"',Null); INSERT INTO osoba_log (id,reg_broj,oib,spol_id,dat_rodjenja,dnevnik_id) SELECT id,reg_broj,oib,spol_id,dat_rodjenja,"&amp;data_dnevnik_id&amp;" FROM osoba WHERE id = "&amp;BD84&amp;";"))</f>
        <v/>
      </c>
      <c r="DL84" s="66" t="str">
        <f>IF(BD84="","","INSERT INTO imeprezime (id,osoba_id,rbr,ime,prezime,klub_id,identitet_id,sintaksa_id,info,aktivno,dnevnik_id) VALUES ("&amp;BD84&amp;","&amp;IF(DK84="","Null",BD84)&amp;",1,'"&amp;IF(AV84&lt;&gt;"",AV84,AK84)&amp;"','"&amp;IF(AW84&lt;&gt;"",AW84,AL84)&amp;"',(SELECT id FROM klub WHERE naziv = '"&amp;CR84&amp;"'),Null,1,'',1,"&amp;data_dnevnik_id&amp;");")</f>
        <v/>
      </c>
      <c r="DM84" t="s">
        <v>0</v>
      </c>
      <c r="DN84" s="19" t="str">
        <f t="shared" si="69"/>
        <v/>
      </c>
      <c r="DO84" s="47" t="s">
        <v>0</v>
      </c>
      <c r="DP84" s="19" t="str">
        <f>IF(BA84="","","INSERT INTO imeprezime_alias(id,alias,imeprezime_id) VALUES ("&amp;BB84&amp;",'"&amp;BA84&amp;"',"&amp;IF(BC84="NEMA",BD84,BC84)&amp;");")</f>
        <v/>
      </c>
      <c r="DQ84" s="47" t="s">
        <v>0</v>
      </c>
      <c r="DR84" s="52" t="str">
        <f>IF(AL84="","",DU84 &amp; IF(Q84="",""," – " &amp; Q84))</f>
        <v>Tihomir – Klement – OK Vihor – M21B</v>
      </c>
      <c r="DS84" s="53">
        <f t="shared" si="88"/>
        <v>738</v>
      </c>
      <c r="DT84" s="47" t="s">
        <v>0</v>
      </c>
      <c r="DU84" s="52" t="str">
        <f>IF(AL84="","",DX84 &amp; IF(CR84="",""," – " &amp; CR84))</f>
        <v>Tihomir – Klement – OK Vihor</v>
      </c>
      <c r="DV84" s="53">
        <f t="shared" si="89"/>
        <v>738</v>
      </c>
      <c r="DW84" s="47" t="s">
        <v>0</v>
      </c>
      <c r="DX84" s="52" t="str">
        <f>IF(BG84="","",BF84&amp;" – "&amp;BG84)</f>
        <v>Tihomir – Klement</v>
      </c>
      <c r="DY84" s="53">
        <f t="shared" si="90"/>
        <v>738</v>
      </c>
      <c r="DZ84" s="47" t="s">
        <v>0</v>
      </c>
      <c r="EA84" s="58">
        <f t="shared" si="119"/>
        <v>738</v>
      </c>
      <c r="EB84" s="53" cm="1">
        <f t="array" ref="EB84">IF(EA84&lt;&gt;"",INDEX(regNatjecatelj_id,EA84,0),IF(BD84&lt;&gt;"",BD84,""))</f>
        <v>1922</v>
      </c>
      <c r="EC84" s="47" t="s">
        <v>0</v>
      </c>
      <c r="ED84" s="58" t="str">
        <f>IF(AL84="","",IF(BD84&lt;&gt;"","novo",IF(AN84="","imepre","imepre(ali)")))</f>
        <v>imepre</v>
      </c>
      <c r="EE84" s="73" t="str">
        <f>IF(AL84="","",IF(BL84="",IF(IFERROR(INDEX(regNatjecatelj_klub,MATCH(EB84,regNatjecatelj_id,0)),"NEMA")="","klu",""),IF(OR(AND(BN84&lt;&gt;"",BN84&lt;&gt;"NEMA"),CD84&lt;&gt;""),"klu(ali)",IF(AND(BP84&lt;&gt;"",BP84&lt;&gt;BO84),"(raz-klu)","klu"))))</f>
        <v>klu</v>
      </c>
      <c r="EF84" s="73" t="str">
        <f>IF(AL84="","","kat"&amp;IF(AND(W84&lt;&gt;Q84,Q84&lt;&gt;"Open"),"(ali)",""))</f>
        <v>kat</v>
      </c>
      <c r="EG84" s="73" t="str">
        <f t="shared" si="91"/>
        <v/>
      </c>
      <c r="EH84" s="66" t="str">
        <f>IF(AL84="","",ED84&amp;IF(ED84="novo","","-"&amp;EE84&amp;"-"&amp;EF84)&amp;IF(EG84="","","-"&amp;EG84))</f>
        <v>imepre-klu-kat</v>
      </c>
      <c r="EI84" s="47" t="s">
        <v>0</v>
      </c>
      <c r="EJ84" s="58">
        <f>IF(AL84="","",MAX(EJ$12:EJ83)+1)</f>
        <v>254</v>
      </c>
      <c r="EK84" s="73">
        <f>IF(AO84="","",X84)</f>
        <v>28</v>
      </c>
      <c r="EL84" s="73">
        <f t="shared" si="120"/>
        <v>1922</v>
      </c>
      <c r="EM84" s="73">
        <f t="shared" si="92"/>
        <v>5150</v>
      </c>
      <c r="EN84" s="73">
        <f t="shared" si="93"/>
        <v>1</v>
      </c>
      <c r="EO84" s="73">
        <f t="shared" si="121"/>
        <v>1</v>
      </c>
      <c r="EP84" s="73">
        <f t="shared" si="122"/>
        <v>1</v>
      </c>
      <c r="EQ84" s="73" t="str">
        <f t="shared" si="94"/>
        <v>0</v>
      </c>
      <c r="ER84" s="73" t="str">
        <f>IF(OR(AN84="",AN84="NEMA"),BB84,AN84)</f>
        <v/>
      </c>
      <c r="ES84" s="73" t="str">
        <f>IF(AND(BN84&lt;&gt;"",BN84&lt;&gt;"NEMA"),BN84,IF(CG84&lt;&gt;"",CG84,IF(AND(CL84&lt;&gt;"",CL84&lt;&gt;"NEMA"),CL84,IF(CM84&lt;&gt;"",CM84,""))))</f>
        <v/>
      </c>
      <c r="ET84" s="53" t="str">
        <f>IF(INDEX(natKategorija_alias_Id,MATCH(S84,natKategorija_katRegId,0))="","",INDEX(natKategorija_alias_Id,MATCH(S84,natKategorija_katRegId,0)))</f>
        <v/>
      </c>
      <c r="EU84" s="47" t="s">
        <v>0</v>
      </c>
      <c r="EV84" s="19" t="str">
        <f t="shared" si="123"/>
        <v>INSERT INTO rezultat(id,stazakategorija_id,imeprezime_id,vrijeme_sec,status_id,registracija,uparivanje_id,originalstatus_id,imeprezimealias_id,klubalias_id,kategorijaalias_id) VALUES (254,28,1922,5150,1,1,1,0,Null,Null,Null);</v>
      </c>
      <c r="EW84" s="47" t="s">
        <v>0</v>
      </c>
      <c r="EX84" s="19" t="str">
        <f t="shared" si="124"/>
        <v>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4" s="47" t="s">
        <v>0</v>
      </c>
      <c r="EZ84" s="180" t="str">
        <f>AG84&amp;IF(CP84="","","
")&amp;CP84&amp;IF(CI84="","","
")&amp;CI84&amp;IF(DN84="","","
")&amp;DN84&amp;IF(DP84="","","
")&amp;DP84&amp;IF(EV84="","","
")&amp;EV84&amp;IF(EX84="","","
")&amp;EX84</f>
        <v xml:space="preserve">
INSERT INTO rezultat(id,stazakategorija_id,imeprezime_id,vrijeme_sec,status_id,registracija,uparivanje_id,originalstatus_id,imeprezimealias_id,klubalias_id,kategorijaalias_id) VALUES (254,28,1922,5150,1,1,1,0,Null,Null,Null);
UPDATE
	registar
SET
	potvrda = 1
WHERE
	imeprezime_id=1922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4" s="47" t="s">
        <v>0</v>
      </c>
    </row>
    <row r="85" spans="1:157" x14ac:dyDescent="0.25">
      <c r="A85" t="s">
        <v>0</v>
      </c>
      <c r="B85" s="52" t="str">
        <f>IF(csv!F75="","",csv!T75)</f>
        <v>M21B</v>
      </c>
      <c r="C85" s="31" t="s">
        <v>0</v>
      </c>
      <c r="D85" s="31" t="str">
        <f>IF(csv!F75="","",csv!F75)</f>
        <v>Željko</v>
      </c>
      <c r="E85" s="31" t="str">
        <f>IF(csv!E75="","",csv!E75)</f>
        <v>Valjak</v>
      </c>
      <c r="F85" s="31" t="s">
        <v>0</v>
      </c>
      <c r="G85" s="73" t="str">
        <f>IF(csv!M75="","",csv!M75)</f>
        <v>86:08</v>
      </c>
      <c r="H85" s="73" t="str">
        <f>IF(csv!N75="","",csv!N75)</f>
        <v>0</v>
      </c>
      <c r="I85" s="31" t="s">
        <v>0</v>
      </c>
      <c r="J85" s="31" t="str">
        <f>IF(csv!P75="","",csv!P75)</f>
        <v>Vihor</v>
      </c>
      <c r="K85" s="31" t="str">
        <f>IF(csv!Q75="","",csv!Q75)</f>
        <v>OK Vihor</v>
      </c>
      <c r="L85" s="31" t="s">
        <v>0</v>
      </c>
      <c r="M85" s="66" t="str">
        <f>IF(csv!R75="","",csv!R75)</f>
        <v>CRO</v>
      </c>
      <c r="N85" s="47" t="s">
        <v>0</v>
      </c>
      <c r="O85" s="243" t="str">
        <f t="shared" si="95"/>
        <v>ok</v>
      </c>
      <c r="P85" s="47"/>
      <c r="Q85" s="52" t="str">
        <f t="shared" si="96"/>
        <v>M21B</v>
      </c>
      <c r="R85" s="73">
        <f>IF(Q85="","",IF(COUNTIF(Q$12:Q84,Q85)=0,R84+1,R84))</f>
        <v>6</v>
      </c>
      <c r="S85" s="73">
        <f t="shared" si="97"/>
        <v>108</v>
      </c>
      <c r="T85" s="73">
        <f t="shared" si="72"/>
        <v>19</v>
      </c>
      <c r="U85" s="66" t="str">
        <f t="shared" si="73"/>
        <v>M21B – M16</v>
      </c>
      <c r="V85" s="47" t="s">
        <v>0</v>
      </c>
      <c r="W85" s="222" t="str">
        <f t="shared" si="74"/>
        <v>M21B</v>
      </c>
      <c r="X85" s="223">
        <f t="shared" si="75"/>
        <v>28</v>
      </c>
      <c r="Y85" s="47" t="s">
        <v>0</v>
      </c>
      <c r="Z85" s="52" t="str">
        <f t="shared" si="98"/>
        <v>CRO</v>
      </c>
      <c r="AA85" s="73">
        <f t="shared" si="76"/>
        <v>1</v>
      </c>
      <c r="AB85" s="31" t="str">
        <f t="shared" si="99"/>
        <v/>
      </c>
      <c r="AC85" s="66" t="str">
        <f>IF(AB85="","",MAX(AC$12:AC84)+1)</f>
        <v/>
      </c>
      <c r="AD85" s="47" t="s">
        <v>0</v>
      </c>
      <c r="AE85" s="125"/>
      <c r="AF85" s="47" t="s">
        <v>0</v>
      </c>
      <c r="AG85" s="19" t="str">
        <f t="shared" si="100"/>
        <v/>
      </c>
      <c r="AH85" s="47" t="s">
        <v>0</v>
      </c>
      <c r="AI85" s="143" t="str">
        <f t="shared" si="101"/>
        <v>CRO</v>
      </c>
      <c r="AJ85" s="47"/>
      <c r="AK85" s="52" t="str">
        <f t="shared" si="102"/>
        <v>Željko</v>
      </c>
      <c r="AL85" s="31" t="str">
        <f t="shared" si="103"/>
        <v>Valjak</v>
      </c>
      <c r="AM85" s="73">
        <f t="shared" si="104"/>
        <v>1907</v>
      </c>
      <c r="AN85" s="73" t="str">
        <f t="shared" si="105"/>
        <v/>
      </c>
      <c r="AO85" s="31" t="str">
        <f t="shared" si="77"/>
        <v>Željko</v>
      </c>
      <c r="AP85" s="66" t="str">
        <f t="shared" si="78"/>
        <v>Valjak</v>
      </c>
      <c r="AQ85" s="47" t="s">
        <v>0</v>
      </c>
      <c r="AR85" s="82" t="str">
        <f t="shared" si="106"/>
        <v/>
      </c>
      <c r="AS85" s="47" t="s">
        <v>0</v>
      </c>
      <c r="AT85" s="19" t="str">
        <f t="shared" si="107"/>
        <v/>
      </c>
      <c r="AU85" s="47" t="s">
        <v>0</v>
      </c>
      <c r="AV85" s="103"/>
      <c r="AW85" s="105"/>
      <c r="AX85" s="47" t="s">
        <v>0</v>
      </c>
      <c r="AY85" s="256" t="str">
        <f t="shared" ref="AY85:AY148" si="125">IF(AND(AV85="",AW85&lt;&gt;""),"FALI IME",IF(AND(AV85&lt;&gt;"",AW85=""),"FALI PREZIME",IF(OR(AM85="",AND(AM85="NEMA",AN85="NEMA"),AV85&amp;AW85=""),"","GREŠKA")))</f>
        <v/>
      </c>
      <c r="AZ85" s="47" t="s">
        <v>0</v>
      </c>
      <c r="BA85" s="52" t="str">
        <f t="shared" si="79"/>
        <v/>
      </c>
      <c r="BB85" s="73" t="str">
        <f>IF(AV85&amp;AW85="","",MAX(BB$12:BB84)+1)</f>
        <v/>
      </c>
      <c r="BC85" s="268" t="str">
        <f t="shared" si="80"/>
        <v/>
      </c>
      <c r="BD85" s="53" t="str">
        <f>IF(AND(AM85="NEMA",AN85="NEMA",OR(AV85&amp;AW85="",BC85="NEMA")),MAX(BD$12:BD84)+1,"")</f>
        <v/>
      </c>
      <c r="BE85" s="47" t="s">
        <v>0</v>
      </c>
      <c r="BF85" s="52" t="str">
        <f t="shared" si="81"/>
        <v>Željko</v>
      </c>
      <c r="BG85" s="31" t="str">
        <f t="shared" si="82"/>
        <v>Valjak</v>
      </c>
      <c r="BH85" s="73" t="str">
        <f t="shared" si="108"/>
        <v/>
      </c>
      <c r="BI85" s="53">
        <f t="shared" si="109"/>
        <v>1907</v>
      </c>
      <c r="BJ85" s="47" t="s">
        <v>0</v>
      </c>
      <c r="BK85" s="52" t="str">
        <f t="shared" si="83"/>
        <v>Vihor</v>
      </c>
      <c r="BL85" s="31" t="str">
        <f t="shared" si="84"/>
        <v>OK Vihor</v>
      </c>
      <c r="BM85" s="73">
        <f t="shared" si="85"/>
        <v>12</v>
      </c>
      <c r="BN85" s="73" t="str">
        <f t="shared" si="86"/>
        <v/>
      </c>
      <c r="BO85" s="31" t="str" cm="1">
        <f t="array" ref="BO85">IF(BN85="",""&amp;BL85,IF(BN85="NEMA",BL85,INDEX(regKlub_naziv,MATCH(INDEX(regKlub_alias_klubId,BN85),regKlub_id,0))))</f>
        <v>OK Vihor</v>
      </c>
      <c r="BP85" s="31" t="str" cm="1">
        <f t="array" ref="BP85">IFERROR(""&amp;INDEX(regNatjecatelj_klub,DY85),"")</f>
        <v>OK Vihor</v>
      </c>
      <c r="BQ85" s="88" t="str">
        <f t="shared" si="110"/>
        <v/>
      </c>
      <c r="BR85" s="66" t="str">
        <f t="shared" si="111"/>
        <v>OK Vihor</v>
      </c>
      <c r="BS85" s="47" t="s">
        <v>0</v>
      </c>
      <c r="BT85" s="82" t="str">
        <f>IF(BN85&lt;&gt;"NEMA","",IF(IFERROR(MATCH(BL85,BL$12:BL84,0),0)&lt;&gt;0,"",BL85))</f>
        <v/>
      </c>
      <c r="BU85" s="47" t="s">
        <v>0</v>
      </c>
      <c r="BV85" s="125"/>
      <c r="BW85" s="47" t="s">
        <v>0</v>
      </c>
      <c r="BX85" s="58" t="str">
        <f t="shared" si="112"/>
        <v/>
      </c>
      <c r="BY85" s="31" t="str">
        <f t="shared" si="113"/>
        <v/>
      </c>
      <c r="BZ85" s="31" t="str">
        <f>IF(BY85="","",MAX(BZ$12:BZ84)+1)</f>
        <v/>
      </c>
      <c r="CA85" s="31" t="str">
        <f>IF(BY85="","",IF(AA85="","",IF(AA85="NEMA",AC85,AA85)))</f>
        <v/>
      </c>
      <c r="CB85" s="31" t="str">
        <f t="shared" si="114"/>
        <v/>
      </c>
      <c r="CC85" s="31" t="str">
        <f>IF(BV85="","",MAX(CC$12:CC84)+1)</f>
        <v/>
      </c>
      <c r="CD85" s="31" t="str">
        <f t="shared" si="115"/>
        <v/>
      </c>
      <c r="CE85" s="66" t="str">
        <f t="shared" si="116"/>
        <v/>
      </c>
      <c r="CF85" s="47" t="s">
        <v>0</v>
      </c>
      <c r="CG85" s="73" t="str">
        <f>IF(BN85="","",IF(BN85&lt;&gt;"NEMA","",IFERROR(INDEX(nat_klubAliasId,MATCH(BL85,nat_noviKluboviAliasi,0)),"")))</f>
        <v/>
      </c>
      <c r="CH85" s="47"/>
      <c r="CI85" s="19" t="str">
        <f t="shared" si="117"/>
        <v/>
      </c>
      <c r="CJ85" s="47" t="s">
        <v>0</v>
      </c>
      <c r="CK85" s="52" t="str">
        <f>IF(X85&lt;&gt;"NEMA","",IF(IFERROR(MATCH(W85,W$12:W84,0),0)&lt;&gt;0,"",W85))</f>
        <v/>
      </c>
      <c r="CL85" s="73" t="str">
        <f>IF(CK85="","",IFERROR(INDEX(regKlub_alias_id,MATCH(CK85,regKlub_alias_alias,0)),"NEMA"))</f>
        <v/>
      </c>
      <c r="CM85" s="31" t="str">
        <f>IF(OR(CL85="",CL85&lt;&gt;"NEMA"),"",MAX(CM$12:CM84)+1)</f>
        <v/>
      </c>
      <c r="CN85" s="66" t="str">
        <f>IF(OR(CL85="",CL85&lt;&gt;"NEMA"),"",INDEX(regKlub_id,MATCH(CK85,regKlub_naziv,0)))</f>
        <v/>
      </c>
      <c r="CO85" s="47" t="s">
        <v>0</v>
      </c>
      <c r="CP85" s="19" t="str">
        <f>IF(OR(CL85="",CL85&lt;&gt;"NEMA"),"","INSERT INTO klub_alias(id,alias,klub_id) VALUES ("&amp;CM85&amp;",'"&amp;CK85&amp;"',"&amp;CN85&amp;");")</f>
        <v/>
      </c>
      <c r="CQ85" s="47" t="s">
        <v>0</v>
      </c>
      <c r="CR85" s="143" t="str">
        <f>IF(BR85="","",IF(BV85="",IF(IFERROR(MATCH(BR85,nat_noviKluboviAliasi,0),0)&gt;0,INDEX(nat_kluboviAliasi,MATCH(BR85,nat_noviKluboviAliasi,0)),BR85),BV85))</f>
        <v>OK Vihor</v>
      </c>
      <c r="CS85" s="47" t="s">
        <v>0</v>
      </c>
      <c r="CT85" s="58" t="str">
        <f>IF(G85="","",G85)</f>
        <v>86:08</v>
      </c>
      <c r="CU85" s="73" t="str">
        <f>IF(H85="","",H85)</f>
        <v>0</v>
      </c>
      <c r="CV85" s="229" t="str">
        <f>IF(CT85="",IF(OR(AL85="",CU85&lt;&gt;"0"),"","GREŠKA"),IF(AND(65535&gt;=VALUE(LEFT(CT85,SEARCH(":",CT85)-1))*60+VALUE(RIGHT(CT85,2)),OR(CU85="0",CU85="1",CU85="2",CU85="3",CU85="4")),"","GREŠKA"))</f>
        <v/>
      </c>
      <c r="CW85" s="230">
        <f t="shared" si="71"/>
        <v>5168</v>
      </c>
      <c r="CX85" s="163">
        <f t="shared" si="87"/>
        <v>1</v>
      </c>
      <c r="CY85" s="47" t="s">
        <v>0</v>
      </c>
      <c r="CZ85" s="222" t="str">
        <f>IF(CV85&lt;&gt;"GREŠKA","",AK85&amp;" "&amp;AL85&amp;" – Molim u OEventu provjeriti i ispraviti rezultat – vrijeme ("&amp;IF(CT85="","nije upisano",CT85)&amp;") i classifier ("&amp;CU85&amp;").")&amp;IF(OR(CV85&lt;&gt;"GREŠKA",CX85&lt;&gt;5),"
","")&amp;IF(CX85&lt;&gt;5,"",AK85&amp;" "&amp;AL85&amp;" – Molim u provjeriti je li natjecatelj zaista diskvalificiran. Ako je koje je obrazloženje, ako nije molim u OEventu ispraviti rezultat")</f>
        <v xml:space="preserve">
</v>
      </c>
      <c r="DA85" s="223">
        <f t="shared" si="118"/>
        <v>6</v>
      </c>
      <c r="DB85" s="47" t="s">
        <v>0</v>
      </c>
      <c r="DC85" s="47"/>
      <c r="DD85" s="47"/>
      <c r="DE85" s="47"/>
      <c r="DF85" s="47" t="s">
        <v>0</v>
      </c>
      <c r="DG85" s="53" t="str">
        <f>IF(BD85="","",IF(DI85="O",1,""))</f>
        <v/>
      </c>
      <c r="DH85" t="s">
        <v>0</v>
      </c>
      <c r="DI85" s="128" t="str">
        <f>IF(Q85="","",LEFT(INDEX(regKategorija_oznaka,MATCH(S85,regKategorija_id,0)),1))</f>
        <v>M</v>
      </c>
      <c r="DJ85" t="s">
        <v>0</v>
      </c>
      <c r="DK85" s="52" t="str">
        <f>IF(BD85="","",IF(M85&lt;&gt;"CRO","","INSERT INTO osoba (id,reg_broj,oib,spol_id,dat_rodjenja) VALUES ("&amp;BD85&amp;",(SELECT max(os.reg_broj)+1 FROM osoba AS os),Null,'"&amp;DI85&amp;"',Null); INSERT INTO osoba_log (id,reg_broj,oib,spol_id,dat_rodjenja,dnevnik_id) SELECT id,reg_broj,oib,spol_id,dat_rodjenja,"&amp;data_dnevnik_id&amp;" FROM osoba WHERE id = "&amp;BD85&amp;";"))</f>
        <v/>
      </c>
      <c r="DL85" s="66" t="str">
        <f>IF(BD85="","","INSERT INTO imeprezime (id,osoba_id,rbr,ime,prezime,klub_id,identitet_id,sintaksa_id,info,aktivno,dnevnik_id) VALUES ("&amp;BD85&amp;","&amp;IF(DK85="","Null",BD85)&amp;",1,'"&amp;IF(AV85&lt;&gt;"",AV85,AK85)&amp;"','"&amp;IF(AW85&lt;&gt;"",AW85,AL85)&amp;"',(SELECT id FROM klub WHERE naziv = '"&amp;CR85&amp;"'),Null,1,'',1,"&amp;data_dnevnik_id&amp;");")</f>
        <v/>
      </c>
      <c r="DM85" t="s">
        <v>0</v>
      </c>
      <c r="DN85" s="19" t="str">
        <f t="shared" ref="DN85:DN148" si="126">IF(DK85="",DL85,DK85&amp;" "&amp;DL85)</f>
        <v/>
      </c>
      <c r="DO85" s="47" t="s">
        <v>0</v>
      </c>
      <c r="DP85" s="19" t="str">
        <f>IF(BA85="","","INSERT INTO imeprezime_alias(id,alias,imeprezime_id) VALUES ("&amp;BB85&amp;",'"&amp;BA85&amp;"',"&amp;IF(BC85="NEMA",BD85,BC85)&amp;");")</f>
        <v/>
      </c>
      <c r="DQ85" s="47" t="s">
        <v>0</v>
      </c>
      <c r="DR85" s="52" t="str">
        <f>IF(AL85="","",DU85 &amp; IF(Q85="",""," – " &amp; Q85))</f>
        <v>Željko – Valjak – OK Vihor – M21B</v>
      </c>
      <c r="DS85" s="53">
        <f t="shared" si="88"/>
        <v>936</v>
      </c>
      <c r="DT85" s="47" t="s">
        <v>0</v>
      </c>
      <c r="DU85" s="52" t="str">
        <f>IF(AL85="","",DX85 &amp; IF(CR85="",""," – " &amp; CR85))</f>
        <v>Željko – Valjak – OK Vihor</v>
      </c>
      <c r="DV85" s="53">
        <f t="shared" si="89"/>
        <v>936</v>
      </c>
      <c r="DW85" s="47" t="s">
        <v>0</v>
      </c>
      <c r="DX85" s="52" t="str">
        <f>IF(BG85="","",BF85&amp;" – "&amp;BG85)</f>
        <v>Željko – Valjak</v>
      </c>
      <c r="DY85" s="53">
        <f t="shared" si="90"/>
        <v>936</v>
      </c>
      <c r="DZ85" s="47" t="s">
        <v>0</v>
      </c>
      <c r="EA85" s="58">
        <f t="shared" si="119"/>
        <v>936</v>
      </c>
      <c r="EB85" s="53" cm="1">
        <f t="array" ref="EB85">IF(EA85&lt;&gt;"",INDEX(regNatjecatelj_id,EA85,0),IF(BD85&lt;&gt;"",BD85,""))</f>
        <v>1907</v>
      </c>
      <c r="EC85" s="47" t="s">
        <v>0</v>
      </c>
      <c r="ED85" s="58" t="str">
        <f>IF(AL85="","",IF(BD85&lt;&gt;"","novo",IF(AN85="","imepre","imepre(ali)")))</f>
        <v>imepre</v>
      </c>
      <c r="EE85" s="73" t="str">
        <f>IF(AL85="","",IF(BL85="",IF(IFERROR(INDEX(regNatjecatelj_klub,MATCH(EB85,regNatjecatelj_id,0)),"NEMA")="","klu",""),IF(OR(AND(BN85&lt;&gt;"",BN85&lt;&gt;"NEMA"),CD85&lt;&gt;""),"klu(ali)",IF(AND(BP85&lt;&gt;"",BP85&lt;&gt;BO85),"(raz-klu)","klu"))))</f>
        <v>klu</v>
      </c>
      <c r="EF85" s="73" t="str">
        <f>IF(AL85="","","kat"&amp;IF(AND(W85&lt;&gt;Q85,Q85&lt;&gt;"Open"),"(ali)",""))</f>
        <v>kat</v>
      </c>
      <c r="EG85" s="73" t="str">
        <f t="shared" si="91"/>
        <v/>
      </c>
      <c r="EH85" s="66" t="str">
        <f>IF(AL85="","",ED85&amp;IF(ED85="novo","","-"&amp;EE85&amp;"-"&amp;EF85)&amp;IF(EG85="","","-"&amp;EG85))</f>
        <v>imepre-klu-kat</v>
      </c>
      <c r="EI85" s="47" t="s">
        <v>0</v>
      </c>
      <c r="EJ85" s="58">
        <f>IF(AL85="","",MAX(EJ$12:EJ84)+1)</f>
        <v>255</v>
      </c>
      <c r="EK85" s="73">
        <f>IF(AO85="","",X85)</f>
        <v>28</v>
      </c>
      <c r="EL85" s="73">
        <f t="shared" si="120"/>
        <v>1907</v>
      </c>
      <c r="EM85" s="73">
        <f t="shared" si="92"/>
        <v>5168</v>
      </c>
      <c r="EN85" s="73">
        <f t="shared" si="93"/>
        <v>1</v>
      </c>
      <c r="EO85" s="73">
        <f t="shared" si="121"/>
        <v>1</v>
      </c>
      <c r="EP85" s="73">
        <f t="shared" si="122"/>
        <v>1</v>
      </c>
      <c r="EQ85" s="73" t="str">
        <f t="shared" si="94"/>
        <v>0</v>
      </c>
      <c r="ER85" s="73" t="str">
        <f>IF(OR(AN85="",AN85="NEMA"),BB85,AN85)</f>
        <v/>
      </c>
      <c r="ES85" s="73" t="str">
        <f>IF(AND(BN85&lt;&gt;"",BN85&lt;&gt;"NEMA"),BN85,IF(CG85&lt;&gt;"",CG85,IF(AND(CL85&lt;&gt;"",CL85&lt;&gt;"NEMA"),CL85,IF(CM85&lt;&gt;"",CM85,""))))</f>
        <v/>
      </c>
      <c r="ET85" s="53" t="str">
        <f>IF(INDEX(natKategorija_alias_Id,MATCH(S85,natKategorija_katRegId,0))="","",INDEX(natKategorija_alias_Id,MATCH(S85,natKategorija_katRegId,0)))</f>
        <v/>
      </c>
      <c r="EU85" s="47" t="s">
        <v>0</v>
      </c>
      <c r="EV85" s="19" t="str">
        <f t="shared" si="123"/>
        <v>INSERT INTO rezultat(id,stazakategorija_id,imeprezime_id,vrijeme_sec,status_id,registracija,uparivanje_id,originalstatus_id,imeprezimealias_id,klubalias_id,kategorijaalias_id) VALUES (255,28,1907,5168,1,1,1,0,Null,Null,Null);</v>
      </c>
      <c r="EW85" s="47" t="s">
        <v>0</v>
      </c>
      <c r="EX85" s="19" t="str">
        <f t="shared" si="124"/>
        <v>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5" s="47" t="s">
        <v>0</v>
      </c>
      <c r="EZ85" s="180" t="str">
        <f>AG85&amp;IF(CP85="","","
")&amp;CP85&amp;IF(CI85="","","
")&amp;CI85&amp;IF(DN85="","","
")&amp;DN85&amp;IF(DP85="","","
")&amp;DP85&amp;IF(EV85="","","
")&amp;EV85&amp;IF(EX85="","","
")&amp;EX85</f>
        <v xml:space="preserve">
INSERT INTO rezultat(id,stazakategorija_id,imeprezime_id,vrijeme_sec,status_id,registracija,uparivanje_id,originalstatus_id,imeprezimealias_id,klubalias_id,kategorijaalias_id) VALUES (255,28,1907,5168,1,1,1,0,Null,Null,Null);
UPDATE
	registar
SET
	potvrda = 1
WHERE
	imeprezime_id=1907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5" s="47" t="s">
        <v>0</v>
      </c>
    </row>
    <row r="86" spans="1:157" x14ac:dyDescent="0.25">
      <c r="A86" t="s">
        <v>0</v>
      </c>
      <c r="B86" s="52" t="str">
        <f>IF(csv!F76="","",csv!T76)</f>
        <v>M21B</v>
      </c>
      <c r="C86" s="31" t="s">
        <v>0</v>
      </c>
      <c r="D86" s="31" t="str">
        <f>IF(csv!F76="","",csv!F76)</f>
        <v>Dario</v>
      </c>
      <c r="E86" s="31" t="str">
        <f>IF(csv!E76="","",csv!E76)</f>
        <v>Vodopija</v>
      </c>
      <c r="F86" s="31" t="s">
        <v>0</v>
      </c>
      <c r="G86" s="73" t="str">
        <f>IF(csv!M76="","",csv!M76)</f>
        <v>91:02</v>
      </c>
      <c r="H86" s="73" t="str">
        <f>IF(csv!N76="","",csv!N76)</f>
        <v>0</v>
      </c>
      <c r="I86" s="31" t="s">
        <v>0</v>
      </c>
      <c r="J86" s="31" t="str">
        <f>IF(csv!P76="","",csv!P76)</f>
        <v>KAP</v>
      </c>
      <c r="K86" s="31" t="str">
        <f>IF(csv!Q76="","",csv!Q76)</f>
        <v>OK Kapela</v>
      </c>
      <c r="L86" s="31" t="s">
        <v>0</v>
      </c>
      <c r="M86" s="66" t="str">
        <f>IF(csv!R76="","",csv!R76)</f>
        <v>CRO</v>
      </c>
      <c r="N86" s="47" t="s">
        <v>0</v>
      </c>
      <c r="O86" s="243" t="str">
        <f t="shared" si="95"/>
        <v>ok</v>
      </c>
      <c r="P86" s="47"/>
      <c r="Q86" s="52" t="str">
        <f t="shared" si="96"/>
        <v>M21B</v>
      </c>
      <c r="R86" s="73">
        <f>IF(Q86="","",IF(COUNTIF(Q$12:Q85,Q86)=0,R85+1,R85))</f>
        <v>6</v>
      </c>
      <c r="S86" s="73">
        <f t="shared" si="97"/>
        <v>108</v>
      </c>
      <c r="T86" s="73">
        <f t="shared" si="72"/>
        <v>19</v>
      </c>
      <c r="U86" s="66" t="str">
        <f t="shared" si="73"/>
        <v>M21B – M16</v>
      </c>
      <c r="V86" s="47" t="s">
        <v>0</v>
      </c>
      <c r="W86" s="222" t="str">
        <f t="shared" si="74"/>
        <v>M21B</v>
      </c>
      <c r="X86" s="223">
        <f t="shared" si="75"/>
        <v>28</v>
      </c>
      <c r="Y86" s="47" t="s">
        <v>0</v>
      </c>
      <c r="Z86" s="52" t="str">
        <f t="shared" si="98"/>
        <v>CRO</v>
      </c>
      <c r="AA86" s="73">
        <f t="shared" si="76"/>
        <v>1</v>
      </c>
      <c r="AB86" s="31" t="str">
        <f t="shared" si="99"/>
        <v/>
      </c>
      <c r="AC86" s="66" t="str">
        <f>IF(AB86="","",MAX(AC$12:AC85)+1)</f>
        <v/>
      </c>
      <c r="AD86" s="47" t="s">
        <v>0</v>
      </c>
      <c r="AE86" s="125"/>
      <c r="AF86" s="47" t="s">
        <v>0</v>
      </c>
      <c r="AG86" s="19" t="str">
        <f t="shared" si="100"/>
        <v/>
      </c>
      <c r="AH86" s="47" t="s">
        <v>0</v>
      </c>
      <c r="AI86" s="143" t="str">
        <f t="shared" si="101"/>
        <v>CRO</v>
      </c>
      <c r="AJ86" s="47"/>
      <c r="AK86" s="52" t="str">
        <f t="shared" si="102"/>
        <v>Dario</v>
      </c>
      <c r="AL86" s="31" t="str">
        <f t="shared" si="103"/>
        <v>Vodopija</v>
      </c>
      <c r="AM86" s="73">
        <f t="shared" si="104"/>
        <v>1089</v>
      </c>
      <c r="AN86" s="73" t="str">
        <f t="shared" si="105"/>
        <v/>
      </c>
      <c r="AO86" s="31" t="str">
        <f t="shared" si="77"/>
        <v>Dario</v>
      </c>
      <c r="AP86" s="66" t="str">
        <f t="shared" si="78"/>
        <v>Vodopija</v>
      </c>
      <c r="AQ86" s="47" t="s">
        <v>0</v>
      </c>
      <c r="AR86" s="82" t="str">
        <f t="shared" si="106"/>
        <v/>
      </c>
      <c r="AS86" s="47" t="s">
        <v>0</v>
      </c>
      <c r="AT86" s="19" t="str">
        <f t="shared" si="107"/>
        <v/>
      </c>
      <c r="AU86" s="47" t="s">
        <v>0</v>
      </c>
      <c r="AV86" s="103"/>
      <c r="AW86" s="105"/>
      <c r="AX86" s="47" t="s">
        <v>0</v>
      </c>
      <c r="AY86" s="256" t="str">
        <f t="shared" si="125"/>
        <v/>
      </c>
      <c r="AZ86" s="47" t="s">
        <v>0</v>
      </c>
      <c r="BA86" s="52" t="str">
        <f t="shared" si="79"/>
        <v/>
      </c>
      <c r="BB86" s="73" t="str">
        <f>IF(AV86&amp;AW86="","",MAX(BB$12:BB85)+1)</f>
        <v/>
      </c>
      <c r="BC86" s="268" t="str">
        <f t="shared" si="80"/>
        <v/>
      </c>
      <c r="BD86" s="53" t="str">
        <f>IF(AND(AM86="NEMA",AN86="NEMA",OR(AV86&amp;AW86="",BC86="NEMA")),MAX(BD$12:BD85)+1,"")</f>
        <v/>
      </c>
      <c r="BE86" s="47" t="s">
        <v>0</v>
      </c>
      <c r="BF86" s="52" t="str">
        <f t="shared" si="81"/>
        <v>Dario</v>
      </c>
      <c r="BG86" s="31" t="str">
        <f t="shared" si="82"/>
        <v>Vodopija</v>
      </c>
      <c r="BH86" s="73" t="str">
        <f t="shared" si="108"/>
        <v/>
      </c>
      <c r="BI86" s="53">
        <f t="shared" si="109"/>
        <v>1089</v>
      </c>
      <c r="BJ86" s="47" t="s">
        <v>0</v>
      </c>
      <c r="BK86" s="52" t="str">
        <f t="shared" si="83"/>
        <v>KAP</v>
      </c>
      <c r="BL86" s="31" t="str">
        <f t="shared" si="84"/>
        <v>OK Kapela</v>
      </c>
      <c r="BM86" s="73">
        <f t="shared" si="85"/>
        <v>5</v>
      </c>
      <c r="BN86" s="73" t="str">
        <f t="shared" si="86"/>
        <v/>
      </c>
      <c r="BO86" s="31" t="str" cm="1">
        <f t="array" ref="BO86">IF(BN86="",""&amp;BL86,IF(BN86="NEMA",BL86,INDEX(regKlub_naziv,MATCH(INDEX(regKlub_alias_klubId,BN86),regKlub_id,0))))</f>
        <v>OK Kapela</v>
      </c>
      <c r="BP86" s="31" t="str" cm="1">
        <f t="array" ref="BP86">IFERROR(""&amp;INDEX(regNatjecatelj_klub,DY86),"")</f>
        <v>OK Kapela</v>
      </c>
      <c r="BQ86" s="88" t="str">
        <f t="shared" si="110"/>
        <v/>
      </c>
      <c r="BR86" s="66" t="str">
        <f t="shared" si="111"/>
        <v>OK Kapela</v>
      </c>
      <c r="BS86" s="47" t="s">
        <v>0</v>
      </c>
      <c r="BT86" s="82" t="str">
        <f>IF(BN86&lt;&gt;"NEMA","",IF(IFERROR(MATCH(BL86,BL$12:BL85,0),0)&lt;&gt;0,"",BL86))</f>
        <v/>
      </c>
      <c r="BU86" s="47" t="s">
        <v>0</v>
      </c>
      <c r="BV86" s="125"/>
      <c r="BW86" s="47" t="s">
        <v>0</v>
      </c>
      <c r="BX86" s="58" t="str">
        <f t="shared" si="112"/>
        <v/>
      </c>
      <c r="BY86" s="31" t="str">
        <f t="shared" si="113"/>
        <v/>
      </c>
      <c r="BZ86" s="31" t="str">
        <f>IF(BY86="","",MAX(BZ$12:BZ85)+1)</f>
        <v/>
      </c>
      <c r="CA86" s="31" t="str">
        <f>IF(BY86="","",IF(AA86="","",IF(AA86="NEMA",AC86,AA86)))</f>
        <v/>
      </c>
      <c r="CB86" s="31" t="str">
        <f t="shared" si="114"/>
        <v/>
      </c>
      <c r="CC86" s="31" t="str">
        <f>IF(BV86="","",MAX(CC$12:CC85)+1)</f>
        <v/>
      </c>
      <c r="CD86" s="31" t="str">
        <f t="shared" si="115"/>
        <v/>
      </c>
      <c r="CE86" s="66" t="str">
        <f t="shared" si="116"/>
        <v/>
      </c>
      <c r="CF86" s="47" t="s">
        <v>0</v>
      </c>
      <c r="CG86" s="73" t="str">
        <f>IF(BN86="","",IF(BN86&lt;&gt;"NEMA","",IFERROR(INDEX(nat_klubAliasId,MATCH(BL86,nat_noviKluboviAliasi,0)),"")))</f>
        <v/>
      </c>
      <c r="CH86" s="47"/>
      <c r="CI86" s="19" t="str">
        <f t="shared" si="117"/>
        <v/>
      </c>
      <c r="CJ86" s="47" t="s">
        <v>0</v>
      </c>
      <c r="CK86" s="52" t="str">
        <f>IF(X86&lt;&gt;"NEMA","",IF(IFERROR(MATCH(W86,W$12:W85,0),0)&lt;&gt;0,"",W86))</f>
        <v/>
      </c>
      <c r="CL86" s="73" t="str">
        <f>IF(CK86="","",IFERROR(INDEX(regKlub_alias_id,MATCH(CK86,regKlub_alias_alias,0)),"NEMA"))</f>
        <v/>
      </c>
      <c r="CM86" s="31" t="str">
        <f>IF(OR(CL86="",CL86&lt;&gt;"NEMA"),"",MAX(CM$12:CM85)+1)</f>
        <v/>
      </c>
      <c r="CN86" s="66" t="str">
        <f>IF(OR(CL86="",CL86&lt;&gt;"NEMA"),"",INDEX(regKlub_id,MATCH(CK86,regKlub_naziv,0)))</f>
        <v/>
      </c>
      <c r="CO86" s="47" t="s">
        <v>0</v>
      </c>
      <c r="CP86" s="19" t="str">
        <f>IF(OR(CL86="",CL86&lt;&gt;"NEMA"),"","INSERT INTO klub_alias(id,alias,klub_id) VALUES ("&amp;CM86&amp;",'"&amp;CK86&amp;"',"&amp;CN86&amp;");")</f>
        <v/>
      </c>
      <c r="CQ86" s="47" t="s">
        <v>0</v>
      </c>
      <c r="CR86" s="143" t="str">
        <f>IF(BR86="","",IF(BV86="",IF(IFERROR(MATCH(BR86,nat_noviKluboviAliasi,0),0)&gt;0,INDEX(nat_kluboviAliasi,MATCH(BR86,nat_noviKluboviAliasi,0)),BR86),BV86))</f>
        <v>OK Kapela</v>
      </c>
      <c r="CS86" s="47" t="s">
        <v>0</v>
      </c>
      <c r="CT86" s="58" t="str">
        <f>IF(G86="","",G86)</f>
        <v>91:02</v>
      </c>
      <c r="CU86" s="73" t="str">
        <f>IF(H86="","",H86)</f>
        <v>0</v>
      </c>
      <c r="CV86" s="229" t="str">
        <f>IF(CT86="",IF(OR(AL86="",CU86&lt;&gt;"0"),"","GREŠKA"),IF(AND(65535&gt;=VALUE(LEFT(CT86,SEARCH(":",CT86)-1))*60+VALUE(RIGHT(CT86,2)),OR(CU86="0",CU86="1",CU86="2",CU86="3",CU86="4")),"","GREŠKA"))</f>
        <v/>
      </c>
      <c r="CW86" s="230">
        <f t="shared" si="71"/>
        <v>5462</v>
      </c>
      <c r="CX86" s="163">
        <f t="shared" si="87"/>
        <v>1</v>
      </c>
      <c r="CY86" s="47" t="s">
        <v>0</v>
      </c>
      <c r="CZ86" s="222" t="str">
        <f>IF(CV86&lt;&gt;"GREŠKA","",AK86&amp;" "&amp;AL86&amp;" – Molim u OEventu provjeriti i ispraviti rezultat – vrijeme ("&amp;IF(CT86="","nije upisano",CT86)&amp;") i classifier ("&amp;CU86&amp;").")&amp;IF(OR(CV86&lt;&gt;"GREŠKA",CX86&lt;&gt;5),"
","")&amp;IF(CX86&lt;&gt;5,"",AK86&amp;" "&amp;AL86&amp;" – Molim u provjeriti je li natjecatelj zaista diskvalificiran. Ako je koje je obrazloženje, ako nije molim u OEventu ispraviti rezultat")</f>
        <v xml:space="preserve">
</v>
      </c>
      <c r="DA86" s="223">
        <f t="shared" si="118"/>
        <v>6</v>
      </c>
      <c r="DB86" s="47" t="s">
        <v>0</v>
      </c>
      <c r="DC86" s="47"/>
      <c r="DD86" s="47"/>
      <c r="DE86" s="47"/>
      <c r="DF86" s="47" t="s">
        <v>0</v>
      </c>
      <c r="DG86" s="53" t="str">
        <f>IF(BD86="","",IF(DI86="O",1,""))</f>
        <v/>
      </c>
      <c r="DH86" t="s">
        <v>0</v>
      </c>
      <c r="DI86" s="128" t="str">
        <f>IF(Q86="","",LEFT(INDEX(regKategorija_oznaka,MATCH(S86,regKategorija_id,0)),1))</f>
        <v>M</v>
      </c>
      <c r="DJ86" t="s">
        <v>0</v>
      </c>
      <c r="DK86" s="52" t="str">
        <f>IF(BD86="","",IF(M86&lt;&gt;"CRO","","INSERT INTO osoba (id,reg_broj,oib,spol_id,dat_rodjenja) VALUES ("&amp;BD86&amp;",(SELECT max(os.reg_broj)+1 FROM osoba AS os),Null,'"&amp;DI86&amp;"',Null); INSERT INTO osoba_log (id,reg_broj,oib,spol_id,dat_rodjenja,dnevnik_id) SELECT id,reg_broj,oib,spol_id,dat_rodjenja,"&amp;data_dnevnik_id&amp;" FROM osoba WHERE id = "&amp;BD86&amp;";"))</f>
        <v/>
      </c>
      <c r="DL86" s="66" t="str">
        <f>IF(BD86="","","INSERT INTO imeprezime (id,osoba_id,rbr,ime,prezime,klub_id,identitet_id,sintaksa_id,info,aktivno,dnevnik_id) VALUES ("&amp;BD86&amp;","&amp;IF(DK86="","Null",BD86)&amp;",1,'"&amp;IF(AV86&lt;&gt;"",AV86,AK86)&amp;"','"&amp;IF(AW86&lt;&gt;"",AW86,AL86)&amp;"',(SELECT id FROM klub WHERE naziv = '"&amp;CR86&amp;"'),Null,1,'',1,"&amp;data_dnevnik_id&amp;");")</f>
        <v/>
      </c>
      <c r="DM86" t="s">
        <v>0</v>
      </c>
      <c r="DN86" s="19" t="str">
        <f t="shared" si="126"/>
        <v/>
      </c>
      <c r="DO86" s="47" t="s">
        <v>0</v>
      </c>
      <c r="DP86" s="19" t="str">
        <f>IF(BA86="","","INSERT INTO imeprezime_alias(id,alias,imeprezime_id) VALUES ("&amp;BB86&amp;",'"&amp;BA86&amp;"',"&amp;IF(BC86="NEMA",BD86,BC86)&amp;");")</f>
        <v/>
      </c>
      <c r="DQ86" s="47" t="s">
        <v>0</v>
      </c>
      <c r="DR86" s="52" t="str">
        <f>IF(AL86="","",DU86 &amp; IF(Q86="",""," – " &amp; Q86))</f>
        <v>Dario – Vodopija – OK Kapela – M21B</v>
      </c>
      <c r="DS86" s="53">
        <f t="shared" si="88"/>
        <v>326</v>
      </c>
      <c r="DT86" s="47" t="s">
        <v>0</v>
      </c>
      <c r="DU86" s="52" t="str">
        <f>IF(AL86="","",DX86 &amp; IF(CR86="",""," – " &amp; CR86))</f>
        <v>Dario – Vodopija – OK Kapela</v>
      </c>
      <c r="DV86" s="53">
        <f t="shared" si="89"/>
        <v>326</v>
      </c>
      <c r="DW86" s="47" t="s">
        <v>0</v>
      </c>
      <c r="DX86" s="52" t="str">
        <f>IF(BG86="","",BF86&amp;" – "&amp;BG86)</f>
        <v>Dario – Vodopija</v>
      </c>
      <c r="DY86" s="53">
        <f t="shared" si="90"/>
        <v>326</v>
      </c>
      <c r="DZ86" s="47" t="s">
        <v>0</v>
      </c>
      <c r="EA86" s="58">
        <f t="shared" si="119"/>
        <v>326</v>
      </c>
      <c r="EB86" s="53" cm="1">
        <f t="array" ref="EB86">IF(EA86&lt;&gt;"",INDEX(regNatjecatelj_id,EA86,0),IF(BD86&lt;&gt;"",BD86,""))</f>
        <v>1089</v>
      </c>
      <c r="EC86" s="47" t="s">
        <v>0</v>
      </c>
      <c r="ED86" s="58" t="str">
        <f>IF(AL86="","",IF(BD86&lt;&gt;"","novo",IF(AN86="","imepre","imepre(ali)")))</f>
        <v>imepre</v>
      </c>
      <c r="EE86" s="73" t="str">
        <f>IF(AL86="","",IF(BL86="",IF(IFERROR(INDEX(regNatjecatelj_klub,MATCH(EB86,regNatjecatelj_id,0)),"NEMA")="","klu",""),IF(OR(AND(BN86&lt;&gt;"",BN86&lt;&gt;"NEMA"),CD86&lt;&gt;""),"klu(ali)",IF(AND(BP86&lt;&gt;"",BP86&lt;&gt;BO86),"(raz-klu)","klu"))))</f>
        <v>klu</v>
      </c>
      <c r="EF86" s="73" t="str">
        <f>IF(AL86="","","kat"&amp;IF(AND(W86&lt;&gt;Q86,Q86&lt;&gt;"Open"),"(ali)",""))</f>
        <v>kat</v>
      </c>
      <c r="EG86" s="73" t="str">
        <f t="shared" si="91"/>
        <v/>
      </c>
      <c r="EH86" s="66" t="str">
        <f>IF(AL86="","",ED86&amp;IF(ED86="novo","","-"&amp;EE86&amp;"-"&amp;EF86)&amp;IF(EG86="","","-"&amp;EG86))</f>
        <v>imepre-klu-kat</v>
      </c>
      <c r="EI86" s="47" t="s">
        <v>0</v>
      </c>
      <c r="EJ86" s="58">
        <f>IF(AL86="","",MAX(EJ$12:EJ85)+1)</f>
        <v>256</v>
      </c>
      <c r="EK86" s="73">
        <f>IF(AO86="","",X86)</f>
        <v>28</v>
      </c>
      <c r="EL86" s="73">
        <f t="shared" si="120"/>
        <v>1089</v>
      </c>
      <c r="EM86" s="73">
        <f t="shared" si="92"/>
        <v>5462</v>
      </c>
      <c r="EN86" s="73">
        <f t="shared" si="93"/>
        <v>1</v>
      </c>
      <c r="EO86" s="73">
        <f t="shared" si="121"/>
        <v>1</v>
      </c>
      <c r="EP86" s="73">
        <f t="shared" si="122"/>
        <v>1</v>
      </c>
      <c r="EQ86" s="73" t="str">
        <f t="shared" si="94"/>
        <v>0</v>
      </c>
      <c r="ER86" s="73" t="str">
        <f>IF(OR(AN86="",AN86="NEMA"),BB86,AN86)</f>
        <v/>
      </c>
      <c r="ES86" s="73" t="str">
        <f>IF(AND(BN86&lt;&gt;"",BN86&lt;&gt;"NEMA"),BN86,IF(CG86&lt;&gt;"",CG86,IF(AND(CL86&lt;&gt;"",CL86&lt;&gt;"NEMA"),CL86,IF(CM86&lt;&gt;"",CM86,""))))</f>
        <v/>
      </c>
      <c r="ET86" s="53" t="str">
        <f>IF(INDEX(natKategorija_alias_Id,MATCH(S86,natKategorija_katRegId,0))="","",INDEX(natKategorija_alias_Id,MATCH(S86,natKategorija_katRegId,0)))</f>
        <v/>
      </c>
      <c r="EU86" s="47" t="s">
        <v>0</v>
      </c>
      <c r="EV86" s="19" t="str">
        <f t="shared" si="123"/>
        <v>INSERT INTO rezultat(id,stazakategorija_id,imeprezime_id,vrijeme_sec,status_id,registracija,uparivanje_id,originalstatus_id,imeprezimealias_id,klubalias_id,kategorijaalias_id) VALUES (256,28,1089,5462,1,1,1,0,Null,Null,Null);</v>
      </c>
      <c r="EW86" s="47" t="s">
        <v>0</v>
      </c>
      <c r="EX86" s="19" t="str">
        <f t="shared" si="124"/>
        <v>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6" s="47" t="s">
        <v>0</v>
      </c>
      <c r="EZ86" s="180" t="str">
        <f>AG86&amp;IF(CP86="","","
")&amp;CP86&amp;IF(CI86="","","
")&amp;CI86&amp;IF(DN86="","","
")&amp;DN86&amp;IF(DP86="","","
")&amp;DP86&amp;IF(EV86="","","
")&amp;EV86&amp;IF(EX86="","","
")&amp;EX86</f>
        <v xml:space="preserve">
INSERT INTO rezultat(id,stazakategorija_id,imeprezime_id,vrijeme_sec,status_id,registracija,uparivanje_id,originalstatus_id,imeprezimealias_id,klubalias_id,kategorijaalias_id) VALUES (256,28,1089,5462,1,1,1,0,Null,Null,Null);
UPDATE
	registar
SET
	potvrda = 1
WHERE
	imeprezime_id=1089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6" s="47" t="s">
        <v>0</v>
      </c>
    </row>
    <row r="87" spans="1:157" x14ac:dyDescent="0.25">
      <c r="A87" t="s">
        <v>0</v>
      </c>
      <c r="B87" s="52" t="str">
        <f>IF(csv!F77="","",csv!T77)</f>
        <v>M21B</v>
      </c>
      <c r="C87" s="31" t="s">
        <v>0</v>
      </c>
      <c r="D87" s="31" t="str">
        <f>IF(csv!F77="","",csv!F77)</f>
        <v>Ivan</v>
      </c>
      <c r="E87" s="31" t="str">
        <f>IF(csv!E77="","",csv!E77)</f>
        <v>Šantek</v>
      </c>
      <c r="F87" s="31" t="s">
        <v>0</v>
      </c>
      <c r="G87" s="73" t="str">
        <f>IF(csv!M77="","",csv!M77)</f>
        <v>92:27</v>
      </c>
      <c r="H87" s="73" t="str">
        <f>IF(csv!N77="","",csv!N77)</f>
        <v>0</v>
      </c>
      <c r="I87" s="31" t="s">
        <v>0</v>
      </c>
      <c r="J87" s="31" t="str">
        <f>IF(csv!P77="","",csv!P77)</f>
        <v>OK Varaždin</v>
      </c>
      <c r="K87" s="31" t="str">
        <f>IF(csv!Q77="","",csv!Q77)</f>
        <v>OK Varaždin</v>
      </c>
      <c r="L87" s="31" t="s">
        <v>0</v>
      </c>
      <c r="M87" s="66" t="str">
        <f>IF(csv!R77="","",csv!R77)</f>
        <v>CRO</v>
      </c>
      <c r="N87" s="47" t="s">
        <v>0</v>
      </c>
      <c r="O87" s="243" t="str">
        <f t="shared" si="95"/>
        <v>ok</v>
      </c>
      <c r="P87" s="47"/>
      <c r="Q87" s="52" t="str">
        <f t="shared" si="96"/>
        <v>M21B</v>
      </c>
      <c r="R87" s="73">
        <f>IF(Q87="","",IF(COUNTIF(Q$12:Q86,Q87)=0,R86+1,R86))</f>
        <v>6</v>
      </c>
      <c r="S87" s="73">
        <f t="shared" si="97"/>
        <v>108</v>
      </c>
      <c r="T87" s="73">
        <f t="shared" si="72"/>
        <v>19</v>
      </c>
      <c r="U87" s="66" t="str">
        <f t="shared" si="73"/>
        <v>M21B – M16</v>
      </c>
      <c r="V87" s="47" t="s">
        <v>0</v>
      </c>
      <c r="W87" s="222" t="str">
        <f t="shared" si="74"/>
        <v>M21B</v>
      </c>
      <c r="X87" s="223">
        <f t="shared" si="75"/>
        <v>28</v>
      </c>
      <c r="Y87" s="47" t="s">
        <v>0</v>
      </c>
      <c r="Z87" s="52" t="str">
        <f t="shared" si="98"/>
        <v>CRO</v>
      </c>
      <c r="AA87" s="73">
        <f t="shared" si="76"/>
        <v>1</v>
      </c>
      <c r="AB87" s="31" t="str">
        <f t="shared" si="99"/>
        <v/>
      </c>
      <c r="AC87" s="66" t="str">
        <f>IF(AB87="","",MAX(AC$12:AC86)+1)</f>
        <v/>
      </c>
      <c r="AD87" s="47" t="s">
        <v>0</v>
      </c>
      <c r="AE87" s="125"/>
      <c r="AF87" s="47" t="s">
        <v>0</v>
      </c>
      <c r="AG87" s="19" t="str">
        <f t="shared" si="100"/>
        <v/>
      </c>
      <c r="AH87" s="47" t="s">
        <v>0</v>
      </c>
      <c r="AI87" s="143" t="str">
        <f t="shared" si="101"/>
        <v>CRO</v>
      </c>
      <c r="AJ87" s="47"/>
      <c r="AK87" s="52" t="str">
        <f t="shared" si="102"/>
        <v>Ivan</v>
      </c>
      <c r="AL87" s="31" t="str">
        <f t="shared" si="103"/>
        <v>Šantek</v>
      </c>
      <c r="AM87" s="73">
        <f t="shared" si="104"/>
        <v>1149</v>
      </c>
      <c r="AN87" s="73" t="str">
        <f t="shared" si="105"/>
        <v/>
      </c>
      <c r="AO87" s="31" t="str">
        <f t="shared" si="77"/>
        <v>Ivan</v>
      </c>
      <c r="AP87" s="66" t="str">
        <f t="shared" si="78"/>
        <v>Šantek</v>
      </c>
      <c r="AQ87" s="47" t="s">
        <v>0</v>
      </c>
      <c r="AR87" s="82" t="str">
        <f t="shared" si="106"/>
        <v/>
      </c>
      <c r="AS87" s="47" t="s">
        <v>0</v>
      </c>
      <c r="AT87" s="19" t="str">
        <f t="shared" si="107"/>
        <v/>
      </c>
      <c r="AU87" s="47" t="s">
        <v>0</v>
      </c>
      <c r="AV87" s="103"/>
      <c r="AW87" s="105"/>
      <c r="AX87" s="47" t="s">
        <v>0</v>
      </c>
      <c r="AY87" s="256" t="str">
        <f t="shared" si="125"/>
        <v/>
      </c>
      <c r="AZ87" s="47" t="s">
        <v>0</v>
      </c>
      <c r="BA87" s="52" t="str">
        <f t="shared" si="79"/>
        <v/>
      </c>
      <c r="BB87" s="73" t="str">
        <f>IF(AV87&amp;AW87="","",MAX(BB$12:BB86)+1)</f>
        <v/>
      </c>
      <c r="BC87" s="268" t="str">
        <f t="shared" si="80"/>
        <v/>
      </c>
      <c r="BD87" s="53" t="str">
        <f>IF(AND(AM87="NEMA",AN87="NEMA",OR(AV87&amp;AW87="",BC87="NEMA")),MAX(BD$12:BD86)+1,"")</f>
        <v/>
      </c>
      <c r="BE87" s="47" t="s">
        <v>0</v>
      </c>
      <c r="BF87" s="52" t="str">
        <f t="shared" si="81"/>
        <v>Ivan</v>
      </c>
      <c r="BG87" s="31" t="str">
        <f t="shared" si="82"/>
        <v>Šantek</v>
      </c>
      <c r="BH87" s="73" t="str">
        <f t="shared" si="108"/>
        <v/>
      </c>
      <c r="BI87" s="53">
        <f t="shared" si="109"/>
        <v>1149</v>
      </c>
      <c r="BJ87" s="47" t="s">
        <v>0</v>
      </c>
      <c r="BK87" s="52" t="str">
        <f t="shared" si="83"/>
        <v>OK Varaždin</v>
      </c>
      <c r="BL87" s="31" t="str">
        <f t="shared" si="84"/>
        <v>OK Varaždin</v>
      </c>
      <c r="BM87" s="73">
        <f t="shared" si="85"/>
        <v>11</v>
      </c>
      <c r="BN87" s="73" t="str">
        <f t="shared" si="86"/>
        <v/>
      </c>
      <c r="BO87" s="31" t="str" cm="1">
        <f t="array" ref="BO87">IF(BN87="",""&amp;BL87,IF(BN87="NEMA",BL87,INDEX(regKlub_naziv,MATCH(INDEX(regKlub_alias_klubId,BN87),regKlub_id,0))))</f>
        <v>OK Varaždin</v>
      </c>
      <c r="BP87" s="31" t="str" cm="1">
        <f t="array" ref="BP87">IFERROR(""&amp;INDEX(regNatjecatelj_klub,DY87),"")</f>
        <v>OK Varaždin</v>
      </c>
      <c r="BQ87" s="88" t="str">
        <f t="shared" si="110"/>
        <v/>
      </c>
      <c r="BR87" s="66" t="str">
        <f t="shared" si="111"/>
        <v>OK Varaždin</v>
      </c>
      <c r="BS87" s="47" t="s">
        <v>0</v>
      </c>
      <c r="BT87" s="82" t="str">
        <f>IF(BN87&lt;&gt;"NEMA","",IF(IFERROR(MATCH(BL87,BL$12:BL86,0),0)&lt;&gt;0,"",BL87))</f>
        <v/>
      </c>
      <c r="BU87" s="47" t="s">
        <v>0</v>
      </c>
      <c r="BV87" s="125"/>
      <c r="BW87" s="47" t="s">
        <v>0</v>
      </c>
      <c r="BX87" s="58" t="str">
        <f t="shared" si="112"/>
        <v/>
      </c>
      <c r="BY87" s="31" t="str">
        <f t="shared" si="113"/>
        <v/>
      </c>
      <c r="BZ87" s="31" t="str">
        <f>IF(BY87="","",MAX(BZ$12:BZ86)+1)</f>
        <v/>
      </c>
      <c r="CA87" s="31" t="str">
        <f>IF(BY87="","",IF(AA87="","",IF(AA87="NEMA",AC87,AA87)))</f>
        <v/>
      </c>
      <c r="CB87" s="31" t="str">
        <f t="shared" si="114"/>
        <v/>
      </c>
      <c r="CC87" s="31" t="str">
        <f>IF(BV87="","",MAX(CC$12:CC86)+1)</f>
        <v/>
      </c>
      <c r="CD87" s="31" t="str">
        <f t="shared" si="115"/>
        <v/>
      </c>
      <c r="CE87" s="66" t="str">
        <f t="shared" si="116"/>
        <v/>
      </c>
      <c r="CF87" s="47" t="s">
        <v>0</v>
      </c>
      <c r="CG87" s="73" t="str">
        <f>IF(BN87="","",IF(BN87&lt;&gt;"NEMA","",IFERROR(INDEX(nat_klubAliasId,MATCH(BL87,nat_noviKluboviAliasi,0)),"")))</f>
        <v/>
      </c>
      <c r="CH87" s="47"/>
      <c r="CI87" s="19" t="str">
        <f t="shared" si="117"/>
        <v/>
      </c>
      <c r="CJ87" s="47" t="s">
        <v>0</v>
      </c>
      <c r="CK87" s="52" t="str">
        <f>IF(X87&lt;&gt;"NEMA","",IF(IFERROR(MATCH(W87,W$12:W86,0),0)&lt;&gt;0,"",W87))</f>
        <v/>
      </c>
      <c r="CL87" s="73" t="str">
        <f>IF(CK87="","",IFERROR(INDEX(regKlub_alias_id,MATCH(CK87,regKlub_alias_alias,0)),"NEMA"))</f>
        <v/>
      </c>
      <c r="CM87" s="31" t="str">
        <f>IF(OR(CL87="",CL87&lt;&gt;"NEMA"),"",MAX(CM$12:CM86)+1)</f>
        <v/>
      </c>
      <c r="CN87" s="66" t="str">
        <f>IF(OR(CL87="",CL87&lt;&gt;"NEMA"),"",INDEX(regKlub_id,MATCH(CK87,regKlub_naziv,0)))</f>
        <v/>
      </c>
      <c r="CO87" s="47" t="s">
        <v>0</v>
      </c>
      <c r="CP87" s="19" t="str">
        <f>IF(OR(CL87="",CL87&lt;&gt;"NEMA"),"","INSERT INTO klub_alias(id,alias,klub_id) VALUES ("&amp;CM87&amp;",'"&amp;CK87&amp;"',"&amp;CN87&amp;");")</f>
        <v/>
      </c>
      <c r="CQ87" s="47" t="s">
        <v>0</v>
      </c>
      <c r="CR87" s="143" t="str">
        <f>IF(BR87="","",IF(BV87="",IF(IFERROR(MATCH(BR87,nat_noviKluboviAliasi,0),0)&gt;0,INDEX(nat_kluboviAliasi,MATCH(BR87,nat_noviKluboviAliasi,0)),BR87),BV87))</f>
        <v>OK Varaždin</v>
      </c>
      <c r="CS87" s="47" t="s">
        <v>0</v>
      </c>
      <c r="CT87" s="58" t="str">
        <f>IF(G87="","",G87)</f>
        <v>92:27</v>
      </c>
      <c r="CU87" s="73" t="str">
        <f>IF(H87="","",H87)</f>
        <v>0</v>
      </c>
      <c r="CV87" s="229" t="str">
        <f>IF(CT87="",IF(OR(AL87="",CU87&lt;&gt;"0"),"","GREŠKA"),IF(AND(65535&gt;=VALUE(LEFT(CT87,SEARCH(":",CT87)-1))*60+VALUE(RIGHT(CT87,2)),OR(CU87="0",CU87="1",CU87="2",CU87="3",CU87="4")),"","GREŠKA"))</f>
        <v/>
      </c>
      <c r="CW87" s="230">
        <f t="shared" si="71"/>
        <v>5547</v>
      </c>
      <c r="CX87" s="163">
        <f t="shared" si="87"/>
        <v>1</v>
      </c>
      <c r="CY87" s="47" t="s">
        <v>0</v>
      </c>
      <c r="CZ87" s="222" t="str">
        <f>IF(CV87&lt;&gt;"GREŠKA","",AK87&amp;" "&amp;AL87&amp;" – Molim u OEventu provjeriti i ispraviti rezultat – vrijeme ("&amp;IF(CT87="","nije upisano",CT87)&amp;") i classifier ("&amp;CU87&amp;").")&amp;IF(OR(CV87&lt;&gt;"GREŠKA",CX87&lt;&gt;5),"
","")&amp;IF(CX87&lt;&gt;5,"",AK87&amp;" "&amp;AL87&amp;" – Molim u provjeriti je li natjecatelj zaista diskvalificiran. Ako je koje je obrazloženje, ako nije molim u OEventu ispraviti rezultat")</f>
        <v xml:space="preserve">
</v>
      </c>
      <c r="DA87" s="223">
        <f t="shared" si="118"/>
        <v>6</v>
      </c>
      <c r="DB87" s="47" t="s">
        <v>0</v>
      </c>
      <c r="DC87" s="47"/>
      <c r="DD87" s="47"/>
      <c r="DE87" s="47"/>
      <c r="DF87" s="47" t="s">
        <v>0</v>
      </c>
      <c r="DG87" s="53" t="str">
        <f>IF(BD87="","",IF(DI87="O",1,""))</f>
        <v/>
      </c>
      <c r="DH87" t="s">
        <v>0</v>
      </c>
      <c r="DI87" s="128" t="str">
        <f>IF(Q87="","",LEFT(INDEX(regKategorija_oznaka,MATCH(S87,regKategorija_id,0)),1))</f>
        <v>M</v>
      </c>
      <c r="DJ87" t="s">
        <v>0</v>
      </c>
      <c r="DK87" s="52" t="str">
        <f>IF(BD87="","",IF(M87&lt;&gt;"CRO","","INSERT INTO osoba (id,reg_broj,oib,spol_id,dat_rodjenja) VALUES ("&amp;BD87&amp;",(SELECT max(os.reg_broj)+1 FROM osoba AS os),Null,'"&amp;DI87&amp;"',Null); INSERT INTO osoba_log (id,reg_broj,oib,spol_id,dat_rodjenja,dnevnik_id) SELECT id,reg_broj,oib,spol_id,dat_rodjenja,"&amp;data_dnevnik_id&amp;" FROM osoba WHERE id = "&amp;BD87&amp;";"))</f>
        <v/>
      </c>
      <c r="DL87" s="66" t="str">
        <f>IF(BD87="","","INSERT INTO imeprezime (id,osoba_id,rbr,ime,prezime,klub_id,identitet_id,sintaksa_id,info,aktivno,dnevnik_id) VALUES ("&amp;BD87&amp;","&amp;IF(DK87="","Null",BD87)&amp;",1,'"&amp;IF(AV87&lt;&gt;"",AV87,AK87)&amp;"','"&amp;IF(AW87&lt;&gt;"",AW87,AL87)&amp;"',(SELECT id FROM klub WHERE naziv = '"&amp;CR87&amp;"'),Null,1,'',1,"&amp;data_dnevnik_id&amp;");")</f>
        <v/>
      </c>
      <c r="DM87" t="s">
        <v>0</v>
      </c>
      <c r="DN87" s="19" t="str">
        <f t="shared" si="126"/>
        <v/>
      </c>
      <c r="DO87" s="47" t="s">
        <v>0</v>
      </c>
      <c r="DP87" s="19" t="str">
        <f>IF(BA87="","","INSERT INTO imeprezime_alias(id,alias,imeprezime_id) VALUES ("&amp;BB87&amp;",'"&amp;BA87&amp;"',"&amp;IF(BC87="NEMA",BD87,BC87)&amp;");")</f>
        <v/>
      </c>
      <c r="DQ87" s="47" t="s">
        <v>0</v>
      </c>
      <c r="DR87" s="52" t="str">
        <f>IF(AL87="","",DU87 &amp; IF(Q87="",""," – " &amp; Q87))</f>
        <v>Ivan – Šantek – OK Varaždin – M21B</v>
      </c>
      <c r="DS87" s="53">
        <f t="shared" si="88"/>
        <v>587</v>
      </c>
      <c r="DT87" s="47" t="s">
        <v>0</v>
      </c>
      <c r="DU87" s="52" t="str">
        <f>IF(AL87="","",DX87 &amp; IF(CR87="",""," – " &amp; CR87))</f>
        <v>Ivan – Šantek – OK Varaždin</v>
      </c>
      <c r="DV87" s="53">
        <f t="shared" si="89"/>
        <v>587</v>
      </c>
      <c r="DW87" s="47" t="s">
        <v>0</v>
      </c>
      <c r="DX87" s="52" t="str">
        <f>IF(BG87="","",BF87&amp;" – "&amp;BG87)</f>
        <v>Ivan – Šantek</v>
      </c>
      <c r="DY87" s="53">
        <f t="shared" si="90"/>
        <v>587</v>
      </c>
      <c r="DZ87" s="47" t="s">
        <v>0</v>
      </c>
      <c r="EA87" s="58">
        <f t="shared" si="119"/>
        <v>587</v>
      </c>
      <c r="EB87" s="53" cm="1">
        <f t="array" ref="EB87">IF(EA87&lt;&gt;"",INDEX(regNatjecatelj_id,EA87,0),IF(BD87&lt;&gt;"",BD87,""))</f>
        <v>1149</v>
      </c>
      <c r="EC87" s="47" t="s">
        <v>0</v>
      </c>
      <c r="ED87" s="58" t="str">
        <f>IF(AL87="","",IF(BD87&lt;&gt;"","novo",IF(AN87="","imepre","imepre(ali)")))</f>
        <v>imepre</v>
      </c>
      <c r="EE87" s="73" t="str">
        <f>IF(AL87="","",IF(BL87="",IF(IFERROR(INDEX(regNatjecatelj_klub,MATCH(EB87,regNatjecatelj_id,0)),"NEMA")="","klu",""),IF(OR(AND(BN87&lt;&gt;"",BN87&lt;&gt;"NEMA"),CD87&lt;&gt;""),"klu(ali)",IF(AND(BP87&lt;&gt;"",BP87&lt;&gt;BO87),"(raz-klu)","klu"))))</f>
        <v>klu</v>
      </c>
      <c r="EF87" s="73" t="str">
        <f>IF(AL87="","","kat"&amp;IF(AND(W87&lt;&gt;Q87,Q87&lt;&gt;"Open"),"(ali)",""))</f>
        <v>kat</v>
      </c>
      <c r="EG87" s="73" t="str">
        <f t="shared" si="91"/>
        <v/>
      </c>
      <c r="EH87" s="66" t="str">
        <f>IF(AL87="","",ED87&amp;IF(ED87="novo","","-"&amp;EE87&amp;"-"&amp;EF87)&amp;IF(EG87="","","-"&amp;EG87))</f>
        <v>imepre-klu-kat</v>
      </c>
      <c r="EI87" s="47" t="s">
        <v>0</v>
      </c>
      <c r="EJ87" s="58">
        <f>IF(AL87="","",MAX(EJ$12:EJ86)+1)</f>
        <v>257</v>
      </c>
      <c r="EK87" s="73">
        <f>IF(AO87="","",X87)</f>
        <v>28</v>
      </c>
      <c r="EL87" s="73">
        <f t="shared" si="120"/>
        <v>1149</v>
      </c>
      <c r="EM87" s="73">
        <f t="shared" si="92"/>
        <v>5547</v>
      </c>
      <c r="EN87" s="73">
        <f t="shared" si="93"/>
        <v>1</v>
      </c>
      <c r="EO87" s="73">
        <f t="shared" si="121"/>
        <v>1</v>
      </c>
      <c r="EP87" s="73">
        <f t="shared" si="122"/>
        <v>1</v>
      </c>
      <c r="EQ87" s="73" t="str">
        <f t="shared" si="94"/>
        <v>0</v>
      </c>
      <c r="ER87" s="73" t="str">
        <f>IF(OR(AN87="",AN87="NEMA"),BB87,AN87)</f>
        <v/>
      </c>
      <c r="ES87" s="73" t="str">
        <f>IF(AND(BN87&lt;&gt;"",BN87&lt;&gt;"NEMA"),BN87,IF(CG87&lt;&gt;"",CG87,IF(AND(CL87&lt;&gt;"",CL87&lt;&gt;"NEMA"),CL87,IF(CM87&lt;&gt;"",CM87,""))))</f>
        <v/>
      </c>
      <c r="ET87" s="53" t="str">
        <f>IF(INDEX(natKategorija_alias_Id,MATCH(S87,natKategorija_katRegId,0))="","",INDEX(natKategorija_alias_Id,MATCH(S87,natKategorija_katRegId,0)))</f>
        <v/>
      </c>
      <c r="EU87" s="47" t="s">
        <v>0</v>
      </c>
      <c r="EV87" s="19" t="str">
        <f t="shared" si="123"/>
        <v>INSERT INTO rezultat(id,stazakategorija_id,imeprezime_id,vrijeme_sec,status_id,registracija,uparivanje_id,originalstatus_id,imeprezimealias_id,klubalias_id,kategorijaalias_id) VALUES (257,28,1149,5547,1,1,1,0,Null,Null,Null);</v>
      </c>
      <c r="EW87" s="47" t="s">
        <v>0</v>
      </c>
      <c r="EX87" s="19" t="str">
        <f t="shared" si="124"/>
        <v>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7" s="47" t="s">
        <v>0</v>
      </c>
      <c r="EZ87" s="180" t="str">
        <f>AG87&amp;IF(CP87="","","
")&amp;CP87&amp;IF(CI87="","","
")&amp;CI87&amp;IF(DN87="","","
")&amp;DN87&amp;IF(DP87="","","
")&amp;DP87&amp;IF(EV87="","","
")&amp;EV87&amp;IF(EX87="","","
")&amp;EX87</f>
        <v xml:space="preserve">
INSERT INTO rezultat(id,stazakategorija_id,imeprezime_id,vrijeme_sec,status_id,registracija,uparivanje_id,originalstatus_id,imeprezimealias_id,klubalias_id,kategorijaalias_id) VALUES (257,28,1149,5547,1,1,1,0,Null,Null,Null);
UPDATE
	registar
SET
	potvrda = 1
WHERE
	imeprezime_id=1149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7" s="47" t="s">
        <v>0</v>
      </c>
    </row>
    <row r="88" spans="1:157" x14ac:dyDescent="0.25">
      <c r="A88" t="s">
        <v>0</v>
      </c>
      <c r="B88" s="52" t="str">
        <f>IF(csv!F78="","",csv!T78)</f>
        <v>M21B</v>
      </c>
      <c r="C88" s="31" t="s">
        <v>0</v>
      </c>
      <c r="D88" s="31" t="str">
        <f>IF(csv!F78="","",csv!F78)</f>
        <v>Domagoj</v>
      </c>
      <c r="E88" s="31" t="str">
        <f>IF(csv!E78="","",csv!E78)</f>
        <v>Kavečić</v>
      </c>
      <c r="F88" s="31" t="s">
        <v>0</v>
      </c>
      <c r="G88" s="73" t="str">
        <f>IF(csv!M78="","",csv!M78)</f>
        <v>93:45</v>
      </c>
      <c r="H88" s="73" t="str">
        <f>IF(csv!N78="","",csv!N78)</f>
        <v>0</v>
      </c>
      <c r="I88" s="31" t="s">
        <v>0</v>
      </c>
      <c r="J88" s="31" t="str">
        <f>IF(csv!P78="","",csv!P78)</f>
        <v>Vihor</v>
      </c>
      <c r="K88" s="31" t="str">
        <f>IF(csv!Q78="","",csv!Q78)</f>
        <v>OK Vihor</v>
      </c>
      <c r="L88" s="31" t="s">
        <v>0</v>
      </c>
      <c r="M88" s="66" t="str">
        <f>IF(csv!R78="","",csv!R78)</f>
        <v>CRO</v>
      </c>
      <c r="N88" s="47" t="s">
        <v>0</v>
      </c>
      <c r="O88" s="243" t="str">
        <f t="shared" si="95"/>
        <v>ok</v>
      </c>
      <c r="P88" s="47"/>
      <c r="Q88" s="52" t="str">
        <f t="shared" si="96"/>
        <v>M21B</v>
      </c>
      <c r="R88" s="73">
        <f>IF(Q88="","",IF(COUNTIF(Q$12:Q87,Q88)=0,R87+1,R87))</f>
        <v>6</v>
      </c>
      <c r="S88" s="73">
        <f t="shared" si="97"/>
        <v>108</v>
      </c>
      <c r="T88" s="73">
        <f t="shared" si="72"/>
        <v>19</v>
      </c>
      <c r="U88" s="66" t="str">
        <f t="shared" si="73"/>
        <v>M21B – M16</v>
      </c>
      <c r="V88" s="47" t="s">
        <v>0</v>
      </c>
      <c r="W88" s="222" t="str">
        <f t="shared" si="74"/>
        <v>M21B</v>
      </c>
      <c r="X88" s="223">
        <f t="shared" si="75"/>
        <v>28</v>
      </c>
      <c r="Y88" s="47" t="s">
        <v>0</v>
      </c>
      <c r="Z88" s="52" t="str">
        <f t="shared" si="98"/>
        <v>CRO</v>
      </c>
      <c r="AA88" s="73">
        <f t="shared" si="76"/>
        <v>1</v>
      </c>
      <c r="AB88" s="31" t="str">
        <f t="shared" si="99"/>
        <v/>
      </c>
      <c r="AC88" s="66" t="str">
        <f>IF(AB88="","",MAX(AC$12:AC87)+1)</f>
        <v/>
      </c>
      <c r="AD88" s="47" t="s">
        <v>0</v>
      </c>
      <c r="AE88" s="125"/>
      <c r="AF88" s="47" t="s">
        <v>0</v>
      </c>
      <c r="AG88" s="19" t="str">
        <f t="shared" si="100"/>
        <v/>
      </c>
      <c r="AH88" s="47" t="s">
        <v>0</v>
      </c>
      <c r="AI88" s="143" t="str">
        <f t="shared" si="101"/>
        <v>CRO</v>
      </c>
      <c r="AJ88" s="47"/>
      <c r="AK88" s="52" t="str">
        <f t="shared" si="102"/>
        <v>Domagoj</v>
      </c>
      <c r="AL88" s="31" t="str">
        <f t="shared" si="103"/>
        <v>Kavečić</v>
      </c>
      <c r="AM88" s="73">
        <f t="shared" si="104"/>
        <v>1921</v>
      </c>
      <c r="AN88" s="73" t="str">
        <f t="shared" si="105"/>
        <v/>
      </c>
      <c r="AO88" s="31" t="str">
        <f t="shared" si="77"/>
        <v>Domagoj</v>
      </c>
      <c r="AP88" s="66" t="str">
        <f t="shared" si="78"/>
        <v>Kavečić</v>
      </c>
      <c r="AQ88" s="47" t="s">
        <v>0</v>
      </c>
      <c r="AR88" s="82" t="str">
        <f t="shared" si="106"/>
        <v/>
      </c>
      <c r="AS88" s="47" t="s">
        <v>0</v>
      </c>
      <c r="AT88" s="19" t="str">
        <f t="shared" si="107"/>
        <v/>
      </c>
      <c r="AU88" s="47" t="s">
        <v>0</v>
      </c>
      <c r="AV88" s="103"/>
      <c r="AW88" s="105"/>
      <c r="AX88" s="47" t="s">
        <v>0</v>
      </c>
      <c r="AY88" s="256" t="str">
        <f t="shared" si="125"/>
        <v/>
      </c>
      <c r="AZ88" s="47" t="s">
        <v>0</v>
      </c>
      <c r="BA88" s="52" t="str">
        <f t="shared" si="79"/>
        <v/>
      </c>
      <c r="BB88" s="73" t="str">
        <f>IF(AV88&amp;AW88="","",MAX(BB$12:BB87)+1)</f>
        <v/>
      </c>
      <c r="BC88" s="268" t="str">
        <f t="shared" si="80"/>
        <v/>
      </c>
      <c r="BD88" s="53" t="str">
        <f>IF(AND(AM88="NEMA",AN88="NEMA",OR(AV88&amp;AW88="",BC88="NEMA")),MAX(BD$12:BD87)+1,"")</f>
        <v/>
      </c>
      <c r="BE88" s="47" t="s">
        <v>0</v>
      </c>
      <c r="BF88" s="52" t="str">
        <f t="shared" si="81"/>
        <v>Domagoj</v>
      </c>
      <c r="BG88" s="31" t="str">
        <f t="shared" si="82"/>
        <v>Kavečić</v>
      </c>
      <c r="BH88" s="73" t="str">
        <f t="shared" si="108"/>
        <v/>
      </c>
      <c r="BI88" s="53">
        <f t="shared" si="109"/>
        <v>1921</v>
      </c>
      <c r="BJ88" s="47" t="s">
        <v>0</v>
      </c>
      <c r="BK88" s="52" t="str">
        <f t="shared" si="83"/>
        <v>Vihor</v>
      </c>
      <c r="BL88" s="31" t="str">
        <f t="shared" si="84"/>
        <v>OK Vihor</v>
      </c>
      <c r="BM88" s="73">
        <f t="shared" si="85"/>
        <v>12</v>
      </c>
      <c r="BN88" s="73" t="str">
        <f t="shared" si="86"/>
        <v/>
      </c>
      <c r="BO88" s="31" t="str" cm="1">
        <f t="array" ref="BO88">IF(BN88="",""&amp;BL88,IF(BN88="NEMA",BL88,INDEX(regKlub_naziv,MATCH(INDEX(regKlub_alias_klubId,BN88),regKlub_id,0))))</f>
        <v>OK Vihor</v>
      </c>
      <c r="BP88" s="31" t="str" cm="1">
        <f t="array" ref="BP88">IFERROR(""&amp;INDEX(regNatjecatelj_klub,DY88),"")</f>
        <v>OK Vihor</v>
      </c>
      <c r="BQ88" s="88" t="str">
        <f t="shared" si="110"/>
        <v/>
      </c>
      <c r="BR88" s="66" t="str">
        <f t="shared" si="111"/>
        <v>OK Vihor</v>
      </c>
      <c r="BS88" s="47" t="s">
        <v>0</v>
      </c>
      <c r="BT88" s="82" t="str">
        <f>IF(BN88&lt;&gt;"NEMA","",IF(IFERROR(MATCH(BL88,BL$12:BL87,0),0)&lt;&gt;0,"",BL88))</f>
        <v/>
      </c>
      <c r="BU88" s="47" t="s">
        <v>0</v>
      </c>
      <c r="BV88" s="125"/>
      <c r="BW88" s="47" t="s">
        <v>0</v>
      </c>
      <c r="BX88" s="58" t="str">
        <f t="shared" si="112"/>
        <v/>
      </c>
      <c r="BY88" s="31" t="str">
        <f t="shared" si="113"/>
        <v/>
      </c>
      <c r="BZ88" s="31" t="str">
        <f>IF(BY88="","",MAX(BZ$12:BZ87)+1)</f>
        <v/>
      </c>
      <c r="CA88" s="31" t="str">
        <f>IF(BY88="","",IF(AA88="","",IF(AA88="NEMA",AC88,AA88)))</f>
        <v/>
      </c>
      <c r="CB88" s="31" t="str">
        <f t="shared" si="114"/>
        <v/>
      </c>
      <c r="CC88" s="31" t="str">
        <f>IF(BV88="","",MAX(CC$12:CC87)+1)</f>
        <v/>
      </c>
      <c r="CD88" s="31" t="str">
        <f t="shared" si="115"/>
        <v/>
      </c>
      <c r="CE88" s="66" t="str">
        <f t="shared" si="116"/>
        <v/>
      </c>
      <c r="CF88" s="47" t="s">
        <v>0</v>
      </c>
      <c r="CG88" s="73" t="str">
        <f>IF(BN88="","",IF(BN88&lt;&gt;"NEMA","",IFERROR(INDEX(nat_klubAliasId,MATCH(BL88,nat_noviKluboviAliasi,0)),"")))</f>
        <v/>
      </c>
      <c r="CH88" s="47"/>
      <c r="CI88" s="19" t="str">
        <f t="shared" si="117"/>
        <v/>
      </c>
      <c r="CJ88" s="47" t="s">
        <v>0</v>
      </c>
      <c r="CK88" s="52" t="str">
        <f>IF(X88&lt;&gt;"NEMA","",IF(IFERROR(MATCH(W88,W$12:W87,0),0)&lt;&gt;0,"",W88))</f>
        <v/>
      </c>
      <c r="CL88" s="73" t="str">
        <f>IF(CK88="","",IFERROR(INDEX(regKlub_alias_id,MATCH(CK88,regKlub_alias_alias,0)),"NEMA"))</f>
        <v/>
      </c>
      <c r="CM88" s="31" t="str">
        <f>IF(OR(CL88="",CL88&lt;&gt;"NEMA"),"",MAX(CM$12:CM87)+1)</f>
        <v/>
      </c>
      <c r="CN88" s="66" t="str">
        <f>IF(OR(CL88="",CL88&lt;&gt;"NEMA"),"",INDEX(regKlub_id,MATCH(CK88,regKlub_naziv,0)))</f>
        <v/>
      </c>
      <c r="CO88" s="47" t="s">
        <v>0</v>
      </c>
      <c r="CP88" s="19" t="str">
        <f>IF(OR(CL88="",CL88&lt;&gt;"NEMA"),"","INSERT INTO klub_alias(id,alias,klub_id) VALUES ("&amp;CM88&amp;",'"&amp;CK88&amp;"',"&amp;CN88&amp;");")</f>
        <v/>
      </c>
      <c r="CQ88" s="47" t="s">
        <v>0</v>
      </c>
      <c r="CR88" s="143" t="str">
        <f>IF(BR88="","",IF(BV88="",IF(IFERROR(MATCH(BR88,nat_noviKluboviAliasi,0),0)&gt;0,INDEX(nat_kluboviAliasi,MATCH(BR88,nat_noviKluboviAliasi,0)),BR88),BV88))</f>
        <v>OK Vihor</v>
      </c>
      <c r="CS88" s="47" t="s">
        <v>0</v>
      </c>
      <c r="CT88" s="58" t="str">
        <f>IF(G88="","",G88)</f>
        <v>93:45</v>
      </c>
      <c r="CU88" s="73" t="str">
        <f>IF(H88="","",H88)</f>
        <v>0</v>
      </c>
      <c r="CV88" s="229" t="str">
        <f>IF(CT88="",IF(OR(AL88="",CU88&lt;&gt;"0"),"","GREŠKA"),IF(AND(65535&gt;=VALUE(LEFT(CT88,SEARCH(":",CT88)-1))*60+VALUE(RIGHT(CT88,2)),OR(CU88="0",CU88="1",CU88="2",CU88="3",CU88="4")),"","GREŠKA"))</f>
        <v/>
      </c>
      <c r="CW88" s="230">
        <f t="shared" si="71"/>
        <v>5625</v>
      </c>
      <c r="CX88" s="163">
        <f t="shared" si="87"/>
        <v>1</v>
      </c>
      <c r="CY88" s="47" t="s">
        <v>0</v>
      </c>
      <c r="CZ88" s="222" t="str">
        <f>IF(CV88&lt;&gt;"GREŠKA","",AK88&amp;" "&amp;AL88&amp;" – Molim u OEventu provjeriti i ispraviti rezultat – vrijeme ("&amp;IF(CT88="","nije upisano",CT88)&amp;") i classifier ("&amp;CU88&amp;").")&amp;IF(OR(CV88&lt;&gt;"GREŠKA",CX88&lt;&gt;5),"
","")&amp;IF(CX88&lt;&gt;5,"",AK88&amp;" "&amp;AL88&amp;" – Molim u provjeriti je li natjecatelj zaista diskvalificiran. Ako je koje je obrazloženje, ako nije molim u OEventu ispraviti rezultat")</f>
        <v xml:space="preserve">
</v>
      </c>
      <c r="DA88" s="223">
        <f t="shared" si="118"/>
        <v>6</v>
      </c>
      <c r="DB88" s="47" t="s">
        <v>0</v>
      </c>
      <c r="DC88" s="47"/>
      <c r="DD88" s="47"/>
      <c r="DE88" s="47"/>
      <c r="DF88" s="47" t="s">
        <v>0</v>
      </c>
      <c r="DG88" s="53" t="str">
        <f>IF(BD88="","",IF(DI88="O",1,""))</f>
        <v/>
      </c>
      <c r="DH88" t="s">
        <v>0</v>
      </c>
      <c r="DI88" s="128" t="str">
        <f>IF(Q88="","",LEFT(INDEX(regKategorija_oznaka,MATCH(S88,regKategorija_id,0)),1))</f>
        <v>M</v>
      </c>
      <c r="DJ88" t="s">
        <v>0</v>
      </c>
      <c r="DK88" s="52" t="str">
        <f>IF(BD88="","",IF(M88&lt;&gt;"CRO","","INSERT INTO osoba (id,reg_broj,oib,spol_id,dat_rodjenja) VALUES ("&amp;BD88&amp;",(SELECT max(os.reg_broj)+1 FROM osoba AS os),Null,'"&amp;DI88&amp;"',Null); INSERT INTO osoba_log (id,reg_broj,oib,spol_id,dat_rodjenja,dnevnik_id) SELECT id,reg_broj,oib,spol_id,dat_rodjenja,"&amp;data_dnevnik_id&amp;" FROM osoba WHERE id = "&amp;BD88&amp;";"))</f>
        <v/>
      </c>
      <c r="DL88" s="66" t="str">
        <f>IF(BD88="","","INSERT INTO imeprezime (id,osoba_id,rbr,ime,prezime,klub_id,identitet_id,sintaksa_id,info,aktivno,dnevnik_id) VALUES ("&amp;BD88&amp;","&amp;IF(DK88="","Null",BD88)&amp;",1,'"&amp;IF(AV88&lt;&gt;"",AV88,AK88)&amp;"','"&amp;IF(AW88&lt;&gt;"",AW88,AL88)&amp;"',(SELECT id FROM klub WHERE naziv = '"&amp;CR88&amp;"'),Null,1,'',1,"&amp;data_dnevnik_id&amp;");")</f>
        <v/>
      </c>
      <c r="DM88" t="s">
        <v>0</v>
      </c>
      <c r="DN88" s="19" t="str">
        <f t="shared" si="126"/>
        <v/>
      </c>
      <c r="DO88" s="47" t="s">
        <v>0</v>
      </c>
      <c r="DP88" s="19" t="str">
        <f>IF(BA88="","","INSERT INTO imeprezime_alias(id,alias,imeprezime_id) VALUES ("&amp;BB88&amp;",'"&amp;BA88&amp;"',"&amp;IF(BC88="NEMA",BD88,BC88)&amp;");")</f>
        <v/>
      </c>
      <c r="DQ88" s="47" t="s">
        <v>0</v>
      </c>
      <c r="DR88" s="52" t="str">
        <f>IF(AL88="","",DU88 &amp; IF(Q88="",""," – " &amp; Q88))</f>
        <v>Domagoj – Kavečić – OK Vihor – M21B</v>
      </c>
      <c r="DS88" s="53">
        <f t="shared" si="88"/>
        <v>734</v>
      </c>
      <c r="DT88" s="47" t="s">
        <v>0</v>
      </c>
      <c r="DU88" s="52" t="str">
        <f>IF(AL88="","",DX88 &amp; IF(CR88="",""," – " &amp; CR88))</f>
        <v>Domagoj – Kavečić – OK Vihor</v>
      </c>
      <c r="DV88" s="53">
        <f t="shared" si="89"/>
        <v>734</v>
      </c>
      <c r="DW88" s="47" t="s">
        <v>0</v>
      </c>
      <c r="DX88" s="52" t="str">
        <f>IF(BG88="","",BF88&amp;" – "&amp;BG88)</f>
        <v>Domagoj – Kavečić</v>
      </c>
      <c r="DY88" s="53">
        <f t="shared" si="90"/>
        <v>734</v>
      </c>
      <c r="DZ88" s="47" t="s">
        <v>0</v>
      </c>
      <c r="EA88" s="58">
        <f t="shared" si="119"/>
        <v>734</v>
      </c>
      <c r="EB88" s="53" cm="1">
        <f t="array" ref="EB88">IF(EA88&lt;&gt;"",INDEX(regNatjecatelj_id,EA88,0),IF(BD88&lt;&gt;"",BD88,""))</f>
        <v>1921</v>
      </c>
      <c r="EC88" s="47" t="s">
        <v>0</v>
      </c>
      <c r="ED88" s="58" t="str">
        <f>IF(AL88="","",IF(BD88&lt;&gt;"","novo",IF(AN88="","imepre","imepre(ali)")))</f>
        <v>imepre</v>
      </c>
      <c r="EE88" s="73" t="str">
        <f>IF(AL88="","",IF(BL88="",IF(IFERROR(INDEX(regNatjecatelj_klub,MATCH(EB88,regNatjecatelj_id,0)),"NEMA")="","klu",""),IF(OR(AND(BN88&lt;&gt;"",BN88&lt;&gt;"NEMA"),CD88&lt;&gt;""),"klu(ali)",IF(AND(BP88&lt;&gt;"",BP88&lt;&gt;BO88),"(raz-klu)","klu"))))</f>
        <v>klu</v>
      </c>
      <c r="EF88" s="73" t="str">
        <f>IF(AL88="","","kat"&amp;IF(AND(W88&lt;&gt;Q88,Q88&lt;&gt;"Open"),"(ali)",""))</f>
        <v>kat</v>
      </c>
      <c r="EG88" s="73" t="str">
        <f t="shared" si="91"/>
        <v/>
      </c>
      <c r="EH88" s="66" t="str">
        <f>IF(AL88="","",ED88&amp;IF(ED88="novo","","-"&amp;EE88&amp;"-"&amp;EF88)&amp;IF(EG88="","","-"&amp;EG88))</f>
        <v>imepre-klu-kat</v>
      </c>
      <c r="EI88" s="47" t="s">
        <v>0</v>
      </c>
      <c r="EJ88" s="58">
        <f>IF(AL88="","",MAX(EJ$12:EJ87)+1)</f>
        <v>258</v>
      </c>
      <c r="EK88" s="73">
        <f>IF(AO88="","",X88)</f>
        <v>28</v>
      </c>
      <c r="EL88" s="73">
        <f t="shared" si="120"/>
        <v>1921</v>
      </c>
      <c r="EM88" s="73">
        <f t="shared" si="92"/>
        <v>5625</v>
      </c>
      <c r="EN88" s="73">
        <f t="shared" si="93"/>
        <v>1</v>
      </c>
      <c r="EO88" s="73">
        <f t="shared" si="121"/>
        <v>1</v>
      </c>
      <c r="EP88" s="73">
        <f t="shared" si="122"/>
        <v>1</v>
      </c>
      <c r="EQ88" s="73" t="str">
        <f t="shared" si="94"/>
        <v>0</v>
      </c>
      <c r="ER88" s="73" t="str">
        <f>IF(OR(AN88="",AN88="NEMA"),BB88,AN88)</f>
        <v/>
      </c>
      <c r="ES88" s="73" t="str">
        <f>IF(AND(BN88&lt;&gt;"",BN88&lt;&gt;"NEMA"),BN88,IF(CG88&lt;&gt;"",CG88,IF(AND(CL88&lt;&gt;"",CL88&lt;&gt;"NEMA"),CL88,IF(CM88&lt;&gt;"",CM88,""))))</f>
        <v/>
      </c>
      <c r="ET88" s="53" t="str">
        <f>IF(INDEX(natKategorija_alias_Id,MATCH(S88,natKategorija_katRegId,0))="","",INDEX(natKategorija_alias_Id,MATCH(S88,natKategorija_katRegId,0)))</f>
        <v/>
      </c>
      <c r="EU88" s="47" t="s">
        <v>0</v>
      </c>
      <c r="EV88" s="19" t="str">
        <f t="shared" si="123"/>
        <v>INSERT INTO rezultat(id,stazakategorija_id,imeprezime_id,vrijeme_sec,status_id,registracija,uparivanje_id,originalstatus_id,imeprezimealias_id,klubalias_id,kategorijaalias_id) VALUES (258,28,1921,5625,1,1,1,0,Null,Null,Null);</v>
      </c>
      <c r="EW88" s="47" t="s">
        <v>0</v>
      </c>
      <c r="EX88" s="19" t="str">
        <f t="shared" si="124"/>
        <v>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8" s="47" t="s">
        <v>0</v>
      </c>
      <c r="EZ88" s="180" t="str">
        <f>AG88&amp;IF(CP88="","","
")&amp;CP88&amp;IF(CI88="","","
")&amp;CI88&amp;IF(DN88="","","
")&amp;DN88&amp;IF(DP88="","","
")&amp;DP88&amp;IF(EV88="","","
")&amp;EV88&amp;IF(EX88="","","
")&amp;EX88</f>
        <v xml:space="preserve">
INSERT INTO rezultat(id,stazakategorija_id,imeprezime_id,vrijeme_sec,status_id,registracija,uparivanje_id,originalstatus_id,imeprezimealias_id,klubalias_id,kategorijaalias_id) VALUES (258,28,1921,5625,1,1,1,0,Null,Null,Null);
UPDATE
	registar
SET
	potvrda = 1
WHERE
	imeprezime_id=1921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8" s="47" t="s">
        <v>0</v>
      </c>
    </row>
    <row r="89" spans="1:157" x14ac:dyDescent="0.25">
      <c r="A89" t="s">
        <v>0</v>
      </c>
      <c r="B89" s="52" t="str">
        <f>IF(csv!F79="","",csv!T79)</f>
        <v>M21B</v>
      </c>
      <c r="C89" s="31" t="s">
        <v>0</v>
      </c>
      <c r="D89" s="31" t="str">
        <f>IF(csv!F79="","",csv!F79)</f>
        <v>Karlo</v>
      </c>
      <c r="E89" s="31" t="str">
        <f>IF(csv!E79="","",csv!E79)</f>
        <v>Težak</v>
      </c>
      <c r="F89" s="31" t="s">
        <v>0</v>
      </c>
      <c r="G89" s="73" t="str">
        <f>IF(csv!M79="","",csv!M79)</f>
        <v>98:29</v>
      </c>
      <c r="H89" s="73" t="str">
        <f>IF(csv!N79="","",csv!N79)</f>
        <v>0</v>
      </c>
      <c r="I89" s="31" t="s">
        <v>0</v>
      </c>
      <c r="J89" s="31" t="str">
        <f>IF(csv!P79="","",csv!P79)</f>
        <v>Vihor</v>
      </c>
      <c r="K89" s="31" t="str">
        <f>IF(csv!Q79="","",csv!Q79)</f>
        <v>OK Vihor</v>
      </c>
      <c r="L89" s="31" t="s">
        <v>0</v>
      </c>
      <c r="M89" s="66" t="str">
        <f>IF(csv!R79="","",csv!R79)</f>
        <v>CRO</v>
      </c>
      <c r="N89" s="47" t="s">
        <v>0</v>
      </c>
      <c r="O89" s="243" t="str">
        <f t="shared" si="95"/>
        <v>ok</v>
      </c>
      <c r="P89" s="47"/>
      <c r="Q89" s="52" t="str">
        <f t="shared" si="96"/>
        <v>M21B</v>
      </c>
      <c r="R89" s="73">
        <f>IF(Q89="","",IF(COUNTIF(Q$12:Q88,Q89)=0,R88+1,R88))</f>
        <v>6</v>
      </c>
      <c r="S89" s="73">
        <f t="shared" si="97"/>
        <v>108</v>
      </c>
      <c r="T89" s="73">
        <f t="shared" si="72"/>
        <v>19</v>
      </c>
      <c r="U89" s="66" t="str">
        <f t="shared" si="73"/>
        <v>M21B – M16</v>
      </c>
      <c r="V89" s="47" t="s">
        <v>0</v>
      </c>
      <c r="W89" s="222" t="str">
        <f t="shared" si="74"/>
        <v>M21B</v>
      </c>
      <c r="X89" s="223">
        <f t="shared" si="75"/>
        <v>28</v>
      </c>
      <c r="Y89" s="47" t="s">
        <v>0</v>
      </c>
      <c r="Z89" s="52" t="str">
        <f t="shared" si="98"/>
        <v>CRO</v>
      </c>
      <c r="AA89" s="73">
        <f t="shared" si="76"/>
        <v>1</v>
      </c>
      <c r="AB89" s="31" t="str">
        <f t="shared" si="99"/>
        <v/>
      </c>
      <c r="AC89" s="66" t="str">
        <f>IF(AB89="","",MAX(AC$12:AC88)+1)</f>
        <v/>
      </c>
      <c r="AD89" s="47" t="s">
        <v>0</v>
      </c>
      <c r="AE89" s="125"/>
      <c r="AF89" s="47" t="s">
        <v>0</v>
      </c>
      <c r="AG89" s="19" t="str">
        <f t="shared" si="100"/>
        <v/>
      </c>
      <c r="AH89" s="47" t="s">
        <v>0</v>
      </c>
      <c r="AI89" s="143" t="str">
        <f t="shared" si="101"/>
        <v>CRO</v>
      </c>
      <c r="AJ89" s="47"/>
      <c r="AK89" s="52" t="str">
        <f t="shared" si="102"/>
        <v>Karlo</v>
      </c>
      <c r="AL89" s="31" t="str">
        <f t="shared" si="103"/>
        <v>Težak</v>
      </c>
      <c r="AM89" s="73">
        <f t="shared" si="104"/>
        <v>1114</v>
      </c>
      <c r="AN89" s="73" t="str">
        <f t="shared" si="105"/>
        <v/>
      </c>
      <c r="AO89" s="31" t="str">
        <f t="shared" si="77"/>
        <v>Karlo</v>
      </c>
      <c r="AP89" s="66" t="str">
        <f t="shared" si="78"/>
        <v>Težak</v>
      </c>
      <c r="AQ89" s="47" t="s">
        <v>0</v>
      </c>
      <c r="AR89" s="82" t="str">
        <f t="shared" si="106"/>
        <v/>
      </c>
      <c r="AS89" s="47" t="s">
        <v>0</v>
      </c>
      <c r="AT89" s="19" t="str">
        <f t="shared" si="107"/>
        <v/>
      </c>
      <c r="AU89" s="47" t="s">
        <v>0</v>
      </c>
      <c r="AV89" s="103"/>
      <c r="AW89" s="105"/>
      <c r="AX89" s="47" t="s">
        <v>0</v>
      </c>
      <c r="AY89" s="256" t="str">
        <f t="shared" si="125"/>
        <v/>
      </c>
      <c r="AZ89" s="47" t="s">
        <v>0</v>
      </c>
      <c r="BA89" s="52" t="str">
        <f t="shared" si="79"/>
        <v/>
      </c>
      <c r="BB89" s="73" t="str">
        <f>IF(AV89&amp;AW89="","",MAX(BB$12:BB88)+1)</f>
        <v/>
      </c>
      <c r="BC89" s="268" t="str">
        <f t="shared" si="80"/>
        <v/>
      </c>
      <c r="BD89" s="53" t="str">
        <f>IF(AND(AM89="NEMA",AN89="NEMA",OR(AV89&amp;AW89="",BC89="NEMA")),MAX(BD$12:BD88)+1,"")</f>
        <v/>
      </c>
      <c r="BE89" s="47" t="s">
        <v>0</v>
      </c>
      <c r="BF89" s="52" t="str">
        <f t="shared" si="81"/>
        <v>Karlo</v>
      </c>
      <c r="BG89" s="31" t="str">
        <f t="shared" si="82"/>
        <v>Težak</v>
      </c>
      <c r="BH89" s="73" t="str">
        <f t="shared" si="108"/>
        <v/>
      </c>
      <c r="BI89" s="53">
        <f t="shared" si="109"/>
        <v>1114</v>
      </c>
      <c r="BJ89" s="47" t="s">
        <v>0</v>
      </c>
      <c r="BK89" s="52" t="str">
        <f t="shared" si="83"/>
        <v>Vihor</v>
      </c>
      <c r="BL89" s="31" t="str">
        <f t="shared" si="84"/>
        <v>OK Vihor</v>
      </c>
      <c r="BM89" s="73">
        <f t="shared" si="85"/>
        <v>12</v>
      </c>
      <c r="BN89" s="73" t="str">
        <f t="shared" si="86"/>
        <v/>
      </c>
      <c r="BO89" s="31" t="str" cm="1">
        <f t="array" ref="BO89">IF(BN89="",""&amp;BL89,IF(BN89="NEMA",BL89,INDEX(regKlub_naziv,MATCH(INDEX(regKlub_alias_klubId,BN89),regKlub_id,0))))</f>
        <v>OK Vihor</v>
      </c>
      <c r="BP89" s="31" t="str" cm="1">
        <f t="array" ref="BP89">IFERROR(""&amp;INDEX(regNatjecatelj_klub,DY89),"")</f>
        <v>OK Vihor</v>
      </c>
      <c r="BQ89" s="88" t="str">
        <f t="shared" si="110"/>
        <v/>
      </c>
      <c r="BR89" s="66" t="str">
        <f t="shared" si="111"/>
        <v>OK Vihor</v>
      </c>
      <c r="BS89" s="47" t="s">
        <v>0</v>
      </c>
      <c r="BT89" s="82" t="str">
        <f>IF(BN89&lt;&gt;"NEMA","",IF(IFERROR(MATCH(BL89,BL$12:BL88,0),0)&lt;&gt;0,"",BL89))</f>
        <v/>
      </c>
      <c r="BU89" s="47" t="s">
        <v>0</v>
      </c>
      <c r="BV89" s="125"/>
      <c r="BW89" s="47" t="s">
        <v>0</v>
      </c>
      <c r="BX89" s="58" t="str">
        <f t="shared" si="112"/>
        <v/>
      </c>
      <c r="BY89" s="31" t="str">
        <f t="shared" si="113"/>
        <v/>
      </c>
      <c r="BZ89" s="31" t="str">
        <f>IF(BY89="","",MAX(BZ$12:BZ88)+1)</f>
        <v/>
      </c>
      <c r="CA89" s="31" t="str">
        <f>IF(BY89="","",IF(AA89="","",IF(AA89="NEMA",AC89,AA89)))</f>
        <v/>
      </c>
      <c r="CB89" s="31" t="str">
        <f t="shared" si="114"/>
        <v/>
      </c>
      <c r="CC89" s="31" t="str">
        <f>IF(BV89="","",MAX(CC$12:CC88)+1)</f>
        <v/>
      </c>
      <c r="CD89" s="31" t="str">
        <f t="shared" si="115"/>
        <v/>
      </c>
      <c r="CE89" s="66" t="str">
        <f t="shared" si="116"/>
        <v/>
      </c>
      <c r="CF89" s="47" t="s">
        <v>0</v>
      </c>
      <c r="CG89" s="73" t="str">
        <f>IF(BN89="","",IF(BN89&lt;&gt;"NEMA","",IFERROR(INDEX(nat_klubAliasId,MATCH(BL89,nat_noviKluboviAliasi,0)),"")))</f>
        <v/>
      </c>
      <c r="CH89" s="47"/>
      <c r="CI89" s="19" t="str">
        <f t="shared" si="117"/>
        <v/>
      </c>
      <c r="CJ89" s="47" t="s">
        <v>0</v>
      </c>
      <c r="CK89" s="52" t="str">
        <f>IF(X89&lt;&gt;"NEMA","",IF(IFERROR(MATCH(W89,W$12:W88,0),0)&lt;&gt;0,"",W89))</f>
        <v/>
      </c>
      <c r="CL89" s="73" t="str">
        <f>IF(CK89="","",IFERROR(INDEX(regKlub_alias_id,MATCH(CK89,regKlub_alias_alias,0)),"NEMA"))</f>
        <v/>
      </c>
      <c r="CM89" s="31" t="str">
        <f>IF(OR(CL89="",CL89&lt;&gt;"NEMA"),"",MAX(CM$12:CM88)+1)</f>
        <v/>
      </c>
      <c r="CN89" s="66" t="str">
        <f>IF(OR(CL89="",CL89&lt;&gt;"NEMA"),"",INDEX(regKlub_id,MATCH(CK89,regKlub_naziv,0)))</f>
        <v/>
      </c>
      <c r="CO89" s="47" t="s">
        <v>0</v>
      </c>
      <c r="CP89" s="19" t="str">
        <f>IF(OR(CL89="",CL89&lt;&gt;"NEMA"),"","INSERT INTO klub_alias(id,alias,klub_id) VALUES ("&amp;CM89&amp;",'"&amp;CK89&amp;"',"&amp;CN89&amp;");")</f>
        <v/>
      </c>
      <c r="CQ89" s="47" t="s">
        <v>0</v>
      </c>
      <c r="CR89" s="143" t="str">
        <f>IF(BR89="","",IF(BV89="",IF(IFERROR(MATCH(BR89,nat_noviKluboviAliasi,0),0)&gt;0,INDEX(nat_kluboviAliasi,MATCH(BR89,nat_noviKluboviAliasi,0)),BR89),BV89))</f>
        <v>OK Vihor</v>
      </c>
      <c r="CS89" s="47" t="s">
        <v>0</v>
      </c>
      <c r="CT89" s="58" t="str">
        <f>IF(G89="","",G89)</f>
        <v>98:29</v>
      </c>
      <c r="CU89" s="73" t="str">
        <f>IF(H89="","",H89)</f>
        <v>0</v>
      </c>
      <c r="CV89" s="229" t="str">
        <f>IF(CT89="",IF(OR(AL89="",CU89&lt;&gt;"0"),"","GREŠKA"),IF(AND(65535&gt;=VALUE(LEFT(CT89,SEARCH(":",CT89)-1))*60+VALUE(RIGHT(CT89,2)),OR(CU89="0",CU89="1",CU89="2",CU89="3",CU89="4")),"","GREŠKA"))</f>
        <v/>
      </c>
      <c r="CW89" s="230">
        <f t="shared" si="71"/>
        <v>5909</v>
      </c>
      <c r="CX89" s="163">
        <f t="shared" si="87"/>
        <v>1</v>
      </c>
      <c r="CY89" s="47" t="s">
        <v>0</v>
      </c>
      <c r="CZ89" s="222" t="str">
        <f>IF(CV89&lt;&gt;"GREŠKA","",AK89&amp;" "&amp;AL89&amp;" – Molim u OEventu provjeriti i ispraviti rezultat – vrijeme ("&amp;IF(CT89="","nije upisano",CT89)&amp;") i classifier ("&amp;CU89&amp;").")&amp;IF(OR(CV89&lt;&gt;"GREŠKA",CX89&lt;&gt;5),"
","")&amp;IF(CX89&lt;&gt;5,"",AK89&amp;" "&amp;AL89&amp;" – Molim u provjeriti je li natjecatelj zaista diskvalificiran. Ako je koje je obrazloženje, ako nije molim u OEventu ispraviti rezultat")</f>
        <v xml:space="preserve">
</v>
      </c>
      <c r="DA89" s="223">
        <f t="shared" si="118"/>
        <v>6</v>
      </c>
      <c r="DB89" s="47" t="s">
        <v>0</v>
      </c>
      <c r="DC89" s="47"/>
      <c r="DD89" s="47"/>
      <c r="DE89" s="47"/>
      <c r="DF89" s="47" t="s">
        <v>0</v>
      </c>
      <c r="DG89" s="53" t="str">
        <f>IF(BD89="","",IF(DI89="O",1,""))</f>
        <v/>
      </c>
      <c r="DH89" t="s">
        <v>0</v>
      </c>
      <c r="DI89" s="128" t="str">
        <f>IF(Q89="","",LEFT(INDEX(regKategorija_oznaka,MATCH(S89,regKategorija_id,0)),1))</f>
        <v>M</v>
      </c>
      <c r="DJ89" t="s">
        <v>0</v>
      </c>
      <c r="DK89" s="52" t="str">
        <f>IF(BD89="","",IF(M89&lt;&gt;"CRO","","INSERT INTO osoba (id,reg_broj,oib,spol_id,dat_rodjenja) VALUES ("&amp;BD89&amp;",(SELECT max(os.reg_broj)+1 FROM osoba AS os),Null,'"&amp;DI89&amp;"',Null); INSERT INTO osoba_log (id,reg_broj,oib,spol_id,dat_rodjenja,dnevnik_id) SELECT id,reg_broj,oib,spol_id,dat_rodjenja,"&amp;data_dnevnik_id&amp;" FROM osoba WHERE id = "&amp;BD89&amp;";"))</f>
        <v/>
      </c>
      <c r="DL89" s="66" t="str">
        <f>IF(BD89="","","INSERT INTO imeprezime (id,osoba_id,rbr,ime,prezime,klub_id,identitet_id,sintaksa_id,info,aktivno,dnevnik_id) VALUES ("&amp;BD89&amp;","&amp;IF(DK89="","Null",BD89)&amp;",1,'"&amp;IF(AV89&lt;&gt;"",AV89,AK89)&amp;"','"&amp;IF(AW89&lt;&gt;"",AW89,AL89)&amp;"',(SELECT id FROM klub WHERE naziv = '"&amp;CR89&amp;"'),Null,1,'',1,"&amp;data_dnevnik_id&amp;");")</f>
        <v/>
      </c>
      <c r="DM89" t="s">
        <v>0</v>
      </c>
      <c r="DN89" s="19" t="str">
        <f t="shared" si="126"/>
        <v/>
      </c>
      <c r="DO89" s="47" t="s">
        <v>0</v>
      </c>
      <c r="DP89" s="19" t="str">
        <f>IF(BA89="","","INSERT INTO imeprezime_alias(id,alias,imeprezime_id) VALUES ("&amp;BB89&amp;",'"&amp;BA89&amp;"',"&amp;IF(BC89="NEMA",BD89,BC89)&amp;");")</f>
        <v/>
      </c>
      <c r="DQ89" s="47" t="s">
        <v>0</v>
      </c>
      <c r="DR89" s="52" t="str">
        <f>IF(AL89="","",DU89 &amp; IF(Q89="",""," – " &amp; Q89))</f>
        <v>Karlo – Težak – OK Vihor – M21B</v>
      </c>
      <c r="DS89" s="53">
        <f t="shared" si="88"/>
        <v>921</v>
      </c>
      <c r="DT89" s="47" t="s">
        <v>0</v>
      </c>
      <c r="DU89" s="52" t="str">
        <f>IF(AL89="","",DX89 &amp; IF(CR89="",""," – " &amp; CR89))</f>
        <v>Karlo – Težak – OK Vihor</v>
      </c>
      <c r="DV89" s="53">
        <f t="shared" si="89"/>
        <v>921</v>
      </c>
      <c r="DW89" s="47" t="s">
        <v>0</v>
      </c>
      <c r="DX89" s="52" t="str">
        <f>IF(BG89="","",BF89&amp;" – "&amp;BG89)</f>
        <v>Karlo – Težak</v>
      </c>
      <c r="DY89" s="53">
        <f t="shared" si="90"/>
        <v>921</v>
      </c>
      <c r="DZ89" s="47" t="s">
        <v>0</v>
      </c>
      <c r="EA89" s="58">
        <f t="shared" si="119"/>
        <v>921</v>
      </c>
      <c r="EB89" s="53" cm="1">
        <f t="array" ref="EB89">IF(EA89&lt;&gt;"",INDEX(regNatjecatelj_id,EA89,0),IF(BD89&lt;&gt;"",BD89,""))</f>
        <v>1114</v>
      </c>
      <c r="EC89" s="47" t="s">
        <v>0</v>
      </c>
      <c r="ED89" s="58" t="str">
        <f>IF(AL89="","",IF(BD89&lt;&gt;"","novo",IF(AN89="","imepre","imepre(ali)")))</f>
        <v>imepre</v>
      </c>
      <c r="EE89" s="73" t="str">
        <f>IF(AL89="","",IF(BL89="",IF(IFERROR(INDEX(regNatjecatelj_klub,MATCH(EB89,regNatjecatelj_id,0)),"NEMA")="","klu",""),IF(OR(AND(BN89&lt;&gt;"",BN89&lt;&gt;"NEMA"),CD89&lt;&gt;""),"klu(ali)",IF(AND(BP89&lt;&gt;"",BP89&lt;&gt;BO89),"(raz-klu)","klu"))))</f>
        <v>klu</v>
      </c>
      <c r="EF89" s="73" t="str">
        <f>IF(AL89="","","kat"&amp;IF(AND(W89&lt;&gt;Q89,Q89&lt;&gt;"Open"),"(ali)",""))</f>
        <v>kat</v>
      </c>
      <c r="EG89" s="73" t="str">
        <f t="shared" si="91"/>
        <v/>
      </c>
      <c r="EH89" s="66" t="str">
        <f>IF(AL89="","",ED89&amp;IF(ED89="novo","","-"&amp;EE89&amp;"-"&amp;EF89)&amp;IF(EG89="","","-"&amp;EG89))</f>
        <v>imepre-klu-kat</v>
      </c>
      <c r="EI89" s="47" t="s">
        <v>0</v>
      </c>
      <c r="EJ89" s="58">
        <f>IF(AL89="","",MAX(EJ$12:EJ88)+1)</f>
        <v>259</v>
      </c>
      <c r="EK89" s="73">
        <f>IF(AO89="","",X89)</f>
        <v>28</v>
      </c>
      <c r="EL89" s="73">
        <f t="shared" si="120"/>
        <v>1114</v>
      </c>
      <c r="EM89" s="73">
        <f t="shared" si="92"/>
        <v>5909</v>
      </c>
      <c r="EN89" s="73">
        <f t="shared" si="93"/>
        <v>1</v>
      </c>
      <c r="EO89" s="73">
        <f t="shared" si="121"/>
        <v>1</v>
      </c>
      <c r="EP89" s="73">
        <f t="shared" si="122"/>
        <v>1</v>
      </c>
      <c r="EQ89" s="73" t="str">
        <f t="shared" si="94"/>
        <v>0</v>
      </c>
      <c r="ER89" s="73" t="str">
        <f>IF(OR(AN89="",AN89="NEMA"),BB89,AN89)</f>
        <v/>
      </c>
      <c r="ES89" s="73" t="str">
        <f>IF(AND(BN89&lt;&gt;"",BN89&lt;&gt;"NEMA"),BN89,IF(CG89&lt;&gt;"",CG89,IF(AND(CL89&lt;&gt;"",CL89&lt;&gt;"NEMA"),CL89,IF(CM89&lt;&gt;"",CM89,""))))</f>
        <v/>
      </c>
      <c r="ET89" s="53" t="str">
        <f>IF(INDEX(natKategorija_alias_Id,MATCH(S89,natKategorija_katRegId,0))="","",INDEX(natKategorija_alias_Id,MATCH(S89,natKategorija_katRegId,0)))</f>
        <v/>
      </c>
      <c r="EU89" s="47" t="s">
        <v>0</v>
      </c>
      <c r="EV89" s="19" t="str">
        <f t="shared" si="123"/>
        <v>INSERT INTO rezultat(id,stazakategorija_id,imeprezime_id,vrijeme_sec,status_id,registracija,uparivanje_id,originalstatus_id,imeprezimealias_id,klubalias_id,kategorijaalias_id) VALUES (259,28,1114,5909,1,1,1,0,Null,Null,Null);</v>
      </c>
      <c r="EW89" s="47" t="s">
        <v>0</v>
      </c>
      <c r="EX89" s="19" t="str">
        <f t="shared" si="124"/>
        <v>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89" s="47" t="s">
        <v>0</v>
      </c>
      <c r="EZ89" s="180" t="str">
        <f>AG89&amp;IF(CP89="","","
")&amp;CP89&amp;IF(CI89="","","
")&amp;CI89&amp;IF(DN89="","","
")&amp;DN89&amp;IF(DP89="","","
")&amp;DP89&amp;IF(EV89="","","
")&amp;EV89&amp;IF(EX89="","","
")&amp;EX89</f>
        <v xml:space="preserve">
INSERT INTO rezultat(id,stazakategorija_id,imeprezime_id,vrijeme_sec,status_id,registracija,uparivanje_id,originalstatus_id,imeprezimealias_id,klubalias_id,kategorijaalias_id) VALUES (259,28,1114,5909,1,1,1,0,Null,Null,Null);
UPDATE
	registar
SET
	potvrda = 1
WHERE
	imeprezime_id=1114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89" s="47" t="s">
        <v>0</v>
      </c>
    </row>
    <row r="90" spans="1:157" x14ac:dyDescent="0.25">
      <c r="A90" t="s">
        <v>0</v>
      </c>
      <c r="B90" s="52" t="str">
        <f>IF(csv!F80="","",csv!T80)</f>
        <v>M21B</v>
      </c>
      <c r="C90" s="31" t="s">
        <v>0</v>
      </c>
      <c r="D90" s="31" t="str">
        <f>IF(csv!F80="","",csv!F80)</f>
        <v>Vjekoslav</v>
      </c>
      <c r="E90" s="31" t="str">
        <f>IF(csv!E80="","",csv!E80)</f>
        <v>Klarić</v>
      </c>
      <c r="F90" s="31" t="s">
        <v>0</v>
      </c>
      <c r="G90" s="73" t="str">
        <f>IF(csv!M80="","",csv!M80)</f>
        <v>99:32</v>
      </c>
      <c r="H90" s="73" t="str">
        <f>IF(csv!N80="","",csv!N80)</f>
        <v>0</v>
      </c>
      <c r="I90" s="31" t="s">
        <v>0</v>
      </c>
      <c r="J90" s="31" t="str">
        <f>IF(csv!P80="","",csv!P80)</f>
        <v>KAP</v>
      </c>
      <c r="K90" s="31" t="str">
        <f>IF(csv!Q80="","",csv!Q80)</f>
        <v>OK Kapela</v>
      </c>
      <c r="L90" s="31" t="s">
        <v>0</v>
      </c>
      <c r="M90" s="66" t="str">
        <f>IF(csv!R80="","",csv!R80)</f>
        <v>CRO</v>
      </c>
      <c r="N90" s="47" t="s">
        <v>0</v>
      </c>
      <c r="O90" s="243" t="str">
        <f t="shared" si="95"/>
        <v>ok</v>
      </c>
      <c r="P90" s="47"/>
      <c r="Q90" s="52" t="str">
        <f t="shared" si="96"/>
        <v>M21B</v>
      </c>
      <c r="R90" s="73">
        <f>IF(Q90="","",IF(COUNTIF(Q$12:Q89,Q90)=0,R89+1,R89))</f>
        <v>6</v>
      </c>
      <c r="S90" s="73">
        <f t="shared" si="97"/>
        <v>108</v>
      </c>
      <c r="T90" s="73">
        <f t="shared" si="72"/>
        <v>19</v>
      </c>
      <c r="U90" s="66" t="str">
        <f t="shared" si="73"/>
        <v>M21B – M16</v>
      </c>
      <c r="V90" s="47" t="s">
        <v>0</v>
      </c>
      <c r="W90" s="222" t="str">
        <f t="shared" si="74"/>
        <v>M21B</v>
      </c>
      <c r="X90" s="223">
        <f t="shared" si="75"/>
        <v>28</v>
      </c>
      <c r="Y90" s="47" t="s">
        <v>0</v>
      </c>
      <c r="Z90" s="52" t="str">
        <f t="shared" si="98"/>
        <v>CRO</v>
      </c>
      <c r="AA90" s="73">
        <f t="shared" si="76"/>
        <v>1</v>
      </c>
      <c r="AB90" s="31" t="str">
        <f t="shared" si="99"/>
        <v/>
      </c>
      <c r="AC90" s="66" t="str">
        <f>IF(AB90="","",MAX(AC$12:AC89)+1)</f>
        <v/>
      </c>
      <c r="AD90" s="47" t="s">
        <v>0</v>
      </c>
      <c r="AE90" s="125"/>
      <c r="AF90" s="47" t="s">
        <v>0</v>
      </c>
      <c r="AG90" s="19" t="str">
        <f t="shared" si="100"/>
        <v/>
      </c>
      <c r="AH90" s="47" t="s">
        <v>0</v>
      </c>
      <c r="AI90" s="143" t="str">
        <f t="shared" si="101"/>
        <v>CRO</v>
      </c>
      <c r="AJ90" s="47"/>
      <c r="AK90" s="52" t="str">
        <f t="shared" si="102"/>
        <v>Vjekoslav</v>
      </c>
      <c r="AL90" s="31" t="str">
        <f t="shared" si="103"/>
        <v>Klarić</v>
      </c>
      <c r="AM90" s="73">
        <f t="shared" si="104"/>
        <v>1871</v>
      </c>
      <c r="AN90" s="73" t="str">
        <f t="shared" si="105"/>
        <v/>
      </c>
      <c r="AO90" s="31" t="str">
        <f t="shared" si="77"/>
        <v>Vjekoslav</v>
      </c>
      <c r="AP90" s="66" t="str">
        <f t="shared" si="78"/>
        <v>Klarić</v>
      </c>
      <c r="AQ90" s="47" t="s">
        <v>0</v>
      </c>
      <c r="AR90" s="82" t="str">
        <f t="shared" si="106"/>
        <v/>
      </c>
      <c r="AS90" s="47" t="s">
        <v>0</v>
      </c>
      <c r="AT90" s="19" t="str">
        <f t="shared" si="107"/>
        <v/>
      </c>
      <c r="AU90" s="47" t="s">
        <v>0</v>
      </c>
      <c r="AV90" s="103"/>
      <c r="AW90" s="105"/>
      <c r="AX90" s="47" t="s">
        <v>0</v>
      </c>
      <c r="AY90" s="256" t="str">
        <f t="shared" si="125"/>
        <v/>
      </c>
      <c r="AZ90" s="47" t="s">
        <v>0</v>
      </c>
      <c r="BA90" s="52" t="str">
        <f t="shared" si="79"/>
        <v/>
      </c>
      <c r="BB90" s="73" t="str">
        <f>IF(AV90&amp;AW90="","",MAX(BB$12:BB89)+1)</f>
        <v/>
      </c>
      <c r="BC90" s="268" t="str">
        <f t="shared" si="80"/>
        <v/>
      </c>
      <c r="BD90" s="53" t="str">
        <f>IF(AND(AM90="NEMA",AN90="NEMA",OR(AV90&amp;AW90="",BC90="NEMA")),MAX(BD$12:BD89)+1,"")</f>
        <v/>
      </c>
      <c r="BE90" s="47" t="s">
        <v>0</v>
      </c>
      <c r="BF90" s="52" t="str">
        <f t="shared" si="81"/>
        <v>Vjekoslav</v>
      </c>
      <c r="BG90" s="31" t="str">
        <f t="shared" si="82"/>
        <v>Klarić</v>
      </c>
      <c r="BH90" s="73" t="str">
        <f t="shared" si="108"/>
        <v/>
      </c>
      <c r="BI90" s="53">
        <f t="shared" si="109"/>
        <v>1871</v>
      </c>
      <c r="BJ90" s="47" t="s">
        <v>0</v>
      </c>
      <c r="BK90" s="52" t="str">
        <f t="shared" si="83"/>
        <v>KAP</v>
      </c>
      <c r="BL90" s="31" t="str">
        <f t="shared" si="84"/>
        <v>OK Kapela</v>
      </c>
      <c r="BM90" s="73">
        <f t="shared" si="85"/>
        <v>5</v>
      </c>
      <c r="BN90" s="73" t="str">
        <f t="shared" si="86"/>
        <v/>
      </c>
      <c r="BO90" s="31" t="str" cm="1">
        <f t="array" ref="BO90">IF(BN90="",""&amp;BL90,IF(BN90="NEMA",BL90,INDEX(regKlub_naziv,MATCH(INDEX(regKlub_alias_klubId,BN90),regKlub_id,0))))</f>
        <v>OK Kapela</v>
      </c>
      <c r="BP90" s="31" t="str" cm="1">
        <f t="array" ref="BP90">IFERROR(""&amp;INDEX(regNatjecatelj_klub,DY90),"")</f>
        <v>OK Kapela</v>
      </c>
      <c r="BQ90" s="88" t="str">
        <f t="shared" si="110"/>
        <v/>
      </c>
      <c r="BR90" s="66" t="str">
        <f t="shared" si="111"/>
        <v>OK Kapela</v>
      </c>
      <c r="BS90" s="47" t="s">
        <v>0</v>
      </c>
      <c r="BT90" s="82" t="str">
        <f>IF(BN90&lt;&gt;"NEMA","",IF(IFERROR(MATCH(BL90,BL$12:BL89,0),0)&lt;&gt;0,"",BL90))</f>
        <v/>
      </c>
      <c r="BU90" s="47" t="s">
        <v>0</v>
      </c>
      <c r="BV90" s="125"/>
      <c r="BW90" s="47" t="s">
        <v>0</v>
      </c>
      <c r="BX90" s="58" t="str">
        <f t="shared" si="112"/>
        <v/>
      </c>
      <c r="BY90" s="31" t="str">
        <f t="shared" si="113"/>
        <v/>
      </c>
      <c r="BZ90" s="31" t="str">
        <f>IF(BY90="","",MAX(BZ$12:BZ89)+1)</f>
        <v/>
      </c>
      <c r="CA90" s="31" t="str">
        <f>IF(BY90="","",IF(AA90="","",IF(AA90="NEMA",AC90,AA90)))</f>
        <v/>
      </c>
      <c r="CB90" s="31" t="str">
        <f t="shared" si="114"/>
        <v/>
      </c>
      <c r="CC90" s="31" t="str">
        <f>IF(BV90="","",MAX(CC$12:CC89)+1)</f>
        <v/>
      </c>
      <c r="CD90" s="31" t="str">
        <f t="shared" si="115"/>
        <v/>
      </c>
      <c r="CE90" s="66" t="str">
        <f t="shared" si="116"/>
        <v/>
      </c>
      <c r="CF90" s="47" t="s">
        <v>0</v>
      </c>
      <c r="CG90" s="73" t="str">
        <f>IF(BN90="","",IF(BN90&lt;&gt;"NEMA","",IFERROR(INDEX(nat_klubAliasId,MATCH(BL90,nat_noviKluboviAliasi,0)),"")))</f>
        <v/>
      </c>
      <c r="CH90" s="47"/>
      <c r="CI90" s="19" t="str">
        <f t="shared" si="117"/>
        <v/>
      </c>
      <c r="CJ90" s="47" t="s">
        <v>0</v>
      </c>
      <c r="CK90" s="52" t="str">
        <f>IF(X90&lt;&gt;"NEMA","",IF(IFERROR(MATCH(W90,W$12:W89,0),0)&lt;&gt;0,"",W90))</f>
        <v/>
      </c>
      <c r="CL90" s="73" t="str">
        <f>IF(CK90="","",IFERROR(INDEX(regKlub_alias_id,MATCH(CK90,regKlub_alias_alias,0)),"NEMA"))</f>
        <v/>
      </c>
      <c r="CM90" s="31" t="str">
        <f>IF(OR(CL90="",CL90&lt;&gt;"NEMA"),"",MAX(CM$12:CM89)+1)</f>
        <v/>
      </c>
      <c r="CN90" s="66" t="str">
        <f>IF(OR(CL90="",CL90&lt;&gt;"NEMA"),"",INDEX(regKlub_id,MATCH(CK90,regKlub_naziv,0)))</f>
        <v/>
      </c>
      <c r="CO90" s="47" t="s">
        <v>0</v>
      </c>
      <c r="CP90" s="19" t="str">
        <f>IF(OR(CL90="",CL90&lt;&gt;"NEMA"),"","INSERT INTO klub_alias(id,alias,klub_id) VALUES ("&amp;CM90&amp;",'"&amp;CK90&amp;"',"&amp;CN90&amp;");")</f>
        <v/>
      </c>
      <c r="CQ90" s="47" t="s">
        <v>0</v>
      </c>
      <c r="CR90" s="143" t="str">
        <f>IF(BR90="","",IF(BV90="",IF(IFERROR(MATCH(BR90,nat_noviKluboviAliasi,0),0)&gt;0,INDEX(nat_kluboviAliasi,MATCH(BR90,nat_noviKluboviAliasi,0)),BR90),BV90))</f>
        <v>OK Kapela</v>
      </c>
      <c r="CS90" s="47" t="s">
        <v>0</v>
      </c>
      <c r="CT90" s="58" t="str">
        <f>IF(G90="","",G90)</f>
        <v>99:32</v>
      </c>
      <c r="CU90" s="73" t="str">
        <f>IF(H90="","",H90)</f>
        <v>0</v>
      </c>
      <c r="CV90" s="229" t="str">
        <f>IF(CT90="",IF(OR(AL90="",CU90&lt;&gt;"0"),"","GREŠKA"),IF(AND(65535&gt;=VALUE(LEFT(CT90,SEARCH(":",CT90)-1))*60+VALUE(RIGHT(CT90,2)),OR(CU90="0",CU90="1",CU90="2",CU90="3",CU90="4")),"","GREŠKA"))</f>
        <v/>
      </c>
      <c r="CW90" s="230">
        <f t="shared" si="71"/>
        <v>5972</v>
      </c>
      <c r="CX90" s="163">
        <f t="shared" si="87"/>
        <v>1</v>
      </c>
      <c r="CY90" s="47" t="s">
        <v>0</v>
      </c>
      <c r="CZ90" s="222" t="str">
        <f>IF(CV90&lt;&gt;"GREŠKA","",AK90&amp;" "&amp;AL90&amp;" – Molim u OEventu provjeriti i ispraviti rezultat – vrijeme ("&amp;IF(CT90="","nije upisano",CT90)&amp;") i classifier ("&amp;CU90&amp;").")&amp;IF(OR(CV90&lt;&gt;"GREŠKA",CX90&lt;&gt;5),"
","")&amp;IF(CX90&lt;&gt;5,"",AK90&amp;" "&amp;AL90&amp;" – Molim u provjeriti je li natjecatelj zaista diskvalificiran. Ako je koje je obrazloženje, ako nije molim u OEventu ispraviti rezultat")</f>
        <v xml:space="preserve">
</v>
      </c>
      <c r="DA90" s="223">
        <f t="shared" si="118"/>
        <v>6</v>
      </c>
      <c r="DB90" s="47" t="s">
        <v>0</v>
      </c>
      <c r="DC90" s="47"/>
      <c r="DD90" s="47"/>
      <c r="DE90" s="47"/>
      <c r="DF90" s="47" t="s">
        <v>0</v>
      </c>
      <c r="DG90" s="53" t="str">
        <f>IF(BD90="","",IF(DI90="O",1,""))</f>
        <v/>
      </c>
      <c r="DH90" t="s">
        <v>0</v>
      </c>
      <c r="DI90" s="128" t="str">
        <f>IF(Q90="","",LEFT(INDEX(regKategorija_oznaka,MATCH(S90,regKategorija_id,0)),1))</f>
        <v>M</v>
      </c>
      <c r="DJ90" t="s">
        <v>0</v>
      </c>
      <c r="DK90" s="52" t="str">
        <f>IF(BD90="","",IF(M90&lt;&gt;"CRO","","INSERT INTO osoba (id,reg_broj,oib,spol_id,dat_rodjenja) VALUES ("&amp;BD90&amp;",(SELECT max(os.reg_broj)+1 FROM osoba AS os),Null,'"&amp;DI90&amp;"',Null); INSERT INTO osoba_log (id,reg_broj,oib,spol_id,dat_rodjenja,dnevnik_id) SELECT id,reg_broj,oib,spol_id,dat_rodjenja,"&amp;data_dnevnik_id&amp;" FROM osoba WHERE id = "&amp;BD90&amp;";"))</f>
        <v/>
      </c>
      <c r="DL90" s="66" t="str">
        <f>IF(BD90="","","INSERT INTO imeprezime (id,osoba_id,rbr,ime,prezime,klub_id,identitet_id,sintaksa_id,info,aktivno,dnevnik_id) VALUES ("&amp;BD90&amp;","&amp;IF(DK90="","Null",BD90)&amp;",1,'"&amp;IF(AV90&lt;&gt;"",AV90,AK90)&amp;"','"&amp;IF(AW90&lt;&gt;"",AW90,AL90)&amp;"',(SELECT id FROM klub WHERE naziv = '"&amp;CR90&amp;"'),Null,1,'',1,"&amp;data_dnevnik_id&amp;");")</f>
        <v/>
      </c>
      <c r="DM90" t="s">
        <v>0</v>
      </c>
      <c r="DN90" s="19" t="str">
        <f t="shared" si="126"/>
        <v/>
      </c>
      <c r="DO90" s="47" t="s">
        <v>0</v>
      </c>
      <c r="DP90" s="19" t="str">
        <f>IF(BA90="","","INSERT INTO imeprezime_alias(id,alias,imeprezime_id) VALUES ("&amp;BB90&amp;",'"&amp;BA90&amp;"',"&amp;IF(BC90="NEMA",BD90,BC90)&amp;");")</f>
        <v/>
      </c>
      <c r="DQ90" s="47" t="s">
        <v>0</v>
      </c>
      <c r="DR90" s="52" t="str">
        <f>IF(AL90="","",DU90 &amp; IF(Q90="",""," – " &amp; Q90))</f>
        <v>Vjekoslav – Klarić – OK Kapela – M21B</v>
      </c>
      <c r="DS90" s="53">
        <f t="shared" si="88"/>
        <v>266</v>
      </c>
      <c r="DT90" s="47" t="s">
        <v>0</v>
      </c>
      <c r="DU90" s="52" t="str">
        <f>IF(AL90="","",DX90 &amp; IF(CR90="",""," – " &amp; CR90))</f>
        <v>Vjekoslav – Klarić – OK Kapela</v>
      </c>
      <c r="DV90" s="53">
        <f t="shared" si="89"/>
        <v>266</v>
      </c>
      <c r="DW90" s="47" t="s">
        <v>0</v>
      </c>
      <c r="DX90" s="52" t="str">
        <f>IF(BG90="","",BF90&amp;" – "&amp;BG90)</f>
        <v>Vjekoslav – Klarić</v>
      </c>
      <c r="DY90" s="53">
        <f t="shared" si="90"/>
        <v>266</v>
      </c>
      <c r="DZ90" s="47" t="s">
        <v>0</v>
      </c>
      <c r="EA90" s="58">
        <f t="shared" si="119"/>
        <v>266</v>
      </c>
      <c r="EB90" s="53" cm="1">
        <f t="array" ref="EB90">IF(EA90&lt;&gt;"",INDEX(regNatjecatelj_id,EA90,0),IF(BD90&lt;&gt;"",BD90,""))</f>
        <v>1871</v>
      </c>
      <c r="EC90" s="47" t="s">
        <v>0</v>
      </c>
      <c r="ED90" s="58" t="str">
        <f>IF(AL90="","",IF(BD90&lt;&gt;"","novo",IF(AN90="","imepre","imepre(ali)")))</f>
        <v>imepre</v>
      </c>
      <c r="EE90" s="73" t="str">
        <f>IF(AL90="","",IF(BL90="",IF(IFERROR(INDEX(regNatjecatelj_klub,MATCH(EB90,regNatjecatelj_id,0)),"NEMA")="","klu",""),IF(OR(AND(BN90&lt;&gt;"",BN90&lt;&gt;"NEMA"),CD90&lt;&gt;""),"klu(ali)",IF(AND(BP90&lt;&gt;"",BP90&lt;&gt;BO90),"(raz-klu)","klu"))))</f>
        <v>klu</v>
      </c>
      <c r="EF90" s="73" t="str">
        <f>IF(AL90="","","kat"&amp;IF(AND(W90&lt;&gt;Q90,Q90&lt;&gt;"Open"),"(ali)",""))</f>
        <v>kat</v>
      </c>
      <c r="EG90" s="73" t="str">
        <f t="shared" si="91"/>
        <v/>
      </c>
      <c r="EH90" s="66" t="str">
        <f>IF(AL90="","",ED90&amp;IF(ED90="novo","","-"&amp;EE90&amp;"-"&amp;EF90)&amp;IF(EG90="","","-"&amp;EG90))</f>
        <v>imepre-klu-kat</v>
      </c>
      <c r="EI90" s="47" t="s">
        <v>0</v>
      </c>
      <c r="EJ90" s="58">
        <f>IF(AL90="","",MAX(EJ$12:EJ89)+1)</f>
        <v>260</v>
      </c>
      <c r="EK90" s="73">
        <f>IF(AO90="","",X90)</f>
        <v>28</v>
      </c>
      <c r="EL90" s="73">
        <f t="shared" si="120"/>
        <v>1871</v>
      </c>
      <c r="EM90" s="73">
        <f t="shared" si="92"/>
        <v>5972</v>
      </c>
      <c r="EN90" s="73">
        <f t="shared" si="93"/>
        <v>1</v>
      </c>
      <c r="EO90" s="73">
        <f t="shared" si="121"/>
        <v>1</v>
      </c>
      <c r="EP90" s="73">
        <f t="shared" si="122"/>
        <v>1</v>
      </c>
      <c r="EQ90" s="73" t="str">
        <f t="shared" si="94"/>
        <v>0</v>
      </c>
      <c r="ER90" s="73" t="str">
        <f>IF(OR(AN90="",AN90="NEMA"),BB90,AN90)</f>
        <v/>
      </c>
      <c r="ES90" s="73" t="str">
        <f>IF(AND(BN90&lt;&gt;"",BN90&lt;&gt;"NEMA"),BN90,IF(CG90&lt;&gt;"",CG90,IF(AND(CL90&lt;&gt;"",CL90&lt;&gt;"NEMA"),CL90,IF(CM90&lt;&gt;"",CM90,""))))</f>
        <v/>
      </c>
      <c r="ET90" s="53" t="str">
        <f>IF(INDEX(natKategorija_alias_Id,MATCH(S90,natKategorija_katRegId,0))="","",INDEX(natKategorija_alias_Id,MATCH(S90,natKategorija_katRegId,0)))</f>
        <v/>
      </c>
      <c r="EU90" s="47" t="s">
        <v>0</v>
      </c>
      <c r="EV90" s="19" t="str">
        <f t="shared" si="123"/>
        <v>INSERT INTO rezultat(id,stazakategorija_id,imeprezime_id,vrijeme_sec,status_id,registracija,uparivanje_id,originalstatus_id,imeprezimealias_id,klubalias_id,kategorijaalias_id) VALUES (260,28,1871,5972,1,1,1,0,Null,Null,Null);</v>
      </c>
      <c r="EW90" s="47" t="s">
        <v>0</v>
      </c>
      <c r="EX90" s="19" t="str">
        <f t="shared" si="124"/>
        <v>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0" s="47" t="s">
        <v>0</v>
      </c>
      <c r="EZ90" s="180" t="str">
        <f>AG90&amp;IF(CP90="","","
")&amp;CP90&amp;IF(CI90="","","
")&amp;CI90&amp;IF(DN90="","","
")&amp;DN90&amp;IF(DP90="","","
")&amp;DP90&amp;IF(EV90="","","
")&amp;EV90&amp;IF(EX90="","","
")&amp;EX90</f>
        <v xml:space="preserve">
INSERT INTO rezultat(id,stazakategorija_id,imeprezime_id,vrijeme_sec,status_id,registracija,uparivanje_id,originalstatus_id,imeprezimealias_id,klubalias_id,kategorijaalias_id) VALUES (260,28,1871,5972,1,1,1,0,Null,Null,Null);
UPDATE
	registar
SET
	potvrda = 1
WHERE
	imeprezime_id=1871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0" s="47" t="s">
        <v>0</v>
      </c>
    </row>
    <row r="91" spans="1:157" x14ac:dyDescent="0.25">
      <c r="A91" t="s">
        <v>0</v>
      </c>
      <c r="B91" s="52" t="str">
        <f>IF(csv!F81="","",csv!T81)</f>
        <v>M21B</v>
      </c>
      <c r="C91" s="31" t="s">
        <v>0</v>
      </c>
      <c r="D91" s="31" t="str">
        <f>IF(csv!F81="","",csv!F81)</f>
        <v>Dario</v>
      </c>
      <c r="E91" s="31" t="str">
        <f>IF(csv!E81="","",csv!E81)</f>
        <v>Malović</v>
      </c>
      <c r="F91" s="31" t="s">
        <v>0</v>
      </c>
      <c r="G91" s="73" t="str">
        <f>IF(csv!M81="","",csv!M81)</f>
        <v>99:52</v>
      </c>
      <c r="H91" s="73" t="str">
        <f>IF(csv!N81="","",csv!N81)</f>
        <v>0</v>
      </c>
      <c r="I91" s="31" t="s">
        <v>0</v>
      </c>
      <c r="J91" s="31" t="str">
        <f>IF(csv!P81="","",csv!P81)</f>
        <v>Vihor</v>
      </c>
      <c r="K91" s="31" t="str">
        <f>IF(csv!Q81="","",csv!Q81)</f>
        <v>OK Vihor</v>
      </c>
      <c r="L91" s="31" t="s">
        <v>0</v>
      </c>
      <c r="M91" s="66" t="str">
        <f>IF(csv!R81="","",csv!R81)</f>
        <v>CRO</v>
      </c>
      <c r="N91" s="47" t="s">
        <v>0</v>
      </c>
      <c r="O91" s="243" t="str">
        <f t="shared" si="95"/>
        <v>ok</v>
      </c>
      <c r="P91" s="47"/>
      <c r="Q91" s="52" t="str">
        <f t="shared" si="96"/>
        <v>M21B</v>
      </c>
      <c r="R91" s="73">
        <f>IF(Q91="","",IF(COUNTIF(Q$12:Q90,Q91)=0,R90+1,R90))</f>
        <v>6</v>
      </c>
      <c r="S91" s="73">
        <f t="shared" si="97"/>
        <v>108</v>
      </c>
      <c r="T91" s="73">
        <f t="shared" si="72"/>
        <v>19</v>
      </c>
      <c r="U91" s="66" t="str">
        <f t="shared" si="73"/>
        <v>M21B – M16</v>
      </c>
      <c r="V91" s="47" t="s">
        <v>0</v>
      </c>
      <c r="W91" s="222" t="str">
        <f t="shared" si="74"/>
        <v>M21B</v>
      </c>
      <c r="X91" s="223">
        <f t="shared" si="75"/>
        <v>28</v>
      </c>
      <c r="Y91" s="47" t="s">
        <v>0</v>
      </c>
      <c r="Z91" s="52" t="str">
        <f t="shared" si="98"/>
        <v>CRO</v>
      </c>
      <c r="AA91" s="73">
        <f t="shared" si="76"/>
        <v>1</v>
      </c>
      <c r="AB91" s="31" t="str">
        <f t="shared" si="99"/>
        <v/>
      </c>
      <c r="AC91" s="66" t="str">
        <f>IF(AB91="","",MAX(AC$12:AC90)+1)</f>
        <v/>
      </c>
      <c r="AD91" s="47" t="s">
        <v>0</v>
      </c>
      <c r="AE91" s="125"/>
      <c r="AF91" s="47" t="s">
        <v>0</v>
      </c>
      <c r="AG91" s="19" t="str">
        <f t="shared" si="100"/>
        <v/>
      </c>
      <c r="AH91" s="47" t="s">
        <v>0</v>
      </c>
      <c r="AI91" s="143" t="str">
        <f t="shared" si="101"/>
        <v>CRO</v>
      </c>
      <c r="AJ91" s="47"/>
      <c r="AK91" s="52" t="str">
        <f t="shared" si="102"/>
        <v>Dario</v>
      </c>
      <c r="AL91" s="31" t="str">
        <f t="shared" si="103"/>
        <v>Malović</v>
      </c>
      <c r="AM91" s="73">
        <f t="shared" si="104"/>
        <v>1900</v>
      </c>
      <c r="AN91" s="73" t="str">
        <f t="shared" si="105"/>
        <v/>
      </c>
      <c r="AO91" s="31" t="str">
        <f t="shared" si="77"/>
        <v>Dario</v>
      </c>
      <c r="AP91" s="66" t="str">
        <f t="shared" si="78"/>
        <v>Malović</v>
      </c>
      <c r="AQ91" s="47" t="s">
        <v>0</v>
      </c>
      <c r="AR91" s="82" t="str">
        <f t="shared" si="106"/>
        <v/>
      </c>
      <c r="AS91" s="47" t="s">
        <v>0</v>
      </c>
      <c r="AT91" s="19" t="str">
        <f t="shared" si="107"/>
        <v/>
      </c>
      <c r="AU91" s="47" t="s">
        <v>0</v>
      </c>
      <c r="AV91" s="103"/>
      <c r="AW91" s="105"/>
      <c r="AX91" s="47" t="s">
        <v>0</v>
      </c>
      <c r="AY91" s="256" t="str">
        <f t="shared" si="125"/>
        <v/>
      </c>
      <c r="AZ91" s="47" t="s">
        <v>0</v>
      </c>
      <c r="BA91" s="52" t="str">
        <f t="shared" si="79"/>
        <v/>
      </c>
      <c r="BB91" s="73" t="str">
        <f>IF(AV91&amp;AW91="","",MAX(BB$12:BB90)+1)</f>
        <v/>
      </c>
      <c r="BC91" s="268" t="str">
        <f t="shared" si="80"/>
        <v/>
      </c>
      <c r="BD91" s="53" t="str">
        <f>IF(AND(AM91="NEMA",AN91="NEMA",OR(AV91&amp;AW91="",BC91="NEMA")),MAX(BD$12:BD90)+1,"")</f>
        <v/>
      </c>
      <c r="BE91" s="47" t="s">
        <v>0</v>
      </c>
      <c r="BF91" s="52" t="str">
        <f t="shared" si="81"/>
        <v>Dario</v>
      </c>
      <c r="BG91" s="31" t="str">
        <f t="shared" si="82"/>
        <v>Malović</v>
      </c>
      <c r="BH91" s="73" t="str">
        <f t="shared" si="108"/>
        <v/>
      </c>
      <c r="BI91" s="53">
        <f t="shared" si="109"/>
        <v>1900</v>
      </c>
      <c r="BJ91" s="47" t="s">
        <v>0</v>
      </c>
      <c r="BK91" s="52" t="str">
        <f t="shared" si="83"/>
        <v>Vihor</v>
      </c>
      <c r="BL91" s="31" t="str">
        <f t="shared" si="84"/>
        <v>OK Vihor</v>
      </c>
      <c r="BM91" s="73">
        <f t="shared" si="85"/>
        <v>12</v>
      </c>
      <c r="BN91" s="73" t="str">
        <f t="shared" si="86"/>
        <v/>
      </c>
      <c r="BO91" s="31" t="str" cm="1">
        <f t="array" ref="BO91">IF(BN91="",""&amp;BL91,IF(BN91="NEMA",BL91,INDEX(regKlub_naziv,MATCH(INDEX(regKlub_alias_klubId,BN91),regKlub_id,0))))</f>
        <v>OK Vihor</v>
      </c>
      <c r="BP91" s="31" t="str" cm="1">
        <f t="array" ref="BP91">IFERROR(""&amp;INDEX(regNatjecatelj_klub,DY91),"")</f>
        <v>OK Vihor</v>
      </c>
      <c r="BQ91" s="88" t="str">
        <f t="shared" si="110"/>
        <v/>
      </c>
      <c r="BR91" s="66" t="str">
        <f t="shared" si="111"/>
        <v>OK Vihor</v>
      </c>
      <c r="BS91" s="47" t="s">
        <v>0</v>
      </c>
      <c r="BT91" s="82" t="str">
        <f>IF(BN91&lt;&gt;"NEMA","",IF(IFERROR(MATCH(BL91,BL$12:BL90,0),0)&lt;&gt;0,"",BL91))</f>
        <v/>
      </c>
      <c r="BU91" s="47" t="s">
        <v>0</v>
      </c>
      <c r="BV91" s="125"/>
      <c r="BW91" s="47" t="s">
        <v>0</v>
      </c>
      <c r="BX91" s="58" t="str">
        <f t="shared" si="112"/>
        <v/>
      </c>
      <c r="BY91" s="31" t="str">
        <f t="shared" si="113"/>
        <v/>
      </c>
      <c r="BZ91" s="31" t="str">
        <f>IF(BY91="","",MAX(BZ$12:BZ90)+1)</f>
        <v/>
      </c>
      <c r="CA91" s="31" t="str">
        <f>IF(BY91="","",IF(AA91="","",IF(AA91="NEMA",AC91,AA91)))</f>
        <v/>
      </c>
      <c r="CB91" s="31" t="str">
        <f t="shared" si="114"/>
        <v/>
      </c>
      <c r="CC91" s="31" t="str">
        <f>IF(BV91="","",MAX(CC$12:CC90)+1)</f>
        <v/>
      </c>
      <c r="CD91" s="31" t="str">
        <f t="shared" si="115"/>
        <v/>
      </c>
      <c r="CE91" s="66" t="str">
        <f t="shared" si="116"/>
        <v/>
      </c>
      <c r="CF91" s="47" t="s">
        <v>0</v>
      </c>
      <c r="CG91" s="73" t="str">
        <f>IF(BN91="","",IF(BN91&lt;&gt;"NEMA","",IFERROR(INDEX(nat_klubAliasId,MATCH(BL91,nat_noviKluboviAliasi,0)),"")))</f>
        <v/>
      </c>
      <c r="CH91" s="47"/>
      <c r="CI91" s="19" t="str">
        <f t="shared" si="117"/>
        <v/>
      </c>
      <c r="CJ91" s="47" t="s">
        <v>0</v>
      </c>
      <c r="CK91" s="52" t="str">
        <f>IF(X91&lt;&gt;"NEMA","",IF(IFERROR(MATCH(W91,W$12:W90,0),0)&lt;&gt;0,"",W91))</f>
        <v/>
      </c>
      <c r="CL91" s="73" t="str">
        <f>IF(CK91="","",IFERROR(INDEX(regKlub_alias_id,MATCH(CK91,regKlub_alias_alias,0)),"NEMA"))</f>
        <v/>
      </c>
      <c r="CM91" s="31" t="str">
        <f>IF(OR(CL91="",CL91&lt;&gt;"NEMA"),"",MAX(CM$12:CM90)+1)</f>
        <v/>
      </c>
      <c r="CN91" s="66" t="str">
        <f>IF(OR(CL91="",CL91&lt;&gt;"NEMA"),"",INDEX(regKlub_id,MATCH(CK91,regKlub_naziv,0)))</f>
        <v/>
      </c>
      <c r="CO91" s="47" t="s">
        <v>0</v>
      </c>
      <c r="CP91" s="19" t="str">
        <f>IF(OR(CL91="",CL91&lt;&gt;"NEMA"),"","INSERT INTO klub_alias(id,alias,klub_id) VALUES ("&amp;CM91&amp;",'"&amp;CK91&amp;"',"&amp;CN91&amp;");")</f>
        <v/>
      </c>
      <c r="CQ91" s="47" t="s">
        <v>0</v>
      </c>
      <c r="CR91" s="143" t="str">
        <f>IF(BR91="","",IF(BV91="",IF(IFERROR(MATCH(BR91,nat_noviKluboviAliasi,0),0)&gt;0,INDEX(nat_kluboviAliasi,MATCH(BR91,nat_noviKluboviAliasi,0)),BR91),BV91))</f>
        <v>OK Vihor</v>
      </c>
      <c r="CS91" s="47" t="s">
        <v>0</v>
      </c>
      <c r="CT91" s="58" t="str">
        <f>IF(G91="","",G91)</f>
        <v>99:52</v>
      </c>
      <c r="CU91" s="73" t="str">
        <f>IF(H91="","",H91)</f>
        <v>0</v>
      </c>
      <c r="CV91" s="229" t="str">
        <f>IF(CT91="",IF(OR(AL91="",CU91&lt;&gt;"0"),"","GREŠKA"),IF(AND(65535&gt;=VALUE(LEFT(CT91,SEARCH(":",CT91)-1))*60+VALUE(RIGHT(CT91,2)),OR(CU91="0",CU91="1",CU91="2",CU91="3",CU91="4")),"","GREŠKA"))</f>
        <v/>
      </c>
      <c r="CW91" s="230">
        <f t="shared" si="71"/>
        <v>5992</v>
      </c>
      <c r="CX91" s="163">
        <f t="shared" si="87"/>
        <v>1</v>
      </c>
      <c r="CY91" s="47" t="s">
        <v>0</v>
      </c>
      <c r="CZ91" s="222" t="str">
        <f>IF(CV91&lt;&gt;"GREŠKA","",AK91&amp;" "&amp;AL91&amp;" – Molim u OEventu provjeriti i ispraviti rezultat – vrijeme ("&amp;IF(CT91="","nije upisano",CT91)&amp;") i classifier ("&amp;CU91&amp;").")&amp;IF(OR(CV91&lt;&gt;"GREŠKA",CX91&lt;&gt;5),"
","")&amp;IF(CX91&lt;&gt;5,"",AK91&amp;" "&amp;AL91&amp;" – Molim u provjeriti je li natjecatelj zaista diskvalificiran. Ako je koje je obrazloženje, ako nije molim u OEventu ispraviti rezultat")</f>
        <v xml:space="preserve">
</v>
      </c>
      <c r="DA91" s="223">
        <f t="shared" si="118"/>
        <v>6</v>
      </c>
      <c r="DB91" s="47" t="s">
        <v>0</v>
      </c>
      <c r="DC91" s="47"/>
      <c r="DD91" s="47"/>
      <c r="DE91" s="47"/>
      <c r="DF91" s="47" t="s">
        <v>0</v>
      </c>
      <c r="DG91" s="53" t="str">
        <f>IF(BD91="","",IF(DI91="O",1,""))</f>
        <v/>
      </c>
      <c r="DH91" t="s">
        <v>0</v>
      </c>
      <c r="DI91" s="128" t="str">
        <f>IF(Q91="","",LEFT(INDEX(regKategorija_oznaka,MATCH(S91,regKategorija_id,0)),1))</f>
        <v>M</v>
      </c>
      <c r="DJ91" t="s">
        <v>0</v>
      </c>
      <c r="DK91" s="52" t="str">
        <f>IF(BD91="","",IF(M91&lt;&gt;"CRO","","INSERT INTO osoba (id,reg_broj,oib,spol_id,dat_rodjenja) VALUES ("&amp;BD91&amp;",(SELECT max(os.reg_broj)+1 FROM osoba AS os),Null,'"&amp;DI91&amp;"',Null); INSERT INTO osoba_log (id,reg_broj,oib,spol_id,dat_rodjenja,dnevnik_id) SELECT id,reg_broj,oib,spol_id,dat_rodjenja,"&amp;data_dnevnik_id&amp;" FROM osoba WHERE id = "&amp;BD91&amp;";"))</f>
        <v/>
      </c>
      <c r="DL91" s="66" t="str">
        <f>IF(BD91="","","INSERT INTO imeprezime (id,osoba_id,rbr,ime,prezime,klub_id,identitet_id,sintaksa_id,info,aktivno,dnevnik_id) VALUES ("&amp;BD91&amp;","&amp;IF(DK91="","Null",BD91)&amp;",1,'"&amp;IF(AV91&lt;&gt;"",AV91,AK91)&amp;"','"&amp;IF(AW91&lt;&gt;"",AW91,AL91)&amp;"',(SELECT id FROM klub WHERE naziv = '"&amp;CR91&amp;"'),Null,1,'',1,"&amp;data_dnevnik_id&amp;");")</f>
        <v/>
      </c>
      <c r="DM91" t="s">
        <v>0</v>
      </c>
      <c r="DN91" s="19" t="str">
        <f t="shared" si="126"/>
        <v/>
      </c>
      <c r="DO91" s="47" t="s">
        <v>0</v>
      </c>
      <c r="DP91" s="19" t="str">
        <f>IF(BA91="","","INSERT INTO imeprezime_alias(id,alias,imeprezime_id) VALUES ("&amp;BB91&amp;",'"&amp;BA91&amp;"',"&amp;IF(BC91="NEMA",BD91,BC91)&amp;");")</f>
        <v/>
      </c>
      <c r="DQ91" s="47" t="s">
        <v>0</v>
      </c>
      <c r="DR91" s="52" t="str">
        <f>IF(AL91="","",DU91 &amp; IF(Q91="",""," – " &amp; Q91))</f>
        <v>Dario – Malović – OK Vihor – M21B</v>
      </c>
      <c r="DS91" s="53">
        <f t="shared" si="88"/>
        <v>781</v>
      </c>
      <c r="DT91" s="47" t="s">
        <v>0</v>
      </c>
      <c r="DU91" s="52" t="str">
        <f>IF(AL91="","",DX91 &amp; IF(CR91="",""," – " &amp; CR91))</f>
        <v>Dario – Malović – OK Vihor</v>
      </c>
      <c r="DV91" s="53">
        <f t="shared" si="89"/>
        <v>781</v>
      </c>
      <c r="DW91" s="47" t="s">
        <v>0</v>
      </c>
      <c r="DX91" s="52" t="str">
        <f>IF(BG91="","",BF91&amp;" – "&amp;BG91)</f>
        <v>Dario – Malović</v>
      </c>
      <c r="DY91" s="53">
        <f t="shared" si="90"/>
        <v>781</v>
      </c>
      <c r="DZ91" s="47" t="s">
        <v>0</v>
      </c>
      <c r="EA91" s="58">
        <f t="shared" si="119"/>
        <v>781</v>
      </c>
      <c r="EB91" s="53" cm="1">
        <f t="array" ref="EB91">IF(EA91&lt;&gt;"",INDEX(regNatjecatelj_id,EA91,0),IF(BD91&lt;&gt;"",BD91,""))</f>
        <v>1900</v>
      </c>
      <c r="EC91" s="47" t="s">
        <v>0</v>
      </c>
      <c r="ED91" s="58" t="str">
        <f>IF(AL91="","",IF(BD91&lt;&gt;"","novo",IF(AN91="","imepre","imepre(ali)")))</f>
        <v>imepre</v>
      </c>
      <c r="EE91" s="73" t="str">
        <f>IF(AL91="","",IF(BL91="",IF(IFERROR(INDEX(regNatjecatelj_klub,MATCH(EB91,regNatjecatelj_id,0)),"NEMA")="","klu",""),IF(OR(AND(BN91&lt;&gt;"",BN91&lt;&gt;"NEMA"),CD91&lt;&gt;""),"klu(ali)",IF(AND(BP91&lt;&gt;"",BP91&lt;&gt;BO91),"(raz-klu)","klu"))))</f>
        <v>klu</v>
      </c>
      <c r="EF91" s="73" t="str">
        <f>IF(AL91="","","kat"&amp;IF(AND(W91&lt;&gt;Q91,Q91&lt;&gt;"Open"),"(ali)",""))</f>
        <v>kat</v>
      </c>
      <c r="EG91" s="73" t="str">
        <f t="shared" si="91"/>
        <v/>
      </c>
      <c r="EH91" s="66" t="str">
        <f>IF(AL91="","",ED91&amp;IF(ED91="novo","","-"&amp;EE91&amp;"-"&amp;EF91)&amp;IF(EG91="","","-"&amp;EG91))</f>
        <v>imepre-klu-kat</v>
      </c>
      <c r="EI91" s="47" t="s">
        <v>0</v>
      </c>
      <c r="EJ91" s="58">
        <f>IF(AL91="","",MAX(EJ$12:EJ90)+1)</f>
        <v>261</v>
      </c>
      <c r="EK91" s="73">
        <f>IF(AO91="","",X91)</f>
        <v>28</v>
      </c>
      <c r="EL91" s="73">
        <f t="shared" si="120"/>
        <v>1900</v>
      </c>
      <c r="EM91" s="73">
        <f t="shared" si="92"/>
        <v>5992</v>
      </c>
      <c r="EN91" s="73">
        <f t="shared" si="93"/>
        <v>1</v>
      </c>
      <c r="EO91" s="73">
        <f t="shared" si="121"/>
        <v>1</v>
      </c>
      <c r="EP91" s="73">
        <f t="shared" si="122"/>
        <v>1</v>
      </c>
      <c r="EQ91" s="73" t="str">
        <f t="shared" si="94"/>
        <v>0</v>
      </c>
      <c r="ER91" s="73" t="str">
        <f>IF(OR(AN91="",AN91="NEMA"),BB91,AN91)</f>
        <v/>
      </c>
      <c r="ES91" s="73" t="str">
        <f>IF(AND(BN91&lt;&gt;"",BN91&lt;&gt;"NEMA"),BN91,IF(CG91&lt;&gt;"",CG91,IF(AND(CL91&lt;&gt;"",CL91&lt;&gt;"NEMA"),CL91,IF(CM91&lt;&gt;"",CM91,""))))</f>
        <v/>
      </c>
      <c r="ET91" s="53" t="str">
        <f>IF(INDEX(natKategorija_alias_Id,MATCH(S91,natKategorija_katRegId,0))="","",INDEX(natKategorija_alias_Id,MATCH(S91,natKategorija_katRegId,0)))</f>
        <v/>
      </c>
      <c r="EU91" s="47" t="s">
        <v>0</v>
      </c>
      <c r="EV91" s="19" t="str">
        <f t="shared" si="123"/>
        <v>INSERT INTO rezultat(id,stazakategorija_id,imeprezime_id,vrijeme_sec,status_id,registracija,uparivanje_id,originalstatus_id,imeprezimealias_id,klubalias_id,kategorijaalias_id) VALUES (261,28,1900,5992,1,1,1,0,Null,Null,Null);</v>
      </c>
      <c r="EW91" s="47" t="s">
        <v>0</v>
      </c>
      <c r="EX91" s="19" t="str">
        <f t="shared" si="124"/>
        <v>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1" s="47" t="s">
        <v>0</v>
      </c>
      <c r="EZ91" s="180" t="str">
        <f>AG91&amp;IF(CP91="","","
")&amp;CP91&amp;IF(CI91="","","
")&amp;CI91&amp;IF(DN91="","","
")&amp;DN91&amp;IF(DP91="","","
")&amp;DP91&amp;IF(EV91="","","
")&amp;EV91&amp;IF(EX91="","","
")&amp;EX91</f>
        <v xml:space="preserve">
INSERT INTO rezultat(id,stazakategorija_id,imeprezime_id,vrijeme_sec,status_id,registracija,uparivanje_id,originalstatus_id,imeprezimealias_id,klubalias_id,kategorijaalias_id) VALUES (261,28,1900,5992,1,1,1,0,Null,Null,Null);
UPDATE
	registar
SET
	potvrda = 1
WHERE
	imeprezime_id=1900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1" s="47" t="s">
        <v>0</v>
      </c>
    </row>
    <row r="92" spans="1:157" x14ac:dyDescent="0.25">
      <c r="A92" t="s">
        <v>0</v>
      </c>
      <c r="B92" s="52" t="str">
        <f>IF(csv!F82="","",csv!T82)</f>
        <v>M21B</v>
      </c>
      <c r="C92" s="31" t="s">
        <v>0</v>
      </c>
      <c r="D92" s="31" t="str">
        <f>IF(csv!F82="","",csv!F82)</f>
        <v>Dino</v>
      </c>
      <c r="E92" s="31" t="str">
        <f>IF(csv!E82="","",csv!E82)</f>
        <v>Martinović</v>
      </c>
      <c r="F92" s="31" t="s">
        <v>0</v>
      </c>
      <c r="G92" s="73" t="str">
        <f>IF(csv!M82="","",csv!M82)</f>
        <v>106:29</v>
      </c>
      <c r="H92" s="73" t="str">
        <f>IF(csv!N82="","",csv!N82)</f>
        <v>0</v>
      </c>
      <c r="I92" s="31" t="s">
        <v>0</v>
      </c>
      <c r="J92" s="31" t="str">
        <f>IF(csv!P82="","",csv!P82)</f>
        <v>Vihor</v>
      </c>
      <c r="K92" s="31" t="str">
        <f>IF(csv!Q82="","",csv!Q82)</f>
        <v>OK Vihor</v>
      </c>
      <c r="L92" s="31" t="s">
        <v>0</v>
      </c>
      <c r="M92" s="66" t="str">
        <f>IF(csv!R82="","",csv!R82)</f>
        <v>CRO</v>
      </c>
      <c r="N92" s="47" t="s">
        <v>0</v>
      </c>
      <c r="O92" s="243" t="str">
        <f t="shared" si="95"/>
        <v>ok</v>
      </c>
      <c r="P92" s="47"/>
      <c r="Q92" s="52" t="str">
        <f t="shared" si="96"/>
        <v>M21B</v>
      </c>
      <c r="R92" s="73">
        <f>IF(Q92="","",IF(COUNTIF(Q$12:Q91,Q92)=0,R91+1,R91))</f>
        <v>6</v>
      </c>
      <c r="S92" s="73">
        <f t="shared" si="97"/>
        <v>108</v>
      </c>
      <c r="T92" s="73">
        <f t="shared" si="72"/>
        <v>19</v>
      </c>
      <c r="U92" s="66" t="str">
        <f t="shared" si="73"/>
        <v>M21B – M16</v>
      </c>
      <c r="V92" s="47" t="s">
        <v>0</v>
      </c>
      <c r="W92" s="222" t="str">
        <f t="shared" si="74"/>
        <v>M21B</v>
      </c>
      <c r="X92" s="223">
        <f t="shared" si="75"/>
        <v>28</v>
      </c>
      <c r="Y92" s="47" t="s">
        <v>0</v>
      </c>
      <c r="Z92" s="52" t="str">
        <f t="shared" si="98"/>
        <v>CRO</v>
      </c>
      <c r="AA92" s="73">
        <f t="shared" si="76"/>
        <v>1</v>
      </c>
      <c r="AB92" s="31" t="str">
        <f t="shared" si="99"/>
        <v/>
      </c>
      <c r="AC92" s="66" t="str">
        <f>IF(AB92="","",MAX(AC$12:AC91)+1)</f>
        <v/>
      </c>
      <c r="AD92" s="47" t="s">
        <v>0</v>
      </c>
      <c r="AE92" s="125"/>
      <c r="AF92" s="47" t="s">
        <v>0</v>
      </c>
      <c r="AG92" s="19" t="str">
        <f t="shared" si="100"/>
        <v/>
      </c>
      <c r="AH92" s="47" t="s">
        <v>0</v>
      </c>
      <c r="AI92" s="143" t="str">
        <f t="shared" si="101"/>
        <v>CRO</v>
      </c>
      <c r="AJ92" s="47"/>
      <c r="AK92" s="52" t="str">
        <f t="shared" si="102"/>
        <v>Dino</v>
      </c>
      <c r="AL92" s="31" t="str">
        <f t="shared" si="103"/>
        <v>Martinović</v>
      </c>
      <c r="AM92" s="73">
        <f t="shared" si="104"/>
        <v>1942</v>
      </c>
      <c r="AN92" s="73" t="str">
        <f t="shared" si="105"/>
        <v/>
      </c>
      <c r="AO92" s="31" t="str">
        <f t="shared" si="77"/>
        <v>Dino</v>
      </c>
      <c r="AP92" s="66" t="str">
        <f t="shared" si="78"/>
        <v>Martinović</v>
      </c>
      <c r="AQ92" s="47" t="s">
        <v>0</v>
      </c>
      <c r="AR92" s="82" t="str">
        <f t="shared" si="106"/>
        <v/>
      </c>
      <c r="AS92" s="47" t="s">
        <v>0</v>
      </c>
      <c r="AT92" s="19" t="str">
        <f t="shared" si="107"/>
        <v/>
      </c>
      <c r="AU92" s="47" t="s">
        <v>0</v>
      </c>
      <c r="AV92" s="103"/>
      <c r="AW92" s="105"/>
      <c r="AX92" s="47" t="s">
        <v>0</v>
      </c>
      <c r="AY92" s="256" t="str">
        <f t="shared" si="125"/>
        <v/>
      </c>
      <c r="AZ92" s="47" t="s">
        <v>0</v>
      </c>
      <c r="BA92" s="52" t="str">
        <f t="shared" si="79"/>
        <v/>
      </c>
      <c r="BB92" s="73" t="str">
        <f>IF(AV92&amp;AW92="","",MAX(BB$12:BB91)+1)</f>
        <v/>
      </c>
      <c r="BC92" s="268" t="str">
        <f t="shared" si="80"/>
        <v/>
      </c>
      <c r="BD92" s="53" t="str">
        <f>IF(AND(AM92="NEMA",AN92="NEMA",OR(AV92&amp;AW92="",BC92="NEMA")),MAX(BD$12:BD91)+1,"")</f>
        <v/>
      </c>
      <c r="BE92" s="47" t="s">
        <v>0</v>
      </c>
      <c r="BF92" s="52" t="str">
        <f t="shared" si="81"/>
        <v>Dino</v>
      </c>
      <c r="BG92" s="31" t="str">
        <f t="shared" si="82"/>
        <v>Martinović</v>
      </c>
      <c r="BH92" s="73" t="str">
        <f t="shared" si="108"/>
        <v/>
      </c>
      <c r="BI92" s="53">
        <f t="shared" si="109"/>
        <v>1942</v>
      </c>
      <c r="BJ92" s="47" t="s">
        <v>0</v>
      </c>
      <c r="BK92" s="52" t="str">
        <f t="shared" si="83"/>
        <v>Vihor</v>
      </c>
      <c r="BL92" s="31" t="str">
        <f t="shared" si="84"/>
        <v>OK Vihor</v>
      </c>
      <c r="BM92" s="73">
        <f t="shared" si="85"/>
        <v>12</v>
      </c>
      <c r="BN92" s="73" t="str">
        <f t="shared" si="86"/>
        <v/>
      </c>
      <c r="BO92" s="31" t="str" cm="1">
        <f t="array" ref="BO92">IF(BN92="",""&amp;BL92,IF(BN92="NEMA",BL92,INDEX(regKlub_naziv,MATCH(INDEX(regKlub_alias_klubId,BN92),regKlub_id,0))))</f>
        <v>OK Vihor</v>
      </c>
      <c r="BP92" s="31" t="str" cm="1">
        <f t="array" ref="BP92">IFERROR(""&amp;INDEX(regNatjecatelj_klub,DY92),"")</f>
        <v>OK Vihor</v>
      </c>
      <c r="BQ92" s="88" t="str">
        <f t="shared" si="110"/>
        <v/>
      </c>
      <c r="BR92" s="66" t="str">
        <f t="shared" si="111"/>
        <v>OK Vihor</v>
      </c>
      <c r="BS92" s="47" t="s">
        <v>0</v>
      </c>
      <c r="BT92" s="82" t="str">
        <f>IF(BN92&lt;&gt;"NEMA","",IF(IFERROR(MATCH(BL92,BL$12:BL91,0),0)&lt;&gt;0,"",BL92))</f>
        <v/>
      </c>
      <c r="BU92" s="47" t="s">
        <v>0</v>
      </c>
      <c r="BV92" s="125"/>
      <c r="BW92" s="47" t="s">
        <v>0</v>
      </c>
      <c r="BX92" s="58" t="str">
        <f t="shared" si="112"/>
        <v/>
      </c>
      <c r="BY92" s="31" t="str">
        <f t="shared" si="113"/>
        <v/>
      </c>
      <c r="BZ92" s="31" t="str">
        <f>IF(BY92="","",MAX(BZ$12:BZ91)+1)</f>
        <v/>
      </c>
      <c r="CA92" s="31" t="str">
        <f>IF(BY92="","",IF(AA92="","",IF(AA92="NEMA",AC92,AA92)))</f>
        <v/>
      </c>
      <c r="CB92" s="31" t="str">
        <f t="shared" si="114"/>
        <v/>
      </c>
      <c r="CC92" s="31" t="str">
        <f>IF(BV92="","",MAX(CC$12:CC91)+1)</f>
        <v/>
      </c>
      <c r="CD92" s="31" t="str">
        <f t="shared" si="115"/>
        <v/>
      </c>
      <c r="CE92" s="66" t="str">
        <f t="shared" si="116"/>
        <v/>
      </c>
      <c r="CF92" s="47" t="s">
        <v>0</v>
      </c>
      <c r="CG92" s="73" t="str">
        <f>IF(BN92="","",IF(BN92&lt;&gt;"NEMA","",IFERROR(INDEX(nat_klubAliasId,MATCH(BL92,nat_noviKluboviAliasi,0)),"")))</f>
        <v/>
      </c>
      <c r="CH92" s="47"/>
      <c r="CI92" s="19" t="str">
        <f t="shared" si="117"/>
        <v/>
      </c>
      <c r="CJ92" s="47" t="s">
        <v>0</v>
      </c>
      <c r="CK92" s="52" t="str">
        <f>IF(X92&lt;&gt;"NEMA","",IF(IFERROR(MATCH(W92,W$12:W91,0),0)&lt;&gt;0,"",W92))</f>
        <v/>
      </c>
      <c r="CL92" s="73" t="str">
        <f>IF(CK92="","",IFERROR(INDEX(regKlub_alias_id,MATCH(CK92,regKlub_alias_alias,0)),"NEMA"))</f>
        <v/>
      </c>
      <c r="CM92" s="31" t="str">
        <f>IF(OR(CL92="",CL92&lt;&gt;"NEMA"),"",MAX(CM$12:CM91)+1)</f>
        <v/>
      </c>
      <c r="CN92" s="66" t="str">
        <f>IF(OR(CL92="",CL92&lt;&gt;"NEMA"),"",INDEX(regKlub_id,MATCH(CK92,regKlub_naziv,0)))</f>
        <v/>
      </c>
      <c r="CO92" s="47" t="s">
        <v>0</v>
      </c>
      <c r="CP92" s="19" t="str">
        <f>IF(OR(CL92="",CL92&lt;&gt;"NEMA"),"","INSERT INTO klub_alias(id,alias,klub_id) VALUES ("&amp;CM92&amp;",'"&amp;CK92&amp;"',"&amp;CN92&amp;");")</f>
        <v/>
      </c>
      <c r="CQ92" s="47" t="s">
        <v>0</v>
      </c>
      <c r="CR92" s="143" t="str">
        <f>IF(BR92="","",IF(BV92="",IF(IFERROR(MATCH(BR92,nat_noviKluboviAliasi,0),0)&gt;0,INDEX(nat_kluboviAliasi,MATCH(BR92,nat_noviKluboviAliasi,0)),BR92),BV92))</f>
        <v>OK Vihor</v>
      </c>
      <c r="CS92" s="47" t="s">
        <v>0</v>
      </c>
      <c r="CT92" s="58" t="str">
        <f>IF(G92="","",G92)</f>
        <v>106:29</v>
      </c>
      <c r="CU92" s="73" t="str">
        <f>IF(H92="","",H92)</f>
        <v>0</v>
      </c>
      <c r="CV92" s="229" t="str">
        <f>IF(CT92="",IF(OR(AL92="",CU92&lt;&gt;"0"),"","GREŠKA"),IF(AND(65535&gt;=VALUE(LEFT(CT92,SEARCH(":",CT92)-1))*60+VALUE(RIGHT(CT92,2)),OR(CU92="0",CU92="1",CU92="2",CU92="3",CU92="4")),"","GREŠKA"))</f>
        <v/>
      </c>
      <c r="CW92" s="230">
        <f t="shared" si="71"/>
        <v>6389</v>
      </c>
      <c r="CX92" s="163">
        <f t="shared" si="87"/>
        <v>1</v>
      </c>
      <c r="CY92" s="47" t="s">
        <v>0</v>
      </c>
      <c r="CZ92" s="222" t="str">
        <f>IF(CV92&lt;&gt;"GREŠKA","",AK92&amp;" "&amp;AL92&amp;" – Molim u OEventu provjeriti i ispraviti rezultat – vrijeme ("&amp;IF(CT92="","nije upisano",CT92)&amp;") i classifier ("&amp;CU92&amp;").")&amp;IF(OR(CV92&lt;&gt;"GREŠKA",CX92&lt;&gt;5),"
","")&amp;IF(CX92&lt;&gt;5,"",AK92&amp;" "&amp;AL92&amp;" – Molim u provjeriti je li natjecatelj zaista diskvalificiran. Ako je koje je obrazloženje, ako nije molim u OEventu ispraviti rezultat")</f>
        <v xml:space="preserve">
</v>
      </c>
      <c r="DA92" s="223">
        <f t="shared" si="118"/>
        <v>6</v>
      </c>
      <c r="DB92" s="47" t="s">
        <v>0</v>
      </c>
      <c r="DC92" s="47"/>
      <c r="DD92" s="47"/>
      <c r="DE92" s="47"/>
      <c r="DF92" s="47" t="s">
        <v>0</v>
      </c>
      <c r="DG92" s="53" t="str">
        <f>IF(BD92="","",IF(DI92="O",1,""))</f>
        <v/>
      </c>
      <c r="DH92" t="s">
        <v>0</v>
      </c>
      <c r="DI92" s="128" t="str">
        <f>IF(Q92="","",LEFT(INDEX(regKategorija_oznaka,MATCH(S92,regKategorija_id,0)),1))</f>
        <v>M</v>
      </c>
      <c r="DJ92" t="s">
        <v>0</v>
      </c>
      <c r="DK92" s="52" t="str">
        <f>IF(BD92="","",IF(M92&lt;&gt;"CRO","","INSERT INTO osoba (id,reg_broj,oib,spol_id,dat_rodjenja) VALUES ("&amp;BD92&amp;",(SELECT max(os.reg_broj)+1 FROM osoba AS os),Null,'"&amp;DI92&amp;"',Null); INSERT INTO osoba_log (id,reg_broj,oib,spol_id,dat_rodjenja,dnevnik_id) SELECT id,reg_broj,oib,spol_id,dat_rodjenja,"&amp;data_dnevnik_id&amp;" FROM osoba WHERE id = "&amp;BD92&amp;";"))</f>
        <v/>
      </c>
      <c r="DL92" s="66" t="str">
        <f>IF(BD92="","","INSERT INTO imeprezime (id,osoba_id,rbr,ime,prezime,klub_id,identitet_id,sintaksa_id,info,aktivno,dnevnik_id) VALUES ("&amp;BD92&amp;","&amp;IF(DK92="","Null",BD92)&amp;",1,'"&amp;IF(AV92&lt;&gt;"",AV92,AK92)&amp;"','"&amp;IF(AW92&lt;&gt;"",AW92,AL92)&amp;"',(SELECT id FROM klub WHERE naziv = '"&amp;CR92&amp;"'),Null,1,'',1,"&amp;data_dnevnik_id&amp;");")</f>
        <v/>
      </c>
      <c r="DM92" t="s">
        <v>0</v>
      </c>
      <c r="DN92" s="19" t="str">
        <f t="shared" si="126"/>
        <v/>
      </c>
      <c r="DO92" s="47" t="s">
        <v>0</v>
      </c>
      <c r="DP92" s="19" t="str">
        <f>IF(BA92="","","INSERT INTO imeprezime_alias(id,alias,imeprezime_id) VALUES ("&amp;BB92&amp;",'"&amp;BA92&amp;"',"&amp;IF(BC92="NEMA",BD92,BC92)&amp;");")</f>
        <v/>
      </c>
      <c r="DQ92" s="47" t="s">
        <v>0</v>
      </c>
      <c r="DR92" s="52" t="str">
        <f>IF(AL92="","",DU92 &amp; IF(Q92="",""," – " &amp; Q92))</f>
        <v>Dino – Martinović – OK Vihor – M21B</v>
      </c>
      <c r="DS92" s="53">
        <f t="shared" si="88"/>
        <v>794</v>
      </c>
      <c r="DT92" s="47" t="s">
        <v>0</v>
      </c>
      <c r="DU92" s="52" t="str">
        <f>IF(AL92="","",DX92 &amp; IF(CR92="",""," – " &amp; CR92))</f>
        <v>Dino – Martinović – OK Vihor</v>
      </c>
      <c r="DV92" s="53">
        <f t="shared" si="89"/>
        <v>794</v>
      </c>
      <c r="DW92" s="47" t="s">
        <v>0</v>
      </c>
      <c r="DX92" s="52" t="str">
        <f>IF(BG92="","",BF92&amp;" – "&amp;BG92)</f>
        <v>Dino – Martinović</v>
      </c>
      <c r="DY92" s="53">
        <f t="shared" si="90"/>
        <v>794</v>
      </c>
      <c r="DZ92" s="47" t="s">
        <v>0</v>
      </c>
      <c r="EA92" s="58">
        <f t="shared" si="119"/>
        <v>794</v>
      </c>
      <c r="EB92" s="53" cm="1">
        <f t="array" ref="EB92">IF(EA92&lt;&gt;"",INDEX(regNatjecatelj_id,EA92,0),IF(BD92&lt;&gt;"",BD92,""))</f>
        <v>1942</v>
      </c>
      <c r="EC92" s="47" t="s">
        <v>0</v>
      </c>
      <c r="ED92" s="58" t="str">
        <f>IF(AL92="","",IF(BD92&lt;&gt;"","novo",IF(AN92="","imepre","imepre(ali)")))</f>
        <v>imepre</v>
      </c>
      <c r="EE92" s="73" t="str">
        <f>IF(AL92="","",IF(BL92="",IF(IFERROR(INDEX(regNatjecatelj_klub,MATCH(EB92,regNatjecatelj_id,0)),"NEMA")="","klu",""),IF(OR(AND(BN92&lt;&gt;"",BN92&lt;&gt;"NEMA"),CD92&lt;&gt;""),"klu(ali)",IF(AND(BP92&lt;&gt;"",BP92&lt;&gt;BO92),"(raz-klu)","klu"))))</f>
        <v>klu</v>
      </c>
      <c r="EF92" s="73" t="str">
        <f>IF(AL92="","","kat"&amp;IF(AND(W92&lt;&gt;Q92,Q92&lt;&gt;"Open"),"(ali)",""))</f>
        <v>kat</v>
      </c>
      <c r="EG92" s="73" t="str">
        <f t="shared" si="91"/>
        <v/>
      </c>
      <c r="EH92" s="66" t="str">
        <f>IF(AL92="","",ED92&amp;IF(ED92="novo","","-"&amp;EE92&amp;"-"&amp;EF92)&amp;IF(EG92="","","-"&amp;EG92))</f>
        <v>imepre-klu-kat</v>
      </c>
      <c r="EI92" s="47" t="s">
        <v>0</v>
      </c>
      <c r="EJ92" s="58">
        <f>IF(AL92="","",MAX(EJ$12:EJ91)+1)</f>
        <v>262</v>
      </c>
      <c r="EK92" s="73">
        <f>IF(AO92="","",X92)</f>
        <v>28</v>
      </c>
      <c r="EL92" s="73">
        <f t="shared" si="120"/>
        <v>1942</v>
      </c>
      <c r="EM92" s="73">
        <f t="shared" si="92"/>
        <v>6389</v>
      </c>
      <c r="EN92" s="73">
        <f t="shared" si="93"/>
        <v>1</v>
      </c>
      <c r="EO92" s="73">
        <f t="shared" si="121"/>
        <v>1</v>
      </c>
      <c r="EP92" s="73">
        <f t="shared" si="122"/>
        <v>1</v>
      </c>
      <c r="EQ92" s="73" t="str">
        <f t="shared" si="94"/>
        <v>0</v>
      </c>
      <c r="ER92" s="73" t="str">
        <f>IF(OR(AN92="",AN92="NEMA"),BB92,AN92)</f>
        <v/>
      </c>
      <c r="ES92" s="73" t="str">
        <f>IF(AND(BN92&lt;&gt;"",BN92&lt;&gt;"NEMA"),BN92,IF(CG92&lt;&gt;"",CG92,IF(AND(CL92&lt;&gt;"",CL92&lt;&gt;"NEMA"),CL92,IF(CM92&lt;&gt;"",CM92,""))))</f>
        <v/>
      </c>
      <c r="ET92" s="53" t="str">
        <f>IF(INDEX(natKategorija_alias_Id,MATCH(S92,natKategorija_katRegId,0))="","",INDEX(natKategorija_alias_Id,MATCH(S92,natKategorija_katRegId,0)))</f>
        <v/>
      </c>
      <c r="EU92" s="47" t="s">
        <v>0</v>
      </c>
      <c r="EV92" s="19" t="str">
        <f t="shared" si="123"/>
        <v>INSERT INTO rezultat(id,stazakategorija_id,imeprezime_id,vrijeme_sec,status_id,registracija,uparivanje_id,originalstatus_id,imeprezimealias_id,klubalias_id,kategorijaalias_id) VALUES (262,28,1942,6389,1,1,1,0,Null,Null,Null);</v>
      </c>
      <c r="EW92" s="47" t="s">
        <v>0</v>
      </c>
      <c r="EX92" s="19" t="str">
        <f t="shared" si="124"/>
        <v>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2" s="47" t="s">
        <v>0</v>
      </c>
      <c r="EZ92" s="180" t="str">
        <f>AG92&amp;IF(CP92="","","
")&amp;CP92&amp;IF(CI92="","","
")&amp;CI92&amp;IF(DN92="","","
")&amp;DN92&amp;IF(DP92="","","
")&amp;DP92&amp;IF(EV92="","","
")&amp;EV92&amp;IF(EX92="","","
")&amp;EX92</f>
        <v xml:space="preserve">
INSERT INTO rezultat(id,stazakategorija_id,imeprezime_id,vrijeme_sec,status_id,registracija,uparivanje_id,originalstatus_id,imeprezimealias_id,klubalias_id,kategorijaalias_id) VALUES (262,28,1942,6389,1,1,1,0,Null,Null,Null);
UPDATE
	registar
SET
	potvrda = 1
WHERE
	imeprezime_id=1942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2" s="47" t="s">
        <v>0</v>
      </c>
    </row>
    <row r="93" spans="1:157" x14ac:dyDescent="0.25">
      <c r="A93" t="s">
        <v>0</v>
      </c>
      <c r="B93" s="52" t="str">
        <f>IF(csv!F83="","",csv!T83)</f>
        <v>M21B</v>
      </c>
      <c r="C93" s="31" t="s">
        <v>0</v>
      </c>
      <c r="D93" s="31" t="str">
        <f>IF(csv!F83="","",csv!F83)</f>
        <v>Jurica</v>
      </c>
      <c r="E93" s="31" t="str">
        <f>IF(csv!E83="","",csv!E83)</f>
        <v>Cimperšak Žigrović</v>
      </c>
      <c r="F93" s="31" t="s">
        <v>0</v>
      </c>
      <c r="G93" s="73" t="str">
        <f>IF(csv!M83="","",csv!M83)</f>
        <v>107:35</v>
      </c>
      <c r="H93" s="73" t="str">
        <f>IF(csv!N83="","",csv!N83)</f>
        <v>0</v>
      </c>
      <c r="I93" s="31" t="s">
        <v>0</v>
      </c>
      <c r="J93" s="31" t="str">
        <f>IF(csv!P83="","",csv!P83)</f>
        <v>Vihor</v>
      </c>
      <c r="K93" s="31" t="str">
        <f>IF(csv!Q83="","",csv!Q83)</f>
        <v>OK Vihor</v>
      </c>
      <c r="L93" s="31" t="s">
        <v>0</v>
      </c>
      <c r="M93" s="66" t="str">
        <f>IF(csv!R83="","",csv!R83)</f>
        <v>CRO</v>
      </c>
      <c r="N93" s="47" t="s">
        <v>0</v>
      </c>
      <c r="O93" s="243" t="str">
        <f t="shared" si="95"/>
        <v>ok</v>
      </c>
      <c r="P93" s="47"/>
      <c r="Q93" s="52" t="str">
        <f t="shared" si="96"/>
        <v>M21B</v>
      </c>
      <c r="R93" s="73">
        <f>IF(Q93="","",IF(COUNTIF(Q$12:Q92,Q93)=0,R92+1,R92))</f>
        <v>6</v>
      </c>
      <c r="S93" s="73">
        <f t="shared" si="97"/>
        <v>108</v>
      </c>
      <c r="T93" s="73">
        <f t="shared" si="72"/>
        <v>19</v>
      </c>
      <c r="U93" s="66" t="str">
        <f t="shared" si="73"/>
        <v>M21B – M16</v>
      </c>
      <c r="V93" s="47" t="s">
        <v>0</v>
      </c>
      <c r="W93" s="222" t="str">
        <f t="shared" si="74"/>
        <v>M21B</v>
      </c>
      <c r="X93" s="223">
        <f t="shared" si="75"/>
        <v>28</v>
      </c>
      <c r="Y93" s="47" t="s">
        <v>0</v>
      </c>
      <c r="Z93" s="52" t="str">
        <f t="shared" si="98"/>
        <v>CRO</v>
      </c>
      <c r="AA93" s="73">
        <f t="shared" si="76"/>
        <v>1</v>
      </c>
      <c r="AB93" s="31" t="str">
        <f t="shared" si="99"/>
        <v/>
      </c>
      <c r="AC93" s="66" t="str">
        <f>IF(AB93="","",MAX(AC$12:AC92)+1)</f>
        <v/>
      </c>
      <c r="AD93" s="47" t="s">
        <v>0</v>
      </c>
      <c r="AE93" s="125"/>
      <c r="AF93" s="47" t="s">
        <v>0</v>
      </c>
      <c r="AG93" s="19" t="str">
        <f t="shared" si="100"/>
        <v/>
      </c>
      <c r="AH93" s="47" t="s">
        <v>0</v>
      </c>
      <c r="AI93" s="143" t="str">
        <f t="shared" si="101"/>
        <v>CRO</v>
      </c>
      <c r="AJ93" s="47"/>
      <c r="AK93" s="52" t="str">
        <f t="shared" si="102"/>
        <v>Jurica</v>
      </c>
      <c r="AL93" s="31" t="str">
        <f t="shared" si="103"/>
        <v>Cimperšak Žigrović</v>
      </c>
      <c r="AM93" s="73">
        <f t="shared" si="104"/>
        <v>1915</v>
      </c>
      <c r="AN93" s="73" t="str">
        <f t="shared" si="105"/>
        <v/>
      </c>
      <c r="AO93" s="31" t="str">
        <f t="shared" si="77"/>
        <v>Jurica</v>
      </c>
      <c r="AP93" s="66" t="str">
        <f t="shared" si="78"/>
        <v>Cimperšak Žigrović</v>
      </c>
      <c r="AQ93" s="47" t="s">
        <v>0</v>
      </c>
      <c r="AR93" s="82" t="str">
        <f t="shared" si="106"/>
        <v/>
      </c>
      <c r="AS93" s="47" t="s">
        <v>0</v>
      </c>
      <c r="AT93" s="19" t="str">
        <f t="shared" si="107"/>
        <v/>
      </c>
      <c r="AU93" s="47" t="s">
        <v>0</v>
      </c>
      <c r="AV93" s="103"/>
      <c r="AW93" s="105"/>
      <c r="AX93" s="47" t="s">
        <v>0</v>
      </c>
      <c r="AY93" s="256" t="str">
        <f t="shared" si="125"/>
        <v/>
      </c>
      <c r="AZ93" s="47" t="s">
        <v>0</v>
      </c>
      <c r="BA93" s="52" t="str">
        <f t="shared" si="79"/>
        <v/>
      </c>
      <c r="BB93" s="73" t="str">
        <f>IF(AV93&amp;AW93="","",MAX(BB$12:BB92)+1)</f>
        <v/>
      </c>
      <c r="BC93" s="268" t="str">
        <f t="shared" si="80"/>
        <v/>
      </c>
      <c r="BD93" s="53" t="str">
        <f>IF(AND(AM93="NEMA",AN93="NEMA",OR(AV93&amp;AW93="",BC93="NEMA")),MAX(BD$12:BD92)+1,"")</f>
        <v/>
      </c>
      <c r="BE93" s="47" t="s">
        <v>0</v>
      </c>
      <c r="BF93" s="52" t="str">
        <f t="shared" si="81"/>
        <v>Jurica</v>
      </c>
      <c r="BG93" s="31" t="str">
        <f t="shared" si="82"/>
        <v>Cimperšak Žigrović</v>
      </c>
      <c r="BH93" s="73" t="str">
        <f t="shared" si="108"/>
        <v/>
      </c>
      <c r="BI93" s="53">
        <f t="shared" si="109"/>
        <v>1915</v>
      </c>
      <c r="BJ93" s="47" t="s">
        <v>0</v>
      </c>
      <c r="BK93" s="52" t="str">
        <f t="shared" si="83"/>
        <v>Vihor</v>
      </c>
      <c r="BL93" s="31" t="str">
        <f t="shared" si="84"/>
        <v>OK Vihor</v>
      </c>
      <c r="BM93" s="73">
        <f t="shared" si="85"/>
        <v>12</v>
      </c>
      <c r="BN93" s="73" t="str">
        <f t="shared" si="86"/>
        <v/>
      </c>
      <c r="BO93" s="31" t="str" cm="1">
        <f t="array" ref="BO93">IF(BN93="",""&amp;BL93,IF(BN93="NEMA",BL93,INDEX(regKlub_naziv,MATCH(INDEX(regKlub_alias_klubId,BN93),regKlub_id,0))))</f>
        <v>OK Vihor</v>
      </c>
      <c r="BP93" s="31" t="str" cm="1">
        <f t="array" ref="BP93">IFERROR(""&amp;INDEX(regNatjecatelj_klub,DY93),"")</f>
        <v>OK Vihor</v>
      </c>
      <c r="BQ93" s="88" t="str">
        <f t="shared" si="110"/>
        <v/>
      </c>
      <c r="BR93" s="66" t="str">
        <f t="shared" si="111"/>
        <v>OK Vihor</v>
      </c>
      <c r="BS93" s="47" t="s">
        <v>0</v>
      </c>
      <c r="BT93" s="82" t="str">
        <f>IF(BN93&lt;&gt;"NEMA","",IF(IFERROR(MATCH(BL93,BL$12:BL92,0),0)&lt;&gt;0,"",BL93))</f>
        <v/>
      </c>
      <c r="BU93" s="47" t="s">
        <v>0</v>
      </c>
      <c r="BV93" s="125"/>
      <c r="BW93" s="47" t="s">
        <v>0</v>
      </c>
      <c r="BX93" s="58" t="str">
        <f t="shared" si="112"/>
        <v/>
      </c>
      <c r="BY93" s="31" t="str">
        <f t="shared" si="113"/>
        <v/>
      </c>
      <c r="BZ93" s="31" t="str">
        <f>IF(BY93="","",MAX(BZ$12:BZ92)+1)</f>
        <v/>
      </c>
      <c r="CA93" s="31" t="str">
        <f>IF(BY93="","",IF(AA93="","",IF(AA93="NEMA",AC93,AA93)))</f>
        <v/>
      </c>
      <c r="CB93" s="31" t="str">
        <f t="shared" si="114"/>
        <v/>
      </c>
      <c r="CC93" s="31" t="str">
        <f>IF(BV93="","",MAX(CC$12:CC92)+1)</f>
        <v/>
      </c>
      <c r="CD93" s="31" t="str">
        <f t="shared" si="115"/>
        <v/>
      </c>
      <c r="CE93" s="66" t="str">
        <f t="shared" si="116"/>
        <v/>
      </c>
      <c r="CF93" s="47" t="s">
        <v>0</v>
      </c>
      <c r="CG93" s="73" t="str">
        <f>IF(BN93="","",IF(BN93&lt;&gt;"NEMA","",IFERROR(INDEX(nat_klubAliasId,MATCH(BL93,nat_noviKluboviAliasi,0)),"")))</f>
        <v/>
      </c>
      <c r="CH93" s="47"/>
      <c r="CI93" s="19" t="str">
        <f t="shared" si="117"/>
        <v/>
      </c>
      <c r="CJ93" s="47" t="s">
        <v>0</v>
      </c>
      <c r="CK93" s="52" t="str">
        <f>IF(X93&lt;&gt;"NEMA","",IF(IFERROR(MATCH(W93,W$12:W92,0),0)&lt;&gt;0,"",W93))</f>
        <v/>
      </c>
      <c r="CL93" s="73" t="str">
        <f>IF(CK93="","",IFERROR(INDEX(regKlub_alias_id,MATCH(CK93,regKlub_alias_alias,0)),"NEMA"))</f>
        <v/>
      </c>
      <c r="CM93" s="31" t="str">
        <f>IF(OR(CL93="",CL93&lt;&gt;"NEMA"),"",MAX(CM$12:CM92)+1)</f>
        <v/>
      </c>
      <c r="CN93" s="66" t="str">
        <f>IF(OR(CL93="",CL93&lt;&gt;"NEMA"),"",INDEX(regKlub_id,MATCH(CK93,regKlub_naziv,0)))</f>
        <v/>
      </c>
      <c r="CO93" s="47" t="s">
        <v>0</v>
      </c>
      <c r="CP93" s="19" t="str">
        <f>IF(OR(CL93="",CL93&lt;&gt;"NEMA"),"","INSERT INTO klub_alias(id,alias,klub_id) VALUES ("&amp;CM93&amp;",'"&amp;CK93&amp;"',"&amp;CN93&amp;");")</f>
        <v/>
      </c>
      <c r="CQ93" s="47" t="s">
        <v>0</v>
      </c>
      <c r="CR93" s="143" t="str">
        <f>IF(BR93="","",IF(BV93="",IF(IFERROR(MATCH(BR93,nat_noviKluboviAliasi,0),0)&gt;0,INDEX(nat_kluboviAliasi,MATCH(BR93,nat_noviKluboviAliasi,0)),BR93),BV93))</f>
        <v>OK Vihor</v>
      </c>
      <c r="CS93" s="47" t="s">
        <v>0</v>
      </c>
      <c r="CT93" s="58" t="str">
        <f>IF(G93="","",G93)</f>
        <v>107:35</v>
      </c>
      <c r="CU93" s="73" t="str">
        <f>IF(H93="","",H93)</f>
        <v>0</v>
      </c>
      <c r="CV93" s="229" t="str">
        <f>IF(CT93="",IF(OR(AL93="",CU93&lt;&gt;"0"),"","GREŠKA"),IF(AND(65535&gt;=VALUE(LEFT(CT93,SEARCH(":",CT93)-1))*60+VALUE(RIGHT(CT93,2)),OR(CU93="0",CU93="1",CU93="2",CU93="3",CU93="4")),"","GREŠKA"))</f>
        <v/>
      </c>
      <c r="CW93" s="230">
        <f t="shared" si="71"/>
        <v>6455</v>
      </c>
      <c r="CX93" s="163">
        <f t="shared" si="87"/>
        <v>1</v>
      </c>
      <c r="CY93" s="47" t="s">
        <v>0</v>
      </c>
      <c r="CZ93" s="222" t="str">
        <f>IF(CV93&lt;&gt;"GREŠKA","",AK93&amp;" "&amp;AL93&amp;" – Molim u OEventu provjeriti i ispraviti rezultat – vrijeme ("&amp;IF(CT93="","nije upisano",CT93)&amp;") i classifier ("&amp;CU93&amp;").")&amp;IF(OR(CV93&lt;&gt;"GREŠKA",CX93&lt;&gt;5),"
","")&amp;IF(CX93&lt;&gt;5,"",AK93&amp;" "&amp;AL93&amp;" – Molim u provjeriti je li natjecatelj zaista diskvalificiran. Ako je koje je obrazloženje, ako nije molim u OEventu ispraviti rezultat")</f>
        <v xml:space="preserve">
</v>
      </c>
      <c r="DA93" s="223">
        <f t="shared" si="118"/>
        <v>6</v>
      </c>
      <c r="DB93" s="47" t="s">
        <v>0</v>
      </c>
      <c r="DC93" s="47"/>
      <c r="DD93" s="47"/>
      <c r="DE93" s="47"/>
      <c r="DF93" s="47" t="s">
        <v>0</v>
      </c>
      <c r="DG93" s="53" t="str">
        <f>IF(BD93="","",IF(DI93="O",1,""))</f>
        <v/>
      </c>
      <c r="DH93" t="s">
        <v>0</v>
      </c>
      <c r="DI93" s="128" t="str">
        <f>IF(Q93="","",LEFT(INDEX(regKategorija_oznaka,MATCH(S93,regKategorija_id,0)),1))</f>
        <v>M</v>
      </c>
      <c r="DJ93" t="s">
        <v>0</v>
      </c>
      <c r="DK93" s="52" t="str">
        <f>IF(BD93="","",IF(M93&lt;&gt;"CRO","","INSERT INTO osoba (id,reg_broj,oib,spol_id,dat_rodjenja) VALUES ("&amp;BD93&amp;",(SELECT max(os.reg_broj)+1 FROM osoba AS os),Null,'"&amp;DI93&amp;"',Null); INSERT INTO osoba_log (id,reg_broj,oib,spol_id,dat_rodjenja,dnevnik_id) SELECT id,reg_broj,oib,spol_id,dat_rodjenja,"&amp;data_dnevnik_id&amp;" FROM osoba WHERE id = "&amp;BD93&amp;";"))</f>
        <v/>
      </c>
      <c r="DL93" s="66" t="str">
        <f>IF(BD93="","","INSERT INTO imeprezime (id,osoba_id,rbr,ime,prezime,klub_id,identitet_id,sintaksa_id,info,aktivno,dnevnik_id) VALUES ("&amp;BD93&amp;","&amp;IF(DK93="","Null",BD93)&amp;",1,'"&amp;IF(AV93&lt;&gt;"",AV93,AK93)&amp;"','"&amp;IF(AW93&lt;&gt;"",AW93,AL93)&amp;"',(SELECT id FROM klub WHERE naziv = '"&amp;CR93&amp;"'),Null,1,'',1,"&amp;data_dnevnik_id&amp;");")</f>
        <v/>
      </c>
      <c r="DM93" t="s">
        <v>0</v>
      </c>
      <c r="DN93" s="19" t="str">
        <f t="shared" si="126"/>
        <v/>
      </c>
      <c r="DO93" s="47" t="s">
        <v>0</v>
      </c>
      <c r="DP93" s="19" t="str">
        <f>IF(BA93="","","INSERT INTO imeprezime_alias(id,alias,imeprezime_id) VALUES ("&amp;BB93&amp;",'"&amp;BA93&amp;"',"&amp;IF(BC93="NEMA",BD93,BC93)&amp;");")</f>
        <v/>
      </c>
      <c r="DQ93" s="47" t="s">
        <v>0</v>
      </c>
      <c r="DR93" s="52" t="str">
        <f>IF(AL93="","",DU93 &amp; IF(Q93="",""," – " &amp; Q93))</f>
        <v>Jurica – Cimperšak Žigrović – OK Vihor – M21B</v>
      </c>
      <c r="DS93" s="53">
        <f t="shared" si="88"/>
        <v>648</v>
      </c>
      <c r="DT93" s="47" t="s">
        <v>0</v>
      </c>
      <c r="DU93" s="52" t="str">
        <f>IF(AL93="","",DX93 &amp; IF(CR93="",""," – " &amp; CR93))</f>
        <v>Jurica – Cimperšak Žigrović – OK Vihor</v>
      </c>
      <c r="DV93" s="53">
        <f t="shared" si="89"/>
        <v>648</v>
      </c>
      <c r="DW93" s="47" t="s">
        <v>0</v>
      </c>
      <c r="DX93" s="52" t="str">
        <f>IF(BG93="","",BF93&amp;" – "&amp;BG93)</f>
        <v>Jurica – Cimperšak Žigrović</v>
      </c>
      <c r="DY93" s="53">
        <f t="shared" si="90"/>
        <v>648</v>
      </c>
      <c r="DZ93" s="47" t="s">
        <v>0</v>
      </c>
      <c r="EA93" s="58">
        <f t="shared" si="119"/>
        <v>648</v>
      </c>
      <c r="EB93" s="53" cm="1">
        <f t="array" ref="EB93">IF(EA93&lt;&gt;"",INDEX(regNatjecatelj_id,EA93,0),IF(BD93&lt;&gt;"",BD93,""))</f>
        <v>1915</v>
      </c>
      <c r="EC93" s="47" t="s">
        <v>0</v>
      </c>
      <c r="ED93" s="58" t="str">
        <f>IF(AL93="","",IF(BD93&lt;&gt;"","novo",IF(AN93="","imepre","imepre(ali)")))</f>
        <v>imepre</v>
      </c>
      <c r="EE93" s="73" t="str">
        <f>IF(AL93="","",IF(BL93="",IF(IFERROR(INDEX(regNatjecatelj_klub,MATCH(EB93,regNatjecatelj_id,0)),"NEMA")="","klu",""),IF(OR(AND(BN93&lt;&gt;"",BN93&lt;&gt;"NEMA"),CD93&lt;&gt;""),"klu(ali)",IF(AND(BP93&lt;&gt;"",BP93&lt;&gt;BO93),"(raz-klu)","klu"))))</f>
        <v>klu</v>
      </c>
      <c r="EF93" s="73" t="str">
        <f>IF(AL93="","","kat"&amp;IF(AND(W93&lt;&gt;Q93,Q93&lt;&gt;"Open"),"(ali)",""))</f>
        <v>kat</v>
      </c>
      <c r="EG93" s="73" t="str">
        <f t="shared" si="91"/>
        <v/>
      </c>
      <c r="EH93" s="66" t="str">
        <f>IF(AL93="","",ED93&amp;IF(ED93="novo","","-"&amp;EE93&amp;"-"&amp;EF93)&amp;IF(EG93="","","-"&amp;EG93))</f>
        <v>imepre-klu-kat</v>
      </c>
      <c r="EI93" s="47" t="s">
        <v>0</v>
      </c>
      <c r="EJ93" s="58">
        <f>IF(AL93="","",MAX(EJ$12:EJ92)+1)</f>
        <v>263</v>
      </c>
      <c r="EK93" s="73">
        <f>IF(AO93="","",X93)</f>
        <v>28</v>
      </c>
      <c r="EL93" s="73">
        <f t="shared" si="120"/>
        <v>1915</v>
      </c>
      <c r="EM93" s="73">
        <f t="shared" si="92"/>
        <v>6455</v>
      </c>
      <c r="EN93" s="73">
        <f t="shared" si="93"/>
        <v>1</v>
      </c>
      <c r="EO93" s="73">
        <f t="shared" si="121"/>
        <v>1</v>
      </c>
      <c r="EP93" s="73">
        <f t="shared" si="122"/>
        <v>1</v>
      </c>
      <c r="EQ93" s="73" t="str">
        <f t="shared" si="94"/>
        <v>0</v>
      </c>
      <c r="ER93" s="73" t="str">
        <f>IF(OR(AN93="",AN93="NEMA"),BB93,AN93)</f>
        <v/>
      </c>
      <c r="ES93" s="73" t="str">
        <f>IF(AND(BN93&lt;&gt;"",BN93&lt;&gt;"NEMA"),BN93,IF(CG93&lt;&gt;"",CG93,IF(AND(CL93&lt;&gt;"",CL93&lt;&gt;"NEMA"),CL93,IF(CM93&lt;&gt;"",CM93,""))))</f>
        <v/>
      </c>
      <c r="ET93" s="53" t="str">
        <f>IF(INDEX(natKategorija_alias_Id,MATCH(S93,natKategorija_katRegId,0))="","",INDEX(natKategorija_alias_Id,MATCH(S93,natKategorija_katRegId,0)))</f>
        <v/>
      </c>
      <c r="EU93" s="47" t="s">
        <v>0</v>
      </c>
      <c r="EV93" s="19" t="str">
        <f t="shared" si="123"/>
        <v>INSERT INTO rezultat(id,stazakategorija_id,imeprezime_id,vrijeme_sec,status_id,registracija,uparivanje_id,originalstatus_id,imeprezimealias_id,klubalias_id,kategorijaalias_id) VALUES (263,28,1915,6455,1,1,1,0,Null,Null,Null);</v>
      </c>
      <c r="EW93" s="47" t="s">
        <v>0</v>
      </c>
      <c r="EX93" s="19" t="str">
        <f t="shared" si="124"/>
        <v>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3" s="47" t="s">
        <v>0</v>
      </c>
      <c r="EZ93" s="180" t="str">
        <f>AG93&amp;IF(CP93="","","
")&amp;CP93&amp;IF(CI93="","","
")&amp;CI93&amp;IF(DN93="","","
")&amp;DN93&amp;IF(DP93="","","
")&amp;DP93&amp;IF(EV93="","","
")&amp;EV93&amp;IF(EX93="","","
")&amp;EX93</f>
        <v xml:space="preserve">
INSERT INTO rezultat(id,stazakategorija_id,imeprezime_id,vrijeme_sec,status_id,registracija,uparivanje_id,originalstatus_id,imeprezimealias_id,klubalias_id,kategorijaalias_id) VALUES (263,28,1915,6455,1,1,1,0,Null,Null,Null);
UPDATE
	registar
SET
	potvrda = 1
WHERE
	imeprezime_id=1915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3" s="47" t="s">
        <v>0</v>
      </c>
    </row>
    <row r="94" spans="1:157" x14ac:dyDescent="0.25">
      <c r="A94" t="s">
        <v>0</v>
      </c>
      <c r="B94" s="52" t="str">
        <f>IF(csv!F84="","",csv!T84)</f>
        <v>M21B</v>
      </c>
      <c r="C94" s="31" t="s">
        <v>0</v>
      </c>
      <c r="D94" s="31" t="str">
        <f>IF(csv!F84="","",csv!F84)</f>
        <v>Franjo</v>
      </c>
      <c r="E94" s="31" t="str">
        <f>IF(csv!E84="","",csv!E84)</f>
        <v>Lozančić</v>
      </c>
      <c r="F94" s="31" t="s">
        <v>0</v>
      </c>
      <c r="G94" s="73" t="str">
        <f>IF(csv!M84="","",csv!M84)</f>
        <v>107:41</v>
      </c>
      <c r="H94" s="73" t="str">
        <f>IF(csv!N84="","",csv!N84)</f>
        <v>0</v>
      </c>
      <c r="I94" s="31" t="s">
        <v>0</v>
      </c>
      <c r="J94" s="31" t="str">
        <f>IF(csv!P84="","",csv!P84)</f>
        <v>Vihor</v>
      </c>
      <c r="K94" s="31" t="str">
        <f>IF(csv!Q84="","",csv!Q84)</f>
        <v>OK Vihor</v>
      </c>
      <c r="L94" s="31" t="s">
        <v>0</v>
      </c>
      <c r="M94" s="66" t="str">
        <f>IF(csv!R84="","",csv!R84)</f>
        <v>CRO</v>
      </c>
      <c r="N94" s="47" t="s">
        <v>0</v>
      </c>
      <c r="O94" s="243" t="str">
        <f t="shared" si="95"/>
        <v>ok</v>
      </c>
      <c r="P94" s="47"/>
      <c r="Q94" s="52" t="str">
        <f t="shared" si="96"/>
        <v>M21B</v>
      </c>
      <c r="R94" s="73">
        <f>IF(Q94="","",IF(COUNTIF(Q$12:Q93,Q94)=0,R93+1,R93))</f>
        <v>6</v>
      </c>
      <c r="S94" s="73">
        <f t="shared" si="97"/>
        <v>108</v>
      </c>
      <c r="T94" s="73">
        <f t="shared" si="72"/>
        <v>19</v>
      </c>
      <c r="U94" s="66" t="str">
        <f t="shared" si="73"/>
        <v>M21B – M16</v>
      </c>
      <c r="V94" s="47" t="s">
        <v>0</v>
      </c>
      <c r="W94" s="222" t="str">
        <f t="shared" si="74"/>
        <v>M21B</v>
      </c>
      <c r="X94" s="223">
        <f t="shared" si="75"/>
        <v>28</v>
      </c>
      <c r="Y94" s="47" t="s">
        <v>0</v>
      </c>
      <c r="Z94" s="52" t="str">
        <f t="shared" si="98"/>
        <v>CRO</v>
      </c>
      <c r="AA94" s="73">
        <f t="shared" si="76"/>
        <v>1</v>
      </c>
      <c r="AB94" s="31" t="str">
        <f t="shared" si="99"/>
        <v/>
      </c>
      <c r="AC94" s="66" t="str">
        <f>IF(AB94="","",MAX(AC$12:AC93)+1)</f>
        <v/>
      </c>
      <c r="AD94" s="47" t="s">
        <v>0</v>
      </c>
      <c r="AE94" s="125"/>
      <c r="AF94" s="47" t="s">
        <v>0</v>
      </c>
      <c r="AG94" s="19" t="str">
        <f t="shared" si="100"/>
        <v/>
      </c>
      <c r="AH94" s="47" t="s">
        <v>0</v>
      </c>
      <c r="AI94" s="143" t="str">
        <f t="shared" si="101"/>
        <v>CRO</v>
      </c>
      <c r="AJ94" s="47"/>
      <c r="AK94" s="52" t="str">
        <f t="shared" si="102"/>
        <v>Franjo</v>
      </c>
      <c r="AL94" s="31" t="str">
        <f t="shared" si="103"/>
        <v>Lozančić</v>
      </c>
      <c r="AM94" s="73">
        <f t="shared" si="104"/>
        <v>1897</v>
      </c>
      <c r="AN94" s="73" t="str">
        <f t="shared" si="105"/>
        <v/>
      </c>
      <c r="AO94" s="31" t="str">
        <f t="shared" si="77"/>
        <v>Franjo</v>
      </c>
      <c r="AP94" s="66" t="str">
        <f t="shared" si="78"/>
        <v>Lozančić</v>
      </c>
      <c r="AQ94" s="47" t="s">
        <v>0</v>
      </c>
      <c r="AR94" s="82" t="str">
        <f t="shared" si="106"/>
        <v/>
      </c>
      <c r="AS94" s="47" t="s">
        <v>0</v>
      </c>
      <c r="AT94" s="19" t="str">
        <f t="shared" si="107"/>
        <v/>
      </c>
      <c r="AU94" s="47" t="s">
        <v>0</v>
      </c>
      <c r="AV94" s="103"/>
      <c r="AW94" s="105"/>
      <c r="AX94" s="47" t="s">
        <v>0</v>
      </c>
      <c r="AY94" s="256" t="str">
        <f t="shared" si="125"/>
        <v/>
      </c>
      <c r="AZ94" s="47" t="s">
        <v>0</v>
      </c>
      <c r="BA94" s="52" t="str">
        <f t="shared" si="79"/>
        <v/>
      </c>
      <c r="BB94" s="73" t="str">
        <f>IF(AV94&amp;AW94="","",MAX(BB$12:BB93)+1)</f>
        <v/>
      </c>
      <c r="BC94" s="268" t="str">
        <f t="shared" si="80"/>
        <v/>
      </c>
      <c r="BD94" s="53" t="str">
        <f>IF(AND(AM94="NEMA",AN94="NEMA",OR(AV94&amp;AW94="",BC94="NEMA")),MAX(BD$12:BD93)+1,"")</f>
        <v/>
      </c>
      <c r="BE94" s="47" t="s">
        <v>0</v>
      </c>
      <c r="BF94" s="52" t="str">
        <f t="shared" si="81"/>
        <v>Franjo</v>
      </c>
      <c r="BG94" s="31" t="str">
        <f t="shared" si="82"/>
        <v>Lozančić</v>
      </c>
      <c r="BH94" s="73" t="str">
        <f t="shared" si="108"/>
        <v/>
      </c>
      <c r="BI94" s="53">
        <f t="shared" si="109"/>
        <v>1897</v>
      </c>
      <c r="BJ94" s="47" t="s">
        <v>0</v>
      </c>
      <c r="BK94" s="52" t="str">
        <f t="shared" si="83"/>
        <v>Vihor</v>
      </c>
      <c r="BL94" s="31" t="str">
        <f t="shared" si="84"/>
        <v>OK Vihor</v>
      </c>
      <c r="BM94" s="73">
        <f t="shared" si="85"/>
        <v>12</v>
      </c>
      <c r="BN94" s="73" t="str">
        <f t="shared" si="86"/>
        <v/>
      </c>
      <c r="BO94" s="31" t="str" cm="1">
        <f t="array" ref="BO94">IF(BN94="",""&amp;BL94,IF(BN94="NEMA",BL94,INDEX(regKlub_naziv,MATCH(INDEX(regKlub_alias_klubId,BN94),regKlub_id,0))))</f>
        <v>OK Vihor</v>
      </c>
      <c r="BP94" s="31" t="str" cm="1">
        <f t="array" ref="BP94">IFERROR(""&amp;INDEX(regNatjecatelj_klub,DY94),"")</f>
        <v>OK Vihor</v>
      </c>
      <c r="BQ94" s="88" t="str">
        <f t="shared" si="110"/>
        <v/>
      </c>
      <c r="BR94" s="66" t="str">
        <f t="shared" si="111"/>
        <v>OK Vihor</v>
      </c>
      <c r="BS94" s="47" t="s">
        <v>0</v>
      </c>
      <c r="BT94" s="82" t="str">
        <f>IF(BN94&lt;&gt;"NEMA","",IF(IFERROR(MATCH(BL94,BL$12:BL93,0),0)&lt;&gt;0,"",BL94))</f>
        <v/>
      </c>
      <c r="BU94" s="47" t="s">
        <v>0</v>
      </c>
      <c r="BV94" s="125"/>
      <c r="BW94" s="47" t="s">
        <v>0</v>
      </c>
      <c r="BX94" s="58" t="str">
        <f t="shared" si="112"/>
        <v/>
      </c>
      <c r="BY94" s="31" t="str">
        <f t="shared" si="113"/>
        <v/>
      </c>
      <c r="BZ94" s="31" t="str">
        <f>IF(BY94="","",MAX(BZ$12:BZ93)+1)</f>
        <v/>
      </c>
      <c r="CA94" s="31" t="str">
        <f>IF(BY94="","",IF(AA94="","",IF(AA94="NEMA",AC94,AA94)))</f>
        <v/>
      </c>
      <c r="CB94" s="31" t="str">
        <f t="shared" si="114"/>
        <v/>
      </c>
      <c r="CC94" s="31" t="str">
        <f>IF(BV94="","",MAX(CC$12:CC93)+1)</f>
        <v/>
      </c>
      <c r="CD94" s="31" t="str">
        <f t="shared" si="115"/>
        <v/>
      </c>
      <c r="CE94" s="66" t="str">
        <f t="shared" si="116"/>
        <v/>
      </c>
      <c r="CF94" s="47" t="s">
        <v>0</v>
      </c>
      <c r="CG94" s="73" t="str">
        <f>IF(BN94="","",IF(BN94&lt;&gt;"NEMA","",IFERROR(INDEX(nat_klubAliasId,MATCH(BL94,nat_noviKluboviAliasi,0)),"")))</f>
        <v/>
      </c>
      <c r="CH94" s="47"/>
      <c r="CI94" s="19" t="str">
        <f t="shared" si="117"/>
        <v/>
      </c>
      <c r="CJ94" s="47" t="s">
        <v>0</v>
      </c>
      <c r="CK94" s="52" t="str">
        <f>IF(X94&lt;&gt;"NEMA","",IF(IFERROR(MATCH(W94,W$12:W93,0),0)&lt;&gt;0,"",W94))</f>
        <v/>
      </c>
      <c r="CL94" s="73" t="str">
        <f>IF(CK94="","",IFERROR(INDEX(regKlub_alias_id,MATCH(CK94,regKlub_alias_alias,0)),"NEMA"))</f>
        <v/>
      </c>
      <c r="CM94" s="31" t="str">
        <f>IF(OR(CL94="",CL94&lt;&gt;"NEMA"),"",MAX(CM$12:CM93)+1)</f>
        <v/>
      </c>
      <c r="CN94" s="66" t="str">
        <f>IF(OR(CL94="",CL94&lt;&gt;"NEMA"),"",INDEX(regKlub_id,MATCH(CK94,regKlub_naziv,0)))</f>
        <v/>
      </c>
      <c r="CO94" s="47" t="s">
        <v>0</v>
      </c>
      <c r="CP94" s="19" t="str">
        <f>IF(OR(CL94="",CL94&lt;&gt;"NEMA"),"","INSERT INTO klub_alias(id,alias,klub_id) VALUES ("&amp;CM94&amp;",'"&amp;CK94&amp;"',"&amp;CN94&amp;");")</f>
        <v/>
      </c>
      <c r="CQ94" s="47" t="s">
        <v>0</v>
      </c>
      <c r="CR94" s="143" t="str">
        <f>IF(BR94="","",IF(BV94="",IF(IFERROR(MATCH(BR94,nat_noviKluboviAliasi,0),0)&gt;0,INDEX(nat_kluboviAliasi,MATCH(BR94,nat_noviKluboviAliasi,0)),BR94),BV94))</f>
        <v>OK Vihor</v>
      </c>
      <c r="CS94" s="47" t="s">
        <v>0</v>
      </c>
      <c r="CT94" s="58" t="str">
        <f>IF(G94="","",G94)</f>
        <v>107:41</v>
      </c>
      <c r="CU94" s="73" t="str">
        <f>IF(H94="","",H94)</f>
        <v>0</v>
      </c>
      <c r="CV94" s="229" t="str">
        <f>IF(CT94="",IF(OR(AL94="",CU94&lt;&gt;"0"),"","GREŠKA"),IF(AND(65535&gt;=VALUE(LEFT(CT94,SEARCH(":",CT94)-1))*60+VALUE(RIGHT(CT94,2)),OR(CU94="0",CU94="1",CU94="2",CU94="3",CU94="4")),"","GREŠKA"))</f>
        <v/>
      </c>
      <c r="CW94" s="230">
        <f t="shared" si="71"/>
        <v>6461</v>
      </c>
      <c r="CX94" s="163">
        <f t="shared" si="87"/>
        <v>1</v>
      </c>
      <c r="CY94" s="47" t="s">
        <v>0</v>
      </c>
      <c r="CZ94" s="222" t="str">
        <f>IF(CV94&lt;&gt;"GREŠKA","",AK94&amp;" "&amp;AL94&amp;" – Molim u OEventu provjeriti i ispraviti rezultat – vrijeme ("&amp;IF(CT94="","nije upisano",CT94)&amp;") i classifier ("&amp;CU94&amp;").")&amp;IF(OR(CV94&lt;&gt;"GREŠKA",CX94&lt;&gt;5),"
","")&amp;IF(CX94&lt;&gt;5,"",AK94&amp;" "&amp;AL94&amp;" – Molim u provjeriti je li natjecatelj zaista diskvalificiran. Ako je koje je obrazloženje, ako nije molim u OEventu ispraviti rezultat")</f>
        <v xml:space="preserve">
</v>
      </c>
      <c r="DA94" s="223">
        <f t="shared" si="118"/>
        <v>6</v>
      </c>
      <c r="DB94" s="47" t="s">
        <v>0</v>
      </c>
      <c r="DC94" s="47"/>
      <c r="DD94" s="47"/>
      <c r="DE94" s="47"/>
      <c r="DF94" s="47" t="s">
        <v>0</v>
      </c>
      <c r="DG94" s="53" t="str">
        <f>IF(BD94="","",IF(DI94="O",1,""))</f>
        <v/>
      </c>
      <c r="DH94" t="s">
        <v>0</v>
      </c>
      <c r="DI94" s="128" t="str">
        <f>IF(Q94="","",LEFT(INDEX(regKategorija_oznaka,MATCH(S94,regKategorija_id,0)),1))</f>
        <v>M</v>
      </c>
      <c r="DJ94" t="s">
        <v>0</v>
      </c>
      <c r="DK94" s="52" t="str">
        <f>IF(BD94="","",IF(M94&lt;&gt;"CRO","","INSERT INTO osoba (id,reg_broj,oib,spol_id,dat_rodjenja) VALUES ("&amp;BD94&amp;",(SELECT max(os.reg_broj)+1 FROM osoba AS os),Null,'"&amp;DI94&amp;"',Null); INSERT INTO osoba_log (id,reg_broj,oib,spol_id,dat_rodjenja,dnevnik_id) SELECT id,reg_broj,oib,spol_id,dat_rodjenja,"&amp;data_dnevnik_id&amp;" FROM osoba WHERE id = "&amp;BD94&amp;";"))</f>
        <v/>
      </c>
      <c r="DL94" s="66" t="str">
        <f>IF(BD94="","","INSERT INTO imeprezime (id,osoba_id,rbr,ime,prezime,klub_id,identitet_id,sintaksa_id,info,aktivno,dnevnik_id) VALUES ("&amp;BD94&amp;","&amp;IF(DK94="","Null",BD94)&amp;",1,'"&amp;IF(AV94&lt;&gt;"",AV94,AK94)&amp;"','"&amp;IF(AW94&lt;&gt;"",AW94,AL94)&amp;"',(SELECT id FROM klub WHERE naziv = '"&amp;CR94&amp;"'),Null,1,'',1,"&amp;data_dnevnik_id&amp;");")</f>
        <v/>
      </c>
      <c r="DM94" t="s">
        <v>0</v>
      </c>
      <c r="DN94" s="19" t="str">
        <f t="shared" si="126"/>
        <v/>
      </c>
      <c r="DO94" s="47" t="s">
        <v>0</v>
      </c>
      <c r="DP94" s="19" t="str">
        <f>IF(BA94="","","INSERT INTO imeprezime_alias(id,alias,imeprezime_id) VALUES ("&amp;BB94&amp;",'"&amp;BA94&amp;"',"&amp;IF(BC94="NEMA",BD94,BC94)&amp;");")</f>
        <v/>
      </c>
      <c r="DQ94" s="47" t="s">
        <v>0</v>
      </c>
      <c r="DR94" s="52" t="str">
        <f>IF(AL94="","",DU94 &amp; IF(Q94="",""," – " &amp; Q94))</f>
        <v>Franjo – Lozančić – OK Vihor – M21B</v>
      </c>
      <c r="DS94" s="53">
        <f t="shared" si="88"/>
        <v>777</v>
      </c>
      <c r="DT94" s="47" t="s">
        <v>0</v>
      </c>
      <c r="DU94" s="52" t="str">
        <f>IF(AL94="","",DX94 &amp; IF(CR94="",""," – " &amp; CR94))</f>
        <v>Franjo – Lozančić – OK Vihor</v>
      </c>
      <c r="DV94" s="53">
        <f t="shared" si="89"/>
        <v>777</v>
      </c>
      <c r="DW94" s="47" t="s">
        <v>0</v>
      </c>
      <c r="DX94" s="52" t="str">
        <f>IF(BG94="","",BF94&amp;" – "&amp;BG94)</f>
        <v>Franjo – Lozančić</v>
      </c>
      <c r="DY94" s="53">
        <f t="shared" si="90"/>
        <v>777</v>
      </c>
      <c r="DZ94" s="47" t="s">
        <v>0</v>
      </c>
      <c r="EA94" s="58">
        <f t="shared" si="119"/>
        <v>777</v>
      </c>
      <c r="EB94" s="53" cm="1">
        <f t="array" ref="EB94">IF(EA94&lt;&gt;"",INDEX(regNatjecatelj_id,EA94,0),IF(BD94&lt;&gt;"",BD94,""))</f>
        <v>1897</v>
      </c>
      <c r="EC94" s="47" t="s">
        <v>0</v>
      </c>
      <c r="ED94" s="58" t="str">
        <f>IF(AL94="","",IF(BD94&lt;&gt;"","novo",IF(AN94="","imepre","imepre(ali)")))</f>
        <v>imepre</v>
      </c>
      <c r="EE94" s="73" t="str">
        <f>IF(AL94="","",IF(BL94="",IF(IFERROR(INDEX(regNatjecatelj_klub,MATCH(EB94,regNatjecatelj_id,0)),"NEMA")="","klu",""),IF(OR(AND(BN94&lt;&gt;"",BN94&lt;&gt;"NEMA"),CD94&lt;&gt;""),"klu(ali)",IF(AND(BP94&lt;&gt;"",BP94&lt;&gt;BO94),"(raz-klu)","klu"))))</f>
        <v>klu</v>
      </c>
      <c r="EF94" s="73" t="str">
        <f>IF(AL94="","","kat"&amp;IF(AND(W94&lt;&gt;Q94,Q94&lt;&gt;"Open"),"(ali)",""))</f>
        <v>kat</v>
      </c>
      <c r="EG94" s="73" t="str">
        <f t="shared" si="91"/>
        <v/>
      </c>
      <c r="EH94" s="66" t="str">
        <f>IF(AL94="","",ED94&amp;IF(ED94="novo","","-"&amp;EE94&amp;"-"&amp;EF94)&amp;IF(EG94="","","-"&amp;EG94))</f>
        <v>imepre-klu-kat</v>
      </c>
      <c r="EI94" s="47" t="s">
        <v>0</v>
      </c>
      <c r="EJ94" s="58">
        <f>IF(AL94="","",MAX(EJ$12:EJ93)+1)</f>
        <v>264</v>
      </c>
      <c r="EK94" s="73">
        <f>IF(AO94="","",X94)</f>
        <v>28</v>
      </c>
      <c r="EL94" s="73">
        <f t="shared" si="120"/>
        <v>1897</v>
      </c>
      <c r="EM94" s="73">
        <f t="shared" si="92"/>
        <v>6461</v>
      </c>
      <c r="EN94" s="73">
        <f t="shared" si="93"/>
        <v>1</v>
      </c>
      <c r="EO94" s="73">
        <f t="shared" si="121"/>
        <v>1</v>
      </c>
      <c r="EP94" s="73">
        <f t="shared" si="122"/>
        <v>1</v>
      </c>
      <c r="EQ94" s="73" t="str">
        <f t="shared" si="94"/>
        <v>0</v>
      </c>
      <c r="ER94" s="73" t="str">
        <f>IF(OR(AN94="",AN94="NEMA"),BB94,AN94)</f>
        <v/>
      </c>
      <c r="ES94" s="73" t="str">
        <f>IF(AND(BN94&lt;&gt;"",BN94&lt;&gt;"NEMA"),BN94,IF(CG94&lt;&gt;"",CG94,IF(AND(CL94&lt;&gt;"",CL94&lt;&gt;"NEMA"),CL94,IF(CM94&lt;&gt;"",CM94,""))))</f>
        <v/>
      </c>
      <c r="ET94" s="53" t="str">
        <f>IF(INDEX(natKategorija_alias_Id,MATCH(S94,natKategorija_katRegId,0))="","",INDEX(natKategorija_alias_Id,MATCH(S94,natKategorija_katRegId,0)))</f>
        <v/>
      </c>
      <c r="EU94" s="47" t="s">
        <v>0</v>
      </c>
      <c r="EV94" s="19" t="str">
        <f t="shared" si="123"/>
        <v>INSERT INTO rezultat(id,stazakategorija_id,imeprezime_id,vrijeme_sec,status_id,registracija,uparivanje_id,originalstatus_id,imeprezimealias_id,klubalias_id,kategorijaalias_id) VALUES (264,28,1897,6461,1,1,1,0,Null,Null,Null);</v>
      </c>
      <c r="EW94" s="47" t="s">
        <v>0</v>
      </c>
      <c r="EX94" s="19" t="str">
        <f t="shared" si="124"/>
        <v>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4" s="47" t="s">
        <v>0</v>
      </c>
      <c r="EZ94" s="180" t="str">
        <f>AG94&amp;IF(CP94="","","
")&amp;CP94&amp;IF(CI94="","","
")&amp;CI94&amp;IF(DN94="","","
")&amp;DN94&amp;IF(DP94="","","
")&amp;DP94&amp;IF(EV94="","","
")&amp;EV94&amp;IF(EX94="","","
")&amp;EX94</f>
        <v xml:space="preserve">
INSERT INTO rezultat(id,stazakategorija_id,imeprezime_id,vrijeme_sec,status_id,registracija,uparivanje_id,originalstatus_id,imeprezimealias_id,klubalias_id,kategorijaalias_id) VALUES (264,28,1897,6461,1,1,1,0,Null,Null,Null);
UPDATE
	registar
SET
	potvrda = 1
WHERE
	imeprezime_id=1897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4" s="47" t="s">
        <v>0</v>
      </c>
    </row>
    <row r="95" spans="1:157" x14ac:dyDescent="0.25">
      <c r="A95" t="s">
        <v>0</v>
      </c>
      <c r="B95" s="52" t="str">
        <f>IF(csv!F85="","",csv!T85)</f>
        <v>M21B</v>
      </c>
      <c r="C95" s="31" t="s">
        <v>0</v>
      </c>
      <c r="D95" s="31" t="str">
        <f>IF(csv!F85="","",csv!F85)</f>
        <v>Emil</v>
      </c>
      <c r="E95" s="31" t="str">
        <f>IF(csv!E85="","",csv!E85)</f>
        <v>Trčak</v>
      </c>
      <c r="F95" s="31" t="s">
        <v>0</v>
      </c>
      <c r="G95" s="73" t="str">
        <f>IF(csv!M85="","",csv!M85)</f>
        <v>111:44</v>
      </c>
      <c r="H95" s="73" t="str">
        <f>IF(csv!N85="","",csv!N85)</f>
        <v>0</v>
      </c>
      <c r="I95" s="31" t="s">
        <v>0</v>
      </c>
      <c r="J95" s="31" t="str">
        <f>IF(csv!P85="","",csv!P85)</f>
        <v>Vihor</v>
      </c>
      <c r="K95" s="31" t="str">
        <f>IF(csv!Q85="","",csv!Q85)</f>
        <v>OK Vihor</v>
      </c>
      <c r="L95" s="31" t="s">
        <v>0</v>
      </c>
      <c r="M95" s="66" t="str">
        <f>IF(csv!R85="","",csv!R85)</f>
        <v>CRO</v>
      </c>
      <c r="N95" s="47" t="s">
        <v>0</v>
      </c>
      <c r="O95" s="243" t="str">
        <f t="shared" si="95"/>
        <v>ok</v>
      </c>
      <c r="P95" s="47"/>
      <c r="Q95" s="52" t="str">
        <f t="shared" si="96"/>
        <v>M21B</v>
      </c>
      <c r="R95" s="73">
        <f>IF(Q95="","",IF(COUNTIF(Q$12:Q94,Q95)=0,R94+1,R94))</f>
        <v>6</v>
      </c>
      <c r="S95" s="73">
        <f t="shared" si="97"/>
        <v>108</v>
      </c>
      <c r="T95" s="73">
        <f t="shared" si="72"/>
        <v>19</v>
      </c>
      <c r="U95" s="66" t="str">
        <f t="shared" si="73"/>
        <v>M21B – M16</v>
      </c>
      <c r="V95" s="47" t="s">
        <v>0</v>
      </c>
      <c r="W95" s="222" t="str">
        <f t="shared" si="74"/>
        <v>M21B</v>
      </c>
      <c r="X95" s="223">
        <f t="shared" si="75"/>
        <v>28</v>
      </c>
      <c r="Y95" s="47" t="s">
        <v>0</v>
      </c>
      <c r="Z95" s="52" t="str">
        <f t="shared" si="98"/>
        <v>CRO</v>
      </c>
      <c r="AA95" s="73">
        <f t="shared" si="76"/>
        <v>1</v>
      </c>
      <c r="AB95" s="31" t="str">
        <f t="shared" si="99"/>
        <v/>
      </c>
      <c r="AC95" s="66" t="str">
        <f>IF(AB95="","",MAX(AC$12:AC94)+1)</f>
        <v/>
      </c>
      <c r="AD95" s="47" t="s">
        <v>0</v>
      </c>
      <c r="AE95" s="125"/>
      <c r="AF95" s="47" t="s">
        <v>0</v>
      </c>
      <c r="AG95" s="19" t="str">
        <f t="shared" si="100"/>
        <v/>
      </c>
      <c r="AH95" s="47" t="s">
        <v>0</v>
      </c>
      <c r="AI95" s="143" t="str">
        <f t="shared" si="101"/>
        <v>CRO</v>
      </c>
      <c r="AJ95" s="47"/>
      <c r="AK95" s="52" t="str">
        <f t="shared" si="102"/>
        <v>Emil</v>
      </c>
      <c r="AL95" s="31" t="str">
        <f t="shared" si="103"/>
        <v>Trčak</v>
      </c>
      <c r="AM95" s="73">
        <f t="shared" si="104"/>
        <v>1929</v>
      </c>
      <c r="AN95" s="73" t="str">
        <f t="shared" si="105"/>
        <v/>
      </c>
      <c r="AO95" s="31" t="str">
        <f t="shared" si="77"/>
        <v>Emil</v>
      </c>
      <c r="AP95" s="66" t="str">
        <f t="shared" si="78"/>
        <v>Trčak</v>
      </c>
      <c r="AQ95" s="47" t="s">
        <v>0</v>
      </c>
      <c r="AR95" s="82" t="str">
        <f t="shared" si="106"/>
        <v/>
      </c>
      <c r="AS95" s="47" t="s">
        <v>0</v>
      </c>
      <c r="AT95" s="19" t="str">
        <f t="shared" si="107"/>
        <v/>
      </c>
      <c r="AU95" s="47" t="s">
        <v>0</v>
      </c>
      <c r="AV95" s="103"/>
      <c r="AW95" s="105"/>
      <c r="AX95" s="47" t="s">
        <v>0</v>
      </c>
      <c r="AY95" s="256" t="str">
        <f t="shared" si="125"/>
        <v/>
      </c>
      <c r="AZ95" s="47" t="s">
        <v>0</v>
      </c>
      <c r="BA95" s="52" t="str">
        <f t="shared" si="79"/>
        <v/>
      </c>
      <c r="BB95" s="73" t="str">
        <f>IF(AV95&amp;AW95="","",MAX(BB$12:BB94)+1)</f>
        <v/>
      </c>
      <c r="BC95" s="268" t="str">
        <f t="shared" si="80"/>
        <v/>
      </c>
      <c r="BD95" s="53" t="str">
        <f>IF(AND(AM95="NEMA",AN95="NEMA",OR(AV95&amp;AW95="",BC95="NEMA")),MAX(BD$12:BD94)+1,"")</f>
        <v/>
      </c>
      <c r="BE95" s="47" t="s">
        <v>0</v>
      </c>
      <c r="BF95" s="52" t="str">
        <f t="shared" si="81"/>
        <v>Emil</v>
      </c>
      <c r="BG95" s="31" t="str">
        <f t="shared" si="82"/>
        <v>Trčak</v>
      </c>
      <c r="BH95" s="73" t="str">
        <f t="shared" si="108"/>
        <v/>
      </c>
      <c r="BI95" s="53">
        <f t="shared" si="109"/>
        <v>1929</v>
      </c>
      <c r="BJ95" s="47" t="s">
        <v>0</v>
      </c>
      <c r="BK95" s="52" t="str">
        <f t="shared" si="83"/>
        <v>Vihor</v>
      </c>
      <c r="BL95" s="31" t="str">
        <f t="shared" si="84"/>
        <v>OK Vihor</v>
      </c>
      <c r="BM95" s="73">
        <f t="shared" si="85"/>
        <v>12</v>
      </c>
      <c r="BN95" s="73" t="str">
        <f t="shared" si="86"/>
        <v/>
      </c>
      <c r="BO95" s="31" t="str" cm="1">
        <f t="array" ref="BO95">IF(BN95="",""&amp;BL95,IF(BN95="NEMA",BL95,INDEX(regKlub_naziv,MATCH(INDEX(regKlub_alias_klubId,BN95),regKlub_id,0))))</f>
        <v>OK Vihor</v>
      </c>
      <c r="BP95" s="31" t="str" cm="1">
        <f t="array" ref="BP95">IFERROR(""&amp;INDEX(regNatjecatelj_klub,DY95),"")</f>
        <v>OK Vihor</v>
      </c>
      <c r="BQ95" s="88" t="str">
        <f t="shared" si="110"/>
        <v/>
      </c>
      <c r="BR95" s="66" t="str">
        <f t="shared" si="111"/>
        <v>OK Vihor</v>
      </c>
      <c r="BS95" s="47" t="s">
        <v>0</v>
      </c>
      <c r="BT95" s="82" t="str">
        <f>IF(BN95&lt;&gt;"NEMA","",IF(IFERROR(MATCH(BL95,BL$12:BL94,0),0)&lt;&gt;0,"",BL95))</f>
        <v/>
      </c>
      <c r="BU95" s="47" t="s">
        <v>0</v>
      </c>
      <c r="BV95" s="125"/>
      <c r="BW95" s="47" t="s">
        <v>0</v>
      </c>
      <c r="BX95" s="58" t="str">
        <f t="shared" si="112"/>
        <v/>
      </c>
      <c r="BY95" s="31" t="str">
        <f t="shared" si="113"/>
        <v/>
      </c>
      <c r="BZ95" s="31" t="str">
        <f>IF(BY95="","",MAX(BZ$12:BZ94)+1)</f>
        <v/>
      </c>
      <c r="CA95" s="31" t="str">
        <f>IF(BY95="","",IF(AA95="","",IF(AA95="NEMA",AC95,AA95)))</f>
        <v/>
      </c>
      <c r="CB95" s="31" t="str">
        <f t="shared" si="114"/>
        <v/>
      </c>
      <c r="CC95" s="31" t="str">
        <f>IF(BV95="","",MAX(CC$12:CC94)+1)</f>
        <v/>
      </c>
      <c r="CD95" s="31" t="str">
        <f t="shared" si="115"/>
        <v/>
      </c>
      <c r="CE95" s="66" t="str">
        <f t="shared" si="116"/>
        <v/>
      </c>
      <c r="CF95" s="47" t="s">
        <v>0</v>
      </c>
      <c r="CG95" s="73" t="str">
        <f>IF(BN95="","",IF(BN95&lt;&gt;"NEMA","",IFERROR(INDEX(nat_klubAliasId,MATCH(BL95,nat_noviKluboviAliasi,0)),"")))</f>
        <v/>
      </c>
      <c r="CH95" s="47"/>
      <c r="CI95" s="19" t="str">
        <f t="shared" si="117"/>
        <v/>
      </c>
      <c r="CJ95" s="47" t="s">
        <v>0</v>
      </c>
      <c r="CK95" s="52" t="str">
        <f>IF(X95&lt;&gt;"NEMA","",IF(IFERROR(MATCH(W95,W$12:W94,0),0)&lt;&gt;0,"",W95))</f>
        <v/>
      </c>
      <c r="CL95" s="73" t="str">
        <f>IF(CK95="","",IFERROR(INDEX(regKlub_alias_id,MATCH(CK95,regKlub_alias_alias,0)),"NEMA"))</f>
        <v/>
      </c>
      <c r="CM95" s="31" t="str">
        <f>IF(OR(CL95="",CL95&lt;&gt;"NEMA"),"",MAX(CM$12:CM94)+1)</f>
        <v/>
      </c>
      <c r="CN95" s="66" t="str">
        <f>IF(OR(CL95="",CL95&lt;&gt;"NEMA"),"",INDEX(regKlub_id,MATCH(CK95,regKlub_naziv,0)))</f>
        <v/>
      </c>
      <c r="CO95" s="47" t="s">
        <v>0</v>
      </c>
      <c r="CP95" s="19" t="str">
        <f>IF(OR(CL95="",CL95&lt;&gt;"NEMA"),"","INSERT INTO klub_alias(id,alias,klub_id) VALUES ("&amp;CM95&amp;",'"&amp;CK95&amp;"',"&amp;CN95&amp;");")</f>
        <v/>
      </c>
      <c r="CQ95" s="47" t="s">
        <v>0</v>
      </c>
      <c r="CR95" s="143" t="str">
        <f>IF(BR95="","",IF(BV95="",IF(IFERROR(MATCH(BR95,nat_noviKluboviAliasi,0),0)&gt;0,INDEX(nat_kluboviAliasi,MATCH(BR95,nat_noviKluboviAliasi,0)),BR95),BV95))</f>
        <v>OK Vihor</v>
      </c>
      <c r="CS95" s="47" t="s">
        <v>0</v>
      </c>
      <c r="CT95" s="58" t="str">
        <f>IF(G95="","",G95)</f>
        <v>111:44</v>
      </c>
      <c r="CU95" s="73" t="str">
        <f>IF(H95="","",H95)</f>
        <v>0</v>
      </c>
      <c r="CV95" s="229" t="str">
        <f>IF(CT95="",IF(OR(AL95="",CU95&lt;&gt;"0"),"","GREŠKA"),IF(AND(65535&gt;=VALUE(LEFT(CT95,SEARCH(":",CT95)-1))*60+VALUE(RIGHT(CT95,2)),OR(CU95="0",CU95="1",CU95="2",CU95="3",CU95="4")),"","GREŠKA"))</f>
        <v/>
      </c>
      <c r="CW95" s="230">
        <f t="shared" si="71"/>
        <v>6704</v>
      </c>
      <c r="CX95" s="163">
        <f t="shared" si="87"/>
        <v>1</v>
      </c>
      <c r="CY95" s="47" t="s">
        <v>0</v>
      </c>
      <c r="CZ95" s="222" t="str">
        <f>IF(CV95&lt;&gt;"GREŠKA","",AK95&amp;" "&amp;AL95&amp;" – Molim u OEventu provjeriti i ispraviti rezultat – vrijeme ("&amp;IF(CT95="","nije upisano",CT95)&amp;") i classifier ("&amp;CU95&amp;").")&amp;IF(OR(CV95&lt;&gt;"GREŠKA",CX95&lt;&gt;5),"
","")&amp;IF(CX95&lt;&gt;5,"",AK95&amp;" "&amp;AL95&amp;" – Molim u provjeriti je li natjecatelj zaista diskvalificiran. Ako je koje je obrazloženje, ako nije molim u OEventu ispraviti rezultat")</f>
        <v xml:space="preserve">
</v>
      </c>
      <c r="DA95" s="223">
        <f t="shared" si="118"/>
        <v>6</v>
      </c>
      <c r="DB95" s="47" t="s">
        <v>0</v>
      </c>
      <c r="DC95" s="47"/>
      <c r="DD95" s="47"/>
      <c r="DE95" s="47"/>
      <c r="DF95" s="47" t="s">
        <v>0</v>
      </c>
      <c r="DG95" s="53" t="str">
        <f>IF(BD95="","",IF(DI95="O",1,""))</f>
        <v/>
      </c>
      <c r="DH95" t="s">
        <v>0</v>
      </c>
      <c r="DI95" s="128" t="str">
        <f>IF(Q95="","",LEFT(INDEX(regKategorija_oznaka,MATCH(S95,regKategorija_id,0)),1))</f>
        <v>M</v>
      </c>
      <c r="DJ95" t="s">
        <v>0</v>
      </c>
      <c r="DK95" s="52" t="str">
        <f>IF(BD95="","",IF(M95&lt;&gt;"CRO","","INSERT INTO osoba (id,reg_broj,oib,spol_id,dat_rodjenja) VALUES ("&amp;BD95&amp;",(SELECT max(os.reg_broj)+1 FROM osoba AS os),Null,'"&amp;DI95&amp;"',Null); INSERT INTO osoba_log (id,reg_broj,oib,spol_id,dat_rodjenja,dnevnik_id) SELECT id,reg_broj,oib,spol_id,dat_rodjenja,"&amp;data_dnevnik_id&amp;" FROM osoba WHERE id = "&amp;BD95&amp;";"))</f>
        <v/>
      </c>
      <c r="DL95" s="66" t="str">
        <f>IF(BD95="","","INSERT INTO imeprezime (id,osoba_id,rbr,ime,prezime,klub_id,identitet_id,sintaksa_id,info,aktivno,dnevnik_id) VALUES ("&amp;BD95&amp;","&amp;IF(DK95="","Null",BD95)&amp;",1,'"&amp;IF(AV95&lt;&gt;"",AV95,AK95)&amp;"','"&amp;IF(AW95&lt;&gt;"",AW95,AL95)&amp;"',(SELECT id FROM klub WHERE naziv = '"&amp;CR95&amp;"'),Null,1,'',1,"&amp;data_dnevnik_id&amp;");")</f>
        <v/>
      </c>
      <c r="DM95" t="s">
        <v>0</v>
      </c>
      <c r="DN95" s="19" t="str">
        <f t="shared" si="126"/>
        <v/>
      </c>
      <c r="DO95" s="47" t="s">
        <v>0</v>
      </c>
      <c r="DP95" s="19" t="str">
        <f>IF(BA95="","","INSERT INTO imeprezime_alias(id,alias,imeprezime_id) VALUES ("&amp;BB95&amp;",'"&amp;BA95&amp;"',"&amp;IF(BC95="NEMA",BD95,BC95)&amp;");")</f>
        <v/>
      </c>
      <c r="DQ95" s="47" t="s">
        <v>0</v>
      </c>
      <c r="DR95" s="52" t="str">
        <f>IF(AL95="","",DU95 &amp; IF(Q95="",""," – " &amp; Q95))</f>
        <v>Emil – Trčak – OK Vihor – M21B</v>
      </c>
      <c r="DS95" s="53">
        <f t="shared" si="88"/>
        <v>925</v>
      </c>
      <c r="DT95" s="47" t="s">
        <v>0</v>
      </c>
      <c r="DU95" s="52" t="str">
        <f>IF(AL95="","",DX95 &amp; IF(CR95="",""," – " &amp; CR95))</f>
        <v>Emil – Trčak – OK Vihor</v>
      </c>
      <c r="DV95" s="53">
        <f t="shared" si="89"/>
        <v>925</v>
      </c>
      <c r="DW95" s="47" t="s">
        <v>0</v>
      </c>
      <c r="DX95" s="52" t="str">
        <f>IF(BG95="","",BF95&amp;" – "&amp;BG95)</f>
        <v>Emil – Trčak</v>
      </c>
      <c r="DY95" s="53">
        <f t="shared" si="90"/>
        <v>925</v>
      </c>
      <c r="DZ95" s="47" t="s">
        <v>0</v>
      </c>
      <c r="EA95" s="58">
        <f t="shared" si="119"/>
        <v>925</v>
      </c>
      <c r="EB95" s="53" cm="1">
        <f t="array" ref="EB95">IF(EA95&lt;&gt;"",INDEX(regNatjecatelj_id,EA95,0),IF(BD95&lt;&gt;"",BD95,""))</f>
        <v>1929</v>
      </c>
      <c r="EC95" s="47" t="s">
        <v>0</v>
      </c>
      <c r="ED95" s="58" t="str">
        <f>IF(AL95="","",IF(BD95&lt;&gt;"","novo",IF(AN95="","imepre","imepre(ali)")))</f>
        <v>imepre</v>
      </c>
      <c r="EE95" s="73" t="str">
        <f>IF(AL95="","",IF(BL95="",IF(IFERROR(INDEX(regNatjecatelj_klub,MATCH(EB95,regNatjecatelj_id,0)),"NEMA")="","klu",""),IF(OR(AND(BN95&lt;&gt;"",BN95&lt;&gt;"NEMA"),CD95&lt;&gt;""),"klu(ali)",IF(AND(BP95&lt;&gt;"",BP95&lt;&gt;BO95),"(raz-klu)","klu"))))</f>
        <v>klu</v>
      </c>
      <c r="EF95" s="73" t="str">
        <f>IF(AL95="","","kat"&amp;IF(AND(W95&lt;&gt;Q95,Q95&lt;&gt;"Open"),"(ali)",""))</f>
        <v>kat</v>
      </c>
      <c r="EG95" s="73" t="str">
        <f t="shared" si="91"/>
        <v/>
      </c>
      <c r="EH95" s="66" t="str">
        <f>IF(AL95="","",ED95&amp;IF(ED95="novo","","-"&amp;EE95&amp;"-"&amp;EF95)&amp;IF(EG95="","","-"&amp;EG95))</f>
        <v>imepre-klu-kat</v>
      </c>
      <c r="EI95" s="47" t="s">
        <v>0</v>
      </c>
      <c r="EJ95" s="58">
        <f>IF(AL95="","",MAX(EJ$12:EJ94)+1)</f>
        <v>265</v>
      </c>
      <c r="EK95" s="73">
        <f>IF(AO95="","",X95)</f>
        <v>28</v>
      </c>
      <c r="EL95" s="73">
        <f t="shared" si="120"/>
        <v>1929</v>
      </c>
      <c r="EM95" s="73">
        <f t="shared" si="92"/>
        <v>6704</v>
      </c>
      <c r="EN95" s="73">
        <f t="shared" si="93"/>
        <v>1</v>
      </c>
      <c r="EO95" s="73">
        <f t="shared" si="121"/>
        <v>1</v>
      </c>
      <c r="EP95" s="73">
        <f t="shared" si="122"/>
        <v>1</v>
      </c>
      <c r="EQ95" s="73" t="str">
        <f t="shared" si="94"/>
        <v>0</v>
      </c>
      <c r="ER95" s="73" t="str">
        <f>IF(OR(AN95="",AN95="NEMA"),BB95,AN95)</f>
        <v/>
      </c>
      <c r="ES95" s="73" t="str">
        <f>IF(AND(BN95&lt;&gt;"",BN95&lt;&gt;"NEMA"),BN95,IF(CG95&lt;&gt;"",CG95,IF(AND(CL95&lt;&gt;"",CL95&lt;&gt;"NEMA"),CL95,IF(CM95&lt;&gt;"",CM95,""))))</f>
        <v/>
      </c>
      <c r="ET95" s="53" t="str">
        <f>IF(INDEX(natKategorija_alias_Id,MATCH(S95,natKategorija_katRegId,0))="","",INDEX(natKategorija_alias_Id,MATCH(S95,natKategorija_katRegId,0)))</f>
        <v/>
      </c>
      <c r="EU95" s="47" t="s">
        <v>0</v>
      </c>
      <c r="EV95" s="19" t="str">
        <f t="shared" si="123"/>
        <v>INSERT INTO rezultat(id,stazakategorija_id,imeprezime_id,vrijeme_sec,status_id,registracija,uparivanje_id,originalstatus_id,imeprezimealias_id,klubalias_id,kategorijaalias_id) VALUES (265,28,1929,6704,1,1,1,0,Null,Null,Null);</v>
      </c>
      <c r="EW95" s="47" t="s">
        <v>0</v>
      </c>
      <c r="EX95" s="19" t="str">
        <f t="shared" si="124"/>
        <v>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5" s="47" t="s">
        <v>0</v>
      </c>
      <c r="EZ95" s="180" t="str">
        <f>AG95&amp;IF(CP95="","","
")&amp;CP95&amp;IF(CI95="","","
")&amp;CI95&amp;IF(DN95="","","
")&amp;DN95&amp;IF(DP95="","","
")&amp;DP95&amp;IF(EV95="","","
")&amp;EV95&amp;IF(EX95="","","
")&amp;EX95</f>
        <v xml:space="preserve">
INSERT INTO rezultat(id,stazakategorija_id,imeprezime_id,vrijeme_sec,status_id,registracija,uparivanje_id,originalstatus_id,imeprezimealias_id,klubalias_id,kategorijaalias_id) VALUES (265,28,1929,6704,1,1,1,0,Null,Null,Null);
UPDATE
	registar
SET
	potvrda = 1
WHERE
	imeprezime_id=1929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5" s="47" t="s">
        <v>0</v>
      </c>
    </row>
    <row r="96" spans="1:157" x14ac:dyDescent="0.25">
      <c r="A96" t="s">
        <v>0</v>
      </c>
      <c r="B96" s="52" t="str">
        <f>IF(csv!F86="","",csv!T86)</f>
        <v>M21B</v>
      </c>
      <c r="C96" s="31" t="s">
        <v>0</v>
      </c>
      <c r="D96" s="31" t="str">
        <f>IF(csv!F86="","",csv!F86)</f>
        <v>Hrvoje</v>
      </c>
      <c r="E96" s="31" t="str">
        <f>IF(csv!E86="","",csv!E86)</f>
        <v>Jandras</v>
      </c>
      <c r="F96" s="31" t="s">
        <v>0</v>
      </c>
      <c r="G96" s="73" t="str">
        <f>IF(csv!M86="","",csv!M86)</f>
        <v>122:34</v>
      </c>
      <c r="H96" s="73" t="str">
        <f>IF(csv!N86="","",csv!N86)</f>
        <v>0</v>
      </c>
      <c r="I96" s="31" t="s">
        <v>0</v>
      </c>
      <c r="J96" s="31" t="str">
        <f>IF(csv!P86="","",csv!P86)</f>
        <v>Vihor</v>
      </c>
      <c r="K96" s="31" t="str">
        <f>IF(csv!Q86="","",csv!Q86)</f>
        <v>OK Vihor</v>
      </c>
      <c r="L96" s="31" t="s">
        <v>0</v>
      </c>
      <c r="M96" s="66" t="str">
        <f>IF(csv!R86="","",csv!R86)</f>
        <v>CRO</v>
      </c>
      <c r="N96" s="47" t="s">
        <v>0</v>
      </c>
      <c r="O96" s="243" t="str">
        <f t="shared" si="95"/>
        <v>ok</v>
      </c>
      <c r="P96" s="47"/>
      <c r="Q96" s="52" t="str">
        <f t="shared" si="96"/>
        <v>M21B</v>
      </c>
      <c r="R96" s="73">
        <f>IF(Q96="","",IF(COUNTIF(Q$12:Q95,Q96)=0,R95+1,R95))</f>
        <v>6</v>
      </c>
      <c r="S96" s="73">
        <f t="shared" si="97"/>
        <v>108</v>
      </c>
      <c r="T96" s="73">
        <f t="shared" si="72"/>
        <v>19</v>
      </c>
      <c r="U96" s="66" t="str">
        <f t="shared" si="73"/>
        <v>M21B – M16</v>
      </c>
      <c r="V96" s="47" t="s">
        <v>0</v>
      </c>
      <c r="W96" s="222" t="str">
        <f t="shared" si="74"/>
        <v>M21B</v>
      </c>
      <c r="X96" s="223">
        <f t="shared" si="75"/>
        <v>28</v>
      </c>
      <c r="Y96" s="47" t="s">
        <v>0</v>
      </c>
      <c r="Z96" s="52" t="str">
        <f t="shared" si="98"/>
        <v>CRO</v>
      </c>
      <c r="AA96" s="73">
        <f t="shared" si="76"/>
        <v>1</v>
      </c>
      <c r="AB96" s="31" t="str">
        <f t="shared" si="99"/>
        <v/>
      </c>
      <c r="AC96" s="66" t="str">
        <f>IF(AB96="","",MAX(AC$12:AC95)+1)</f>
        <v/>
      </c>
      <c r="AD96" s="47" t="s">
        <v>0</v>
      </c>
      <c r="AE96" s="125"/>
      <c r="AF96" s="47" t="s">
        <v>0</v>
      </c>
      <c r="AG96" s="19" t="str">
        <f t="shared" si="100"/>
        <v/>
      </c>
      <c r="AH96" s="47" t="s">
        <v>0</v>
      </c>
      <c r="AI96" s="143" t="str">
        <f t="shared" si="101"/>
        <v>CRO</v>
      </c>
      <c r="AJ96" s="47"/>
      <c r="AK96" s="52" t="str">
        <f t="shared" si="102"/>
        <v>Hrvoje</v>
      </c>
      <c r="AL96" s="31" t="str">
        <f t="shared" si="103"/>
        <v>Jandras</v>
      </c>
      <c r="AM96" s="73">
        <f t="shared" si="104"/>
        <v>1890</v>
      </c>
      <c r="AN96" s="73" t="str">
        <f t="shared" si="105"/>
        <v/>
      </c>
      <c r="AO96" s="31" t="str">
        <f t="shared" si="77"/>
        <v>Hrvoje</v>
      </c>
      <c r="AP96" s="66" t="str">
        <f t="shared" si="78"/>
        <v>Jandras</v>
      </c>
      <c r="AQ96" s="47" t="s">
        <v>0</v>
      </c>
      <c r="AR96" s="82" t="str">
        <f t="shared" si="106"/>
        <v/>
      </c>
      <c r="AS96" s="47" t="s">
        <v>0</v>
      </c>
      <c r="AT96" s="19" t="str">
        <f t="shared" si="107"/>
        <v/>
      </c>
      <c r="AU96" s="47" t="s">
        <v>0</v>
      </c>
      <c r="AV96" s="103"/>
      <c r="AW96" s="105"/>
      <c r="AX96" s="47" t="s">
        <v>0</v>
      </c>
      <c r="AY96" s="256" t="str">
        <f t="shared" si="125"/>
        <v/>
      </c>
      <c r="AZ96" s="47" t="s">
        <v>0</v>
      </c>
      <c r="BA96" s="52" t="str">
        <f t="shared" si="79"/>
        <v/>
      </c>
      <c r="BB96" s="73" t="str">
        <f>IF(AV96&amp;AW96="","",MAX(BB$12:BB95)+1)</f>
        <v/>
      </c>
      <c r="BC96" s="268" t="str">
        <f t="shared" si="80"/>
        <v/>
      </c>
      <c r="BD96" s="53" t="str">
        <f>IF(AND(AM96="NEMA",AN96="NEMA",OR(AV96&amp;AW96="",BC96="NEMA")),MAX(BD$12:BD95)+1,"")</f>
        <v/>
      </c>
      <c r="BE96" s="47" t="s">
        <v>0</v>
      </c>
      <c r="BF96" s="52" t="str">
        <f t="shared" si="81"/>
        <v>Hrvoje</v>
      </c>
      <c r="BG96" s="31" t="str">
        <f t="shared" si="82"/>
        <v>Jandras</v>
      </c>
      <c r="BH96" s="73" t="str">
        <f t="shared" si="108"/>
        <v/>
      </c>
      <c r="BI96" s="53">
        <f t="shared" si="109"/>
        <v>1890</v>
      </c>
      <c r="BJ96" s="47" t="s">
        <v>0</v>
      </c>
      <c r="BK96" s="52" t="str">
        <f t="shared" si="83"/>
        <v>Vihor</v>
      </c>
      <c r="BL96" s="31" t="str">
        <f t="shared" si="84"/>
        <v>OK Vihor</v>
      </c>
      <c r="BM96" s="73">
        <f t="shared" si="85"/>
        <v>12</v>
      </c>
      <c r="BN96" s="73" t="str">
        <f t="shared" si="86"/>
        <v/>
      </c>
      <c r="BO96" s="31" t="str" cm="1">
        <f t="array" ref="BO96">IF(BN96="",""&amp;BL96,IF(BN96="NEMA",BL96,INDEX(regKlub_naziv,MATCH(INDEX(regKlub_alias_klubId,BN96),regKlub_id,0))))</f>
        <v>OK Vihor</v>
      </c>
      <c r="BP96" s="31" t="str" cm="1">
        <f t="array" ref="BP96">IFERROR(""&amp;INDEX(regNatjecatelj_klub,DY96),"")</f>
        <v>OK Vihor</v>
      </c>
      <c r="BQ96" s="88" t="str">
        <f t="shared" si="110"/>
        <v/>
      </c>
      <c r="BR96" s="66" t="str">
        <f t="shared" si="111"/>
        <v>OK Vihor</v>
      </c>
      <c r="BS96" s="47" t="s">
        <v>0</v>
      </c>
      <c r="BT96" s="82" t="str">
        <f>IF(BN96&lt;&gt;"NEMA","",IF(IFERROR(MATCH(BL96,BL$12:BL95,0),0)&lt;&gt;0,"",BL96))</f>
        <v/>
      </c>
      <c r="BU96" s="47" t="s">
        <v>0</v>
      </c>
      <c r="BV96" s="125"/>
      <c r="BW96" s="47" t="s">
        <v>0</v>
      </c>
      <c r="BX96" s="58" t="str">
        <f t="shared" si="112"/>
        <v/>
      </c>
      <c r="BY96" s="31" t="str">
        <f t="shared" si="113"/>
        <v/>
      </c>
      <c r="BZ96" s="31" t="str">
        <f>IF(BY96="","",MAX(BZ$12:BZ95)+1)</f>
        <v/>
      </c>
      <c r="CA96" s="31" t="str">
        <f>IF(BY96="","",IF(AA96="","",IF(AA96="NEMA",AC96,AA96)))</f>
        <v/>
      </c>
      <c r="CB96" s="31" t="str">
        <f t="shared" si="114"/>
        <v/>
      </c>
      <c r="CC96" s="31" t="str">
        <f>IF(BV96="","",MAX(CC$12:CC95)+1)</f>
        <v/>
      </c>
      <c r="CD96" s="31" t="str">
        <f t="shared" si="115"/>
        <v/>
      </c>
      <c r="CE96" s="66" t="str">
        <f t="shared" si="116"/>
        <v/>
      </c>
      <c r="CF96" s="47" t="s">
        <v>0</v>
      </c>
      <c r="CG96" s="73" t="str">
        <f>IF(BN96="","",IF(BN96&lt;&gt;"NEMA","",IFERROR(INDEX(nat_klubAliasId,MATCH(BL96,nat_noviKluboviAliasi,0)),"")))</f>
        <v/>
      </c>
      <c r="CH96" s="47"/>
      <c r="CI96" s="19" t="str">
        <f t="shared" si="117"/>
        <v/>
      </c>
      <c r="CJ96" s="47" t="s">
        <v>0</v>
      </c>
      <c r="CK96" s="52" t="str">
        <f>IF(X96&lt;&gt;"NEMA","",IF(IFERROR(MATCH(W96,W$12:W95,0),0)&lt;&gt;0,"",W96))</f>
        <v/>
      </c>
      <c r="CL96" s="73" t="str">
        <f>IF(CK96="","",IFERROR(INDEX(regKlub_alias_id,MATCH(CK96,regKlub_alias_alias,0)),"NEMA"))</f>
        <v/>
      </c>
      <c r="CM96" s="31" t="str">
        <f>IF(OR(CL96="",CL96&lt;&gt;"NEMA"),"",MAX(CM$12:CM95)+1)</f>
        <v/>
      </c>
      <c r="CN96" s="66" t="str">
        <f>IF(OR(CL96="",CL96&lt;&gt;"NEMA"),"",INDEX(regKlub_id,MATCH(CK96,regKlub_naziv,0)))</f>
        <v/>
      </c>
      <c r="CO96" s="47" t="s">
        <v>0</v>
      </c>
      <c r="CP96" s="19" t="str">
        <f>IF(OR(CL96="",CL96&lt;&gt;"NEMA"),"","INSERT INTO klub_alias(id,alias,klub_id) VALUES ("&amp;CM96&amp;",'"&amp;CK96&amp;"',"&amp;CN96&amp;");")</f>
        <v/>
      </c>
      <c r="CQ96" s="47" t="s">
        <v>0</v>
      </c>
      <c r="CR96" s="143" t="str">
        <f>IF(BR96="","",IF(BV96="",IF(IFERROR(MATCH(BR96,nat_noviKluboviAliasi,0),0)&gt;0,INDEX(nat_kluboviAliasi,MATCH(BR96,nat_noviKluboviAliasi,0)),BR96),BV96))</f>
        <v>OK Vihor</v>
      </c>
      <c r="CS96" s="47" t="s">
        <v>0</v>
      </c>
      <c r="CT96" s="58" t="str">
        <f>IF(G96="","",G96)</f>
        <v>122:34</v>
      </c>
      <c r="CU96" s="73" t="str">
        <f>IF(H96="","",H96)</f>
        <v>0</v>
      </c>
      <c r="CV96" s="229" t="str">
        <f>IF(CT96="",IF(OR(AL96="",CU96&lt;&gt;"0"),"","GREŠKA"),IF(AND(65535&gt;=VALUE(LEFT(CT96,SEARCH(":",CT96)-1))*60+VALUE(RIGHT(CT96,2)),OR(CU96="0",CU96="1",CU96="2",CU96="3",CU96="4")),"","GREŠKA"))</f>
        <v/>
      </c>
      <c r="CW96" s="230">
        <f t="shared" si="71"/>
        <v>7354</v>
      </c>
      <c r="CX96" s="163">
        <f t="shared" si="87"/>
        <v>1</v>
      </c>
      <c r="CY96" s="47" t="s">
        <v>0</v>
      </c>
      <c r="CZ96" s="222" t="str">
        <f>IF(CV96&lt;&gt;"GREŠKA","",AK96&amp;" "&amp;AL96&amp;" – Molim u OEventu provjeriti i ispraviti rezultat – vrijeme ("&amp;IF(CT96="","nije upisano",CT96)&amp;") i classifier ("&amp;CU96&amp;").")&amp;IF(OR(CV96&lt;&gt;"GREŠKA",CX96&lt;&gt;5),"
","")&amp;IF(CX96&lt;&gt;5,"",AK96&amp;" "&amp;AL96&amp;" – Molim u provjeriti je li natjecatelj zaista diskvalificiran. Ako je koje je obrazloženje, ako nije molim u OEventu ispraviti rezultat")</f>
        <v xml:space="preserve">
</v>
      </c>
      <c r="DA96" s="223">
        <f t="shared" si="118"/>
        <v>6</v>
      </c>
      <c r="DB96" s="47" t="s">
        <v>0</v>
      </c>
      <c r="DC96" s="47"/>
      <c r="DD96" s="47"/>
      <c r="DE96" s="47"/>
      <c r="DF96" s="47" t="s">
        <v>0</v>
      </c>
      <c r="DG96" s="53" t="str">
        <f>IF(BD96="","",IF(DI96="O",1,""))</f>
        <v/>
      </c>
      <c r="DH96" t="s">
        <v>0</v>
      </c>
      <c r="DI96" s="128" t="str">
        <f>IF(Q96="","",LEFT(INDEX(regKategorija_oznaka,MATCH(S96,regKategorija_id,0)),1))</f>
        <v>M</v>
      </c>
      <c r="DJ96" t="s">
        <v>0</v>
      </c>
      <c r="DK96" s="52" t="str">
        <f>IF(BD96="","",IF(M96&lt;&gt;"CRO","","INSERT INTO osoba (id,reg_broj,oib,spol_id,dat_rodjenja) VALUES ("&amp;BD96&amp;",(SELECT max(os.reg_broj)+1 FROM osoba AS os),Null,'"&amp;DI96&amp;"',Null); INSERT INTO osoba_log (id,reg_broj,oib,spol_id,dat_rodjenja,dnevnik_id) SELECT id,reg_broj,oib,spol_id,dat_rodjenja,"&amp;data_dnevnik_id&amp;" FROM osoba WHERE id = "&amp;BD96&amp;";"))</f>
        <v/>
      </c>
      <c r="DL96" s="66" t="str">
        <f>IF(BD96="","","INSERT INTO imeprezime (id,osoba_id,rbr,ime,prezime,klub_id,identitet_id,sintaksa_id,info,aktivno,dnevnik_id) VALUES ("&amp;BD96&amp;","&amp;IF(DK96="","Null",BD96)&amp;",1,'"&amp;IF(AV96&lt;&gt;"",AV96,AK96)&amp;"','"&amp;IF(AW96&lt;&gt;"",AW96,AL96)&amp;"',(SELECT id FROM klub WHERE naziv = '"&amp;CR96&amp;"'),Null,1,'',1,"&amp;data_dnevnik_id&amp;");")</f>
        <v/>
      </c>
      <c r="DM96" t="s">
        <v>0</v>
      </c>
      <c r="DN96" s="19" t="str">
        <f t="shared" si="126"/>
        <v/>
      </c>
      <c r="DO96" s="47" t="s">
        <v>0</v>
      </c>
      <c r="DP96" s="19" t="str">
        <f>IF(BA96="","","INSERT INTO imeprezime_alias(id,alias,imeprezime_id) VALUES ("&amp;BB96&amp;",'"&amp;BA96&amp;"',"&amp;IF(BC96="NEMA",BD96,BC96)&amp;");")</f>
        <v/>
      </c>
      <c r="DQ96" s="47" t="s">
        <v>0</v>
      </c>
      <c r="DR96" s="52" t="str">
        <f>IF(AL96="","",DU96 &amp; IF(Q96="",""," – " &amp; Q96))</f>
        <v>Hrvoje – Jandras – OK Vihor – M21B</v>
      </c>
      <c r="DS96" s="53">
        <f t="shared" si="88"/>
        <v>711</v>
      </c>
      <c r="DT96" s="47" t="s">
        <v>0</v>
      </c>
      <c r="DU96" s="52" t="str">
        <f>IF(AL96="","",DX96 &amp; IF(CR96="",""," – " &amp; CR96))</f>
        <v>Hrvoje – Jandras – OK Vihor</v>
      </c>
      <c r="DV96" s="53">
        <f t="shared" si="89"/>
        <v>711</v>
      </c>
      <c r="DW96" s="47" t="s">
        <v>0</v>
      </c>
      <c r="DX96" s="52" t="str">
        <f>IF(BG96="","",BF96&amp;" – "&amp;BG96)</f>
        <v>Hrvoje – Jandras</v>
      </c>
      <c r="DY96" s="53">
        <f t="shared" si="90"/>
        <v>711</v>
      </c>
      <c r="DZ96" s="47" t="s">
        <v>0</v>
      </c>
      <c r="EA96" s="58">
        <f t="shared" si="119"/>
        <v>711</v>
      </c>
      <c r="EB96" s="53" cm="1">
        <f t="array" ref="EB96">IF(EA96&lt;&gt;"",INDEX(regNatjecatelj_id,EA96,0),IF(BD96&lt;&gt;"",BD96,""))</f>
        <v>1890</v>
      </c>
      <c r="EC96" s="47" t="s">
        <v>0</v>
      </c>
      <c r="ED96" s="58" t="str">
        <f>IF(AL96="","",IF(BD96&lt;&gt;"","novo",IF(AN96="","imepre","imepre(ali)")))</f>
        <v>imepre</v>
      </c>
      <c r="EE96" s="73" t="str">
        <f>IF(AL96="","",IF(BL96="",IF(IFERROR(INDEX(regNatjecatelj_klub,MATCH(EB96,regNatjecatelj_id,0)),"NEMA")="","klu",""),IF(OR(AND(BN96&lt;&gt;"",BN96&lt;&gt;"NEMA"),CD96&lt;&gt;""),"klu(ali)",IF(AND(BP96&lt;&gt;"",BP96&lt;&gt;BO96),"(raz-klu)","klu"))))</f>
        <v>klu</v>
      </c>
      <c r="EF96" s="73" t="str">
        <f>IF(AL96="","","kat"&amp;IF(AND(W96&lt;&gt;Q96,Q96&lt;&gt;"Open"),"(ali)",""))</f>
        <v>kat</v>
      </c>
      <c r="EG96" s="73" t="str">
        <f t="shared" si="91"/>
        <v/>
      </c>
      <c r="EH96" s="66" t="str">
        <f>IF(AL96="","",ED96&amp;IF(ED96="novo","","-"&amp;EE96&amp;"-"&amp;EF96)&amp;IF(EG96="","","-"&amp;EG96))</f>
        <v>imepre-klu-kat</v>
      </c>
      <c r="EI96" s="47" t="s">
        <v>0</v>
      </c>
      <c r="EJ96" s="58">
        <f>IF(AL96="","",MAX(EJ$12:EJ95)+1)</f>
        <v>266</v>
      </c>
      <c r="EK96" s="73">
        <f>IF(AO96="","",X96)</f>
        <v>28</v>
      </c>
      <c r="EL96" s="73">
        <f t="shared" si="120"/>
        <v>1890</v>
      </c>
      <c r="EM96" s="73">
        <f t="shared" si="92"/>
        <v>7354</v>
      </c>
      <c r="EN96" s="73">
        <f t="shared" si="93"/>
        <v>1</v>
      </c>
      <c r="EO96" s="73">
        <f t="shared" si="121"/>
        <v>1</v>
      </c>
      <c r="EP96" s="73">
        <f t="shared" si="122"/>
        <v>1</v>
      </c>
      <c r="EQ96" s="73" t="str">
        <f t="shared" si="94"/>
        <v>0</v>
      </c>
      <c r="ER96" s="73" t="str">
        <f>IF(OR(AN96="",AN96="NEMA"),BB96,AN96)</f>
        <v/>
      </c>
      <c r="ES96" s="73" t="str">
        <f>IF(AND(BN96&lt;&gt;"",BN96&lt;&gt;"NEMA"),BN96,IF(CG96&lt;&gt;"",CG96,IF(AND(CL96&lt;&gt;"",CL96&lt;&gt;"NEMA"),CL96,IF(CM96&lt;&gt;"",CM96,""))))</f>
        <v/>
      </c>
      <c r="ET96" s="53" t="str">
        <f>IF(INDEX(natKategorija_alias_Id,MATCH(S96,natKategorija_katRegId,0))="","",INDEX(natKategorija_alias_Id,MATCH(S96,natKategorija_katRegId,0)))</f>
        <v/>
      </c>
      <c r="EU96" s="47" t="s">
        <v>0</v>
      </c>
      <c r="EV96" s="19" t="str">
        <f t="shared" si="123"/>
        <v>INSERT INTO rezultat(id,stazakategorija_id,imeprezime_id,vrijeme_sec,status_id,registracija,uparivanje_id,originalstatus_id,imeprezimealias_id,klubalias_id,kategorijaalias_id) VALUES (266,28,1890,7354,1,1,1,0,Null,Null,Null);</v>
      </c>
      <c r="EW96" s="47" t="s">
        <v>0</v>
      </c>
      <c r="EX96" s="19" t="str">
        <f t="shared" si="124"/>
        <v>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6" s="47" t="s">
        <v>0</v>
      </c>
      <c r="EZ96" s="180" t="str">
        <f>AG96&amp;IF(CP96="","","
")&amp;CP96&amp;IF(CI96="","","
")&amp;CI96&amp;IF(DN96="","","
")&amp;DN96&amp;IF(DP96="","","
")&amp;DP96&amp;IF(EV96="","","
")&amp;EV96&amp;IF(EX96="","","
")&amp;EX96</f>
        <v xml:space="preserve">
INSERT INTO rezultat(id,stazakategorija_id,imeprezime_id,vrijeme_sec,status_id,registracija,uparivanje_id,originalstatus_id,imeprezimealias_id,klubalias_id,kategorijaalias_id) VALUES (266,28,1890,7354,1,1,1,0,Null,Null,Null);
UPDATE
	registar
SET
	potvrda = 1
WHERE
	imeprezime_id=1890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6" s="47" t="s">
        <v>0</v>
      </c>
    </row>
    <row r="97" spans="1:157" x14ac:dyDescent="0.25">
      <c r="A97" t="s">
        <v>0</v>
      </c>
      <c r="B97" s="52" t="str">
        <f>IF(csv!F87="","",csv!T87)</f>
        <v>M21B</v>
      </c>
      <c r="C97" s="31" t="s">
        <v>0</v>
      </c>
      <c r="D97" s="31" t="str">
        <f>IF(csv!F87="","",csv!F87)</f>
        <v>Nikola</v>
      </c>
      <c r="E97" s="31" t="str">
        <f>IF(csv!E87="","",csv!E87)</f>
        <v>Lucić</v>
      </c>
      <c r="F97" s="31" t="s">
        <v>0</v>
      </c>
      <c r="G97" s="73" t="str">
        <f>IF(csv!M87="","",csv!M87)</f>
        <v>142:30</v>
      </c>
      <c r="H97" s="73" t="str">
        <f>IF(csv!N87="","",csv!N87)</f>
        <v>0</v>
      </c>
      <c r="I97" s="31" t="s">
        <v>0</v>
      </c>
      <c r="J97" s="31" t="str">
        <f>IF(csv!P87="","",csv!P87)</f>
        <v>Vihor</v>
      </c>
      <c r="K97" s="31" t="str">
        <f>IF(csv!Q87="","",csv!Q87)</f>
        <v>OK Vihor</v>
      </c>
      <c r="L97" s="31" t="s">
        <v>0</v>
      </c>
      <c r="M97" s="66" t="str">
        <f>IF(csv!R87="","",csv!R87)</f>
        <v>CRO</v>
      </c>
      <c r="N97" s="47" t="s">
        <v>0</v>
      </c>
      <c r="O97" s="243" t="str">
        <f t="shared" si="95"/>
        <v>ok</v>
      </c>
      <c r="P97" s="47"/>
      <c r="Q97" s="52" t="str">
        <f t="shared" si="96"/>
        <v>M21B</v>
      </c>
      <c r="R97" s="73">
        <f>IF(Q97="","",IF(COUNTIF(Q$12:Q96,Q97)=0,R96+1,R96))</f>
        <v>6</v>
      </c>
      <c r="S97" s="73">
        <f t="shared" si="97"/>
        <v>108</v>
      </c>
      <c r="T97" s="73">
        <f t="shared" si="72"/>
        <v>19</v>
      </c>
      <c r="U97" s="66" t="str">
        <f t="shared" si="73"/>
        <v>M21B – M16</v>
      </c>
      <c r="V97" s="47" t="s">
        <v>0</v>
      </c>
      <c r="W97" s="222" t="str">
        <f t="shared" si="74"/>
        <v>M21B</v>
      </c>
      <c r="X97" s="223">
        <f t="shared" si="75"/>
        <v>28</v>
      </c>
      <c r="Y97" s="47" t="s">
        <v>0</v>
      </c>
      <c r="Z97" s="52" t="str">
        <f t="shared" si="98"/>
        <v>CRO</v>
      </c>
      <c r="AA97" s="73">
        <f t="shared" si="76"/>
        <v>1</v>
      </c>
      <c r="AB97" s="31" t="str">
        <f t="shared" si="99"/>
        <v/>
      </c>
      <c r="AC97" s="66" t="str">
        <f>IF(AB97="","",MAX(AC$12:AC96)+1)</f>
        <v/>
      </c>
      <c r="AD97" s="47" t="s">
        <v>0</v>
      </c>
      <c r="AE97" s="125"/>
      <c r="AF97" s="47" t="s">
        <v>0</v>
      </c>
      <c r="AG97" s="19" t="str">
        <f t="shared" si="100"/>
        <v/>
      </c>
      <c r="AH97" s="47" t="s">
        <v>0</v>
      </c>
      <c r="AI97" s="143" t="str">
        <f t="shared" si="101"/>
        <v>CRO</v>
      </c>
      <c r="AJ97" s="47"/>
      <c r="AK97" s="52" t="str">
        <f t="shared" si="102"/>
        <v>Nikola</v>
      </c>
      <c r="AL97" s="31" t="str">
        <f t="shared" si="103"/>
        <v>Lucić</v>
      </c>
      <c r="AM97" s="73">
        <f t="shared" si="104"/>
        <v>1898</v>
      </c>
      <c r="AN97" s="73" t="str">
        <f t="shared" si="105"/>
        <v/>
      </c>
      <c r="AO97" s="31" t="str">
        <f t="shared" si="77"/>
        <v>Nikola</v>
      </c>
      <c r="AP97" s="66" t="str">
        <f t="shared" si="78"/>
        <v>Lucić</v>
      </c>
      <c r="AQ97" s="47" t="s">
        <v>0</v>
      </c>
      <c r="AR97" s="82" t="str">
        <f t="shared" si="106"/>
        <v/>
      </c>
      <c r="AS97" s="47" t="s">
        <v>0</v>
      </c>
      <c r="AT97" s="19" t="str">
        <f t="shared" si="107"/>
        <v/>
      </c>
      <c r="AU97" s="47" t="s">
        <v>0</v>
      </c>
      <c r="AV97" s="103"/>
      <c r="AW97" s="105"/>
      <c r="AX97" s="47" t="s">
        <v>0</v>
      </c>
      <c r="AY97" s="256" t="str">
        <f t="shared" si="125"/>
        <v/>
      </c>
      <c r="AZ97" s="47" t="s">
        <v>0</v>
      </c>
      <c r="BA97" s="52" t="str">
        <f t="shared" si="79"/>
        <v/>
      </c>
      <c r="BB97" s="73" t="str">
        <f>IF(AV97&amp;AW97="","",MAX(BB$12:BB96)+1)</f>
        <v/>
      </c>
      <c r="BC97" s="268" t="str">
        <f t="shared" si="80"/>
        <v/>
      </c>
      <c r="BD97" s="53" t="str">
        <f>IF(AND(AM97="NEMA",AN97="NEMA",OR(AV97&amp;AW97="",BC97="NEMA")),MAX(BD$12:BD96)+1,"")</f>
        <v/>
      </c>
      <c r="BE97" s="47" t="s">
        <v>0</v>
      </c>
      <c r="BF97" s="52" t="str">
        <f t="shared" si="81"/>
        <v>Nikola</v>
      </c>
      <c r="BG97" s="31" t="str">
        <f t="shared" si="82"/>
        <v>Lucić</v>
      </c>
      <c r="BH97" s="73" t="str">
        <f t="shared" si="108"/>
        <v/>
      </c>
      <c r="BI97" s="53">
        <f t="shared" si="109"/>
        <v>1898</v>
      </c>
      <c r="BJ97" s="47" t="s">
        <v>0</v>
      </c>
      <c r="BK97" s="52" t="str">
        <f t="shared" si="83"/>
        <v>Vihor</v>
      </c>
      <c r="BL97" s="31" t="str">
        <f t="shared" si="84"/>
        <v>OK Vihor</v>
      </c>
      <c r="BM97" s="73">
        <f t="shared" si="85"/>
        <v>12</v>
      </c>
      <c r="BN97" s="73" t="str">
        <f t="shared" si="86"/>
        <v/>
      </c>
      <c r="BO97" s="31" t="str" cm="1">
        <f t="array" ref="BO97">IF(BN97="",""&amp;BL97,IF(BN97="NEMA",BL97,INDEX(regKlub_naziv,MATCH(INDEX(regKlub_alias_klubId,BN97),regKlub_id,0))))</f>
        <v>OK Vihor</v>
      </c>
      <c r="BP97" s="31" t="str" cm="1">
        <f t="array" ref="BP97">IFERROR(""&amp;INDEX(regNatjecatelj_klub,DY97),"")</f>
        <v>OK Vihor</v>
      </c>
      <c r="BQ97" s="88" t="str">
        <f t="shared" si="110"/>
        <v/>
      </c>
      <c r="BR97" s="66" t="str">
        <f t="shared" si="111"/>
        <v>OK Vihor</v>
      </c>
      <c r="BS97" s="47" t="s">
        <v>0</v>
      </c>
      <c r="BT97" s="82" t="str">
        <f>IF(BN97&lt;&gt;"NEMA","",IF(IFERROR(MATCH(BL97,BL$12:BL96,0),0)&lt;&gt;0,"",BL97))</f>
        <v/>
      </c>
      <c r="BU97" s="47" t="s">
        <v>0</v>
      </c>
      <c r="BV97" s="125"/>
      <c r="BW97" s="47" t="s">
        <v>0</v>
      </c>
      <c r="BX97" s="58" t="str">
        <f t="shared" si="112"/>
        <v/>
      </c>
      <c r="BY97" s="31" t="str">
        <f t="shared" si="113"/>
        <v/>
      </c>
      <c r="BZ97" s="31" t="str">
        <f>IF(BY97="","",MAX(BZ$12:BZ96)+1)</f>
        <v/>
      </c>
      <c r="CA97" s="31" t="str">
        <f>IF(BY97="","",IF(AA97="","",IF(AA97="NEMA",AC97,AA97)))</f>
        <v/>
      </c>
      <c r="CB97" s="31" t="str">
        <f t="shared" si="114"/>
        <v/>
      </c>
      <c r="CC97" s="31" t="str">
        <f>IF(BV97="","",MAX(CC$12:CC96)+1)</f>
        <v/>
      </c>
      <c r="CD97" s="31" t="str">
        <f t="shared" si="115"/>
        <v/>
      </c>
      <c r="CE97" s="66" t="str">
        <f t="shared" si="116"/>
        <v/>
      </c>
      <c r="CF97" s="47" t="s">
        <v>0</v>
      </c>
      <c r="CG97" s="73" t="str">
        <f>IF(BN97="","",IF(BN97&lt;&gt;"NEMA","",IFERROR(INDEX(nat_klubAliasId,MATCH(BL97,nat_noviKluboviAliasi,0)),"")))</f>
        <v/>
      </c>
      <c r="CH97" s="47"/>
      <c r="CI97" s="19" t="str">
        <f t="shared" si="117"/>
        <v/>
      </c>
      <c r="CJ97" s="47" t="s">
        <v>0</v>
      </c>
      <c r="CK97" s="52" t="str">
        <f>IF(X97&lt;&gt;"NEMA","",IF(IFERROR(MATCH(W97,W$12:W96,0),0)&lt;&gt;0,"",W97))</f>
        <v/>
      </c>
      <c r="CL97" s="73" t="str">
        <f>IF(CK97="","",IFERROR(INDEX(regKlub_alias_id,MATCH(CK97,regKlub_alias_alias,0)),"NEMA"))</f>
        <v/>
      </c>
      <c r="CM97" s="31" t="str">
        <f>IF(OR(CL97="",CL97&lt;&gt;"NEMA"),"",MAX(CM$12:CM96)+1)</f>
        <v/>
      </c>
      <c r="CN97" s="66" t="str">
        <f>IF(OR(CL97="",CL97&lt;&gt;"NEMA"),"",INDEX(regKlub_id,MATCH(CK97,regKlub_naziv,0)))</f>
        <v/>
      </c>
      <c r="CO97" s="47" t="s">
        <v>0</v>
      </c>
      <c r="CP97" s="19" t="str">
        <f>IF(OR(CL97="",CL97&lt;&gt;"NEMA"),"","INSERT INTO klub_alias(id,alias,klub_id) VALUES ("&amp;CM97&amp;",'"&amp;CK97&amp;"',"&amp;CN97&amp;");")</f>
        <v/>
      </c>
      <c r="CQ97" s="47" t="s">
        <v>0</v>
      </c>
      <c r="CR97" s="143" t="str">
        <f>IF(BR97="","",IF(BV97="",IF(IFERROR(MATCH(BR97,nat_noviKluboviAliasi,0),0)&gt;0,INDEX(nat_kluboviAliasi,MATCH(BR97,nat_noviKluboviAliasi,0)),BR97),BV97))</f>
        <v>OK Vihor</v>
      </c>
      <c r="CS97" s="47" t="s">
        <v>0</v>
      </c>
      <c r="CT97" s="58" t="str">
        <f>IF(G97="","",G97)</f>
        <v>142:30</v>
      </c>
      <c r="CU97" s="73" t="str">
        <f>IF(H97="","",H97)</f>
        <v>0</v>
      </c>
      <c r="CV97" s="229" t="str">
        <f>IF(CT97="",IF(OR(AL97="",CU97&lt;&gt;"0"),"","GREŠKA"),IF(AND(65535&gt;=VALUE(LEFT(CT97,SEARCH(":",CT97)-1))*60+VALUE(RIGHT(CT97,2)),OR(CU97="0",CU97="1",CU97="2",CU97="3",CU97="4")),"","GREŠKA"))</f>
        <v/>
      </c>
      <c r="CW97" s="230">
        <f t="shared" si="71"/>
        <v>8550</v>
      </c>
      <c r="CX97" s="163">
        <f t="shared" si="87"/>
        <v>1</v>
      </c>
      <c r="CY97" s="47" t="s">
        <v>0</v>
      </c>
      <c r="CZ97" s="222" t="str">
        <f>IF(CV97&lt;&gt;"GREŠKA","",AK97&amp;" "&amp;AL97&amp;" – Molim u OEventu provjeriti i ispraviti rezultat – vrijeme ("&amp;IF(CT97="","nije upisano",CT97)&amp;") i classifier ("&amp;CU97&amp;").")&amp;IF(OR(CV97&lt;&gt;"GREŠKA",CX97&lt;&gt;5),"
","")&amp;IF(CX97&lt;&gt;5,"",AK97&amp;" "&amp;AL97&amp;" – Molim u provjeriti je li natjecatelj zaista diskvalificiran. Ako je koje je obrazloženje, ako nije molim u OEventu ispraviti rezultat")</f>
        <v xml:space="preserve">
</v>
      </c>
      <c r="DA97" s="223">
        <f t="shared" si="118"/>
        <v>6</v>
      </c>
      <c r="DB97" s="47" t="s">
        <v>0</v>
      </c>
      <c r="DC97" s="47"/>
      <c r="DD97" s="47"/>
      <c r="DE97" s="47"/>
      <c r="DF97" s="47" t="s">
        <v>0</v>
      </c>
      <c r="DG97" s="53" t="str">
        <f>IF(BD97="","",IF(DI97="O",1,""))</f>
        <v/>
      </c>
      <c r="DH97" t="s">
        <v>0</v>
      </c>
      <c r="DI97" s="128" t="str">
        <f>IF(Q97="","",LEFT(INDEX(regKategorija_oznaka,MATCH(S97,regKategorija_id,0)),1))</f>
        <v>M</v>
      </c>
      <c r="DJ97" t="s">
        <v>0</v>
      </c>
      <c r="DK97" s="52" t="str">
        <f>IF(BD97="","",IF(M97&lt;&gt;"CRO","","INSERT INTO osoba (id,reg_broj,oib,spol_id,dat_rodjenja) VALUES ("&amp;BD97&amp;",(SELECT max(os.reg_broj)+1 FROM osoba AS os),Null,'"&amp;DI97&amp;"',Null); INSERT INTO osoba_log (id,reg_broj,oib,spol_id,dat_rodjenja,dnevnik_id) SELECT id,reg_broj,oib,spol_id,dat_rodjenja,"&amp;data_dnevnik_id&amp;" FROM osoba WHERE id = "&amp;BD97&amp;";"))</f>
        <v/>
      </c>
      <c r="DL97" s="66" t="str">
        <f>IF(BD97="","","INSERT INTO imeprezime (id,osoba_id,rbr,ime,prezime,klub_id,identitet_id,sintaksa_id,info,aktivno,dnevnik_id) VALUES ("&amp;BD97&amp;","&amp;IF(DK97="","Null",BD97)&amp;",1,'"&amp;IF(AV97&lt;&gt;"",AV97,AK97)&amp;"','"&amp;IF(AW97&lt;&gt;"",AW97,AL97)&amp;"',(SELECT id FROM klub WHERE naziv = '"&amp;CR97&amp;"'),Null,1,'',1,"&amp;data_dnevnik_id&amp;");")</f>
        <v/>
      </c>
      <c r="DM97" t="s">
        <v>0</v>
      </c>
      <c r="DN97" s="19" t="str">
        <f t="shared" si="126"/>
        <v/>
      </c>
      <c r="DO97" s="47" t="s">
        <v>0</v>
      </c>
      <c r="DP97" s="19" t="str">
        <f>IF(BA97="","","INSERT INTO imeprezime_alias(id,alias,imeprezime_id) VALUES ("&amp;BB97&amp;",'"&amp;BA97&amp;"',"&amp;IF(BC97="NEMA",BD97,BC97)&amp;");")</f>
        <v/>
      </c>
      <c r="DQ97" s="47" t="s">
        <v>0</v>
      </c>
      <c r="DR97" s="52" t="str">
        <f>IF(AL97="","",DU97 &amp; IF(Q97="",""," – " &amp; Q97))</f>
        <v>Nikola – Lucić – OK Vihor – M21B</v>
      </c>
      <c r="DS97" s="53">
        <f t="shared" si="88"/>
        <v>778</v>
      </c>
      <c r="DT97" s="47" t="s">
        <v>0</v>
      </c>
      <c r="DU97" s="52" t="str">
        <f>IF(AL97="","",DX97 &amp; IF(CR97="",""," – " &amp; CR97))</f>
        <v>Nikola – Lucić – OK Vihor</v>
      </c>
      <c r="DV97" s="53">
        <f t="shared" si="89"/>
        <v>778</v>
      </c>
      <c r="DW97" s="47" t="s">
        <v>0</v>
      </c>
      <c r="DX97" s="52" t="str">
        <f>IF(BG97="","",BF97&amp;" – "&amp;BG97)</f>
        <v>Nikola – Lucić</v>
      </c>
      <c r="DY97" s="53">
        <f t="shared" si="90"/>
        <v>778</v>
      </c>
      <c r="DZ97" s="47" t="s">
        <v>0</v>
      </c>
      <c r="EA97" s="58">
        <f t="shared" si="119"/>
        <v>778</v>
      </c>
      <c r="EB97" s="53" cm="1">
        <f t="array" ref="EB97">IF(EA97&lt;&gt;"",INDEX(regNatjecatelj_id,EA97,0),IF(BD97&lt;&gt;"",BD97,""))</f>
        <v>1898</v>
      </c>
      <c r="EC97" s="47" t="s">
        <v>0</v>
      </c>
      <c r="ED97" s="58" t="str">
        <f>IF(AL97="","",IF(BD97&lt;&gt;"","novo",IF(AN97="","imepre","imepre(ali)")))</f>
        <v>imepre</v>
      </c>
      <c r="EE97" s="73" t="str">
        <f>IF(AL97="","",IF(BL97="",IF(IFERROR(INDEX(regNatjecatelj_klub,MATCH(EB97,regNatjecatelj_id,0)),"NEMA")="","klu",""),IF(OR(AND(BN97&lt;&gt;"",BN97&lt;&gt;"NEMA"),CD97&lt;&gt;""),"klu(ali)",IF(AND(BP97&lt;&gt;"",BP97&lt;&gt;BO97),"(raz-klu)","klu"))))</f>
        <v>klu</v>
      </c>
      <c r="EF97" s="73" t="str">
        <f>IF(AL97="","","kat"&amp;IF(AND(W97&lt;&gt;Q97,Q97&lt;&gt;"Open"),"(ali)",""))</f>
        <v>kat</v>
      </c>
      <c r="EG97" s="73" t="str">
        <f t="shared" si="91"/>
        <v/>
      </c>
      <c r="EH97" s="66" t="str">
        <f>IF(AL97="","",ED97&amp;IF(ED97="novo","","-"&amp;EE97&amp;"-"&amp;EF97)&amp;IF(EG97="","","-"&amp;EG97))</f>
        <v>imepre-klu-kat</v>
      </c>
      <c r="EI97" s="47" t="s">
        <v>0</v>
      </c>
      <c r="EJ97" s="58">
        <f>IF(AL97="","",MAX(EJ$12:EJ96)+1)</f>
        <v>267</v>
      </c>
      <c r="EK97" s="73">
        <f>IF(AO97="","",X97)</f>
        <v>28</v>
      </c>
      <c r="EL97" s="73">
        <f t="shared" si="120"/>
        <v>1898</v>
      </c>
      <c r="EM97" s="73">
        <f t="shared" si="92"/>
        <v>8550</v>
      </c>
      <c r="EN97" s="73">
        <f t="shared" si="93"/>
        <v>1</v>
      </c>
      <c r="EO97" s="73">
        <f t="shared" si="121"/>
        <v>1</v>
      </c>
      <c r="EP97" s="73">
        <f t="shared" si="122"/>
        <v>1</v>
      </c>
      <c r="EQ97" s="73" t="str">
        <f t="shared" si="94"/>
        <v>0</v>
      </c>
      <c r="ER97" s="73" t="str">
        <f>IF(OR(AN97="",AN97="NEMA"),BB97,AN97)</f>
        <v/>
      </c>
      <c r="ES97" s="73" t="str">
        <f>IF(AND(BN97&lt;&gt;"",BN97&lt;&gt;"NEMA"),BN97,IF(CG97&lt;&gt;"",CG97,IF(AND(CL97&lt;&gt;"",CL97&lt;&gt;"NEMA"),CL97,IF(CM97&lt;&gt;"",CM97,""))))</f>
        <v/>
      </c>
      <c r="ET97" s="53" t="str">
        <f>IF(INDEX(natKategorija_alias_Id,MATCH(S97,natKategorija_katRegId,0))="","",INDEX(natKategorija_alias_Id,MATCH(S97,natKategorija_katRegId,0)))</f>
        <v/>
      </c>
      <c r="EU97" s="47" t="s">
        <v>0</v>
      </c>
      <c r="EV97" s="19" t="str">
        <f t="shared" si="123"/>
        <v>INSERT INTO rezultat(id,stazakategorija_id,imeprezime_id,vrijeme_sec,status_id,registracija,uparivanje_id,originalstatus_id,imeprezimealias_id,klubalias_id,kategorijaalias_id) VALUES (267,28,1898,8550,1,1,1,0,Null,Null,Null);</v>
      </c>
      <c r="EW97" s="47" t="s">
        <v>0</v>
      </c>
      <c r="EX97" s="19" t="str">
        <f t="shared" si="124"/>
        <v>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7" s="47" t="s">
        <v>0</v>
      </c>
      <c r="EZ97" s="180" t="str">
        <f>AG97&amp;IF(CP97="","","
")&amp;CP97&amp;IF(CI97="","","
")&amp;CI97&amp;IF(DN97="","","
")&amp;DN97&amp;IF(DP97="","","
")&amp;DP97&amp;IF(EV97="","","
")&amp;EV97&amp;IF(EX97="","","
")&amp;EX97</f>
        <v xml:space="preserve">
INSERT INTO rezultat(id,stazakategorija_id,imeprezime_id,vrijeme_sec,status_id,registracija,uparivanje_id,originalstatus_id,imeprezimealias_id,klubalias_id,kategorijaalias_id) VALUES (267,28,1898,8550,1,1,1,0,Null,Null,Null);
UPDATE
	registar
SET
	potvrda = 1
WHERE
	imeprezime_id=1898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7" s="47" t="s">
        <v>0</v>
      </c>
    </row>
    <row r="98" spans="1:157" x14ac:dyDescent="0.25">
      <c r="A98" t="s">
        <v>0</v>
      </c>
      <c r="B98" s="52" t="str">
        <f>IF(csv!F88="","",csv!T88)</f>
        <v>M21B</v>
      </c>
      <c r="C98" s="31" t="s">
        <v>0</v>
      </c>
      <c r="D98" s="31" t="str">
        <f>IF(csv!F88="","",csv!F88)</f>
        <v>Zoran</v>
      </c>
      <c r="E98" s="31" t="str">
        <f>IF(csv!E88="","",csv!E88)</f>
        <v>Ćorić</v>
      </c>
      <c r="F98" s="31" t="s">
        <v>0</v>
      </c>
      <c r="G98" s="73" t="str">
        <f>IF(csv!M88="","",csv!M88)</f>
        <v>146:33</v>
      </c>
      <c r="H98" s="73" t="str">
        <f>IF(csv!N88="","",csv!N88)</f>
        <v>0</v>
      </c>
      <c r="I98" s="31" t="s">
        <v>0</v>
      </c>
      <c r="J98" s="31" t="str">
        <f>IF(csv!P88="","",csv!P88)</f>
        <v>Vihor</v>
      </c>
      <c r="K98" s="31" t="str">
        <f>IF(csv!Q88="","",csv!Q88)</f>
        <v>OK Vihor</v>
      </c>
      <c r="L98" s="31" t="s">
        <v>0</v>
      </c>
      <c r="M98" s="66" t="str">
        <f>IF(csv!R88="","",csv!R88)</f>
        <v>CRO</v>
      </c>
      <c r="N98" s="47" t="s">
        <v>0</v>
      </c>
      <c r="O98" s="243" t="str">
        <f t="shared" si="95"/>
        <v>ok</v>
      </c>
      <c r="P98" s="47"/>
      <c r="Q98" s="52" t="str">
        <f t="shared" si="96"/>
        <v>M21B</v>
      </c>
      <c r="R98" s="73">
        <f>IF(Q98="","",IF(COUNTIF(Q$12:Q97,Q98)=0,R97+1,R97))</f>
        <v>6</v>
      </c>
      <c r="S98" s="73">
        <f t="shared" si="97"/>
        <v>108</v>
      </c>
      <c r="T98" s="73">
        <f t="shared" si="72"/>
        <v>19</v>
      </c>
      <c r="U98" s="66" t="str">
        <f t="shared" si="73"/>
        <v>M21B – M16</v>
      </c>
      <c r="V98" s="47" t="s">
        <v>0</v>
      </c>
      <c r="W98" s="222" t="str">
        <f t="shared" si="74"/>
        <v>M21B</v>
      </c>
      <c r="X98" s="223">
        <f t="shared" si="75"/>
        <v>28</v>
      </c>
      <c r="Y98" s="47" t="s">
        <v>0</v>
      </c>
      <c r="Z98" s="52" t="str">
        <f t="shared" si="98"/>
        <v>CRO</v>
      </c>
      <c r="AA98" s="73">
        <f t="shared" si="76"/>
        <v>1</v>
      </c>
      <c r="AB98" s="31" t="str">
        <f t="shared" si="99"/>
        <v/>
      </c>
      <c r="AC98" s="66" t="str">
        <f>IF(AB98="","",MAX(AC$12:AC97)+1)</f>
        <v/>
      </c>
      <c r="AD98" s="47" t="s">
        <v>0</v>
      </c>
      <c r="AE98" s="125"/>
      <c r="AF98" s="47" t="s">
        <v>0</v>
      </c>
      <c r="AG98" s="19" t="str">
        <f t="shared" si="100"/>
        <v/>
      </c>
      <c r="AH98" s="47" t="s">
        <v>0</v>
      </c>
      <c r="AI98" s="143" t="str">
        <f t="shared" si="101"/>
        <v>CRO</v>
      </c>
      <c r="AJ98" s="47"/>
      <c r="AK98" s="52" t="str">
        <f t="shared" si="102"/>
        <v>Zoran</v>
      </c>
      <c r="AL98" s="31" t="str">
        <f t="shared" si="103"/>
        <v>Ćorić</v>
      </c>
      <c r="AM98" s="73">
        <f t="shared" si="104"/>
        <v>1885</v>
      </c>
      <c r="AN98" s="73" t="str">
        <f t="shared" si="105"/>
        <v/>
      </c>
      <c r="AO98" s="31" t="str">
        <f t="shared" si="77"/>
        <v>Zoran</v>
      </c>
      <c r="AP98" s="66" t="str">
        <f t="shared" si="78"/>
        <v>Ćorić</v>
      </c>
      <c r="AQ98" s="47" t="s">
        <v>0</v>
      </c>
      <c r="AR98" s="82" t="str">
        <f t="shared" si="106"/>
        <v/>
      </c>
      <c r="AS98" s="47" t="s">
        <v>0</v>
      </c>
      <c r="AT98" s="19" t="str">
        <f t="shared" si="107"/>
        <v/>
      </c>
      <c r="AU98" s="47" t="s">
        <v>0</v>
      </c>
      <c r="AV98" s="103"/>
      <c r="AW98" s="105"/>
      <c r="AX98" s="47" t="s">
        <v>0</v>
      </c>
      <c r="AY98" s="256" t="str">
        <f t="shared" si="125"/>
        <v/>
      </c>
      <c r="AZ98" s="47" t="s">
        <v>0</v>
      </c>
      <c r="BA98" s="52" t="str">
        <f t="shared" si="79"/>
        <v/>
      </c>
      <c r="BB98" s="73" t="str">
        <f>IF(AV98&amp;AW98="","",MAX(BB$12:BB97)+1)</f>
        <v/>
      </c>
      <c r="BC98" s="268" t="str">
        <f t="shared" si="80"/>
        <v/>
      </c>
      <c r="BD98" s="53" t="str">
        <f>IF(AND(AM98="NEMA",AN98="NEMA",OR(AV98&amp;AW98="",BC98="NEMA")),MAX(BD$12:BD97)+1,"")</f>
        <v/>
      </c>
      <c r="BE98" s="47" t="s">
        <v>0</v>
      </c>
      <c r="BF98" s="52" t="str">
        <f t="shared" si="81"/>
        <v>Zoran</v>
      </c>
      <c r="BG98" s="31" t="str">
        <f t="shared" si="82"/>
        <v>Ćorić</v>
      </c>
      <c r="BH98" s="73" t="str">
        <f t="shared" si="108"/>
        <v/>
      </c>
      <c r="BI98" s="53">
        <f t="shared" si="109"/>
        <v>1885</v>
      </c>
      <c r="BJ98" s="47" t="s">
        <v>0</v>
      </c>
      <c r="BK98" s="52" t="str">
        <f t="shared" si="83"/>
        <v>Vihor</v>
      </c>
      <c r="BL98" s="31" t="str">
        <f t="shared" si="84"/>
        <v>OK Vihor</v>
      </c>
      <c r="BM98" s="73">
        <f t="shared" si="85"/>
        <v>12</v>
      </c>
      <c r="BN98" s="73" t="str">
        <f t="shared" si="86"/>
        <v/>
      </c>
      <c r="BO98" s="31" t="str" cm="1">
        <f t="array" ref="BO98">IF(BN98="",""&amp;BL98,IF(BN98="NEMA",BL98,INDEX(regKlub_naziv,MATCH(INDEX(regKlub_alias_klubId,BN98),regKlub_id,0))))</f>
        <v>OK Vihor</v>
      </c>
      <c r="BP98" s="31" t="str" cm="1">
        <f t="array" ref="BP98">IFERROR(""&amp;INDEX(regNatjecatelj_klub,DY98),"")</f>
        <v>OK Vihor</v>
      </c>
      <c r="BQ98" s="88" t="str">
        <f t="shared" si="110"/>
        <v/>
      </c>
      <c r="BR98" s="66" t="str">
        <f t="shared" si="111"/>
        <v>OK Vihor</v>
      </c>
      <c r="BS98" s="47" t="s">
        <v>0</v>
      </c>
      <c r="BT98" s="82" t="str">
        <f>IF(BN98&lt;&gt;"NEMA","",IF(IFERROR(MATCH(BL98,BL$12:BL97,0),0)&lt;&gt;0,"",BL98))</f>
        <v/>
      </c>
      <c r="BU98" s="47" t="s">
        <v>0</v>
      </c>
      <c r="BV98" s="125"/>
      <c r="BW98" s="47" t="s">
        <v>0</v>
      </c>
      <c r="BX98" s="58" t="str">
        <f t="shared" si="112"/>
        <v/>
      </c>
      <c r="BY98" s="31" t="str">
        <f t="shared" si="113"/>
        <v/>
      </c>
      <c r="BZ98" s="31" t="str">
        <f>IF(BY98="","",MAX(BZ$12:BZ97)+1)</f>
        <v/>
      </c>
      <c r="CA98" s="31" t="str">
        <f>IF(BY98="","",IF(AA98="","",IF(AA98="NEMA",AC98,AA98)))</f>
        <v/>
      </c>
      <c r="CB98" s="31" t="str">
        <f t="shared" si="114"/>
        <v/>
      </c>
      <c r="CC98" s="31" t="str">
        <f>IF(BV98="","",MAX(CC$12:CC97)+1)</f>
        <v/>
      </c>
      <c r="CD98" s="31" t="str">
        <f t="shared" si="115"/>
        <v/>
      </c>
      <c r="CE98" s="66" t="str">
        <f t="shared" si="116"/>
        <v/>
      </c>
      <c r="CF98" s="47" t="s">
        <v>0</v>
      </c>
      <c r="CG98" s="73" t="str">
        <f>IF(BN98="","",IF(BN98&lt;&gt;"NEMA","",IFERROR(INDEX(nat_klubAliasId,MATCH(BL98,nat_noviKluboviAliasi,0)),"")))</f>
        <v/>
      </c>
      <c r="CH98" s="47"/>
      <c r="CI98" s="19" t="str">
        <f t="shared" si="117"/>
        <v/>
      </c>
      <c r="CJ98" s="47" t="s">
        <v>0</v>
      </c>
      <c r="CK98" s="52" t="str">
        <f>IF(X98&lt;&gt;"NEMA","",IF(IFERROR(MATCH(W98,W$12:W97,0),0)&lt;&gt;0,"",W98))</f>
        <v/>
      </c>
      <c r="CL98" s="73" t="str">
        <f>IF(CK98="","",IFERROR(INDEX(regKlub_alias_id,MATCH(CK98,regKlub_alias_alias,0)),"NEMA"))</f>
        <v/>
      </c>
      <c r="CM98" s="31" t="str">
        <f>IF(OR(CL98="",CL98&lt;&gt;"NEMA"),"",MAX(CM$12:CM97)+1)</f>
        <v/>
      </c>
      <c r="CN98" s="66" t="str">
        <f>IF(OR(CL98="",CL98&lt;&gt;"NEMA"),"",INDEX(regKlub_id,MATCH(CK98,regKlub_naziv,0)))</f>
        <v/>
      </c>
      <c r="CO98" s="47" t="s">
        <v>0</v>
      </c>
      <c r="CP98" s="19" t="str">
        <f>IF(OR(CL98="",CL98&lt;&gt;"NEMA"),"","INSERT INTO klub_alias(id,alias,klub_id) VALUES ("&amp;CM98&amp;",'"&amp;CK98&amp;"',"&amp;CN98&amp;");")</f>
        <v/>
      </c>
      <c r="CQ98" s="47" t="s">
        <v>0</v>
      </c>
      <c r="CR98" s="143" t="str">
        <f>IF(BR98="","",IF(BV98="",IF(IFERROR(MATCH(BR98,nat_noviKluboviAliasi,0),0)&gt;0,INDEX(nat_kluboviAliasi,MATCH(BR98,nat_noviKluboviAliasi,0)),BR98),BV98))</f>
        <v>OK Vihor</v>
      </c>
      <c r="CS98" s="47" t="s">
        <v>0</v>
      </c>
      <c r="CT98" s="58" t="str">
        <f>IF(G98="","",G98)</f>
        <v>146:33</v>
      </c>
      <c r="CU98" s="73" t="str">
        <f>IF(H98="","",H98)</f>
        <v>0</v>
      </c>
      <c r="CV98" s="229" t="str">
        <f>IF(CT98="",IF(OR(AL98="",CU98&lt;&gt;"0"),"","GREŠKA"),IF(AND(65535&gt;=VALUE(LEFT(CT98,SEARCH(":",CT98)-1))*60+VALUE(RIGHT(CT98,2)),OR(CU98="0",CU98="1",CU98="2",CU98="3",CU98="4")),"","GREŠKA"))</f>
        <v/>
      </c>
      <c r="CW98" s="230">
        <f t="shared" si="71"/>
        <v>8793</v>
      </c>
      <c r="CX98" s="163">
        <f t="shared" si="87"/>
        <v>1</v>
      </c>
      <c r="CY98" s="47" t="s">
        <v>0</v>
      </c>
      <c r="CZ98" s="222" t="str">
        <f>IF(CV98&lt;&gt;"GREŠKA","",AK98&amp;" "&amp;AL98&amp;" – Molim u OEventu provjeriti i ispraviti rezultat – vrijeme ("&amp;IF(CT98="","nije upisano",CT98)&amp;") i classifier ("&amp;CU98&amp;").")&amp;IF(OR(CV98&lt;&gt;"GREŠKA",CX98&lt;&gt;5),"
","")&amp;IF(CX98&lt;&gt;5,"",AK98&amp;" "&amp;AL98&amp;" – Molim u provjeriti je li natjecatelj zaista diskvalificiran. Ako je koje je obrazloženje, ako nije molim u OEventu ispraviti rezultat")</f>
        <v xml:space="preserve">
</v>
      </c>
      <c r="DA98" s="223">
        <f t="shared" si="118"/>
        <v>6</v>
      </c>
      <c r="DB98" s="47" t="s">
        <v>0</v>
      </c>
      <c r="DC98" s="47"/>
      <c r="DD98" s="47"/>
      <c r="DE98" s="47"/>
      <c r="DF98" s="47" t="s">
        <v>0</v>
      </c>
      <c r="DG98" s="53" t="str">
        <f>IF(BD98="","",IF(DI98="O",1,""))</f>
        <v/>
      </c>
      <c r="DH98" t="s">
        <v>0</v>
      </c>
      <c r="DI98" s="128" t="str">
        <f>IF(Q98="","",LEFT(INDEX(regKategorija_oznaka,MATCH(S98,regKategorija_id,0)),1))</f>
        <v>M</v>
      </c>
      <c r="DJ98" t="s">
        <v>0</v>
      </c>
      <c r="DK98" s="52" t="str">
        <f>IF(BD98="","",IF(M98&lt;&gt;"CRO","","INSERT INTO osoba (id,reg_broj,oib,spol_id,dat_rodjenja) VALUES ("&amp;BD98&amp;",(SELECT max(os.reg_broj)+1 FROM osoba AS os),Null,'"&amp;DI98&amp;"',Null); INSERT INTO osoba_log (id,reg_broj,oib,spol_id,dat_rodjenja,dnevnik_id) SELECT id,reg_broj,oib,spol_id,dat_rodjenja,"&amp;data_dnevnik_id&amp;" FROM osoba WHERE id = "&amp;BD98&amp;";"))</f>
        <v/>
      </c>
      <c r="DL98" s="66" t="str">
        <f>IF(BD98="","","INSERT INTO imeprezime (id,osoba_id,rbr,ime,prezime,klub_id,identitet_id,sintaksa_id,info,aktivno,dnevnik_id) VALUES ("&amp;BD98&amp;","&amp;IF(DK98="","Null",BD98)&amp;",1,'"&amp;IF(AV98&lt;&gt;"",AV98,AK98)&amp;"','"&amp;IF(AW98&lt;&gt;"",AW98,AL98)&amp;"',(SELECT id FROM klub WHERE naziv = '"&amp;CR98&amp;"'),Null,1,'',1,"&amp;data_dnevnik_id&amp;");")</f>
        <v/>
      </c>
      <c r="DM98" t="s">
        <v>0</v>
      </c>
      <c r="DN98" s="19" t="str">
        <f t="shared" si="126"/>
        <v/>
      </c>
      <c r="DO98" s="47" t="s">
        <v>0</v>
      </c>
      <c r="DP98" s="19" t="str">
        <f>IF(BA98="","","INSERT INTO imeprezime_alias(id,alias,imeprezime_id) VALUES ("&amp;BB98&amp;",'"&amp;BA98&amp;"',"&amp;IF(BC98="NEMA",BD98,BC98)&amp;");")</f>
        <v/>
      </c>
      <c r="DQ98" s="47" t="s">
        <v>0</v>
      </c>
      <c r="DR98" s="52" t="str">
        <f>IF(AL98="","",DU98 &amp; IF(Q98="",""," – " &amp; Q98))</f>
        <v>Zoran – Ćorić – OK Vihor – M21B</v>
      </c>
      <c r="DS98" s="53">
        <f t="shared" si="88"/>
        <v>649</v>
      </c>
      <c r="DT98" s="47" t="s">
        <v>0</v>
      </c>
      <c r="DU98" s="52" t="str">
        <f>IF(AL98="","",DX98 &amp; IF(CR98="",""," – " &amp; CR98))</f>
        <v>Zoran – Ćorić – OK Vihor</v>
      </c>
      <c r="DV98" s="53">
        <f t="shared" si="89"/>
        <v>649</v>
      </c>
      <c r="DW98" s="47" t="s">
        <v>0</v>
      </c>
      <c r="DX98" s="52" t="str">
        <f>IF(BG98="","",BF98&amp;" – "&amp;BG98)</f>
        <v>Zoran – Ćorić</v>
      </c>
      <c r="DY98" s="53">
        <f t="shared" si="90"/>
        <v>649</v>
      </c>
      <c r="DZ98" s="47" t="s">
        <v>0</v>
      </c>
      <c r="EA98" s="58">
        <f t="shared" si="119"/>
        <v>649</v>
      </c>
      <c r="EB98" s="53" cm="1">
        <f t="array" ref="EB98">IF(EA98&lt;&gt;"",INDEX(regNatjecatelj_id,EA98,0),IF(BD98&lt;&gt;"",BD98,""))</f>
        <v>1885</v>
      </c>
      <c r="EC98" s="47" t="s">
        <v>0</v>
      </c>
      <c r="ED98" s="58" t="str">
        <f>IF(AL98="","",IF(BD98&lt;&gt;"","novo",IF(AN98="","imepre","imepre(ali)")))</f>
        <v>imepre</v>
      </c>
      <c r="EE98" s="73" t="str">
        <f>IF(AL98="","",IF(BL98="",IF(IFERROR(INDEX(regNatjecatelj_klub,MATCH(EB98,regNatjecatelj_id,0)),"NEMA")="","klu",""),IF(OR(AND(BN98&lt;&gt;"",BN98&lt;&gt;"NEMA"),CD98&lt;&gt;""),"klu(ali)",IF(AND(BP98&lt;&gt;"",BP98&lt;&gt;BO98),"(raz-klu)","klu"))))</f>
        <v>klu</v>
      </c>
      <c r="EF98" s="73" t="str">
        <f>IF(AL98="","","kat"&amp;IF(AND(W98&lt;&gt;Q98,Q98&lt;&gt;"Open"),"(ali)",""))</f>
        <v>kat</v>
      </c>
      <c r="EG98" s="73" t="str">
        <f t="shared" si="91"/>
        <v/>
      </c>
      <c r="EH98" s="66" t="str">
        <f>IF(AL98="","",ED98&amp;IF(ED98="novo","","-"&amp;EE98&amp;"-"&amp;EF98)&amp;IF(EG98="","","-"&amp;EG98))</f>
        <v>imepre-klu-kat</v>
      </c>
      <c r="EI98" s="47" t="s">
        <v>0</v>
      </c>
      <c r="EJ98" s="58">
        <f>IF(AL98="","",MAX(EJ$12:EJ97)+1)</f>
        <v>268</v>
      </c>
      <c r="EK98" s="73">
        <f>IF(AO98="","",X98)</f>
        <v>28</v>
      </c>
      <c r="EL98" s="73">
        <f t="shared" si="120"/>
        <v>1885</v>
      </c>
      <c r="EM98" s="73">
        <f t="shared" si="92"/>
        <v>8793</v>
      </c>
      <c r="EN98" s="73">
        <f t="shared" si="93"/>
        <v>1</v>
      </c>
      <c r="EO98" s="73">
        <f t="shared" si="121"/>
        <v>1</v>
      </c>
      <c r="EP98" s="73">
        <f t="shared" si="122"/>
        <v>1</v>
      </c>
      <c r="EQ98" s="73" t="str">
        <f t="shared" si="94"/>
        <v>0</v>
      </c>
      <c r="ER98" s="73" t="str">
        <f>IF(OR(AN98="",AN98="NEMA"),BB98,AN98)</f>
        <v/>
      </c>
      <c r="ES98" s="73" t="str">
        <f>IF(AND(BN98&lt;&gt;"",BN98&lt;&gt;"NEMA"),BN98,IF(CG98&lt;&gt;"",CG98,IF(AND(CL98&lt;&gt;"",CL98&lt;&gt;"NEMA"),CL98,IF(CM98&lt;&gt;"",CM98,""))))</f>
        <v/>
      </c>
      <c r="ET98" s="53" t="str">
        <f>IF(INDEX(natKategorija_alias_Id,MATCH(S98,natKategorija_katRegId,0))="","",INDEX(natKategorija_alias_Id,MATCH(S98,natKategorija_katRegId,0)))</f>
        <v/>
      </c>
      <c r="EU98" s="47" t="s">
        <v>0</v>
      </c>
      <c r="EV98" s="19" t="str">
        <f t="shared" si="123"/>
        <v>INSERT INTO rezultat(id,stazakategorija_id,imeprezime_id,vrijeme_sec,status_id,registracija,uparivanje_id,originalstatus_id,imeprezimealias_id,klubalias_id,kategorijaalias_id) VALUES (268,28,1885,8793,1,1,1,0,Null,Null,Null);</v>
      </c>
      <c r="EW98" s="47" t="s">
        <v>0</v>
      </c>
      <c r="EX98" s="19" t="str">
        <f t="shared" si="124"/>
        <v>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8" s="47" t="s">
        <v>0</v>
      </c>
      <c r="EZ98" s="180" t="str">
        <f>AG98&amp;IF(CP98="","","
")&amp;CP98&amp;IF(CI98="","","
")&amp;CI98&amp;IF(DN98="","","
")&amp;DN98&amp;IF(DP98="","","
")&amp;DP98&amp;IF(EV98="","","
")&amp;EV98&amp;IF(EX98="","","
")&amp;EX98</f>
        <v xml:space="preserve">
INSERT INTO rezultat(id,stazakategorija_id,imeprezime_id,vrijeme_sec,status_id,registracija,uparivanje_id,originalstatus_id,imeprezimealias_id,klubalias_id,kategorijaalias_id) VALUES (268,28,1885,8793,1,1,1,0,Null,Null,Null);
UPDATE
	registar
SET
	potvrda = 1
WHERE
	imeprezime_id=1885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8" s="47" t="s">
        <v>0</v>
      </c>
    </row>
    <row r="99" spans="1:157" x14ac:dyDescent="0.25">
      <c r="A99" t="s">
        <v>0</v>
      </c>
      <c r="B99" s="52" t="str">
        <f>IF(csv!F89="","",csv!T89)</f>
        <v>M21B</v>
      </c>
      <c r="C99" s="31" t="s">
        <v>0</v>
      </c>
      <c r="D99" s="31" t="str">
        <f>IF(csv!F89="","",csv!F89)</f>
        <v>Mladen</v>
      </c>
      <c r="E99" s="31" t="str">
        <f>IF(csv!E89="","",csv!E89)</f>
        <v>Prekrat</v>
      </c>
      <c r="F99" s="31" t="s">
        <v>0</v>
      </c>
      <c r="G99" s="73" t="str">
        <f>IF(csv!M89="","",csv!M89)</f>
        <v>158:37</v>
      </c>
      <c r="H99" s="73" t="str">
        <f>IF(csv!N89="","",csv!N89)</f>
        <v>0</v>
      </c>
      <c r="I99" s="31" t="s">
        <v>0</v>
      </c>
      <c r="J99" s="31" t="str">
        <f>IF(csv!P89="","",csv!P89)</f>
        <v>Vihor</v>
      </c>
      <c r="K99" s="31" t="str">
        <f>IF(csv!Q89="","",csv!Q89)</f>
        <v>OK Vihor</v>
      </c>
      <c r="L99" s="31" t="s">
        <v>0</v>
      </c>
      <c r="M99" s="66" t="str">
        <f>IF(csv!R89="","",csv!R89)</f>
        <v>CRO</v>
      </c>
      <c r="N99" s="47" t="s">
        <v>0</v>
      </c>
      <c r="O99" s="243" t="str">
        <f t="shared" si="95"/>
        <v>ok</v>
      </c>
      <c r="P99" s="47"/>
      <c r="Q99" s="52" t="str">
        <f t="shared" si="96"/>
        <v>M21B</v>
      </c>
      <c r="R99" s="73">
        <f>IF(Q99="","",IF(COUNTIF(Q$12:Q98,Q99)=0,R98+1,R98))</f>
        <v>6</v>
      </c>
      <c r="S99" s="73">
        <f t="shared" si="97"/>
        <v>108</v>
      </c>
      <c r="T99" s="73">
        <f t="shared" si="72"/>
        <v>19</v>
      </c>
      <c r="U99" s="66" t="str">
        <f t="shared" si="73"/>
        <v>M21B – M16</v>
      </c>
      <c r="V99" s="47" t="s">
        <v>0</v>
      </c>
      <c r="W99" s="222" t="str">
        <f t="shared" si="74"/>
        <v>M21B</v>
      </c>
      <c r="X99" s="223">
        <f t="shared" si="75"/>
        <v>28</v>
      </c>
      <c r="Y99" s="47" t="s">
        <v>0</v>
      </c>
      <c r="Z99" s="52" t="str">
        <f t="shared" si="98"/>
        <v>CRO</v>
      </c>
      <c r="AA99" s="73">
        <f t="shared" si="76"/>
        <v>1</v>
      </c>
      <c r="AB99" s="31" t="str">
        <f t="shared" si="99"/>
        <v/>
      </c>
      <c r="AC99" s="66" t="str">
        <f>IF(AB99="","",MAX(AC$12:AC98)+1)</f>
        <v/>
      </c>
      <c r="AD99" s="47" t="s">
        <v>0</v>
      </c>
      <c r="AE99" s="125"/>
      <c r="AF99" s="47" t="s">
        <v>0</v>
      </c>
      <c r="AG99" s="19" t="str">
        <f t="shared" si="100"/>
        <v/>
      </c>
      <c r="AH99" s="47" t="s">
        <v>0</v>
      </c>
      <c r="AI99" s="143" t="str">
        <f t="shared" si="101"/>
        <v>CRO</v>
      </c>
      <c r="AJ99" s="47"/>
      <c r="AK99" s="52" t="str">
        <f t="shared" si="102"/>
        <v>Mladen</v>
      </c>
      <c r="AL99" s="31" t="str">
        <f t="shared" si="103"/>
        <v>Prekrat</v>
      </c>
      <c r="AM99" s="73">
        <f t="shared" si="104"/>
        <v>1926</v>
      </c>
      <c r="AN99" s="73" t="str">
        <f t="shared" si="105"/>
        <v/>
      </c>
      <c r="AO99" s="31" t="str">
        <f t="shared" si="77"/>
        <v>Mladen</v>
      </c>
      <c r="AP99" s="66" t="str">
        <f t="shared" si="78"/>
        <v>Prekrat</v>
      </c>
      <c r="AQ99" s="47" t="s">
        <v>0</v>
      </c>
      <c r="AR99" s="82" t="str">
        <f t="shared" si="106"/>
        <v/>
      </c>
      <c r="AS99" s="47" t="s">
        <v>0</v>
      </c>
      <c r="AT99" s="19" t="str">
        <f t="shared" si="107"/>
        <v/>
      </c>
      <c r="AU99" s="47" t="s">
        <v>0</v>
      </c>
      <c r="AV99" s="103"/>
      <c r="AW99" s="105"/>
      <c r="AX99" s="47" t="s">
        <v>0</v>
      </c>
      <c r="AY99" s="256" t="str">
        <f t="shared" si="125"/>
        <v/>
      </c>
      <c r="AZ99" s="47" t="s">
        <v>0</v>
      </c>
      <c r="BA99" s="52" t="str">
        <f t="shared" si="79"/>
        <v/>
      </c>
      <c r="BB99" s="73" t="str">
        <f>IF(AV99&amp;AW99="","",MAX(BB$12:BB98)+1)</f>
        <v/>
      </c>
      <c r="BC99" s="268" t="str">
        <f t="shared" si="80"/>
        <v/>
      </c>
      <c r="BD99" s="53" t="str">
        <f>IF(AND(AM99="NEMA",AN99="NEMA",OR(AV99&amp;AW99="",BC99="NEMA")),MAX(BD$12:BD98)+1,"")</f>
        <v/>
      </c>
      <c r="BE99" s="47" t="s">
        <v>0</v>
      </c>
      <c r="BF99" s="52" t="str">
        <f t="shared" si="81"/>
        <v>Mladen</v>
      </c>
      <c r="BG99" s="31" t="str">
        <f t="shared" si="82"/>
        <v>Prekrat</v>
      </c>
      <c r="BH99" s="73" t="str">
        <f t="shared" si="108"/>
        <v/>
      </c>
      <c r="BI99" s="53">
        <f t="shared" si="109"/>
        <v>1926</v>
      </c>
      <c r="BJ99" s="47" t="s">
        <v>0</v>
      </c>
      <c r="BK99" s="52" t="str">
        <f t="shared" si="83"/>
        <v>Vihor</v>
      </c>
      <c r="BL99" s="31" t="str">
        <f t="shared" si="84"/>
        <v>OK Vihor</v>
      </c>
      <c r="BM99" s="73">
        <f t="shared" si="85"/>
        <v>12</v>
      </c>
      <c r="BN99" s="73" t="str">
        <f t="shared" si="86"/>
        <v/>
      </c>
      <c r="BO99" s="31" t="str" cm="1">
        <f t="array" ref="BO99">IF(BN99="",""&amp;BL99,IF(BN99="NEMA",BL99,INDEX(regKlub_naziv,MATCH(INDEX(regKlub_alias_klubId,BN99),regKlub_id,0))))</f>
        <v>OK Vihor</v>
      </c>
      <c r="BP99" s="31" t="str" cm="1">
        <f t="array" ref="BP99">IFERROR(""&amp;INDEX(regNatjecatelj_klub,DY99),"")</f>
        <v>OK Vihor</v>
      </c>
      <c r="BQ99" s="88" t="str">
        <f t="shared" si="110"/>
        <v/>
      </c>
      <c r="BR99" s="66" t="str">
        <f t="shared" si="111"/>
        <v>OK Vihor</v>
      </c>
      <c r="BS99" s="47" t="s">
        <v>0</v>
      </c>
      <c r="BT99" s="82" t="str">
        <f>IF(BN99&lt;&gt;"NEMA","",IF(IFERROR(MATCH(BL99,BL$12:BL98,0),0)&lt;&gt;0,"",BL99))</f>
        <v/>
      </c>
      <c r="BU99" s="47" t="s">
        <v>0</v>
      </c>
      <c r="BV99" s="125"/>
      <c r="BW99" s="47" t="s">
        <v>0</v>
      </c>
      <c r="BX99" s="58" t="str">
        <f t="shared" si="112"/>
        <v/>
      </c>
      <c r="BY99" s="31" t="str">
        <f t="shared" si="113"/>
        <v/>
      </c>
      <c r="BZ99" s="31" t="str">
        <f>IF(BY99="","",MAX(BZ$12:BZ98)+1)</f>
        <v/>
      </c>
      <c r="CA99" s="31" t="str">
        <f>IF(BY99="","",IF(AA99="","",IF(AA99="NEMA",AC99,AA99)))</f>
        <v/>
      </c>
      <c r="CB99" s="31" t="str">
        <f t="shared" si="114"/>
        <v/>
      </c>
      <c r="CC99" s="31" t="str">
        <f>IF(BV99="","",MAX(CC$12:CC98)+1)</f>
        <v/>
      </c>
      <c r="CD99" s="31" t="str">
        <f t="shared" si="115"/>
        <v/>
      </c>
      <c r="CE99" s="66" t="str">
        <f t="shared" si="116"/>
        <v/>
      </c>
      <c r="CF99" s="47" t="s">
        <v>0</v>
      </c>
      <c r="CG99" s="73" t="str">
        <f>IF(BN99="","",IF(BN99&lt;&gt;"NEMA","",IFERROR(INDEX(nat_klubAliasId,MATCH(BL99,nat_noviKluboviAliasi,0)),"")))</f>
        <v/>
      </c>
      <c r="CH99" s="47"/>
      <c r="CI99" s="19" t="str">
        <f t="shared" si="117"/>
        <v/>
      </c>
      <c r="CJ99" s="47" t="s">
        <v>0</v>
      </c>
      <c r="CK99" s="52" t="str">
        <f>IF(X99&lt;&gt;"NEMA","",IF(IFERROR(MATCH(W99,W$12:W98,0),0)&lt;&gt;0,"",W99))</f>
        <v/>
      </c>
      <c r="CL99" s="73" t="str">
        <f>IF(CK99="","",IFERROR(INDEX(regKlub_alias_id,MATCH(CK99,regKlub_alias_alias,0)),"NEMA"))</f>
        <v/>
      </c>
      <c r="CM99" s="31" t="str">
        <f>IF(OR(CL99="",CL99&lt;&gt;"NEMA"),"",MAX(CM$12:CM98)+1)</f>
        <v/>
      </c>
      <c r="CN99" s="66" t="str">
        <f>IF(OR(CL99="",CL99&lt;&gt;"NEMA"),"",INDEX(regKlub_id,MATCH(CK99,regKlub_naziv,0)))</f>
        <v/>
      </c>
      <c r="CO99" s="47" t="s">
        <v>0</v>
      </c>
      <c r="CP99" s="19" t="str">
        <f>IF(OR(CL99="",CL99&lt;&gt;"NEMA"),"","INSERT INTO klub_alias(id,alias,klub_id) VALUES ("&amp;CM99&amp;",'"&amp;CK99&amp;"',"&amp;CN99&amp;");")</f>
        <v/>
      </c>
      <c r="CQ99" s="47" t="s">
        <v>0</v>
      </c>
      <c r="CR99" s="143" t="str">
        <f>IF(BR99="","",IF(BV99="",IF(IFERROR(MATCH(BR99,nat_noviKluboviAliasi,0),0)&gt;0,INDEX(nat_kluboviAliasi,MATCH(BR99,nat_noviKluboviAliasi,0)),BR99),BV99))</f>
        <v>OK Vihor</v>
      </c>
      <c r="CS99" s="47" t="s">
        <v>0</v>
      </c>
      <c r="CT99" s="58" t="str">
        <f>IF(G99="","",G99)</f>
        <v>158:37</v>
      </c>
      <c r="CU99" s="73" t="str">
        <f>IF(H99="","",H99)</f>
        <v>0</v>
      </c>
      <c r="CV99" s="229" t="str">
        <f>IF(CT99="",IF(OR(AL99="",CU99&lt;&gt;"0"),"","GREŠKA"),IF(AND(65535&gt;=VALUE(LEFT(CT99,SEARCH(":",CT99)-1))*60+VALUE(RIGHT(CT99,2)),OR(CU99="0",CU99="1",CU99="2",CU99="3",CU99="4")),"","GREŠKA"))</f>
        <v/>
      </c>
      <c r="CW99" s="230">
        <f t="shared" si="71"/>
        <v>9517</v>
      </c>
      <c r="CX99" s="163">
        <f t="shared" si="87"/>
        <v>1</v>
      </c>
      <c r="CY99" s="47" t="s">
        <v>0</v>
      </c>
      <c r="CZ99" s="222" t="str">
        <f>IF(CV99&lt;&gt;"GREŠKA","",AK99&amp;" "&amp;AL99&amp;" – Molim u OEventu provjeriti i ispraviti rezultat – vrijeme ("&amp;IF(CT99="","nije upisano",CT99)&amp;") i classifier ("&amp;CU99&amp;").")&amp;IF(OR(CV99&lt;&gt;"GREŠKA",CX99&lt;&gt;5),"
","")&amp;IF(CX99&lt;&gt;5,"",AK99&amp;" "&amp;AL99&amp;" – Molim u provjeriti je li natjecatelj zaista diskvalificiran. Ako je koje je obrazloženje, ako nije molim u OEventu ispraviti rezultat")</f>
        <v xml:space="preserve">
</v>
      </c>
      <c r="DA99" s="223">
        <f t="shared" si="118"/>
        <v>6</v>
      </c>
      <c r="DB99" s="47" t="s">
        <v>0</v>
      </c>
      <c r="DC99" s="47"/>
      <c r="DD99" s="47"/>
      <c r="DE99" s="47"/>
      <c r="DF99" s="47" t="s">
        <v>0</v>
      </c>
      <c r="DG99" s="53" t="str">
        <f>IF(BD99="","",IF(DI99="O",1,""))</f>
        <v/>
      </c>
      <c r="DH99" t="s">
        <v>0</v>
      </c>
      <c r="DI99" s="128" t="str">
        <f>IF(Q99="","",LEFT(INDEX(regKategorija_oznaka,MATCH(S99,regKategorija_id,0)),1))</f>
        <v>M</v>
      </c>
      <c r="DJ99" t="s">
        <v>0</v>
      </c>
      <c r="DK99" s="52" t="str">
        <f>IF(BD99="","",IF(M99&lt;&gt;"CRO","","INSERT INTO osoba (id,reg_broj,oib,spol_id,dat_rodjenja) VALUES ("&amp;BD99&amp;",(SELECT max(os.reg_broj)+1 FROM osoba AS os),Null,'"&amp;DI99&amp;"',Null); INSERT INTO osoba_log (id,reg_broj,oib,spol_id,dat_rodjenja,dnevnik_id) SELECT id,reg_broj,oib,spol_id,dat_rodjenja,"&amp;data_dnevnik_id&amp;" FROM osoba WHERE id = "&amp;BD99&amp;";"))</f>
        <v/>
      </c>
      <c r="DL99" s="66" t="str">
        <f>IF(BD99="","","INSERT INTO imeprezime (id,osoba_id,rbr,ime,prezime,klub_id,identitet_id,sintaksa_id,info,aktivno,dnevnik_id) VALUES ("&amp;BD99&amp;","&amp;IF(DK99="","Null",BD99)&amp;",1,'"&amp;IF(AV99&lt;&gt;"",AV99,AK99)&amp;"','"&amp;IF(AW99&lt;&gt;"",AW99,AL99)&amp;"',(SELECT id FROM klub WHERE naziv = '"&amp;CR99&amp;"'),Null,1,'',1,"&amp;data_dnevnik_id&amp;");")</f>
        <v/>
      </c>
      <c r="DM99" t="s">
        <v>0</v>
      </c>
      <c r="DN99" s="19" t="str">
        <f t="shared" si="126"/>
        <v/>
      </c>
      <c r="DO99" s="47" t="s">
        <v>0</v>
      </c>
      <c r="DP99" s="19" t="str">
        <f>IF(BA99="","","INSERT INTO imeprezime_alias(id,alias,imeprezime_id) VALUES ("&amp;BB99&amp;",'"&amp;BA99&amp;"',"&amp;IF(BC99="NEMA",BD99,BC99)&amp;");")</f>
        <v/>
      </c>
      <c r="DQ99" s="47" t="s">
        <v>0</v>
      </c>
      <c r="DR99" s="52" t="str">
        <f>IF(AL99="","",DU99 &amp; IF(Q99="",""," – " &amp; Q99))</f>
        <v>Mladen – Prekrat – OK Vihor – M21B</v>
      </c>
      <c r="DS99" s="53">
        <f t="shared" si="88"/>
        <v>858</v>
      </c>
      <c r="DT99" s="47" t="s">
        <v>0</v>
      </c>
      <c r="DU99" s="52" t="str">
        <f>IF(AL99="","",DX99 &amp; IF(CR99="",""," – " &amp; CR99))</f>
        <v>Mladen – Prekrat – OK Vihor</v>
      </c>
      <c r="DV99" s="53">
        <f t="shared" si="89"/>
        <v>858</v>
      </c>
      <c r="DW99" s="47" t="s">
        <v>0</v>
      </c>
      <c r="DX99" s="52" t="str">
        <f>IF(BG99="","",BF99&amp;" – "&amp;BG99)</f>
        <v>Mladen – Prekrat</v>
      </c>
      <c r="DY99" s="53">
        <f t="shared" si="90"/>
        <v>858</v>
      </c>
      <c r="DZ99" s="47" t="s">
        <v>0</v>
      </c>
      <c r="EA99" s="58">
        <f t="shared" si="119"/>
        <v>858</v>
      </c>
      <c r="EB99" s="53" cm="1">
        <f t="array" ref="EB99">IF(EA99&lt;&gt;"",INDEX(regNatjecatelj_id,EA99,0),IF(BD99&lt;&gt;"",BD99,""))</f>
        <v>1926</v>
      </c>
      <c r="EC99" s="47" t="s">
        <v>0</v>
      </c>
      <c r="ED99" s="58" t="str">
        <f>IF(AL99="","",IF(BD99&lt;&gt;"","novo",IF(AN99="","imepre","imepre(ali)")))</f>
        <v>imepre</v>
      </c>
      <c r="EE99" s="73" t="str">
        <f>IF(AL99="","",IF(BL99="",IF(IFERROR(INDEX(regNatjecatelj_klub,MATCH(EB99,regNatjecatelj_id,0)),"NEMA")="","klu",""),IF(OR(AND(BN99&lt;&gt;"",BN99&lt;&gt;"NEMA"),CD99&lt;&gt;""),"klu(ali)",IF(AND(BP99&lt;&gt;"",BP99&lt;&gt;BO99),"(raz-klu)","klu"))))</f>
        <v>klu</v>
      </c>
      <c r="EF99" s="73" t="str">
        <f>IF(AL99="","","kat"&amp;IF(AND(W99&lt;&gt;Q99,Q99&lt;&gt;"Open"),"(ali)",""))</f>
        <v>kat</v>
      </c>
      <c r="EG99" s="73" t="str">
        <f t="shared" si="91"/>
        <v/>
      </c>
      <c r="EH99" s="66" t="str">
        <f>IF(AL99="","",ED99&amp;IF(ED99="novo","","-"&amp;EE99&amp;"-"&amp;EF99)&amp;IF(EG99="","","-"&amp;EG99))</f>
        <v>imepre-klu-kat</v>
      </c>
      <c r="EI99" s="47" t="s">
        <v>0</v>
      </c>
      <c r="EJ99" s="58">
        <f>IF(AL99="","",MAX(EJ$12:EJ98)+1)</f>
        <v>269</v>
      </c>
      <c r="EK99" s="73">
        <f>IF(AO99="","",X99)</f>
        <v>28</v>
      </c>
      <c r="EL99" s="73">
        <f t="shared" si="120"/>
        <v>1926</v>
      </c>
      <c r="EM99" s="73">
        <f t="shared" si="92"/>
        <v>9517</v>
      </c>
      <c r="EN99" s="73">
        <f t="shared" si="93"/>
        <v>1</v>
      </c>
      <c r="EO99" s="73">
        <f t="shared" si="121"/>
        <v>1</v>
      </c>
      <c r="EP99" s="73">
        <f t="shared" si="122"/>
        <v>1</v>
      </c>
      <c r="EQ99" s="73" t="str">
        <f t="shared" si="94"/>
        <v>0</v>
      </c>
      <c r="ER99" s="73" t="str">
        <f>IF(OR(AN99="",AN99="NEMA"),BB99,AN99)</f>
        <v/>
      </c>
      <c r="ES99" s="73" t="str">
        <f>IF(AND(BN99&lt;&gt;"",BN99&lt;&gt;"NEMA"),BN99,IF(CG99&lt;&gt;"",CG99,IF(AND(CL99&lt;&gt;"",CL99&lt;&gt;"NEMA"),CL99,IF(CM99&lt;&gt;"",CM99,""))))</f>
        <v/>
      </c>
      <c r="ET99" s="53" t="str">
        <f>IF(INDEX(natKategorija_alias_Id,MATCH(S99,natKategorija_katRegId,0))="","",INDEX(natKategorija_alias_Id,MATCH(S99,natKategorija_katRegId,0)))</f>
        <v/>
      </c>
      <c r="EU99" s="47" t="s">
        <v>0</v>
      </c>
      <c r="EV99" s="19" t="str">
        <f t="shared" si="123"/>
        <v>INSERT INTO rezultat(id,stazakategorija_id,imeprezime_id,vrijeme_sec,status_id,registracija,uparivanje_id,originalstatus_id,imeprezimealias_id,klubalias_id,kategorijaalias_id) VALUES (269,28,1926,9517,1,1,1,0,Null,Null,Null);</v>
      </c>
      <c r="EW99" s="47" t="s">
        <v>0</v>
      </c>
      <c r="EX99" s="19" t="str">
        <f t="shared" si="124"/>
        <v>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99" s="47" t="s">
        <v>0</v>
      </c>
      <c r="EZ99" s="180" t="str">
        <f>AG99&amp;IF(CP99="","","
")&amp;CP99&amp;IF(CI99="","","
")&amp;CI99&amp;IF(DN99="","","
")&amp;DN99&amp;IF(DP99="","","
")&amp;DP99&amp;IF(EV99="","","
")&amp;EV99&amp;IF(EX99="","","
")&amp;EX99</f>
        <v xml:space="preserve">
INSERT INTO rezultat(id,stazakategorija_id,imeprezime_id,vrijeme_sec,status_id,registracija,uparivanje_id,originalstatus_id,imeprezimealias_id,klubalias_id,kategorijaalias_id) VALUES (269,28,1926,9517,1,1,1,0,Null,Null,Null);
UPDATE
	registar
SET
	potvrda = 1
WHERE
	imeprezime_id=1926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99" s="47" t="s">
        <v>0</v>
      </c>
    </row>
    <row r="100" spans="1:157" x14ac:dyDescent="0.25">
      <c r="A100" t="s">
        <v>0</v>
      </c>
      <c r="B100" s="52" t="str">
        <f>IF(csv!F90="","",csv!T90)</f>
        <v>M21B</v>
      </c>
      <c r="C100" s="31" t="s">
        <v>0</v>
      </c>
      <c r="D100" s="31" t="str">
        <f>IF(csv!F90="","",csv!F90)</f>
        <v>Kristijan</v>
      </c>
      <c r="E100" s="31" t="str">
        <f>IF(csv!E90="","",csv!E90)</f>
        <v>Barišić</v>
      </c>
      <c r="F100" s="31" t="s">
        <v>0</v>
      </c>
      <c r="G100" s="73" t="str">
        <f>IF(csv!M90="","",csv!M90)</f>
        <v/>
      </c>
      <c r="H100" s="73" t="str">
        <f>IF(csv!N90="","",csv!N90)</f>
        <v>1</v>
      </c>
      <c r="I100" s="31" t="s">
        <v>0</v>
      </c>
      <c r="J100" s="31" t="str">
        <f>IF(csv!P90="","",csv!P90)</f>
        <v>Vihor</v>
      </c>
      <c r="K100" s="31" t="str">
        <f>IF(csv!Q90="","",csv!Q90)</f>
        <v>OK Vihor</v>
      </c>
      <c r="L100" s="31" t="s">
        <v>0</v>
      </c>
      <c r="M100" s="66" t="str">
        <f>IF(csv!R90="","",csv!R90)</f>
        <v>CRO</v>
      </c>
      <c r="N100" s="47" t="s">
        <v>0</v>
      </c>
      <c r="O100" s="243" t="str">
        <f t="shared" si="95"/>
        <v>ok</v>
      </c>
      <c r="P100" s="47"/>
      <c r="Q100" s="52" t="str">
        <f t="shared" si="96"/>
        <v>M21B</v>
      </c>
      <c r="R100" s="73">
        <f>IF(Q100="","",IF(COUNTIF(Q$12:Q99,Q100)=0,R99+1,R99))</f>
        <v>6</v>
      </c>
      <c r="S100" s="73">
        <f t="shared" si="97"/>
        <v>108</v>
      </c>
      <c r="T100" s="73">
        <f t="shared" si="72"/>
        <v>19</v>
      </c>
      <c r="U100" s="66" t="str">
        <f t="shared" si="73"/>
        <v>M21B – M16</v>
      </c>
      <c r="V100" s="47" t="s">
        <v>0</v>
      </c>
      <c r="W100" s="222" t="str">
        <f t="shared" si="74"/>
        <v>M21B</v>
      </c>
      <c r="X100" s="223">
        <f t="shared" si="75"/>
        <v>28</v>
      </c>
      <c r="Y100" s="47" t="s">
        <v>0</v>
      </c>
      <c r="Z100" s="52" t="str">
        <f t="shared" si="98"/>
        <v>CRO</v>
      </c>
      <c r="AA100" s="73">
        <f t="shared" si="76"/>
        <v>1</v>
      </c>
      <c r="AB100" s="31" t="str">
        <f t="shared" si="99"/>
        <v/>
      </c>
      <c r="AC100" s="66" t="str">
        <f>IF(AB100="","",MAX(AC$12:AC99)+1)</f>
        <v/>
      </c>
      <c r="AD100" s="47" t="s">
        <v>0</v>
      </c>
      <c r="AE100" s="125"/>
      <c r="AF100" s="47" t="s">
        <v>0</v>
      </c>
      <c r="AG100" s="19" t="str">
        <f t="shared" si="100"/>
        <v/>
      </c>
      <c r="AH100" s="47" t="s">
        <v>0</v>
      </c>
      <c r="AI100" s="143" t="str">
        <f t="shared" si="101"/>
        <v>CRO</v>
      </c>
      <c r="AJ100" s="47"/>
      <c r="AK100" s="52" t="str">
        <f t="shared" si="102"/>
        <v>Kristijan</v>
      </c>
      <c r="AL100" s="31" t="str">
        <f t="shared" si="103"/>
        <v>Barišić</v>
      </c>
      <c r="AM100" s="73">
        <f t="shared" si="104"/>
        <v>1882</v>
      </c>
      <c r="AN100" s="73" t="str">
        <f t="shared" si="105"/>
        <v/>
      </c>
      <c r="AO100" s="31" t="str">
        <f t="shared" si="77"/>
        <v>Kristijan</v>
      </c>
      <c r="AP100" s="66" t="str">
        <f t="shared" si="78"/>
        <v>Barišić</v>
      </c>
      <c r="AQ100" s="47" t="s">
        <v>0</v>
      </c>
      <c r="AR100" s="82" t="str">
        <f t="shared" si="106"/>
        <v/>
      </c>
      <c r="AS100" s="47" t="s">
        <v>0</v>
      </c>
      <c r="AT100" s="19" t="str">
        <f t="shared" si="107"/>
        <v/>
      </c>
      <c r="AU100" s="47" t="s">
        <v>0</v>
      </c>
      <c r="AV100" s="103"/>
      <c r="AW100" s="105"/>
      <c r="AX100" s="47" t="s">
        <v>0</v>
      </c>
      <c r="AY100" s="256" t="str">
        <f t="shared" si="125"/>
        <v/>
      </c>
      <c r="AZ100" s="47" t="s">
        <v>0</v>
      </c>
      <c r="BA100" s="52" t="str">
        <f t="shared" si="79"/>
        <v/>
      </c>
      <c r="BB100" s="73" t="str">
        <f>IF(AV100&amp;AW100="","",MAX(BB$12:BB99)+1)</f>
        <v/>
      </c>
      <c r="BC100" s="268" t="str">
        <f t="shared" si="80"/>
        <v/>
      </c>
      <c r="BD100" s="53" t="str">
        <f>IF(AND(AM100="NEMA",AN100="NEMA",OR(AV100&amp;AW100="",BC100="NEMA")),MAX(BD$12:BD99)+1,"")</f>
        <v/>
      </c>
      <c r="BE100" s="47" t="s">
        <v>0</v>
      </c>
      <c r="BF100" s="52" t="str">
        <f t="shared" si="81"/>
        <v>Kristijan</v>
      </c>
      <c r="BG100" s="31" t="str">
        <f t="shared" si="82"/>
        <v>Barišić</v>
      </c>
      <c r="BH100" s="73" t="str">
        <f t="shared" si="108"/>
        <v/>
      </c>
      <c r="BI100" s="53">
        <f t="shared" si="109"/>
        <v>1882</v>
      </c>
      <c r="BJ100" s="47" t="s">
        <v>0</v>
      </c>
      <c r="BK100" s="52" t="str">
        <f t="shared" si="83"/>
        <v>Vihor</v>
      </c>
      <c r="BL100" s="31" t="str">
        <f t="shared" si="84"/>
        <v>OK Vihor</v>
      </c>
      <c r="BM100" s="73">
        <f t="shared" si="85"/>
        <v>12</v>
      </c>
      <c r="BN100" s="73" t="str">
        <f t="shared" si="86"/>
        <v/>
      </c>
      <c r="BO100" s="31" t="str" cm="1">
        <f t="array" ref="BO100">IF(BN100="",""&amp;BL100,IF(BN100="NEMA",BL100,INDEX(regKlub_naziv,MATCH(INDEX(regKlub_alias_klubId,BN100),regKlub_id,0))))</f>
        <v>OK Vihor</v>
      </c>
      <c r="BP100" s="31" t="str" cm="1">
        <f t="array" ref="BP100">IFERROR(""&amp;INDEX(regNatjecatelj_klub,DY100),"")</f>
        <v>OK Vihor</v>
      </c>
      <c r="BQ100" s="88" t="str">
        <f t="shared" si="110"/>
        <v/>
      </c>
      <c r="BR100" s="66" t="str">
        <f t="shared" si="111"/>
        <v>OK Vihor</v>
      </c>
      <c r="BS100" s="47" t="s">
        <v>0</v>
      </c>
      <c r="BT100" s="82" t="str">
        <f>IF(BN100&lt;&gt;"NEMA","",IF(IFERROR(MATCH(BL100,BL$12:BL99,0),0)&lt;&gt;0,"",BL100))</f>
        <v/>
      </c>
      <c r="BU100" s="47" t="s">
        <v>0</v>
      </c>
      <c r="BV100" s="125"/>
      <c r="BW100" s="47" t="s">
        <v>0</v>
      </c>
      <c r="BX100" s="58" t="str">
        <f t="shared" si="112"/>
        <v/>
      </c>
      <c r="BY100" s="31" t="str">
        <f t="shared" si="113"/>
        <v/>
      </c>
      <c r="BZ100" s="31" t="str">
        <f>IF(BY100="","",MAX(BZ$12:BZ99)+1)</f>
        <v/>
      </c>
      <c r="CA100" s="31" t="str">
        <f>IF(BY100="","",IF(AA100="","",IF(AA100="NEMA",AC100,AA100)))</f>
        <v/>
      </c>
      <c r="CB100" s="31" t="str">
        <f t="shared" si="114"/>
        <v/>
      </c>
      <c r="CC100" s="31" t="str">
        <f>IF(BV100="","",MAX(CC$12:CC99)+1)</f>
        <v/>
      </c>
      <c r="CD100" s="31" t="str">
        <f t="shared" si="115"/>
        <v/>
      </c>
      <c r="CE100" s="66" t="str">
        <f t="shared" si="116"/>
        <v/>
      </c>
      <c r="CF100" s="47" t="s">
        <v>0</v>
      </c>
      <c r="CG100" s="73" t="str">
        <f>IF(BN100="","",IF(BN100&lt;&gt;"NEMA","",IFERROR(INDEX(nat_klubAliasId,MATCH(BL100,nat_noviKluboviAliasi,0)),"")))</f>
        <v/>
      </c>
      <c r="CH100" s="47"/>
      <c r="CI100" s="19" t="str">
        <f t="shared" si="117"/>
        <v/>
      </c>
      <c r="CJ100" s="47" t="s">
        <v>0</v>
      </c>
      <c r="CK100" s="52" t="str">
        <f>IF(X100&lt;&gt;"NEMA","",IF(IFERROR(MATCH(W100,W$12:W99,0),0)&lt;&gt;0,"",W100))</f>
        <v/>
      </c>
      <c r="CL100" s="73" t="str">
        <f>IF(CK100="","",IFERROR(INDEX(regKlub_alias_id,MATCH(CK100,regKlub_alias_alias,0)),"NEMA"))</f>
        <v/>
      </c>
      <c r="CM100" s="31" t="str">
        <f>IF(OR(CL100="",CL100&lt;&gt;"NEMA"),"",MAX(CM$12:CM99)+1)</f>
        <v/>
      </c>
      <c r="CN100" s="66" t="str">
        <f>IF(OR(CL100="",CL100&lt;&gt;"NEMA"),"",INDEX(regKlub_id,MATCH(CK100,regKlub_naziv,0)))</f>
        <v/>
      </c>
      <c r="CO100" s="47" t="s">
        <v>0</v>
      </c>
      <c r="CP100" s="19" t="str">
        <f>IF(OR(CL100="",CL100&lt;&gt;"NEMA"),"","INSERT INTO klub_alias(id,alias,klub_id) VALUES ("&amp;CM100&amp;",'"&amp;CK100&amp;"',"&amp;CN100&amp;");")</f>
        <v/>
      </c>
      <c r="CQ100" s="47" t="s">
        <v>0</v>
      </c>
      <c r="CR100" s="143" t="str">
        <f>IF(BR100="","",IF(BV100="",IF(IFERROR(MATCH(BR100,nat_noviKluboviAliasi,0),0)&gt;0,INDEX(nat_kluboviAliasi,MATCH(BR100,nat_noviKluboviAliasi,0)),BR100),BV100))</f>
        <v>OK Vihor</v>
      </c>
      <c r="CS100" s="47" t="s">
        <v>0</v>
      </c>
      <c r="CT100" s="58" t="str">
        <f>IF(G100="","",G100)</f>
        <v/>
      </c>
      <c r="CU100" s="73" t="str">
        <f>IF(H100="","",H100)</f>
        <v>1</v>
      </c>
      <c r="CV100" s="229" t="str">
        <f>IF(CT100="",IF(OR(AL100="",CU100&lt;&gt;"0"),"","GREŠKA"),IF(AND(65535&gt;=VALUE(LEFT(CT100,SEARCH(":",CT100)-1))*60+VALUE(RIGHT(CT100,2)),OR(CU100="0",CU100="1",CU100="2",CU100="3",CU100="4")),"","GREŠKA"))</f>
        <v/>
      </c>
      <c r="CW100" s="230" t="str">
        <f t="shared" si="71"/>
        <v/>
      </c>
      <c r="CX100" s="163">
        <f t="shared" si="87"/>
        <v>6</v>
      </c>
      <c r="CY100" s="47" t="s">
        <v>0</v>
      </c>
      <c r="CZ100" s="222" t="str">
        <f>IF(CV100&lt;&gt;"GREŠKA","",AK100&amp;" "&amp;AL100&amp;" – Molim u OEventu provjeriti i ispraviti rezultat – vrijeme ("&amp;IF(CT100="","nije upisano",CT100)&amp;") i classifier ("&amp;CU100&amp;").")&amp;IF(OR(CV100&lt;&gt;"GREŠKA",CX100&lt;&gt;5),"
","")&amp;IF(CX100&lt;&gt;5,"",AK100&amp;" "&amp;AL100&amp;" – Molim u provjeriti je li natjecatelj zaista diskvalificiran. Ako je koje je obrazloženje, ako nije molim u OEventu ispraviti rezultat")</f>
        <v xml:space="preserve">
</v>
      </c>
      <c r="DA100" s="223" t="e">
        <f t="shared" si="118"/>
        <v>#N/A</v>
      </c>
      <c r="DB100" s="47" t="s">
        <v>0</v>
      </c>
      <c r="DC100" s="47"/>
      <c r="DD100" s="47"/>
      <c r="DE100" s="47"/>
      <c r="DF100" s="47" t="s">
        <v>0</v>
      </c>
      <c r="DG100" s="53" t="str">
        <f>IF(BD100="","",IF(DI100="O",1,""))</f>
        <v/>
      </c>
      <c r="DH100" t="s">
        <v>0</v>
      </c>
      <c r="DI100" s="128" t="str">
        <f>IF(Q100="","",LEFT(INDEX(regKategorija_oznaka,MATCH(S100,regKategorija_id,0)),1))</f>
        <v>M</v>
      </c>
      <c r="DJ100" t="s">
        <v>0</v>
      </c>
      <c r="DK100" s="52" t="str">
        <f>IF(BD100="","",IF(M100&lt;&gt;"CRO","","INSERT INTO osoba (id,reg_broj,oib,spol_id,dat_rodjenja) VALUES ("&amp;BD100&amp;",(SELECT max(os.reg_broj)+1 FROM osoba AS os),Null,'"&amp;DI100&amp;"',Null); INSERT INTO osoba_log (id,reg_broj,oib,spol_id,dat_rodjenja,dnevnik_id) SELECT id,reg_broj,oib,spol_id,dat_rodjenja,"&amp;data_dnevnik_id&amp;" FROM osoba WHERE id = "&amp;BD100&amp;";"))</f>
        <v/>
      </c>
      <c r="DL100" s="66" t="str">
        <f>IF(BD100="","","INSERT INTO imeprezime (id,osoba_id,rbr,ime,prezime,klub_id,identitet_id,sintaksa_id,info,aktivno,dnevnik_id) VALUES ("&amp;BD100&amp;","&amp;IF(DK100="","Null",BD100)&amp;",1,'"&amp;IF(AV100&lt;&gt;"",AV100,AK100)&amp;"','"&amp;IF(AW100&lt;&gt;"",AW100,AL100)&amp;"',(SELECT id FROM klub WHERE naziv = '"&amp;CR100&amp;"'),Null,1,'',1,"&amp;data_dnevnik_id&amp;");")</f>
        <v/>
      </c>
      <c r="DM100" t="s">
        <v>0</v>
      </c>
      <c r="DN100" s="19" t="str">
        <f t="shared" si="126"/>
        <v/>
      </c>
      <c r="DO100" s="47" t="s">
        <v>0</v>
      </c>
      <c r="DP100" s="19" t="str">
        <f>IF(BA100="","","INSERT INTO imeprezime_alias(id,alias,imeprezime_id) VALUES ("&amp;BB100&amp;",'"&amp;BA100&amp;"',"&amp;IF(BC100="NEMA",BD100,BC100)&amp;");")</f>
        <v/>
      </c>
      <c r="DQ100" s="47" t="s">
        <v>0</v>
      </c>
      <c r="DR100" s="52" t="str">
        <f>IF(AL100="","",DU100 &amp; IF(Q100="",""," – " &amp; Q100))</f>
        <v>Kristijan – Barišić – OK Vihor – M21B</v>
      </c>
      <c r="DS100" s="53">
        <f t="shared" si="88"/>
        <v>623</v>
      </c>
      <c r="DT100" s="47" t="s">
        <v>0</v>
      </c>
      <c r="DU100" s="52" t="str">
        <f>IF(AL100="","",DX100 &amp; IF(CR100="",""," – " &amp; CR100))</f>
        <v>Kristijan – Barišić – OK Vihor</v>
      </c>
      <c r="DV100" s="53">
        <f t="shared" si="89"/>
        <v>623</v>
      </c>
      <c r="DW100" s="47" t="s">
        <v>0</v>
      </c>
      <c r="DX100" s="52" t="str">
        <f>IF(BG100="","",BF100&amp;" – "&amp;BG100)</f>
        <v>Kristijan – Barišić</v>
      </c>
      <c r="DY100" s="53">
        <f t="shared" si="90"/>
        <v>623</v>
      </c>
      <c r="DZ100" s="47" t="s">
        <v>0</v>
      </c>
      <c r="EA100" s="58">
        <f t="shared" si="119"/>
        <v>623</v>
      </c>
      <c r="EB100" s="53" cm="1">
        <f t="array" ref="EB100">IF(EA100&lt;&gt;"",INDEX(regNatjecatelj_id,EA100,0),IF(BD100&lt;&gt;"",BD100,""))</f>
        <v>1882</v>
      </c>
      <c r="EC100" s="47" t="s">
        <v>0</v>
      </c>
      <c r="ED100" s="58" t="str">
        <f>IF(AL100="","",IF(BD100&lt;&gt;"","novo",IF(AN100="","imepre","imepre(ali)")))</f>
        <v>imepre</v>
      </c>
      <c r="EE100" s="73" t="str">
        <f>IF(AL100="","",IF(BL100="",IF(IFERROR(INDEX(regNatjecatelj_klub,MATCH(EB100,regNatjecatelj_id,0)),"NEMA")="","klu",""),IF(OR(AND(BN100&lt;&gt;"",BN100&lt;&gt;"NEMA"),CD100&lt;&gt;""),"klu(ali)",IF(AND(BP100&lt;&gt;"",BP100&lt;&gt;BO100),"(raz-klu)","klu"))))</f>
        <v>klu</v>
      </c>
      <c r="EF100" s="73" t="str">
        <f>IF(AL100="","","kat"&amp;IF(AND(W100&lt;&gt;Q100,Q100&lt;&gt;"Open"),"(ali)",""))</f>
        <v>kat</v>
      </c>
      <c r="EG100" s="73" t="str">
        <f t="shared" si="91"/>
        <v/>
      </c>
      <c r="EH100" s="66" t="str">
        <f>IF(AL100="","",ED100&amp;IF(ED100="novo","","-"&amp;EE100&amp;"-"&amp;EF100)&amp;IF(EG100="","","-"&amp;EG100))</f>
        <v>imepre-klu-kat</v>
      </c>
      <c r="EI100" s="47" t="s">
        <v>0</v>
      </c>
      <c r="EJ100" s="58">
        <f>IF(AL100="","",MAX(EJ$12:EJ99)+1)</f>
        <v>270</v>
      </c>
      <c r="EK100" s="73">
        <f>IF(AO100="","",X100)</f>
        <v>28</v>
      </c>
      <c r="EL100" s="73">
        <f t="shared" si="120"/>
        <v>1882</v>
      </c>
      <c r="EM100" s="73" t="str">
        <f t="shared" si="92"/>
        <v/>
      </c>
      <c r="EN100" s="73">
        <f t="shared" si="93"/>
        <v>6</v>
      </c>
      <c r="EO100" s="73">
        <f t="shared" si="121"/>
        <v>1</v>
      </c>
      <c r="EP100" s="73">
        <f t="shared" si="122"/>
        <v>1</v>
      </c>
      <c r="EQ100" s="73" t="str">
        <f t="shared" si="94"/>
        <v>1</v>
      </c>
      <c r="ER100" s="73" t="str">
        <f>IF(OR(AN100="",AN100="NEMA"),BB100,AN100)</f>
        <v/>
      </c>
      <c r="ES100" s="73" t="str">
        <f>IF(AND(BN100&lt;&gt;"",BN100&lt;&gt;"NEMA"),BN100,IF(CG100&lt;&gt;"",CG100,IF(AND(CL100&lt;&gt;"",CL100&lt;&gt;"NEMA"),CL100,IF(CM100&lt;&gt;"",CM100,""))))</f>
        <v/>
      </c>
      <c r="ET100" s="53" t="str">
        <f>IF(INDEX(natKategorija_alias_Id,MATCH(S100,natKategorija_katRegId,0))="","",INDEX(natKategorija_alias_Id,MATCH(S100,natKategorija_katRegId,0)))</f>
        <v/>
      </c>
      <c r="EU100" s="47" t="s">
        <v>0</v>
      </c>
      <c r="EV100" s="19" t="str">
        <f t="shared" si="123"/>
        <v>INSERT INTO rezultat(id,stazakategorija_id,imeprezime_id,vrijeme_sec,status_id,registracija,uparivanje_id,originalstatus_id,imeprezimealias_id,klubalias_id,kategorijaalias_id) VALUES (270,28,1882,Null,6,1,1,1,Null,Null,Null);</v>
      </c>
      <c r="EW100" s="47" t="s">
        <v>0</v>
      </c>
      <c r="EX100" s="19" t="str">
        <f t="shared" si="124"/>
        <v>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100" s="47" t="s">
        <v>0</v>
      </c>
      <c r="EZ100" s="180" t="str">
        <f>AG100&amp;IF(CP100="","","
")&amp;CP100&amp;IF(CI100="","","
")&amp;CI100&amp;IF(DN100="","","
")&amp;DN100&amp;IF(DP100="","","
")&amp;DP100&amp;IF(EV100="","","
")&amp;EV100&amp;IF(EX100="","","
")&amp;EX100</f>
        <v xml:space="preserve">
INSERT INTO rezultat(id,stazakategorija_id,imeprezime_id,vrijeme_sec,status_id,registracija,uparivanje_id,originalstatus_id,imeprezimealias_id,klubalias_id,kategorijaalias_id) VALUES (270,28,1882,Null,6,1,1,1,Null,Null,Null);
UPDATE
	registar
SET
	potvrda = 1
WHERE
	imeprezime_id=1882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100" s="47" t="s">
        <v>0</v>
      </c>
    </row>
    <row r="101" spans="1:157" x14ac:dyDescent="0.25">
      <c r="A101" t="s">
        <v>0</v>
      </c>
      <c r="B101" s="52" t="str">
        <f>IF(csv!F91="","",csv!T91)</f>
        <v>M21B</v>
      </c>
      <c r="C101" s="31" t="s">
        <v>0</v>
      </c>
      <c r="D101" s="31" t="str">
        <f>IF(csv!F91="","",csv!F91)</f>
        <v>Vacant</v>
      </c>
      <c r="E101" s="31" t="str">
        <f>IF(csv!E91="","",csv!E91)</f>
        <v/>
      </c>
      <c r="F101" s="31" t="s">
        <v>0</v>
      </c>
      <c r="G101" s="73" t="str">
        <f>IF(csv!M91="","",csv!M91)</f>
        <v/>
      </c>
      <c r="H101" s="73" t="str">
        <f>IF(csv!N91="","",csv!N91)</f>
        <v>0</v>
      </c>
      <c r="I101" s="31" t="s">
        <v>0</v>
      </c>
      <c r="J101" s="31" t="str">
        <f>IF(csv!P91="","",csv!P91)</f>
        <v/>
      </c>
      <c r="K101" s="31" t="str">
        <f>IF(csv!Q91="","",csv!Q91)</f>
        <v/>
      </c>
      <c r="L101" s="31" t="s">
        <v>0</v>
      </c>
      <c r="M101" s="66" t="str">
        <f>IF(csv!R91="","",csv!R91)</f>
        <v/>
      </c>
      <c r="N101" s="47" t="s">
        <v>0</v>
      </c>
      <c r="O101" s="243" t="str">
        <f t="shared" si="95"/>
        <v/>
      </c>
      <c r="P101" s="47"/>
      <c r="Q101" s="52" t="str">
        <f t="shared" si="96"/>
        <v>M21B</v>
      </c>
      <c r="R101" s="73">
        <f>IF(Q101="","",IF(COUNTIF(Q$12:Q100,Q101)=0,R100+1,R100))</f>
        <v>6</v>
      </c>
      <c r="S101" s="73">
        <f t="shared" si="97"/>
        <v>108</v>
      </c>
      <c r="T101" s="73">
        <f t="shared" si="72"/>
        <v>19</v>
      </c>
      <c r="U101" s="66" t="str">
        <f t="shared" si="73"/>
        <v>M21B – M16</v>
      </c>
      <c r="V101" s="47" t="s">
        <v>0</v>
      </c>
      <c r="W101" s="222" t="str">
        <f t="shared" si="74"/>
        <v/>
      </c>
      <c r="X101" s="223" t="str">
        <f t="shared" si="75"/>
        <v/>
      </c>
      <c r="Y101" s="47" t="s">
        <v>0</v>
      </c>
      <c r="Z101" s="52" t="str">
        <f t="shared" si="98"/>
        <v/>
      </c>
      <c r="AA101" s="73" t="str">
        <f t="shared" si="76"/>
        <v/>
      </c>
      <c r="AB101" s="31" t="str">
        <f t="shared" si="99"/>
        <v/>
      </c>
      <c r="AC101" s="66" t="str">
        <f>IF(AB101="","",MAX(AC$12:AC100)+1)</f>
        <v/>
      </c>
      <c r="AD101" s="47" t="s">
        <v>0</v>
      </c>
      <c r="AE101" s="125"/>
      <c r="AF101" s="47" t="s">
        <v>0</v>
      </c>
      <c r="AG101" s="19" t="str">
        <f t="shared" si="100"/>
        <v/>
      </c>
      <c r="AH101" s="47" t="s">
        <v>0</v>
      </c>
      <c r="AI101" s="143" t="str">
        <f t="shared" si="101"/>
        <v/>
      </c>
      <c r="AJ101" s="47"/>
      <c r="AK101" s="52" t="str">
        <f t="shared" si="102"/>
        <v/>
      </c>
      <c r="AL101" s="31" t="str">
        <f t="shared" si="103"/>
        <v/>
      </c>
      <c r="AM101" s="73" t="str">
        <f t="shared" si="104"/>
        <v/>
      </c>
      <c r="AN101" s="73" t="str">
        <f t="shared" si="105"/>
        <v/>
      </c>
      <c r="AO101" s="31" t="str">
        <f t="shared" si="77"/>
        <v/>
      </c>
      <c r="AP101" s="66" t="str">
        <f t="shared" si="78"/>
        <v/>
      </c>
      <c r="AQ101" s="47" t="s">
        <v>0</v>
      </c>
      <c r="AR101" s="82" t="str">
        <f t="shared" si="106"/>
        <v/>
      </c>
      <c r="AS101" s="47" t="s">
        <v>0</v>
      </c>
      <c r="AT101" s="19" t="str">
        <f t="shared" si="107"/>
        <v/>
      </c>
      <c r="AU101" s="47" t="s">
        <v>0</v>
      </c>
      <c r="AV101" s="103"/>
      <c r="AW101" s="105"/>
      <c r="AX101" s="47" t="s">
        <v>0</v>
      </c>
      <c r="AY101" s="256" t="str">
        <f t="shared" si="125"/>
        <v/>
      </c>
      <c r="AZ101" s="47" t="s">
        <v>0</v>
      </c>
      <c r="BA101" s="52" t="str">
        <f t="shared" si="79"/>
        <v/>
      </c>
      <c r="BB101" s="73" t="str">
        <f>IF(AV101&amp;AW101="","",MAX(BB$12:BB100)+1)</f>
        <v/>
      </c>
      <c r="BC101" s="268" t="str">
        <f t="shared" si="80"/>
        <v/>
      </c>
      <c r="BD101" s="53" t="str">
        <f>IF(AND(AM101="NEMA",AN101="NEMA",OR(AV101&amp;AW101="",BC101="NEMA")),MAX(BD$12:BD100)+1,"")</f>
        <v/>
      </c>
      <c r="BE101" s="47" t="s">
        <v>0</v>
      </c>
      <c r="BF101" s="52" t="str">
        <f t="shared" si="81"/>
        <v/>
      </c>
      <c r="BG101" s="31" t="str">
        <f t="shared" si="82"/>
        <v/>
      </c>
      <c r="BH101" s="73" t="str">
        <f t="shared" si="108"/>
        <v/>
      </c>
      <c r="BI101" s="53" t="str">
        <f t="shared" si="109"/>
        <v/>
      </c>
      <c r="BJ101" s="47" t="s">
        <v>0</v>
      </c>
      <c r="BK101" s="52" t="str">
        <f t="shared" si="83"/>
        <v/>
      </c>
      <c r="BL101" s="31" t="str">
        <f t="shared" si="84"/>
        <v/>
      </c>
      <c r="BM101" s="73" t="str">
        <f t="shared" si="85"/>
        <v/>
      </c>
      <c r="BN101" s="73" t="str">
        <f t="shared" si="86"/>
        <v/>
      </c>
      <c r="BO101" s="31" t="str" cm="1">
        <f t="array" ref="BO101">IF(BN101="",""&amp;BL101,IF(BN101="NEMA",BL101,INDEX(regKlub_naziv,MATCH(INDEX(regKlub_alias_klubId,BN101),regKlub_id,0))))</f>
        <v/>
      </c>
      <c r="BP101" s="31" t="str" cm="1">
        <f t="array" ref="BP101">IFERROR(""&amp;INDEX(regNatjecatelj_klub,DY101),"")</f>
        <v/>
      </c>
      <c r="BQ101" s="88" t="str">
        <f t="shared" si="110"/>
        <v/>
      </c>
      <c r="BR101" s="66" t="str">
        <f t="shared" si="111"/>
        <v/>
      </c>
      <c r="BS101" s="47" t="s">
        <v>0</v>
      </c>
      <c r="BT101" s="82" t="str">
        <f>IF(BN101&lt;&gt;"NEMA","",IF(IFERROR(MATCH(BL101,BL$12:BL100,0),0)&lt;&gt;0,"",BL101))</f>
        <v/>
      </c>
      <c r="BU101" s="47" t="s">
        <v>0</v>
      </c>
      <c r="BV101" s="125"/>
      <c r="BW101" s="47" t="s">
        <v>0</v>
      </c>
      <c r="BX101" s="58" t="str">
        <f t="shared" si="112"/>
        <v/>
      </c>
      <c r="BY101" s="31" t="str">
        <f t="shared" si="113"/>
        <v/>
      </c>
      <c r="BZ101" s="31" t="str">
        <f>IF(BY101="","",MAX(BZ$12:BZ100)+1)</f>
        <v/>
      </c>
      <c r="CA101" s="31" t="str">
        <f>IF(BY101="","",IF(AA101="","",IF(AA101="NEMA",AC101,AA101)))</f>
        <v/>
      </c>
      <c r="CB101" s="31" t="str">
        <f t="shared" si="114"/>
        <v/>
      </c>
      <c r="CC101" s="31" t="str">
        <f>IF(BV101="","",MAX(CC$12:CC100)+1)</f>
        <v/>
      </c>
      <c r="CD101" s="31" t="str">
        <f t="shared" si="115"/>
        <v/>
      </c>
      <c r="CE101" s="66" t="str">
        <f t="shared" si="116"/>
        <v/>
      </c>
      <c r="CF101" s="47" t="s">
        <v>0</v>
      </c>
      <c r="CG101" s="73" t="str">
        <f>IF(BN101="","",IF(BN101&lt;&gt;"NEMA","",IFERROR(INDEX(nat_klubAliasId,MATCH(BL101,nat_noviKluboviAliasi,0)),"")))</f>
        <v/>
      </c>
      <c r="CH101" s="47"/>
      <c r="CI101" s="19" t="str">
        <f t="shared" si="117"/>
        <v/>
      </c>
      <c r="CJ101" s="47" t="s">
        <v>0</v>
      </c>
      <c r="CK101" s="52" t="str">
        <f>IF(X101&lt;&gt;"NEMA","",IF(IFERROR(MATCH(W101,W$12:W100,0),0)&lt;&gt;0,"",W101))</f>
        <v/>
      </c>
      <c r="CL101" s="73" t="str">
        <f>IF(CK101="","",IFERROR(INDEX(regKlub_alias_id,MATCH(CK101,regKlub_alias_alias,0)),"NEMA"))</f>
        <v/>
      </c>
      <c r="CM101" s="31" t="str">
        <f>IF(OR(CL101="",CL101&lt;&gt;"NEMA"),"",MAX(CM$12:CM100)+1)</f>
        <v/>
      </c>
      <c r="CN101" s="66" t="str">
        <f>IF(OR(CL101="",CL101&lt;&gt;"NEMA"),"",INDEX(regKlub_id,MATCH(CK101,regKlub_naziv,0)))</f>
        <v/>
      </c>
      <c r="CO101" s="47" t="s">
        <v>0</v>
      </c>
      <c r="CP101" s="19" t="str">
        <f>IF(OR(CL101="",CL101&lt;&gt;"NEMA"),"","INSERT INTO klub_alias(id,alias,klub_id) VALUES ("&amp;CM101&amp;",'"&amp;CK101&amp;"',"&amp;CN101&amp;");")</f>
        <v/>
      </c>
      <c r="CQ101" s="47" t="s">
        <v>0</v>
      </c>
      <c r="CR101" s="143" t="str">
        <f>IF(BR101="","",IF(BV101="",IF(IFERROR(MATCH(BR101,nat_noviKluboviAliasi,0),0)&gt;0,INDEX(nat_kluboviAliasi,MATCH(BR101,nat_noviKluboviAliasi,0)),BR101),BV101))</f>
        <v/>
      </c>
      <c r="CS101" s="47" t="s">
        <v>0</v>
      </c>
      <c r="CT101" s="58" t="str">
        <f>IF(G101="","",G101)</f>
        <v/>
      </c>
      <c r="CU101" s="73" t="str">
        <f>IF(H101="","",H101)</f>
        <v>0</v>
      </c>
      <c r="CV101" s="229" t="str">
        <f>IF(CT101="",IF(OR(AL101="",CU101&lt;&gt;"0"),"","GREŠKA"),IF(AND(65535&gt;=VALUE(LEFT(CT101,SEARCH(":",CT101)-1))*60+VALUE(RIGHT(CT101,2)),OR(CU101="0",CU101="1",CU101="2",CU101="3",CU101="4")),"","GREŠKA"))</f>
        <v/>
      </c>
      <c r="CW101" s="230" t="str">
        <f t="shared" si="71"/>
        <v/>
      </c>
      <c r="CX101" s="163" t="str">
        <f t="shared" si="87"/>
        <v/>
      </c>
      <c r="CY101" s="47" t="s">
        <v>0</v>
      </c>
      <c r="CZ101" s="222" t="str">
        <f>IF(CV101&lt;&gt;"GREŠKA","",AK101&amp;" "&amp;AL101&amp;" – Molim u OEventu provjeriti i ispraviti rezultat – vrijeme ("&amp;IF(CT101="","nije upisano",CT101)&amp;") i classifier ("&amp;CU101&amp;").")&amp;IF(OR(CV101&lt;&gt;"GREŠKA",CX101&lt;&gt;5),"
","")&amp;IF(CX101&lt;&gt;5,"",AK101&amp;" "&amp;AL101&amp;" – Molim u provjeriti je li natjecatelj zaista diskvalificiran. Ako je koje je obrazloženje, ako nije molim u OEventu ispraviti rezultat")</f>
        <v xml:space="preserve">
</v>
      </c>
      <c r="DA101" s="223" t="str">
        <f t="shared" si="118"/>
        <v/>
      </c>
      <c r="DB101" s="47" t="s">
        <v>0</v>
      </c>
      <c r="DC101" s="47"/>
      <c r="DD101" s="47"/>
      <c r="DE101" s="47"/>
      <c r="DF101" s="47" t="s">
        <v>0</v>
      </c>
      <c r="DG101" s="53" t="str">
        <f>IF(BD101="","",IF(DI101="O",1,""))</f>
        <v/>
      </c>
      <c r="DH101" t="s">
        <v>0</v>
      </c>
      <c r="DI101" s="128" t="str">
        <f>IF(Q101="","",LEFT(INDEX(regKategorija_oznaka,MATCH(S101,regKategorija_id,0)),1))</f>
        <v>M</v>
      </c>
      <c r="DJ101" t="s">
        <v>0</v>
      </c>
      <c r="DK101" s="52" t="str">
        <f>IF(BD101="","",IF(M101&lt;&gt;"CRO","","INSERT INTO osoba (id,reg_broj,oib,spol_id,dat_rodjenja) VALUES ("&amp;BD101&amp;",(SELECT max(os.reg_broj)+1 FROM osoba AS os),Null,'"&amp;DI101&amp;"',Null); INSERT INTO osoba_log (id,reg_broj,oib,spol_id,dat_rodjenja,dnevnik_id) SELECT id,reg_broj,oib,spol_id,dat_rodjenja,"&amp;data_dnevnik_id&amp;" FROM osoba WHERE id = "&amp;BD101&amp;";"))</f>
        <v/>
      </c>
      <c r="DL101" s="66" t="str">
        <f>IF(BD101="","","INSERT INTO imeprezime (id,osoba_id,rbr,ime,prezime,klub_id,identitet_id,sintaksa_id,info,aktivno,dnevnik_id) VALUES ("&amp;BD101&amp;","&amp;IF(DK101="","Null",BD101)&amp;",1,'"&amp;IF(AV101&lt;&gt;"",AV101,AK101)&amp;"','"&amp;IF(AW101&lt;&gt;"",AW101,AL101)&amp;"',(SELECT id FROM klub WHERE naziv = '"&amp;CR101&amp;"'),Null,1,'',1,"&amp;data_dnevnik_id&amp;");")</f>
        <v/>
      </c>
      <c r="DM101" t="s">
        <v>0</v>
      </c>
      <c r="DN101" s="19" t="str">
        <f t="shared" si="126"/>
        <v/>
      </c>
      <c r="DO101" s="47" t="s">
        <v>0</v>
      </c>
      <c r="DP101" s="19" t="str">
        <f>IF(BA101="","","INSERT INTO imeprezime_alias(id,alias,imeprezime_id) VALUES ("&amp;BB101&amp;",'"&amp;BA101&amp;"',"&amp;IF(BC101="NEMA",BD101,BC101)&amp;");")</f>
        <v/>
      </c>
      <c r="DQ101" s="47" t="s">
        <v>0</v>
      </c>
      <c r="DR101" s="52" t="str">
        <f>IF(AL101="","",DU101 &amp; IF(Q101="",""," – " &amp; Q101))</f>
        <v/>
      </c>
      <c r="DS101" s="53" t="str">
        <f t="shared" si="88"/>
        <v/>
      </c>
      <c r="DT101" s="47" t="s">
        <v>0</v>
      </c>
      <c r="DU101" s="52" t="str">
        <f>IF(AL101="","",DX101 &amp; IF(CR101="",""," – " &amp; CR101))</f>
        <v/>
      </c>
      <c r="DV101" s="53" t="str">
        <f t="shared" si="89"/>
        <v/>
      </c>
      <c r="DW101" s="47" t="s">
        <v>0</v>
      </c>
      <c r="DX101" s="52" t="str">
        <f>IF(BG101="","",BF101&amp;" – "&amp;BG101)</f>
        <v/>
      </c>
      <c r="DY101" s="53" t="str">
        <f t="shared" si="90"/>
        <v/>
      </c>
      <c r="DZ101" s="47" t="s">
        <v>0</v>
      </c>
      <c r="EA101" s="58" t="str">
        <f t="shared" si="119"/>
        <v/>
      </c>
      <c r="EB101" s="53" t="str" cm="1">
        <f t="array" ref="EB101">IF(EA101&lt;&gt;"",INDEX(regNatjecatelj_id,EA101,0),IF(BD101&lt;&gt;"",BD101,""))</f>
        <v/>
      </c>
      <c r="EC101" s="47" t="s">
        <v>0</v>
      </c>
      <c r="ED101" s="58" t="str">
        <f>IF(AL101="","",IF(BD101&lt;&gt;"","novo",IF(AN101="","imepre","imepre(ali)")))</f>
        <v/>
      </c>
      <c r="EE101" s="73" t="str">
        <f>IF(AL101="","",IF(BL101="",IF(IFERROR(INDEX(regNatjecatelj_klub,MATCH(EB101,regNatjecatelj_id,0)),"NEMA")="","klu",""),IF(OR(AND(BN101&lt;&gt;"",BN101&lt;&gt;"NEMA"),CD101&lt;&gt;""),"klu(ali)",IF(AND(BP101&lt;&gt;"",BP101&lt;&gt;BO101),"(raz-klu)","klu"))))</f>
        <v/>
      </c>
      <c r="EF101" s="73" t="str">
        <f>IF(AL101="","","kat"&amp;IF(AND(W101&lt;&gt;Q101,Q101&lt;&gt;"Open"),"(ali)",""))</f>
        <v/>
      </c>
      <c r="EG101" s="73" t="str">
        <f t="shared" si="91"/>
        <v/>
      </c>
      <c r="EH101" s="66" t="str">
        <f>IF(AL101="","",ED101&amp;IF(ED101="novo","","-"&amp;EE101&amp;"-"&amp;EF101)&amp;IF(EG101="","","-"&amp;EG101))</f>
        <v/>
      </c>
      <c r="EI101" s="47" t="s">
        <v>0</v>
      </c>
      <c r="EJ101" s="58" t="str">
        <f>IF(AL101="","",MAX(EJ$12:EJ100)+1)</f>
        <v/>
      </c>
      <c r="EK101" s="73" t="str">
        <f>IF(AO101="","",X101)</f>
        <v/>
      </c>
      <c r="EL101" s="73" t="str">
        <f t="shared" si="120"/>
        <v/>
      </c>
      <c r="EM101" s="73" t="str">
        <f t="shared" si="92"/>
        <v/>
      </c>
      <c r="EN101" s="73" t="str">
        <f t="shared" si="93"/>
        <v/>
      </c>
      <c r="EO101" s="73" t="str">
        <f t="shared" si="121"/>
        <v/>
      </c>
      <c r="EP101" s="73" t="str">
        <f t="shared" si="122"/>
        <v/>
      </c>
      <c r="EQ101" s="73" t="str">
        <f t="shared" si="94"/>
        <v/>
      </c>
      <c r="ER101" s="73" t="str">
        <f>IF(OR(AN101="",AN101="NEMA"),BB101,AN101)</f>
        <v/>
      </c>
      <c r="ES101" s="73" t="str">
        <f>IF(AND(BN101&lt;&gt;"",BN101&lt;&gt;"NEMA"),BN101,IF(CG101&lt;&gt;"",CG101,IF(AND(CL101&lt;&gt;"",CL101&lt;&gt;"NEMA"),CL101,IF(CM101&lt;&gt;"",CM101,""))))</f>
        <v/>
      </c>
      <c r="ET101" s="53" t="str">
        <f>IF(INDEX(natKategorija_alias_Id,MATCH(S101,natKategorija_katRegId,0))="","",INDEX(natKategorija_alias_Id,MATCH(S101,natKategorija_katRegId,0)))</f>
        <v/>
      </c>
      <c r="EU101" s="47" t="s">
        <v>0</v>
      </c>
      <c r="EV101" s="19" t="str">
        <f t="shared" si="123"/>
        <v/>
      </c>
      <c r="EW101" s="47" t="s">
        <v>0</v>
      </c>
      <c r="EX101" s="19" t="str">
        <f t="shared" si="124"/>
        <v/>
      </c>
      <c r="EY101" s="47" t="s">
        <v>0</v>
      </c>
      <c r="EZ101" s="180" t="str">
        <f>AG101&amp;IF(CP101="","","
")&amp;CP101&amp;IF(CI101="","","
")&amp;CI101&amp;IF(DN101="","","
")&amp;DN101&amp;IF(DP101="","","
")&amp;DP101&amp;IF(EV101="","","
")&amp;EV101&amp;IF(EX101="","","
")&amp;EX101</f>
        <v/>
      </c>
      <c r="FA101" s="47" t="s">
        <v>0</v>
      </c>
    </row>
    <row r="102" spans="1:157" x14ac:dyDescent="0.25">
      <c r="A102" t="s">
        <v>0</v>
      </c>
      <c r="B102" s="52" t="str">
        <f>IF(csv!F92="","",csv!T92)</f>
        <v>M21B</v>
      </c>
      <c r="C102" s="31" t="s">
        <v>0</v>
      </c>
      <c r="D102" s="31" t="str">
        <f>IF(csv!F92="","",csv!F92)</f>
        <v>Goran</v>
      </c>
      <c r="E102" s="31" t="str">
        <f>IF(csv!E92="","",csv!E92)</f>
        <v>Juratović</v>
      </c>
      <c r="F102" s="31" t="s">
        <v>0</v>
      </c>
      <c r="G102" s="73" t="str">
        <f>IF(csv!M92="","",csv!M92)</f>
        <v/>
      </c>
      <c r="H102" s="73" t="str">
        <f>IF(csv!N92="","",csv!N92)</f>
        <v>1</v>
      </c>
      <c r="I102" s="31" t="s">
        <v>0</v>
      </c>
      <c r="J102" s="31" t="str">
        <f>IF(csv!P92="","",csv!P92)</f>
        <v>Vihor</v>
      </c>
      <c r="K102" s="31" t="str">
        <f>IF(csv!Q92="","",csv!Q92)</f>
        <v>OK Vihor</v>
      </c>
      <c r="L102" s="31" t="s">
        <v>0</v>
      </c>
      <c r="M102" s="66" t="str">
        <f>IF(csv!R92="","",csv!R92)</f>
        <v>CRO</v>
      </c>
      <c r="N102" s="47" t="s">
        <v>0</v>
      </c>
      <c r="O102" s="243" t="str">
        <f t="shared" si="95"/>
        <v>ok</v>
      </c>
      <c r="P102" s="47"/>
      <c r="Q102" s="52" t="str">
        <f t="shared" si="96"/>
        <v>M21B</v>
      </c>
      <c r="R102" s="73">
        <f>IF(Q102="","",IF(COUNTIF(Q$12:Q101,Q102)=0,R101+1,R101))</f>
        <v>6</v>
      </c>
      <c r="S102" s="73">
        <f t="shared" si="97"/>
        <v>108</v>
      </c>
      <c r="T102" s="73">
        <f t="shared" si="72"/>
        <v>19</v>
      </c>
      <c r="U102" s="66" t="str">
        <f t="shared" si="73"/>
        <v>M21B – M16</v>
      </c>
      <c r="V102" s="47" t="s">
        <v>0</v>
      </c>
      <c r="W102" s="222" t="str">
        <f t="shared" si="74"/>
        <v>M21B</v>
      </c>
      <c r="X102" s="223">
        <f t="shared" si="75"/>
        <v>28</v>
      </c>
      <c r="Y102" s="47" t="s">
        <v>0</v>
      </c>
      <c r="Z102" s="52" t="str">
        <f t="shared" si="98"/>
        <v>CRO</v>
      </c>
      <c r="AA102" s="73">
        <f t="shared" si="76"/>
        <v>1</v>
      </c>
      <c r="AB102" s="31" t="str">
        <f t="shared" si="99"/>
        <v/>
      </c>
      <c r="AC102" s="66" t="str">
        <f>IF(AB102="","",MAX(AC$12:AC101)+1)</f>
        <v/>
      </c>
      <c r="AD102" s="47" t="s">
        <v>0</v>
      </c>
      <c r="AE102" s="125"/>
      <c r="AF102" s="47" t="s">
        <v>0</v>
      </c>
      <c r="AG102" s="19" t="str">
        <f t="shared" si="100"/>
        <v/>
      </c>
      <c r="AH102" s="47" t="s">
        <v>0</v>
      </c>
      <c r="AI102" s="143" t="str">
        <f t="shared" si="101"/>
        <v>CRO</v>
      </c>
      <c r="AJ102" s="47"/>
      <c r="AK102" s="52" t="str">
        <f t="shared" si="102"/>
        <v>Goran</v>
      </c>
      <c r="AL102" s="31" t="str">
        <f t="shared" si="103"/>
        <v>Juratović</v>
      </c>
      <c r="AM102" s="73">
        <f t="shared" si="104"/>
        <v>1919</v>
      </c>
      <c r="AN102" s="73" t="str">
        <f t="shared" si="105"/>
        <v/>
      </c>
      <c r="AO102" s="31" t="str">
        <f t="shared" si="77"/>
        <v>Goran</v>
      </c>
      <c r="AP102" s="66" t="str">
        <f t="shared" si="78"/>
        <v>Juratović</v>
      </c>
      <c r="AQ102" s="47" t="s">
        <v>0</v>
      </c>
      <c r="AR102" s="82" t="str">
        <f t="shared" si="106"/>
        <v/>
      </c>
      <c r="AS102" s="47" t="s">
        <v>0</v>
      </c>
      <c r="AT102" s="19" t="str">
        <f t="shared" si="107"/>
        <v/>
      </c>
      <c r="AU102" s="47" t="s">
        <v>0</v>
      </c>
      <c r="AV102" s="103"/>
      <c r="AW102" s="105"/>
      <c r="AX102" s="47" t="s">
        <v>0</v>
      </c>
      <c r="AY102" s="256" t="str">
        <f t="shared" si="125"/>
        <v/>
      </c>
      <c r="AZ102" s="47" t="s">
        <v>0</v>
      </c>
      <c r="BA102" s="52" t="str">
        <f t="shared" si="79"/>
        <v/>
      </c>
      <c r="BB102" s="73" t="str">
        <f>IF(AV102&amp;AW102="","",MAX(BB$12:BB101)+1)</f>
        <v/>
      </c>
      <c r="BC102" s="268" t="str">
        <f t="shared" si="80"/>
        <v/>
      </c>
      <c r="BD102" s="53" t="str">
        <f>IF(AND(AM102="NEMA",AN102="NEMA",OR(AV102&amp;AW102="",BC102="NEMA")),MAX(BD$12:BD101)+1,"")</f>
        <v/>
      </c>
      <c r="BE102" s="47" t="s">
        <v>0</v>
      </c>
      <c r="BF102" s="52" t="str">
        <f t="shared" si="81"/>
        <v>Goran</v>
      </c>
      <c r="BG102" s="31" t="str">
        <f t="shared" si="82"/>
        <v>Juratović</v>
      </c>
      <c r="BH102" s="73" t="str">
        <f t="shared" si="108"/>
        <v/>
      </c>
      <c r="BI102" s="53">
        <f t="shared" si="109"/>
        <v>1919</v>
      </c>
      <c r="BJ102" s="47" t="s">
        <v>0</v>
      </c>
      <c r="BK102" s="52" t="str">
        <f t="shared" si="83"/>
        <v>Vihor</v>
      </c>
      <c r="BL102" s="31" t="str">
        <f t="shared" si="84"/>
        <v>OK Vihor</v>
      </c>
      <c r="BM102" s="73">
        <f t="shared" si="85"/>
        <v>12</v>
      </c>
      <c r="BN102" s="73" t="str">
        <f t="shared" si="86"/>
        <v/>
      </c>
      <c r="BO102" s="31" t="str" cm="1">
        <f t="array" ref="BO102">IF(BN102="",""&amp;BL102,IF(BN102="NEMA",BL102,INDEX(regKlub_naziv,MATCH(INDEX(regKlub_alias_klubId,BN102),regKlub_id,0))))</f>
        <v>OK Vihor</v>
      </c>
      <c r="BP102" s="31" t="str" cm="1">
        <f t="array" ref="BP102">IFERROR(""&amp;INDEX(regNatjecatelj_klub,DY102),"")</f>
        <v>OK Vihor</v>
      </c>
      <c r="BQ102" s="88" t="str">
        <f t="shared" si="110"/>
        <v/>
      </c>
      <c r="BR102" s="66" t="str">
        <f t="shared" si="111"/>
        <v>OK Vihor</v>
      </c>
      <c r="BS102" s="47" t="s">
        <v>0</v>
      </c>
      <c r="BT102" s="82" t="str">
        <f>IF(BN102&lt;&gt;"NEMA","",IF(IFERROR(MATCH(BL102,BL$12:BL101,0),0)&lt;&gt;0,"",BL102))</f>
        <v/>
      </c>
      <c r="BU102" s="47" t="s">
        <v>0</v>
      </c>
      <c r="BV102" s="125"/>
      <c r="BW102" s="47" t="s">
        <v>0</v>
      </c>
      <c r="BX102" s="58" t="str">
        <f t="shared" si="112"/>
        <v/>
      </c>
      <c r="BY102" s="31" t="str">
        <f t="shared" si="113"/>
        <v/>
      </c>
      <c r="BZ102" s="31" t="str">
        <f>IF(BY102="","",MAX(BZ$12:BZ101)+1)</f>
        <v/>
      </c>
      <c r="CA102" s="31" t="str">
        <f>IF(BY102="","",IF(AA102="","",IF(AA102="NEMA",AC102,AA102)))</f>
        <v/>
      </c>
      <c r="CB102" s="31" t="str">
        <f t="shared" si="114"/>
        <v/>
      </c>
      <c r="CC102" s="31" t="str">
        <f>IF(BV102="","",MAX(CC$12:CC101)+1)</f>
        <v/>
      </c>
      <c r="CD102" s="31" t="str">
        <f t="shared" si="115"/>
        <v/>
      </c>
      <c r="CE102" s="66" t="str">
        <f t="shared" si="116"/>
        <v/>
      </c>
      <c r="CF102" s="47" t="s">
        <v>0</v>
      </c>
      <c r="CG102" s="73" t="str">
        <f>IF(BN102="","",IF(BN102&lt;&gt;"NEMA","",IFERROR(INDEX(nat_klubAliasId,MATCH(BL102,nat_noviKluboviAliasi,0)),"")))</f>
        <v/>
      </c>
      <c r="CH102" s="47"/>
      <c r="CI102" s="19" t="str">
        <f t="shared" si="117"/>
        <v/>
      </c>
      <c r="CJ102" s="47" t="s">
        <v>0</v>
      </c>
      <c r="CK102" s="52" t="str">
        <f>IF(X102&lt;&gt;"NEMA","",IF(IFERROR(MATCH(W102,W$12:W101,0),0)&lt;&gt;0,"",W102))</f>
        <v/>
      </c>
      <c r="CL102" s="73" t="str">
        <f>IF(CK102="","",IFERROR(INDEX(regKlub_alias_id,MATCH(CK102,regKlub_alias_alias,0)),"NEMA"))</f>
        <v/>
      </c>
      <c r="CM102" s="31" t="str">
        <f>IF(OR(CL102="",CL102&lt;&gt;"NEMA"),"",MAX(CM$12:CM101)+1)</f>
        <v/>
      </c>
      <c r="CN102" s="66" t="str">
        <f>IF(OR(CL102="",CL102&lt;&gt;"NEMA"),"",INDEX(regKlub_id,MATCH(CK102,regKlub_naziv,0)))</f>
        <v/>
      </c>
      <c r="CO102" s="47" t="s">
        <v>0</v>
      </c>
      <c r="CP102" s="19" t="str">
        <f>IF(OR(CL102="",CL102&lt;&gt;"NEMA"),"","INSERT INTO klub_alias(id,alias,klub_id) VALUES ("&amp;CM102&amp;",'"&amp;CK102&amp;"',"&amp;CN102&amp;");")</f>
        <v/>
      </c>
      <c r="CQ102" s="47" t="s">
        <v>0</v>
      </c>
      <c r="CR102" s="143" t="str">
        <f>IF(BR102="","",IF(BV102="",IF(IFERROR(MATCH(BR102,nat_noviKluboviAliasi,0),0)&gt;0,INDEX(nat_kluboviAliasi,MATCH(BR102,nat_noviKluboviAliasi,0)),BR102),BV102))</f>
        <v>OK Vihor</v>
      </c>
      <c r="CS102" s="47" t="s">
        <v>0</v>
      </c>
      <c r="CT102" s="58" t="str">
        <f>IF(G102="","",G102)</f>
        <v/>
      </c>
      <c r="CU102" s="73" t="str">
        <f>IF(H102="","",H102)</f>
        <v>1</v>
      </c>
      <c r="CV102" s="229" t="str">
        <f>IF(CT102="",IF(OR(AL102="",CU102&lt;&gt;"0"),"","GREŠKA"),IF(AND(65535&gt;=VALUE(LEFT(CT102,SEARCH(":",CT102)-1))*60+VALUE(RIGHT(CT102,2)),OR(CU102="0",CU102="1",CU102="2",CU102="3",CU102="4")),"","GREŠKA"))</f>
        <v/>
      </c>
      <c r="CW102" s="230" t="str">
        <f t="shared" si="71"/>
        <v/>
      </c>
      <c r="CX102" s="163">
        <f t="shared" si="87"/>
        <v>6</v>
      </c>
      <c r="CY102" s="47" t="s">
        <v>0</v>
      </c>
      <c r="CZ102" s="222" t="str">
        <f>IF(CV102&lt;&gt;"GREŠKA","",AK102&amp;" "&amp;AL102&amp;" – Molim u OEventu provjeriti i ispraviti rezultat – vrijeme ("&amp;IF(CT102="","nije upisano",CT102)&amp;") i classifier ("&amp;CU102&amp;").")&amp;IF(OR(CV102&lt;&gt;"GREŠKA",CX102&lt;&gt;5),"
","")&amp;IF(CX102&lt;&gt;5,"",AK102&amp;" "&amp;AL102&amp;" – Molim u provjeriti je li natjecatelj zaista diskvalificiran. Ako je koje je obrazloženje, ako nije molim u OEventu ispraviti rezultat")</f>
        <v xml:space="preserve">
</v>
      </c>
      <c r="DA102" s="223" t="e">
        <f t="shared" si="118"/>
        <v>#N/A</v>
      </c>
      <c r="DB102" s="47" t="s">
        <v>0</v>
      </c>
      <c r="DC102" s="47"/>
      <c r="DD102" s="47"/>
      <c r="DE102" s="47"/>
      <c r="DF102" s="47" t="s">
        <v>0</v>
      </c>
      <c r="DG102" s="53" t="str">
        <f>IF(BD102="","",IF(DI102="O",1,""))</f>
        <v/>
      </c>
      <c r="DH102" t="s">
        <v>0</v>
      </c>
      <c r="DI102" s="128" t="str">
        <f>IF(Q102="","",LEFT(INDEX(regKategorija_oznaka,MATCH(S102,regKategorija_id,0)),1))</f>
        <v>M</v>
      </c>
      <c r="DJ102" t="s">
        <v>0</v>
      </c>
      <c r="DK102" s="52" t="str">
        <f>IF(BD102="","",IF(M102&lt;&gt;"CRO","","INSERT INTO osoba (id,reg_broj,oib,spol_id,dat_rodjenja) VALUES ("&amp;BD102&amp;",(SELECT max(os.reg_broj)+1 FROM osoba AS os),Null,'"&amp;DI102&amp;"',Null); INSERT INTO osoba_log (id,reg_broj,oib,spol_id,dat_rodjenja,dnevnik_id) SELECT id,reg_broj,oib,spol_id,dat_rodjenja,"&amp;data_dnevnik_id&amp;" FROM osoba WHERE id = "&amp;BD102&amp;";"))</f>
        <v/>
      </c>
      <c r="DL102" s="66" t="str">
        <f>IF(BD102="","","INSERT INTO imeprezime (id,osoba_id,rbr,ime,prezime,klub_id,identitet_id,sintaksa_id,info,aktivno,dnevnik_id) VALUES ("&amp;BD102&amp;","&amp;IF(DK102="","Null",BD102)&amp;",1,'"&amp;IF(AV102&lt;&gt;"",AV102,AK102)&amp;"','"&amp;IF(AW102&lt;&gt;"",AW102,AL102)&amp;"',(SELECT id FROM klub WHERE naziv = '"&amp;CR102&amp;"'),Null,1,'',1,"&amp;data_dnevnik_id&amp;");")</f>
        <v/>
      </c>
      <c r="DM102" t="s">
        <v>0</v>
      </c>
      <c r="DN102" s="19" t="str">
        <f t="shared" si="126"/>
        <v/>
      </c>
      <c r="DO102" s="47" t="s">
        <v>0</v>
      </c>
      <c r="DP102" s="19" t="str">
        <f>IF(BA102="","","INSERT INTO imeprezime_alias(id,alias,imeprezime_id) VALUES ("&amp;BB102&amp;",'"&amp;BA102&amp;"',"&amp;IF(BC102="NEMA",BD102,BC102)&amp;");")</f>
        <v/>
      </c>
      <c r="DQ102" s="47" t="s">
        <v>0</v>
      </c>
      <c r="DR102" s="52" t="str">
        <f>IF(AL102="","",DU102 &amp; IF(Q102="",""," – " &amp; Q102))</f>
        <v>Goran – Juratović – OK Vihor – M21B</v>
      </c>
      <c r="DS102" s="53">
        <f t="shared" si="88"/>
        <v>722</v>
      </c>
      <c r="DT102" s="47" t="s">
        <v>0</v>
      </c>
      <c r="DU102" s="52" t="str">
        <f>IF(AL102="","",DX102 &amp; IF(CR102="",""," – " &amp; CR102))</f>
        <v>Goran – Juratović – OK Vihor</v>
      </c>
      <c r="DV102" s="53">
        <f t="shared" si="89"/>
        <v>722</v>
      </c>
      <c r="DW102" s="47" t="s">
        <v>0</v>
      </c>
      <c r="DX102" s="52" t="str">
        <f>IF(BG102="","",BF102&amp;" – "&amp;BG102)</f>
        <v>Goran – Juratović</v>
      </c>
      <c r="DY102" s="53">
        <f t="shared" si="90"/>
        <v>722</v>
      </c>
      <c r="DZ102" s="47" t="s">
        <v>0</v>
      </c>
      <c r="EA102" s="58">
        <f t="shared" si="119"/>
        <v>722</v>
      </c>
      <c r="EB102" s="53" cm="1">
        <f t="array" ref="EB102">IF(EA102&lt;&gt;"",INDEX(regNatjecatelj_id,EA102,0),IF(BD102&lt;&gt;"",BD102,""))</f>
        <v>1919</v>
      </c>
      <c r="EC102" s="47" t="s">
        <v>0</v>
      </c>
      <c r="ED102" s="58" t="str">
        <f>IF(AL102="","",IF(BD102&lt;&gt;"","novo",IF(AN102="","imepre","imepre(ali)")))</f>
        <v>imepre</v>
      </c>
      <c r="EE102" s="73" t="str">
        <f>IF(AL102="","",IF(BL102="",IF(IFERROR(INDEX(regNatjecatelj_klub,MATCH(EB102,regNatjecatelj_id,0)),"NEMA")="","klu",""),IF(OR(AND(BN102&lt;&gt;"",BN102&lt;&gt;"NEMA"),CD102&lt;&gt;""),"klu(ali)",IF(AND(BP102&lt;&gt;"",BP102&lt;&gt;BO102),"(raz-klu)","klu"))))</f>
        <v>klu</v>
      </c>
      <c r="EF102" s="73" t="str">
        <f>IF(AL102="","","kat"&amp;IF(AND(W102&lt;&gt;Q102,Q102&lt;&gt;"Open"),"(ali)",""))</f>
        <v>kat</v>
      </c>
      <c r="EG102" s="73" t="str">
        <f t="shared" si="91"/>
        <v/>
      </c>
      <c r="EH102" s="66" t="str">
        <f>IF(AL102="","",ED102&amp;IF(ED102="novo","","-"&amp;EE102&amp;"-"&amp;EF102)&amp;IF(EG102="","","-"&amp;EG102))</f>
        <v>imepre-klu-kat</v>
      </c>
      <c r="EI102" s="47" t="s">
        <v>0</v>
      </c>
      <c r="EJ102" s="58">
        <f>IF(AL102="","",MAX(EJ$12:EJ101)+1)</f>
        <v>271</v>
      </c>
      <c r="EK102" s="73">
        <f>IF(AO102="","",X102)</f>
        <v>28</v>
      </c>
      <c r="EL102" s="73">
        <f t="shared" si="120"/>
        <v>1919</v>
      </c>
      <c r="EM102" s="73" t="str">
        <f t="shared" si="92"/>
        <v/>
      </c>
      <c r="EN102" s="73">
        <f t="shared" si="93"/>
        <v>6</v>
      </c>
      <c r="EO102" s="73">
        <f t="shared" si="121"/>
        <v>1</v>
      </c>
      <c r="EP102" s="73">
        <f t="shared" si="122"/>
        <v>1</v>
      </c>
      <c r="EQ102" s="73" t="str">
        <f t="shared" si="94"/>
        <v>1</v>
      </c>
      <c r="ER102" s="73" t="str">
        <f>IF(OR(AN102="",AN102="NEMA"),BB102,AN102)</f>
        <v/>
      </c>
      <c r="ES102" s="73" t="str">
        <f>IF(AND(BN102&lt;&gt;"",BN102&lt;&gt;"NEMA"),BN102,IF(CG102&lt;&gt;"",CG102,IF(AND(CL102&lt;&gt;"",CL102&lt;&gt;"NEMA"),CL102,IF(CM102&lt;&gt;"",CM102,""))))</f>
        <v/>
      </c>
      <c r="ET102" s="53" t="str">
        <f>IF(INDEX(natKategorija_alias_Id,MATCH(S102,natKategorija_katRegId,0))="","",INDEX(natKategorija_alias_Id,MATCH(S102,natKategorija_katRegId,0)))</f>
        <v/>
      </c>
      <c r="EU102" s="47" t="s">
        <v>0</v>
      </c>
      <c r="EV102" s="19" t="str">
        <f t="shared" si="123"/>
        <v>INSERT INTO rezultat(id,stazakategorija_id,imeprezime_id,vrijeme_sec,status_id,registracija,uparivanje_id,originalstatus_id,imeprezimealias_id,klubalias_id,kategorijaalias_id) VALUES (271,28,1919,Null,6,1,1,1,Null,Null,Null);</v>
      </c>
      <c r="EW102" s="47" t="s">
        <v>0</v>
      </c>
      <c r="EX102" s="19" t="str">
        <f t="shared" si="124"/>
        <v>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102" s="47" t="s">
        <v>0</v>
      </c>
      <c r="EZ102" s="180" t="str">
        <f>AG102&amp;IF(CP102="","","
")&amp;CP102&amp;IF(CI102="","","
")&amp;CI102&amp;IF(DN102="","","
")&amp;DN102&amp;IF(DP102="","","
")&amp;DP102&amp;IF(EV102="","","
")&amp;EV102&amp;IF(EX102="","","
")&amp;EX102</f>
        <v xml:space="preserve">
INSERT INTO rezultat(id,stazakategorija_id,imeprezime_id,vrijeme_sec,status_id,registracija,uparivanje_id,originalstatus_id,imeprezimealias_id,klubalias_id,kategorijaalias_id) VALUES (271,28,1919,Null,6,1,1,1,Null,Null,Null);
UPDATE
	registar
SET
	potvrda = 1
WHERE
	imeprezime_id=1919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102" s="47" t="s">
        <v>0</v>
      </c>
    </row>
    <row r="103" spans="1:157" x14ac:dyDescent="0.25">
      <c r="A103" t="s">
        <v>0</v>
      </c>
      <c r="B103" s="52" t="str">
        <f>IF(csv!F93="","",csv!T93)</f>
        <v>M21B</v>
      </c>
      <c r="C103" s="31" t="s">
        <v>0</v>
      </c>
      <c r="D103" s="31" t="str">
        <f>IF(csv!F93="","",csv!F93)</f>
        <v>Ante</v>
      </c>
      <c r="E103" s="31" t="str">
        <f>IF(csv!E93="","",csv!E93)</f>
        <v>Balić</v>
      </c>
      <c r="F103" s="31" t="s">
        <v>0</v>
      </c>
      <c r="G103" s="73" t="str">
        <f>IF(csv!M93="","",csv!M93)</f>
        <v/>
      </c>
      <c r="H103" s="73" t="str">
        <f>IF(csv!N93="","",csv!N93)</f>
        <v>2</v>
      </c>
      <c r="I103" s="31" t="s">
        <v>0</v>
      </c>
      <c r="J103" s="31" t="str">
        <f>IF(csv!P93="","",csv!P93)</f>
        <v>KAP</v>
      </c>
      <c r="K103" s="31" t="str">
        <f>IF(csv!Q93="","",csv!Q93)</f>
        <v>OK Kapela</v>
      </c>
      <c r="L103" s="31" t="s">
        <v>0</v>
      </c>
      <c r="M103" s="66" t="str">
        <f>IF(csv!R93="","",csv!R93)</f>
        <v>CRO</v>
      </c>
      <c r="N103" s="47" t="s">
        <v>0</v>
      </c>
      <c r="O103" s="243" t="str">
        <f t="shared" si="95"/>
        <v>ok</v>
      </c>
      <c r="P103" s="47"/>
      <c r="Q103" s="52" t="str">
        <f t="shared" si="96"/>
        <v>M21B</v>
      </c>
      <c r="R103" s="73">
        <f>IF(Q103="","",IF(COUNTIF(Q$12:Q102,Q103)=0,R102+1,R102))</f>
        <v>6</v>
      </c>
      <c r="S103" s="73">
        <f t="shared" si="97"/>
        <v>108</v>
      </c>
      <c r="T103" s="73">
        <f t="shared" si="72"/>
        <v>19</v>
      </c>
      <c r="U103" s="66" t="str">
        <f t="shared" si="73"/>
        <v>M21B – M16</v>
      </c>
      <c r="V103" s="47" t="s">
        <v>0</v>
      </c>
      <c r="W103" s="222" t="str">
        <f t="shared" si="74"/>
        <v>M21B</v>
      </c>
      <c r="X103" s="223">
        <f t="shared" si="75"/>
        <v>28</v>
      </c>
      <c r="Y103" s="47" t="s">
        <v>0</v>
      </c>
      <c r="Z103" s="52" t="str">
        <f t="shared" si="98"/>
        <v>CRO</v>
      </c>
      <c r="AA103" s="73">
        <f t="shared" si="76"/>
        <v>1</v>
      </c>
      <c r="AB103" s="31" t="str">
        <f t="shared" si="99"/>
        <v/>
      </c>
      <c r="AC103" s="66" t="str">
        <f>IF(AB103="","",MAX(AC$12:AC102)+1)</f>
        <v/>
      </c>
      <c r="AD103" s="47" t="s">
        <v>0</v>
      </c>
      <c r="AE103" s="125"/>
      <c r="AF103" s="47" t="s">
        <v>0</v>
      </c>
      <c r="AG103" s="19" t="str">
        <f t="shared" si="100"/>
        <v/>
      </c>
      <c r="AH103" s="47" t="s">
        <v>0</v>
      </c>
      <c r="AI103" s="143" t="str">
        <f t="shared" si="101"/>
        <v>CRO</v>
      </c>
      <c r="AJ103" s="47"/>
      <c r="AK103" s="52" t="str">
        <f t="shared" si="102"/>
        <v>Ante</v>
      </c>
      <c r="AL103" s="31" t="str">
        <f t="shared" si="103"/>
        <v>Balić</v>
      </c>
      <c r="AM103" s="73">
        <f t="shared" si="104"/>
        <v>1941</v>
      </c>
      <c r="AN103" s="73" t="str">
        <f t="shared" si="105"/>
        <v/>
      </c>
      <c r="AO103" s="31" t="str">
        <f t="shared" si="77"/>
        <v>Ante</v>
      </c>
      <c r="AP103" s="66" t="str">
        <f t="shared" si="78"/>
        <v>Balić</v>
      </c>
      <c r="AQ103" s="47" t="s">
        <v>0</v>
      </c>
      <c r="AR103" s="82" t="str">
        <f t="shared" si="106"/>
        <v/>
      </c>
      <c r="AS103" s="47" t="s">
        <v>0</v>
      </c>
      <c r="AT103" s="19" t="str">
        <f t="shared" si="107"/>
        <v/>
      </c>
      <c r="AU103" s="47" t="s">
        <v>0</v>
      </c>
      <c r="AV103" s="103"/>
      <c r="AW103" s="105"/>
      <c r="AX103" s="47" t="s">
        <v>0</v>
      </c>
      <c r="AY103" s="256" t="str">
        <f t="shared" si="125"/>
        <v/>
      </c>
      <c r="AZ103" s="47" t="s">
        <v>0</v>
      </c>
      <c r="BA103" s="52" t="str">
        <f t="shared" si="79"/>
        <v/>
      </c>
      <c r="BB103" s="73" t="str">
        <f>IF(AV103&amp;AW103="","",MAX(BB$12:BB102)+1)</f>
        <v/>
      </c>
      <c r="BC103" s="268" t="str">
        <f t="shared" si="80"/>
        <v/>
      </c>
      <c r="BD103" s="53" t="str">
        <f>IF(AND(AM103="NEMA",AN103="NEMA",OR(AV103&amp;AW103="",BC103="NEMA")),MAX(BD$12:BD102)+1,"")</f>
        <v/>
      </c>
      <c r="BE103" s="47" t="s">
        <v>0</v>
      </c>
      <c r="BF103" s="52" t="str">
        <f t="shared" si="81"/>
        <v>Ante</v>
      </c>
      <c r="BG103" s="31" t="str">
        <f t="shared" si="82"/>
        <v>Balić</v>
      </c>
      <c r="BH103" s="73" t="str">
        <f t="shared" si="108"/>
        <v/>
      </c>
      <c r="BI103" s="53">
        <f t="shared" si="109"/>
        <v>1941</v>
      </c>
      <c r="BJ103" s="47" t="s">
        <v>0</v>
      </c>
      <c r="BK103" s="52" t="str">
        <f t="shared" si="83"/>
        <v>KAP</v>
      </c>
      <c r="BL103" s="31" t="str">
        <f t="shared" si="84"/>
        <v>OK Kapela</v>
      </c>
      <c r="BM103" s="73">
        <f t="shared" si="85"/>
        <v>5</v>
      </c>
      <c r="BN103" s="73" t="str">
        <f t="shared" si="86"/>
        <v/>
      </c>
      <c r="BO103" s="31" t="str" cm="1">
        <f t="array" ref="BO103">IF(BN103="",""&amp;BL103,IF(BN103="NEMA",BL103,INDEX(regKlub_naziv,MATCH(INDEX(regKlub_alias_klubId,BN103),regKlub_id,0))))</f>
        <v>OK Kapela</v>
      </c>
      <c r="BP103" s="31" t="str" cm="1">
        <f t="array" ref="BP103">IFERROR(""&amp;INDEX(regNatjecatelj_klub,DY103),"")</f>
        <v>OK Kapela</v>
      </c>
      <c r="BQ103" s="88" t="str">
        <f t="shared" si="110"/>
        <v/>
      </c>
      <c r="BR103" s="66" t="str">
        <f t="shared" si="111"/>
        <v>OK Kapela</v>
      </c>
      <c r="BS103" s="47" t="s">
        <v>0</v>
      </c>
      <c r="BT103" s="82" t="str">
        <f>IF(BN103&lt;&gt;"NEMA","",IF(IFERROR(MATCH(BL103,BL$12:BL102,0),0)&lt;&gt;0,"",BL103))</f>
        <v/>
      </c>
      <c r="BU103" s="47" t="s">
        <v>0</v>
      </c>
      <c r="BV103" s="125"/>
      <c r="BW103" s="47" t="s">
        <v>0</v>
      </c>
      <c r="BX103" s="58" t="str">
        <f t="shared" si="112"/>
        <v/>
      </c>
      <c r="BY103" s="31" t="str">
        <f t="shared" si="113"/>
        <v/>
      </c>
      <c r="BZ103" s="31" t="str">
        <f>IF(BY103="","",MAX(BZ$12:BZ102)+1)</f>
        <v/>
      </c>
      <c r="CA103" s="31" t="str">
        <f>IF(BY103="","",IF(AA103="","",IF(AA103="NEMA",AC103,AA103)))</f>
        <v/>
      </c>
      <c r="CB103" s="31" t="str">
        <f t="shared" si="114"/>
        <v/>
      </c>
      <c r="CC103" s="31" t="str">
        <f>IF(BV103="","",MAX(CC$12:CC102)+1)</f>
        <v/>
      </c>
      <c r="CD103" s="31" t="str">
        <f t="shared" si="115"/>
        <v/>
      </c>
      <c r="CE103" s="66" t="str">
        <f t="shared" si="116"/>
        <v/>
      </c>
      <c r="CF103" s="47" t="s">
        <v>0</v>
      </c>
      <c r="CG103" s="73" t="str">
        <f>IF(BN103="","",IF(BN103&lt;&gt;"NEMA","",IFERROR(INDEX(nat_klubAliasId,MATCH(BL103,nat_noviKluboviAliasi,0)),"")))</f>
        <v/>
      </c>
      <c r="CH103" s="47"/>
      <c r="CI103" s="19" t="str">
        <f t="shared" si="117"/>
        <v/>
      </c>
      <c r="CJ103" s="47" t="s">
        <v>0</v>
      </c>
      <c r="CK103" s="52" t="str">
        <f>IF(X103&lt;&gt;"NEMA","",IF(IFERROR(MATCH(W103,W$12:W102,0),0)&lt;&gt;0,"",W103))</f>
        <v/>
      </c>
      <c r="CL103" s="73" t="str">
        <f>IF(CK103="","",IFERROR(INDEX(regKlub_alias_id,MATCH(CK103,regKlub_alias_alias,0)),"NEMA"))</f>
        <v/>
      </c>
      <c r="CM103" s="31" t="str">
        <f>IF(OR(CL103="",CL103&lt;&gt;"NEMA"),"",MAX(CM$12:CM102)+1)</f>
        <v/>
      </c>
      <c r="CN103" s="66" t="str">
        <f>IF(OR(CL103="",CL103&lt;&gt;"NEMA"),"",INDEX(regKlub_id,MATCH(CK103,regKlub_naziv,0)))</f>
        <v/>
      </c>
      <c r="CO103" s="47" t="s">
        <v>0</v>
      </c>
      <c r="CP103" s="19" t="str">
        <f>IF(OR(CL103="",CL103&lt;&gt;"NEMA"),"","INSERT INTO klub_alias(id,alias,klub_id) VALUES ("&amp;CM103&amp;",'"&amp;CK103&amp;"',"&amp;CN103&amp;");")</f>
        <v/>
      </c>
      <c r="CQ103" s="47" t="s">
        <v>0</v>
      </c>
      <c r="CR103" s="143" t="str">
        <f>IF(BR103="","",IF(BV103="",IF(IFERROR(MATCH(BR103,nat_noviKluboviAliasi,0),0)&gt;0,INDEX(nat_kluboviAliasi,MATCH(BR103,nat_noviKluboviAliasi,0)),BR103),BV103))</f>
        <v>OK Kapela</v>
      </c>
      <c r="CS103" s="47" t="s">
        <v>0</v>
      </c>
      <c r="CT103" s="58" t="str">
        <f>IF(G103="","",G103)</f>
        <v/>
      </c>
      <c r="CU103" s="73" t="str">
        <f>IF(H103="","",H103)</f>
        <v>2</v>
      </c>
      <c r="CV103" s="229" t="str">
        <f>IF(CT103="",IF(OR(AL103="",CU103&lt;&gt;"0"),"","GREŠKA"),IF(AND(65535&gt;=VALUE(LEFT(CT103,SEARCH(":",CT103)-1))*60+VALUE(RIGHT(CT103,2)),OR(CU103="0",CU103="1",CU103="2",CU103="3",CU103="4")),"","GREŠKA"))</f>
        <v/>
      </c>
      <c r="CW103" s="230" t="str">
        <f t="shared" si="71"/>
        <v/>
      </c>
      <c r="CX103" s="163">
        <f t="shared" si="87"/>
        <v>4</v>
      </c>
      <c r="CY103" s="47" t="s">
        <v>0</v>
      </c>
      <c r="CZ103" s="222" t="str">
        <f>IF(CV103&lt;&gt;"GREŠKA","",AK103&amp;" "&amp;AL103&amp;" – Molim u OEventu provjeriti i ispraviti rezultat – vrijeme ("&amp;IF(CT103="","nije upisano",CT103)&amp;") i classifier ("&amp;CU103&amp;").")&amp;IF(OR(CV103&lt;&gt;"GREŠKA",CX103&lt;&gt;5),"
","")&amp;IF(CX103&lt;&gt;5,"",AK103&amp;" "&amp;AL103&amp;" – Molim u provjeriti je li natjecatelj zaista diskvalificiran. Ako je koje je obrazloženje, ako nije molim u OEventu ispraviti rezultat")</f>
        <v xml:space="preserve">
</v>
      </c>
      <c r="DA103" s="223">
        <f t="shared" si="118"/>
        <v>5</v>
      </c>
      <c r="DB103" s="47" t="s">
        <v>0</v>
      </c>
      <c r="DC103" s="47"/>
      <c r="DD103" s="47"/>
      <c r="DE103" s="47"/>
      <c r="DF103" s="47" t="s">
        <v>0</v>
      </c>
      <c r="DG103" s="53" t="str">
        <f>IF(BD103="","",IF(DI103="O",1,""))</f>
        <v/>
      </c>
      <c r="DH103" t="s">
        <v>0</v>
      </c>
      <c r="DI103" s="128" t="str">
        <f>IF(Q103="","",LEFT(INDEX(regKategorija_oznaka,MATCH(S103,regKategorija_id,0)),1))</f>
        <v>M</v>
      </c>
      <c r="DJ103" t="s">
        <v>0</v>
      </c>
      <c r="DK103" s="52" t="str">
        <f>IF(BD103="","",IF(M103&lt;&gt;"CRO","","INSERT INTO osoba (id,reg_broj,oib,spol_id,dat_rodjenja) VALUES ("&amp;BD103&amp;",(SELECT max(os.reg_broj)+1 FROM osoba AS os),Null,'"&amp;DI103&amp;"',Null); INSERT INTO osoba_log (id,reg_broj,oib,spol_id,dat_rodjenja,dnevnik_id) SELECT id,reg_broj,oib,spol_id,dat_rodjenja,"&amp;data_dnevnik_id&amp;" FROM osoba WHERE id = "&amp;BD103&amp;";"))</f>
        <v/>
      </c>
      <c r="DL103" s="66" t="str">
        <f>IF(BD103="","","INSERT INTO imeprezime (id,osoba_id,rbr,ime,prezime,klub_id,identitet_id,sintaksa_id,info,aktivno,dnevnik_id) VALUES ("&amp;BD103&amp;","&amp;IF(DK103="","Null",BD103)&amp;",1,'"&amp;IF(AV103&lt;&gt;"",AV103,AK103)&amp;"','"&amp;IF(AW103&lt;&gt;"",AW103,AL103)&amp;"',(SELECT id FROM klub WHERE naziv = '"&amp;CR103&amp;"'),Null,1,'',1,"&amp;data_dnevnik_id&amp;");")</f>
        <v/>
      </c>
      <c r="DM103" t="s">
        <v>0</v>
      </c>
      <c r="DN103" s="19" t="str">
        <f t="shared" si="126"/>
        <v/>
      </c>
      <c r="DO103" s="47" t="s">
        <v>0</v>
      </c>
      <c r="DP103" s="19" t="str">
        <f>IF(BA103="","","INSERT INTO imeprezime_alias(id,alias,imeprezime_id) VALUES ("&amp;BB103&amp;",'"&amp;BA103&amp;"',"&amp;IF(BC103="NEMA",BD103,BC103)&amp;");")</f>
        <v/>
      </c>
      <c r="DQ103" s="47" t="s">
        <v>0</v>
      </c>
      <c r="DR103" s="52" t="str">
        <f>IF(AL103="","",DU103 &amp; IF(Q103="",""," – " &amp; Q103))</f>
        <v>Ante – Balić – OK Kapela – M21B</v>
      </c>
      <c r="DS103" s="53">
        <f t="shared" si="88"/>
        <v>207</v>
      </c>
      <c r="DT103" s="47" t="s">
        <v>0</v>
      </c>
      <c r="DU103" s="52" t="str">
        <f>IF(AL103="","",DX103 &amp; IF(CR103="",""," – " &amp; CR103))</f>
        <v>Ante – Balić – OK Kapela</v>
      </c>
      <c r="DV103" s="53">
        <f t="shared" si="89"/>
        <v>207</v>
      </c>
      <c r="DW103" s="47" t="s">
        <v>0</v>
      </c>
      <c r="DX103" s="52" t="str">
        <f>IF(BG103="","",BF103&amp;" – "&amp;BG103)</f>
        <v>Ante – Balić</v>
      </c>
      <c r="DY103" s="53">
        <f t="shared" si="90"/>
        <v>207</v>
      </c>
      <c r="DZ103" s="47" t="s">
        <v>0</v>
      </c>
      <c r="EA103" s="58">
        <f t="shared" si="119"/>
        <v>207</v>
      </c>
      <c r="EB103" s="53" cm="1">
        <f t="array" ref="EB103">IF(EA103&lt;&gt;"",INDEX(regNatjecatelj_id,EA103,0),IF(BD103&lt;&gt;"",BD103,""))</f>
        <v>1941</v>
      </c>
      <c r="EC103" s="47" t="s">
        <v>0</v>
      </c>
      <c r="ED103" s="58" t="str">
        <f>IF(AL103="","",IF(BD103&lt;&gt;"","novo",IF(AN103="","imepre","imepre(ali)")))</f>
        <v>imepre</v>
      </c>
      <c r="EE103" s="73" t="str">
        <f>IF(AL103="","",IF(BL103="",IF(IFERROR(INDEX(regNatjecatelj_klub,MATCH(EB103,regNatjecatelj_id,0)),"NEMA")="","klu",""),IF(OR(AND(BN103&lt;&gt;"",BN103&lt;&gt;"NEMA"),CD103&lt;&gt;""),"klu(ali)",IF(AND(BP103&lt;&gt;"",BP103&lt;&gt;BO103),"(raz-klu)","klu"))))</f>
        <v>klu</v>
      </c>
      <c r="EF103" s="73" t="str">
        <f>IF(AL103="","","kat"&amp;IF(AND(W103&lt;&gt;Q103,Q103&lt;&gt;"Open"),"(ali)",""))</f>
        <v>kat</v>
      </c>
      <c r="EG103" s="73" t="str">
        <f t="shared" si="91"/>
        <v/>
      </c>
      <c r="EH103" s="66" t="str">
        <f>IF(AL103="","",ED103&amp;IF(ED103="novo","","-"&amp;EE103&amp;"-"&amp;EF103)&amp;IF(EG103="","","-"&amp;EG103))</f>
        <v>imepre-klu-kat</v>
      </c>
      <c r="EI103" s="47" t="s">
        <v>0</v>
      </c>
      <c r="EJ103" s="58">
        <f>IF(AL103="","",MAX(EJ$12:EJ102)+1)</f>
        <v>272</v>
      </c>
      <c r="EK103" s="73">
        <f>IF(AO103="","",X103)</f>
        <v>28</v>
      </c>
      <c r="EL103" s="73">
        <f t="shared" si="120"/>
        <v>1941</v>
      </c>
      <c r="EM103" s="73" t="str">
        <f t="shared" si="92"/>
        <v/>
      </c>
      <c r="EN103" s="73">
        <f t="shared" si="93"/>
        <v>4</v>
      </c>
      <c r="EO103" s="73">
        <f t="shared" si="121"/>
        <v>1</v>
      </c>
      <c r="EP103" s="73">
        <f t="shared" si="122"/>
        <v>1</v>
      </c>
      <c r="EQ103" s="73" t="str">
        <f t="shared" si="94"/>
        <v>2</v>
      </c>
      <c r="ER103" s="73" t="str">
        <f>IF(OR(AN103="",AN103="NEMA"),BB103,AN103)</f>
        <v/>
      </c>
      <c r="ES103" s="73" t="str">
        <f>IF(AND(BN103&lt;&gt;"",BN103&lt;&gt;"NEMA"),BN103,IF(CG103&lt;&gt;"",CG103,IF(AND(CL103&lt;&gt;"",CL103&lt;&gt;"NEMA"),CL103,IF(CM103&lt;&gt;"",CM103,""))))</f>
        <v/>
      </c>
      <c r="ET103" s="53" t="str">
        <f>IF(INDEX(natKategorija_alias_Id,MATCH(S103,natKategorija_katRegId,0))="","",INDEX(natKategorija_alias_Id,MATCH(S103,natKategorija_katRegId,0)))</f>
        <v/>
      </c>
      <c r="EU103" s="47" t="s">
        <v>0</v>
      </c>
      <c r="EV103" s="19" t="str">
        <f t="shared" si="123"/>
        <v>INSERT INTO rezultat(id,stazakategorija_id,imeprezime_id,vrijeme_sec,status_id,registracija,uparivanje_id,originalstatus_id,imeprezimealias_id,klubalias_id,kategorijaalias_id) VALUES (272,28,1941,Null,4,1,1,2,Null,Null,Null);</v>
      </c>
      <c r="EW103" s="47" t="s">
        <v>0</v>
      </c>
      <c r="EX103" s="19" t="str">
        <f t="shared" si="124"/>
        <v>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103" s="47" t="s">
        <v>0</v>
      </c>
      <c r="EZ103" s="180" t="str">
        <f>AG103&amp;IF(CP103="","","
")&amp;CP103&amp;IF(CI103="","","
")&amp;CI103&amp;IF(DN103="","","
")&amp;DN103&amp;IF(DP103="","","
")&amp;DP103&amp;IF(EV103="","","
")&amp;EV103&amp;IF(EX103="","","
")&amp;EX103</f>
        <v xml:space="preserve">
INSERT INTO rezultat(id,stazakategorija_id,imeprezime_id,vrijeme_sec,status_id,registracija,uparivanje_id,originalstatus_id,imeprezimealias_id,klubalias_id,kategorijaalias_id) VALUES (272,28,1941,Null,4,1,1,2,Null,Null,Null);
UPDATE
	registar
SET
	potvrda = 1
WHERE
	imeprezime_id=1941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103" s="47" t="s">
        <v>0</v>
      </c>
    </row>
    <row r="104" spans="1:157" x14ac:dyDescent="0.25">
      <c r="A104" t="s">
        <v>0</v>
      </c>
      <c r="B104" s="52" t="str">
        <f>IF(csv!F94="","",csv!T94)</f>
        <v>M21B</v>
      </c>
      <c r="C104" s="31" t="s">
        <v>0</v>
      </c>
      <c r="D104" s="31" t="str">
        <f>IF(csv!F94="","",csv!F94)</f>
        <v>Valter</v>
      </c>
      <c r="E104" s="31" t="str">
        <f>IF(csv!E94="","",csv!E94)</f>
        <v>Sučić</v>
      </c>
      <c r="F104" s="31" t="s">
        <v>0</v>
      </c>
      <c r="G104" s="73" t="str">
        <f>IF(csv!M94="","",csv!M94)</f>
        <v/>
      </c>
      <c r="H104" s="73" t="str">
        <f>IF(csv!N94="","",csv!N94)</f>
        <v>4</v>
      </c>
      <c r="I104" s="31" t="s">
        <v>0</v>
      </c>
      <c r="J104" s="31" t="str">
        <f>IF(csv!P94="","",csv!P94)</f>
        <v>Vihor</v>
      </c>
      <c r="K104" s="31" t="str">
        <f>IF(csv!Q94="","",csv!Q94)</f>
        <v>OK Vihor</v>
      </c>
      <c r="L104" s="31" t="s">
        <v>0</v>
      </c>
      <c r="M104" s="66" t="str">
        <f>IF(csv!R94="","",csv!R94)</f>
        <v>CRO</v>
      </c>
      <c r="N104" s="47" t="s">
        <v>0</v>
      </c>
      <c r="O104" s="243" t="str">
        <f t="shared" si="95"/>
        <v>ok</v>
      </c>
      <c r="P104" s="47"/>
      <c r="Q104" s="52" t="str">
        <f t="shared" si="96"/>
        <v>M21B</v>
      </c>
      <c r="R104" s="73">
        <f>IF(Q104="","",IF(COUNTIF(Q$12:Q103,Q104)=0,R103+1,R103))</f>
        <v>6</v>
      </c>
      <c r="S104" s="73">
        <f t="shared" si="97"/>
        <v>108</v>
      </c>
      <c r="T104" s="73">
        <f t="shared" si="72"/>
        <v>19</v>
      </c>
      <c r="U104" s="66" t="str">
        <f t="shared" si="73"/>
        <v>M21B – M16</v>
      </c>
      <c r="V104" s="47" t="s">
        <v>0</v>
      </c>
      <c r="W104" s="222" t="str">
        <f t="shared" si="74"/>
        <v>M21B</v>
      </c>
      <c r="X104" s="223">
        <f t="shared" si="75"/>
        <v>28</v>
      </c>
      <c r="Y104" s="47" t="s">
        <v>0</v>
      </c>
      <c r="Z104" s="52" t="str">
        <f t="shared" si="98"/>
        <v>CRO</v>
      </c>
      <c r="AA104" s="73">
        <f t="shared" si="76"/>
        <v>1</v>
      </c>
      <c r="AB104" s="31" t="str">
        <f t="shared" si="99"/>
        <v/>
      </c>
      <c r="AC104" s="66" t="str">
        <f>IF(AB104="","",MAX(AC$12:AC103)+1)</f>
        <v/>
      </c>
      <c r="AD104" s="47" t="s">
        <v>0</v>
      </c>
      <c r="AE104" s="125"/>
      <c r="AF104" s="47" t="s">
        <v>0</v>
      </c>
      <c r="AG104" s="19" t="str">
        <f t="shared" si="100"/>
        <v/>
      </c>
      <c r="AH104" s="47" t="s">
        <v>0</v>
      </c>
      <c r="AI104" s="143" t="str">
        <f t="shared" si="101"/>
        <v>CRO</v>
      </c>
      <c r="AJ104" s="47"/>
      <c r="AK104" s="52" t="str">
        <f t="shared" si="102"/>
        <v>Valter</v>
      </c>
      <c r="AL104" s="31" t="str">
        <f t="shared" si="103"/>
        <v>Sučić</v>
      </c>
      <c r="AM104" s="73">
        <f t="shared" si="104"/>
        <v>1366</v>
      </c>
      <c r="AN104" s="73" t="str">
        <f t="shared" si="105"/>
        <v/>
      </c>
      <c r="AO104" s="31" t="str">
        <f t="shared" si="77"/>
        <v>Valter</v>
      </c>
      <c r="AP104" s="66" t="str">
        <f t="shared" si="78"/>
        <v>Sučić</v>
      </c>
      <c r="AQ104" s="47" t="s">
        <v>0</v>
      </c>
      <c r="AR104" s="82" t="str">
        <f t="shared" si="106"/>
        <v/>
      </c>
      <c r="AS104" s="47" t="s">
        <v>0</v>
      </c>
      <c r="AT104" s="19" t="str">
        <f t="shared" si="107"/>
        <v/>
      </c>
      <c r="AU104" s="47" t="s">
        <v>0</v>
      </c>
      <c r="AV104" s="103"/>
      <c r="AW104" s="105"/>
      <c r="AX104" s="47" t="s">
        <v>0</v>
      </c>
      <c r="AY104" s="256" t="str">
        <f t="shared" si="125"/>
        <v/>
      </c>
      <c r="AZ104" s="47" t="s">
        <v>0</v>
      </c>
      <c r="BA104" s="52" t="str">
        <f t="shared" si="79"/>
        <v/>
      </c>
      <c r="BB104" s="73" t="str">
        <f>IF(AV104&amp;AW104="","",MAX(BB$12:BB103)+1)</f>
        <v/>
      </c>
      <c r="BC104" s="268" t="str">
        <f t="shared" si="80"/>
        <v/>
      </c>
      <c r="BD104" s="53" t="str">
        <f>IF(AND(AM104="NEMA",AN104="NEMA",OR(AV104&amp;AW104="",BC104="NEMA")),MAX(BD$12:BD103)+1,"")</f>
        <v/>
      </c>
      <c r="BE104" s="47" t="s">
        <v>0</v>
      </c>
      <c r="BF104" s="52" t="str">
        <f t="shared" si="81"/>
        <v>Valter</v>
      </c>
      <c r="BG104" s="31" t="str">
        <f t="shared" si="82"/>
        <v>Sučić</v>
      </c>
      <c r="BH104" s="73" t="str">
        <f t="shared" si="108"/>
        <v/>
      </c>
      <c r="BI104" s="53">
        <f t="shared" si="109"/>
        <v>1366</v>
      </c>
      <c r="BJ104" s="47" t="s">
        <v>0</v>
      </c>
      <c r="BK104" s="52" t="str">
        <f t="shared" si="83"/>
        <v>Vihor</v>
      </c>
      <c r="BL104" s="31" t="str">
        <f t="shared" si="84"/>
        <v>OK Vihor</v>
      </c>
      <c r="BM104" s="73">
        <f t="shared" si="85"/>
        <v>12</v>
      </c>
      <c r="BN104" s="73" t="str">
        <f t="shared" si="86"/>
        <v/>
      </c>
      <c r="BO104" s="31" t="str" cm="1">
        <f t="array" ref="BO104">IF(BN104="",""&amp;BL104,IF(BN104="NEMA",BL104,INDEX(regKlub_naziv,MATCH(INDEX(regKlub_alias_klubId,BN104),regKlub_id,0))))</f>
        <v>OK Vihor</v>
      </c>
      <c r="BP104" s="31" t="str" cm="1">
        <f t="array" ref="BP104">IFERROR(""&amp;INDEX(regNatjecatelj_klub,DY104),"")</f>
        <v>OK Vihor</v>
      </c>
      <c r="BQ104" s="88" t="str">
        <f t="shared" si="110"/>
        <v/>
      </c>
      <c r="BR104" s="66" t="str">
        <f t="shared" si="111"/>
        <v>OK Vihor</v>
      </c>
      <c r="BS104" s="47" t="s">
        <v>0</v>
      </c>
      <c r="BT104" s="82" t="str">
        <f>IF(BN104&lt;&gt;"NEMA","",IF(IFERROR(MATCH(BL104,BL$12:BL103,0),0)&lt;&gt;0,"",BL104))</f>
        <v/>
      </c>
      <c r="BU104" s="47" t="s">
        <v>0</v>
      </c>
      <c r="BV104" s="125"/>
      <c r="BW104" s="47" t="s">
        <v>0</v>
      </c>
      <c r="BX104" s="58" t="str">
        <f t="shared" si="112"/>
        <v/>
      </c>
      <c r="BY104" s="31" t="str">
        <f t="shared" si="113"/>
        <v/>
      </c>
      <c r="BZ104" s="31" t="str">
        <f>IF(BY104="","",MAX(BZ$12:BZ103)+1)</f>
        <v/>
      </c>
      <c r="CA104" s="31" t="str">
        <f>IF(BY104="","",IF(AA104="","",IF(AA104="NEMA",AC104,AA104)))</f>
        <v/>
      </c>
      <c r="CB104" s="31" t="str">
        <f t="shared" si="114"/>
        <v/>
      </c>
      <c r="CC104" s="31" t="str">
        <f>IF(BV104="","",MAX(CC$12:CC103)+1)</f>
        <v/>
      </c>
      <c r="CD104" s="31" t="str">
        <f t="shared" si="115"/>
        <v/>
      </c>
      <c r="CE104" s="66" t="str">
        <f t="shared" si="116"/>
        <v/>
      </c>
      <c r="CF104" s="47" t="s">
        <v>0</v>
      </c>
      <c r="CG104" s="73" t="str">
        <f>IF(BN104="","",IF(BN104&lt;&gt;"NEMA","",IFERROR(INDEX(nat_klubAliasId,MATCH(BL104,nat_noviKluboviAliasi,0)),"")))</f>
        <v/>
      </c>
      <c r="CH104" s="47"/>
      <c r="CI104" s="19" t="str">
        <f t="shared" si="117"/>
        <v/>
      </c>
      <c r="CJ104" s="47" t="s">
        <v>0</v>
      </c>
      <c r="CK104" s="52" t="str">
        <f>IF(X104&lt;&gt;"NEMA","",IF(IFERROR(MATCH(W104,W$12:W103,0),0)&lt;&gt;0,"",W104))</f>
        <v/>
      </c>
      <c r="CL104" s="73" t="str">
        <f>IF(CK104="","",IFERROR(INDEX(regKlub_alias_id,MATCH(CK104,regKlub_alias_alias,0)),"NEMA"))</f>
        <v/>
      </c>
      <c r="CM104" s="31" t="str">
        <f>IF(OR(CL104="",CL104&lt;&gt;"NEMA"),"",MAX(CM$12:CM103)+1)</f>
        <v/>
      </c>
      <c r="CN104" s="66" t="str">
        <f>IF(OR(CL104="",CL104&lt;&gt;"NEMA"),"",INDEX(regKlub_id,MATCH(CK104,regKlub_naziv,0)))</f>
        <v/>
      </c>
      <c r="CO104" s="47" t="s">
        <v>0</v>
      </c>
      <c r="CP104" s="19" t="str">
        <f>IF(OR(CL104="",CL104&lt;&gt;"NEMA"),"","INSERT INTO klub_alias(id,alias,klub_id) VALUES ("&amp;CM104&amp;",'"&amp;CK104&amp;"',"&amp;CN104&amp;");")</f>
        <v/>
      </c>
      <c r="CQ104" s="47" t="s">
        <v>0</v>
      </c>
      <c r="CR104" s="143" t="str">
        <f>IF(BR104="","",IF(BV104="",IF(IFERROR(MATCH(BR104,nat_noviKluboviAliasi,0),0)&gt;0,INDEX(nat_kluboviAliasi,MATCH(BR104,nat_noviKluboviAliasi,0)),BR104),BV104))</f>
        <v>OK Vihor</v>
      </c>
      <c r="CS104" s="47" t="s">
        <v>0</v>
      </c>
      <c r="CT104" s="58" t="str">
        <f>IF(G104="","",G104)</f>
        <v/>
      </c>
      <c r="CU104" s="73" t="str">
        <f>IF(H104="","",H104)</f>
        <v>4</v>
      </c>
      <c r="CV104" s="229" t="str">
        <f>IF(CT104="",IF(OR(AL104="",CU104&lt;&gt;"0"),"","GREŠKA"),IF(AND(65535&gt;=VALUE(LEFT(CT104,SEARCH(":",CT104)-1))*60+VALUE(RIGHT(CT104,2)),OR(CU104="0",CU104="1",CU104="2",CU104="3",CU104="4")),"","GREŠKA"))</f>
        <v/>
      </c>
      <c r="CW104" s="230" t="str">
        <f t="shared" si="71"/>
        <v/>
      </c>
      <c r="CX104" s="163">
        <f t="shared" si="87"/>
        <v>5</v>
      </c>
      <c r="CY104" s="47" t="s">
        <v>0</v>
      </c>
      <c r="CZ104" s="222" t="str">
        <f>IF(CV104&lt;&gt;"GREŠKA","",AK104&amp;" "&amp;AL104&amp;" – Molim u OEventu provjeriti i ispraviti rezultat – vrijeme ("&amp;IF(CT104="","nije upisano",CT104)&amp;") i classifier ("&amp;CU104&amp;").")&amp;IF(OR(CV104&lt;&gt;"GREŠKA",CX104&lt;&gt;5),"
","")&amp;IF(CX104&lt;&gt;5,"",AK104&amp;" "&amp;AL104&amp;" – Molim u provjeriti je li natjecatelj zaista diskvalificiran. Ako je koje je obrazloženje, ako nije molim u OEventu ispraviti rezultat")</f>
        <v xml:space="preserve">
Valter Sučić – Molim u provjeriti je li natjecatelj zaista diskvalificiran. Ako je koje je obrazloženje, ako nije molim u OEventu ispraviti rezultat</v>
      </c>
      <c r="DA104" s="223" t="e">
        <f t="shared" si="118"/>
        <v>#N/A</v>
      </c>
      <c r="DB104" s="47" t="s">
        <v>0</v>
      </c>
      <c r="DC104" s="47"/>
      <c r="DD104" s="47"/>
      <c r="DE104" s="47"/>
      <c r="DF104" s="47" t="s">
        <v>0</v>
      </c>
      <c r="DG104" s="53" t="str">
        <f>IF(BD104="","",IF(DI104="O",1,""))</f>
        <v/>
      </c>
      <c r="DH104" t="s">
        <v>0</v>
      </c>
      <c r="DI104" s="128" t="str">
        <f>IF(Q104="","",LEFT(INDEX(regKategorija_oznaka,MATCH(S104,regKategorija_id,0)),1))</f>
        <v>M</v>
      </c>
      <c r="DJ104" t="s">
        <v>0</v>
      </c>
      <c r="DK104" s="52" t="str">
        <f>IF(BD104="","",IF(M104&lt;&gt;"CRO","","INSERT INTO osoba (id,reg_broj,oib,spol_id,dat_rodjenja) VALUES ("&amp;BD104&amp;",(SELECT max(os.reg_broj)+1 FROM osoba AS os),Null,'"&amp;DI104&amp;"',Null); INSERT INTO osoba_log (id,reg_broj,oib,spol_id,dat_rodjenja,dnevnik_id) SELECT id,reg_broj,oib,spol_id,dat_rodjenja,"&amp;data_dnevnik_id&amp;" FROM osoba WHERE id = "&amp;BD104&amp;";"))</f>
        <v/>
      </c>
      <c r="DL104" s="66" t="str">
        <f>IF(BD104="","","INSERT INTO imeprezime (id,osoba_id,rbr,ime,prezime,klub_id,identitet_id,sintaksa_id,info,aktivno,dnevnik_id) VALUES ("&amp;BD104&amp;","&amp;IF(DK104="","Null",BD104)&amp;",1,'"&amp;IF(AV104&lt;&gt;"",AV104,AK104)&amp;"','"&amp;IF(AW104&lt;&gt;"",AW104,AL104)&amp;"',(SELECT id FROM klub WHERE naziv = '"&amp;CR104&amp;"'),Null,1,'',1,"&amp;data_dnevnik_id&amp;");")</f>
        <v/>
      </c>
      <c r="DM104" t="s">
        <v>0</v>
      </c>
      <c r="DN104" s="19" t="str">
        <f t="shared" si="126"/>
        <v/>
      </c>
      <c r="DO104" s="47" t="s">
        <v>0</v>
      </c>
      <c r="DP104" s="19" t="str">
        <f>IF(BA104="","","INSERT INTO imeprezime_alias(id,alias,imeprezime_id) VALUES ("&amp;BB104&amp;",'"&amp;BA104&amp;"',"&amp;IF(BC104="NEMA",BD104,BC104)&amp;");")</f>
        <v/>
      </c>
      <c r="DQ104" s="47" t="s">
        <v>0</v>
      </c>
      <c r="DR104" s="52" t="str">
        <f>IF(AL104="","",DU104 &amp; IF(Q104="",""," – " &amp; Q104))</f>
        <v>Valter – Sučić – OK Vihor – M21B</v>
      </c>
      <c r="DS104" s="53">
        <f t="shared" si="88"/>
        <v>917</v>
      </c>
      <c r="DT104" s="47" t="s">
        <v>0</v>
      </c>
      <c r="DU104" s="52" t="str">
        <f>IF(AL104="","",DX104 &amp; IF(CR104="",""," – " &amp; CR104))</f>
        <v>Valter – Sučić – OK Vihor</v>
      </c>
      <c r="DV104" s="53">
        <f t="shared" si="89"/>
        <v>917</v>
      </c>
      <c r="DW104" s="47" t="s">
        <v>0</v>
      </c>
      <c r="DX104" s="52" t="str">
        <f>IF(BG104="","",BF104&amp;" – "&amp;BG104)</f>
        <v>Valter – Sučić</v>
      </c>
      <c r="DY104" s="53">
        <f t="shared" si="90"/>
        <v>917</v>
      </c>
      <c r="DZ104" s="47" t="s">
        <v>0</v>
      </c>
      <c r="EA104" s="58">
        <f t="shared" si="119"/>
        <v>917</v>
      </c>
      <c r="EB104" s="53" cm="1">
        <f t="array" ref="EB104">IF(EA104&lt;&gt;"",INDEX(regNatjecatelj_id,EA104,0),IF(BD104&lt;&gt;"",BD104,""))</f>
        <v>1366</v>
      </c>
      <c r="EC104" s="47" t="s">
        <v>0</v>
      </c>
      <c r="ED104" s="58" t="str">
        <f>IF(AL104="","",IF(BD104&lt;&gt;"","novo",IF(AN104="","imepre","imepre(ali)")))</f>
        <v>imepre</v>
      </c>
      <c r="EE104" s="73" t="str">
        <f>IF(AL104="","",IF(BL104="",IF(IFERROR(INDEX(regNatjecatelj_klub,MATCH(EB104,regNatjecatelj_id,0)),"NEMA")="","klu",""),IF(OR(AND(BN104&lt;&gt;"",BN104&lt;&gt;"NEMA"),CD104&lt;&gt;""),"klu(ali)",IF(AND(BP104&lt;&gt;"",BP104&lt;&gt;BO104),"(raz-klu)","klu"))))</f>
        <v>klu</v>
      </c>
      <c r="EF104" s="73" t="str">
        <f>IF(AL104="","","kat"&amp;IF(AND(W104&lt;&gt;Q104,Q104&lt;&gt;"Open"),"(ali)",""))</f>
        <v>kat</v>
      </c>
      <c r="EG104" s="73" t="str">
        <f t="shared" si="91"/>
        <v/>
      </c>
      <c r="EH104" s="66" t="str">
        <f>IF(AL104="","",ED104&amp;IF(ED104="novo","","-"&amp;EE104&amp;"-"&amp;EF104)&amp;IF(EG104="","","-"&amp;EG104))</f>
        <v>imepre-klu-kat</v>
      </c>
      <c r="EI104" s="47" t="s">
        <v>0</v>
      </c>
      <c r="EJ104" s="58">
        <f>IF(AL104="","",MAX(EJ$12:EJ103)+1)</f>
        <v>273</v>
      </c>
      <c r="EK104" s="73">
        <f>IF(AO104="","",X104)</f>
        <v>28</v>
      </c>
      <c r="EL104" s="73">
        <f t="shared" si="120"/>
        <v>1366</v>
      </c>
      <c r="EM104" s="73" t="str">
        <f t="shared" si="92"/>
        <v/>
      </c>
      <c r="EN104" s="73">
        <f t="shared" si="93"/>
        <v>5</v>
      </c>
      <c r="EO104" s="73">
        <f t="shared" si="121"/>
        <v>1</v>
      </c>
      <c r="EP104" s="73">
        <f t="shared" si="122"/>
        <v>1</v>
      </c>
      <c r="EQ104" s="73" t="str">
        <f t="shared" si="94"/>
        <v>4</v>
      </c>
      <c r="ER104" s="73" t="str">
        <f>IF(OR(AN104="",AN104="NEMA"),BB104,AN104)</f>
        <v/>
      </c>
      <c r="ES104" s="73" t="str">
        <f>IF(AND(BN104&lt;&gt;"",BN104&lt;&gt;"NEMA"),BN104,IF(CG104&lt;&gt;"",CG104,IF(AND(CL104&lt;&gt;"",CL104&lt;&gt;"NEMA"),CL104,IF(CM104&lt;&gt;"",CM104,""))))</f>
        <v/>
      </c>
      <c r="ET104" s="53" t="str">
        <f>IF(INDEX(natKategorija_alias_Id,MATCH(S104,natKategorija_katRegId,0))="","",INDEX(natKategorija_alias_Id,MATCH(S104,natKategorija_katRegId,0)))</f>
        <v/>
      </c>
      <c r="EU104" s="47" t="s">
        <v>0</v>
      </c>
      <c r="EV104" s="19" t="str">
        <f t="shared" si="123"/>
        <v>INSERT INTO rezultat(id,stazakategorija_id,imeprezime_id,vrijeme_sec,status_id,registracija,uparivanje_id,originalstatus_id,imeprezimealias_id,klubalias_id,kategorijaalias_id) VALUES (273,28,1366,Null,5,1,1,4,Null,Null,Null);</v>
      </c>
      <c r="EW104" s="47" t="s">
        <v>0</v>
      </c>
      <c r="EX104" s="19" t="str">
        <f t="shared" si="124"/>
        <v>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104" s="47" t="s">
        <v>0</v>
      </c>
      <c r="EZ104" s="180" t="str">
        <f>AG104&amp;IF(CP104="","","
")&amp;CP104&amp;IF(CI104="","","
")&amp;CI104&amp;IF(DN104="","","
")&amp;DN104&amp;IF(DP104="","","
")&amp;DP104&amp;IF(EV104="","","
")&amp;EV104&amp;IF(EX104="","","
")&amp;EX104</f>
        <v xml:space="preserve">
INSERT INTO rezultat(id,stazakategorija_id,imeprezime_id,vrijeme_sec,status_id,registracija,uparivanje_id,originalstatus_id,imeprezimealias_id,klubalias_id,kategorijaalias_id) VALUES (273,28,1366,Null,5,1,1,4,Null,Null,Null);
UPDATE
	registar
SET
	potvrda = 1
WHERE
	imeprezime_id=1366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104" s="47" t="s">
        <v>0</v>
      </c>
    </row>
    <row r="105" spans="1:157" x14ac:dyDescent="0.25">
      <c r="A105" t="s">
        <v>0</v>
      </c>
      <c r="B105" s="52" t="str">
        <f>IF(csv!F95="","",csv!T95)</f>
        <v>M21B</v>
      </c>
      <c r="C105" s="31" t="s">
        <v>0</v>
      </c>
      <c r="D105" s="31" t="str">
        <f>IF(csv!F95="","",csv!F95)</f>
        <v>Andrija</v>
      </c>
      <c r="E105" s="31" t="str">
        <f>IF(csv!E95="","",csv!E95)</f>
        <v>Golubić</v>
      </c>
      <c r="F105" s="31" t="s">
        <v>0</v>
      </c>
      <c r="G105" s="73" t="str">
        <f>IF(csv!M95="","",csv!M95)</f>
        <v/>
      </c>
      <c r="H105" s="73" t="str">
        <f>IF(csv!N95="","",csv!N95)</f>
        <v>4</v>
      </c>
      <c r="I105" s="31" t="s">
        <v>0</v>
      </c>
      <c r="J105" s="31" t="str">
        <f>IF(csv!P95="","",csv!P95)</f>
        <v>OKM</v>
      </c>
      <c r="K105" s="31" t="str">
        <f>IF(csv!Q95="","",csv!Q95)</f>
        <v>OK Medjimurje</v>
      </c>
      <c r="L105" s="31" t="s">
        <v>0</v>
      </c>
      <c r="M105" s="66" t="str">
        <f>IF(csv!R95="","",csv!R95)</f>
        <v>CRO</v>
      </c>
      <c r="N105" s="47" t="s">
        <v>0</v>
      </c>
      <c r="O105" s="243" t="str">
        <f t="shared" si="95"/>
        <v>ok</v>
      </c>
      <c r="P105" s="47"/>
      <c r="Q105" s="52" t="str">
        <f t="shared" si="96"/>
        <v>M21B</v>
      </c>
      <c r="R105" s="73">
        <f>IF(Q105="","",IF(COUNTIF(Q$12:Q104,Q105)=0,R104+1,R104))</f>
        <v>6</v>
      </c>
      <c r="S105" s="73">
        <f t="shared" si="97"/>
        <v>108</v>
      </c>
      <c r="T105" s="73">
        <f t="shared" si="72"/>
        <v>19</v>
      </c>
      <c r="U105" s="66" t="str">
        <f t="shared" si="73"/>
        <v>M21B – M16</v>
      </c>
      <c r="V105" s="47" t="s">
        <v>0</v>
      </c>
      <c r="W105" s="222" t="str">
        <f t="shared" si="74"/>
        <v>M21B</v>
      </c>
      <c r="X105" s="223">
        <f t="shared" si="75"/>
        <v>28</v>
      </c>
      <c r="Y105" s="47" t="s">
        <v>0</v>
      </c>
      <c r="Z105" s="52" t="str">
        <f t="shared" si="98"/>
        <v>CRO</v>
      </c>
      <c r="AA105" s="73">
        <f t="shared" si="76"/>
        <v>1</v>
      </c>
      <c r="AB105" s="31" t="str">
        <f t="shared" si="99"/>
        <v/>
      </c>
      <c r="AC105" s="66" t="str">
        <f>IF(AB105="","",MAX(AC$12:AC104)+1)</f>
        <v/>
      </c>
      <c r="AD105" s="47" t="s">
        <v>0</v>
      </c>
      <c r="AE105" s="125"/>
      <c r="AF105" s="47" t="s">
        <v>0</v>
      </c>
      <c r="AG105" s="19" t="str">
        <f t="shared" si="100"/>
        <v/>
      </c>
      <c r="AH105" s="47" t="s">
        <v>0</v>
      </c>
      <c r="AI105" s="143" t="str">
        <f t="shared" si="101"/>
        <v>CRO</v>
      </c>
      <c r="AJ105" s="47"/>
      <c r="AK105" s="52" t="str">
        <f t="shared" si="102"/>
        <v>Andrija</v>
      </c>
      <c r="AL105" s="31" t="str">
        <f t="shared" si="103"/>
        <v>Golubić</v>
      </c>
      <c r="AM105" s="73" t="str">
        <f t="shared" si="104"/>
        <v>NEMA</v>
      </c>
      <c r="AN105" s="73" t="str">
        <f t="shared" si="105"/>
        <v>NEMA</v>
      </c>
      <c r="AO105" s="31" t="str">
        <f t="shared" si="77"/>
        <v>Andrija</v>
      </c>
      <c r="AP105" s="66" t="str">
        <f t="shared" si="78"/>
        <v>Golubić</v>
      </c>
      <c r="AQ105" s="47" t="s">
        <v>0</v>
      </c>
      <c r="AR105" s="82" t="str">
        <f t="shared" si="106"/>
        <v>Andrija Golubić</v>
      </c>
      <c r="AS105" s="47" t="s">
        <v>0</v>
      </c>
      <c r="AT105" s="19" t="str">
        <f t="shared" si="107"/>
        <v>SELECT 'Andrija – Golubić', ime, prezime FROM imeprezime WHERE ime LIKE '%ndrij%' Or prezime LIKE '%olubi%' Or ime LIKE '%olubi%' Or prezime LIKE '%ndrij%' ORDER BY ime, prezime;</v>
      </c>
      <c r="AU105" s="47" t="s">
        <v>0</v>
      </c>
      <c r="AV105" s="103"/>
      <c r="AW105" s="105"/>
      <c r="AX105" s="47" t="s">
        <v>0</v>
      </c>
      <c r="AY105" s="256" t="str">
        <f t="shared" si="125"/>
        <v/>
      </c>
      <c r="AZ105" s="47" t="s">
        <v>0</v>
      </c>
      <c r="BA105" s="52" t="str">
        <f t="shared" si="79"/>
        <v/>
      </c>
      <c r="BB105" s="73" t="str">
        <f>IF(AV105&amp;AW105="","",MAX(BB$12:BB104)+1)</f>
        <v/>
      </c>
      <c r="BC105" s="268" t="str">
        <f t="shared" si="80"/>
        <v/>
      </c>
      <c r="BD105" s="53">
        <f>IF(AND(AM105="NEMA",AN105="NEMA",OR(AV105&amp;AW105="",BC105="NEMA")),MAX(BD$12:BD104)+1,"")</f>
        <v>1967</v>
      </c>
      <c r="BE105" s="47" t="s">
        <v>0</v>
      </c>
      <c r="BF105" s="52" t="str">
        <f t="shared" si="81"/>
        <v>Andrija</v>
      </c>
      <c r="BG105" s="31" t="str">
        <f t="shared" si="82"/>
        <v>Golubić</v>
      </c>
      <c r="BH105" s="73" t="str">
        <f t="shared" si="108"/>
        <v/>
      </c>
      <c r="BI105" s="53">
        <f t="shared" si="109"/>
        <v>1967</v>
      </c>
      <c r="BJ105" s="47" t="s">
        <v>0</v>
      </c>
      <c r="BK105" s="52" t="str">
        <f t="shared" si="83"/>
        <v>OKM</v>
      </c>
      <c r="BL105" s="31" t="str">
        <f t="shared" si="84"/>
        <v>OK Medjimurje</v>
      </c>
      <c r="BM105" s="73" t="str">
        <f t="shared" si="85"/>
        <v>NEMA</v>
      </c>
      <c r="BN105" s="73" t="str">
        <f t="shared" si="86"/>
        <v>NEMA</v>
      </c>
      <c r="BO105" s="31" t="str" cm="1">
        <f t="array" ref="BO105">IF(BN105="",""&amp;BL105,IF(BN105="NEMA",BL105,INDEX(regKlub_naziv,MATCH(INDEX(regKlub_alias_klubId,BN105),regKlub_id,0))))</f>
        <v>OK Medjimurje</v>
      </c>
      <c r="BP105" s="31" t="str" cm="1">
        <f t="array" ref="BP105">IFERROR(""&amp;INDEX(regNatjecatelj_klub,DY105),"")</f>
        <v/>
      </c>
      <c r="BQ105" s="88" t="str">
        <f t="shared" si="110"/>
        <v/>
      </c>
      <c r="BR105" s="66" t="str">
        <f t="shared" si="111"/>
        <v>OK Medjimurje</v>
      </c>
      <c r="BS105" s="47" t="s">
        <v>0</v>
      </c>
      <c r="BT105" s="82" t="str">
        <f>IF(BN105&lt;&gt;"NEMA","",IF(IFERROR(MATCH(BL105,BL$12:BL104,0),0)&lt;&gt;0,"",BL105))</f>
        <v>OK Medjimurje</v>
      </c>
      <c r="BU105" s="47" t="s">
        <v>0</v>
      </c>
      <c r="BV105" s="125"/>
      <c r="BW105" s="47" t="s">
        <v>0</v>
      </c>
      <c r="BX105" s="58" t="str">
        <f t="shared" si="112"/>
        <v/>
      </c>
      <c r="BY105" s="31" t="str">
        <f t="shared" si="113"/>
        <v>OK Medjimurje</v>
      </c>
      <c r="BZ105" s="31">
        <f>IF(BY105="","",MAX(BZ$12:BZ104)+1)</f>
        <v>20</v>
      </c>
      <c r="CA105" s="31">
        <f>IF(BY105="","",IF(AA105="","",IF(AA105="NEMA",AC105,AA105)))</f>
        <v>1</v>
      </c>
      <c r="CB105" s="31" t="str">
        <f t="shared" si="114"/>
        <v>INSERT INTO klub(id,naziv,drzava_id,aktivan) VALUES (20,'OK Medjimurje',1,1);</v>
      </c>
      <c r="CC105" s="31" t="str">
        <f>IF(BV105="","",MAX(CC$12:CC104)+1)</f>
        <v/>
      </c>
      <c r="CD105" s="31" t="str">
        <f t="shared" si="115"/>
        <v/>
      </c>
      <c r="CE105" s="66" t="str">
        <f t="shared" si="116"/>
        <v/>
      </c>
      <c r="CF105" s="47" t="s">
        <v>0</v>
      </c>
      <c r="CG105" s="73" t="str">
        <f>IF(BN105="","",IF(BN105&lt;&gt;"NEMA","",IFERROR(INDEX(nat_klubAliasId,MATCH(BL105,nat_noviKluboviAliasi,0)),"")))</f>
        <v/>
      </c>
      <c r="CH105" s="47"/>
      <c r="CI105" s="19" t="str">
        <f t="shared" si="117"/>
        <v>INSERT INTO klub(id,naziv,drzava_id,aktivan) VALUES (20,'OK Medjimurje',1,1);</v>
      </c>
      <c r="CJ105" s="47" t="s">
        <v>0</v>
      </c>
      <c r="CK105" s="52" t="str">
        <f>IF(X105&lt;&gt;"NEMA","",IF(IFERROR(MATCH(W105,W$12:W104,0),0)&lt;&gt;0,"",W105))</f>
        <v/>
      </c>
      <c r="CL105" s="73" t="str">
        <f>IF(CK105="","",IFERROR(INDEX(regKlub_alias_id,MATCH(CK105,regKlub_alias_alias,0)),"NEMA"))</f>
        <v/>
      </c>
      <c r="CM105" s="31" t="str">
        <f>IF(OR(CL105="",CL105&lt;&gt;"NEMA"),"",MAX(CM$12:CM104)+1)</f>
        <v/>
      </c>
      <c r="CN105" s="66" t="str">
        <f>IF(OR(CL105="",CL105&lt;&gt;"NEMA"),"",INDEX(regKlub_id,MATCH(CK105,regKlub_naziv,0)))</f>
        <v/>
      </c>
      <c r="CO105" s="47" t="s">
        <v>0</v>
      </c>
      <c r="CP105" s="19" t="str">
        <f>IF(OR(CL105="",CL105&lt;&gt;"NEMA"),"","INSERT INTO klub_alias(id,alias,klub_id) VALUES ("&amp;CM105&amp;",'"&amp;CK105&amp;"',"&amp;CN105&amp;");")</f>
        <v/>
      </c>
      <c r="CQ105" s="47" t="s">
        <v>0</v>
      </c>
      <c r="CR105" s="143" t="str">
        <f ca="1">IF(BR105="","",IF(BV105="",IF(IFERROR(MATCH(BR105,nat_noviKluboviAliasi,0),0)&gt;0,INDEX(nat_kluboviAliasi,MATCH(BR105,nat_noviKluboviAliasi,0)),BR105),BV105))</f>
        <v>OK Jelen</v>
      </c>
      <c r="CS105" s="47" t="s">
        <v>0</v>
      </c>
      <c r="CT105" s="58" t="str">
        <f>IF(G105="","",G105)</f>
        <v/>
      </c>
      <c r="CU105" s="73" t="str">
        <f>IF(H105="","",H105)</f>
        <v>4</v>
      </c>
      <c r="CV105" s="229" t="str">
        <f>IF(CT105="",IF(OR(AL105="",CU105&lt;&gt;"0"),"","GREŠKA"),IF(AND(65535&gt;=VALUE(LEFT(CT105,SEARCH(":",CT105)-1))*60+VALUE(RIGHT(CT105,2)),OR(CU105="0",CU105="1",CU105="2",CU105="3",CU105="4")),"","GREŠKA"))</f>
        <v/>
      </c>
      <c r="CW105" s="230" t="str">
        <f t="shared" si="71"/>
        <v/>
      </c>
      <c r="CX105" s="163">
        <f t="shared" si="87"/>
        <v>5</v>
      </c>
      <c r="CY105" s="47" t="s">
        <v>0</v>
      </c>
      <c r="CZ105" s="222" t="str">
        <f>IF(CV105&lt;&gt;"GREŠKA","",AK105&amp;" "&amp;AL105&amp;" – Molim u OEventu provjeriti i ispraviti rezultat – vrijeme ("&amp;IF(CT105="","nije upisano",CT105)&amp;") i classifier ("&amp;CU105&amp;").")&amp;IF(OR(CV105&lt;&gt;"GREŠKA",CX105&lt;&gt;5),"
","")&amp;IF(CX105&lt;&gt;5,"",AK105&amp;" "&amp;AL105&amp;" – Molim u provjeriti je li natjecatelj zaista diskvalificiran. Ako je koje je obrazloženje, ako nije molim u OEventu ispraviti rezultat")</f>
        <v xml:space="preserve">
Andrija Golubić – Molim u provjeriti je li natjecatelj zaista diskvalificiran. Ako je koje je obrazloženje, ako nije molim u OEventu ispraviti rezultat</v>
      </c>
      <c r="DA105" s="223" t="e">
        <f t="shared" ca="1" si="118"/>
        <v>#N/A</v>
      </c>
      <c r="DB105" s="47" t="s">
        <v>0</v>
      </c>
      <c r="DC105" s="47"/>
      <c r="DD105" s="47"/>
      <c r="DE105" s="47"/>
      <c r="DF105" s="47" t="s">
        <v>0</v>
      </c>
      <c r="DG105" s="53" t="str">
        <f>IF(BD105="","",IF(DI105="O",1,""))</f>
        <v/>
      </c>
      <c r="DH105" t="s">
        <v>0</v>
      </c>
      <c r="DI105" s="128" t="str">
        <f>IF(Q105="","",LEFT(INDEX(regKategorija_oznaka,MATCH(S105,regKategorija_id,0)),1))</f>
        <v>M</v>
      </c>
      <c r="DJ105" t="s">
        <v>0</v>
      </c>
      <c r="DK105" s="52" t="str">
        <f>IF(BD105="","",IF(M105&lt;&gt;"CRO","","INSERT INTO osoba (id,reg_broj,oib,spol_id,dat_rodjenja) VALUES ("&amp;BD105&amp;",(SELECT max(os.reg_broj)+1 FROM osoba AS os),Null,'"&amp;DI105&amp;"',Null); INSERT INTO osoba_log (id,reg_broj,oib,spol_id,dat_rodjenja,dnevnik_id) SELECT id,reg_broj,oib,spol_id,dat_rodjenja,"&amp;data_dnevnik_id&amp;" FROM osoba WHERE id = "&amp;BD105&amp;";"))</f>
        <v>INSERT INTO osoba (id,reg_broj,oib,spol_id,dat_rodjenja) VALUES (1967,(SELECT max(os.reg_broj)+1 FROM osoba AS os),Null,'M',Null); INSERT INTO osoba_log (id,reg_broj,oib,spol_id,dat_rodjenja,dnevnik_id) SELECT id,reg_broj,oib,spol_id,dat_rodjenja,882 FROM osoba WHERE id = 1967;</v>
      </c>
      <c r="DL105" s="66" t="str">
        <f ca="1">IF(BD105="","","INSERT INTO imeprezime (id,osoba_id,rbr,ime,prezime,klub_id,identitet_id,sintaksa_id,info,aktivno,dnevnik_id) VALUES ("&amp;BD105&amp;","&amp;IF(DK105="","Null",BD105)&amp;",1,'"&amp;IF(AV105&lt;&gt;"",AV105,AK105)&amp;"','"&amp;IF(AW105&lt;&gt;"",AW105,AL105)&amp;"',(SELECT id FROM klub WHERE naziv = '"&amp;CR105&amp;"'),Null,1,'',1,"&amp;data_dnevnik_id&amp;");")</f>
        <v/>
      </c>
      <c r="DM105" t="s">
        <v>0</v>
      </c>
      <c r="DN105" s="19" t="str">
        <f t="shared" ca="1" si="126"/>
        <v/>
      </c>
      <c r="DO105" s="47" t="s">
        <v>0</v>
      </c>
      <c r="DP105" s="19" t="str">
        <f>IF(BA105="","","INSERT INTO imeprezime_alias(id,alias,imeprezime_id) VALUES ("&amp;BB105&amp;",'"&amp;BA105&amp;"',"&amp;IF(BC105="NEMA",BD105,BC105)&amp;");")</f>
        <v/>
      </c>
      <c r="DQ105" s="47" t="s">
        <v>0</v>
      </c>
      <c r="DR105" s="52" t="str">
        <f ca="1">IF(AL105="","",DU105 &amp; IF(Q105="",""," – " &amp; Q105))</f>
        <v>Ivan – Šeperić-Grdiša – OK Jelen – M21B</v>
      </c>
      <c r="DS105" s="53" t="str">
        <f t="shared" ca="1" si="88"/>
        <v>NEMA</v>
      </c>
      <c r="DT105" s="47" t="s">
        <v>0</v>
      </c>
      <c r="DU105" s="52" t="str">
        <f ca="1">IF(AL105="","",DX105 &amp; IF(CR105="",""," – " &amp; CR105))</f>
        <v>Ivan – Šeperić-Grdiša – OK Jelen</v>
      </c>
      <c r="DV105" s="53">
        <f t="shared" ca="1" si="89"/>
        <v>189</v>
      </c>
      <c r="DW105" s="47" t="s">
        <v>0</v>
      </c>
      <c r="DX105" s="52" t="str">
        <f>IF(BG105="","",BF105&amp;" – "&amp;BG105)</f>
        <v>Andrija – Golubić</v>
      </c>
      <c r="DY105" s="53" t="str">
        <f t="shared" si="90"/>
        <v>NEMA</v>
      </c>
      <c r="DZ105" s="47" t="s">
        <v>0</v>
      </c>
      <c r="EA105" s="58">
        <f t="shared" ca="1" si="119"/>
        <v>189</v>
      </c>
      <c r="EB105" s="53" cm="1">
        <f t="array" aca="1" ref="EB105" ca="1">IF(EA105&lt;&gt;"",INDEX(regNatjecatelj_id,EA105,0),IF(BD105&lt;&gt;"",BD105,""))</f>
        <v>1111</v>
      </c>
      <c r="EC105" s="47" t="s">
        <v>0</v>
      </c>
      <c r="ED105" s="58" t="str">
        <f>IF(AL105="","",IF(BD105&lt;&gt;"","novo",IF(AN105="","imepre","imepre(ali)")))</f>
        <v>novo</v>
      </c>
      <c r="EE105" s="73" t="str">
        <f>IF(AL105="","",IF(BL105="",IF(IFERROR(INDEX(regNatjecatelj_klub,MATCH(EB105,regNatjecatelj_id,0)),"NEMA")="","klu",""),IF(OR(AND(BN105&lt;&gt;"",BN105&lt;&gt;"NEMA"),CD105&lt;&gt;""),"klu(ali)",IF(AND(BP105&lt;&gt;"",BP105&lt;&gt;BO105),"(raz-klu)","klu"))))</f>
        <v>klu</v>
      </c>
      <c r="EF105" s="73" t="str">
        <f>IF(AL105="","","kat"&amp;IF(AND(W105&lt;&gt;Q105,Q105&lt;&gt;"Open"),"(ali)",""))</f>
        <v>kat</v>
      </c>
      <c r="EG105" s="73" t="str">
        <f t="shared" si="91"/>
        <v/>
      </c>
      <c r="EH105" s="66" t="str">
        <f>IF(AL105="","",ED105&amp;IF(ED105="novo","","-"&amp;EE105&amp;"-"&amp;EF105)&amp;IF(EG105="","","-"&amp;EG105))</f>
        <v>novo</v>
      </c>
      <c r="EI105" s="47" t="s">
        <v>0</v>
      </c>
      <c r="EJ105" s="58">
        <f>IF(AL105="","",MAX(EJ$12:EJ104)+1)</f>
        <v>274</v>
      </c>
      <c r="EK105" s="73">
        <f>IF(AO105="","",X105)</f>
        <v>28</v>
      </c>
      <c r="EL105" s="73">
        <f t="shared" ca="1" si="120"/>
        <v>1111</v>
      </c>
      <c r="EM105" s="73" t="str">
        <f t="shared" si="92"/>
        <v/>
      </c>
      <c r="EN105" s="73">
        <f t="shared" si="93"/>
        <v>5</v>
      </c>
      <c r="EO105" s="73">
        <f t="shared" ca="1" si="121"/>
        <v>0</v>
      </c>
      <c r="EP105" s="73">
        <f t="shared" si="122"/>
        <v>33</v>
      </c>
      <c r="EQ105" s="73" t="str">
        <f t="shared" si="94"/>
        <v>4</v>
      </c>
      <c r="ER105" s="73" t="str">
        <f>IF(OR(AN105="",AN105="NEMA"),BB105,AN105)</f>
        <v/>
      </c>
      <c r="ES105" s="73" t="str">
        <f>IF(AND(BN105&lt;&gt;"",BN105&lt;&gt;"NEMA"),BN105,IF(CG105&lt;&gt;"",CG105,IF(AND(CL105&lt;&gt;"",CL105&lt;&gt;"NEMA"),CL105,IF(CM105&lt;&gt;"",CM105,""))))</f>
        <v/>
      </c>
      <c r="ET105" s="53" t="str">
        <f>IF(INDEX(natKategorija_alias_Id,MATCH(S105,natKategorija_katRegId,0))="","",INDEX(natKategorija_alias_Id,MATCH(S105,natKategorija_katRegId,0)))</f>
        <v/>
      </c>
      <c r="EU105" s="47" t="s">
        <v>0</v>
      </c>
      <c r="EV105" s="19" t="str">
        <f t="shared" ca="1" si="123"/>
        <v>INSERT INTO rezultat(id,stazakategorija_id,imeprezime_id,vrijeme_sec,status_id,registracija,uparivanje_id,originalstatus_id,imeprezimealias_id,klubalias_id,kategorijaalias_id) VALUES (274,28,1111,Null,5,0,11,4,1111,Null,Null);</v>
      </c>
      <c r="EW105" s="47" t="s">
        <v>0</v>
      </c>
      <c r="EX105" s="19" t="str">
        <f t="shared" ca="1" si="124"/>
        <v/>
      </c>
      <c r="EY105" s="47" t="s">
        <v>0</v>
      </c>
      <c r="EZ105" s="180" t="str">
        <f ca="1">AG105&amp;IF(CP105="","","
")&amp;CP105&amp;IF(CI105="","","
")&amp;CI105&amp;IF(DN105="","","
")&amp;DN105&amp;IF(DP105="","","
")&amp;DP105&amp;IF(EV105="","","
")&amp;EV105&amp;IF(EX105="","","
")&amp;EX105</f>
        <v xml:space="preserve">
INSERT INTO klub(id,naziv,drzava_id,aktivan) VALUES (19,'OK Medjimurje',1,1);
INSERT INTO rezultat(id,stazakategorija_id,imeprezime_id,vrijeme_sec,status_id,registracija,uparivanje_id,originalstatus_id,imeprezimealias_id,klubalias_id,kategorijaalias_id) VALUES (274,28,1111,Null,5,0,11,4,1111,Null,Null);</v>
      </c>
      <c r="FA105" s="47" t="s">
        <v>0</v>
      </c>
    </row>
    <row r="106" spans="1:157" x14ac:dyDescent="0.25">
      <c r="A106" t="s">
        <v>0</v>
      </c>
      <c r="B106" s="52" t="str">
        <f>IF(csv!F96="","",csv!T96)</f>
        <v>M21B</v>
      </c>
      <c r="C106" s="31" t="s">
        <v>0</v>
      </c>
      <c r="D106" s="31" t="str">
        <f>IF(csv!F96="","",csv!F96)</f>
        <v>Vacant</v>
      </c>
      <c r="E106" s="31" t="str">
        <f>IF(csv!E96="","",csv!E96)</f>
        <v/>
      </c>
      <c r="F106" s="31" t="s">
        <v>0</v>
      </c>
      <c r="G106" s="73" t="str">
        <f>IF(csv!M96="","",csv!M96)</f>
        <v/>
      </c>
      <c r="H106" s="73" t="str">
        <f>IF(csv!N96="","",csv!N96)</f>
        <v>0</v>
      </c>
      <c r="I106" s="31" t="s">
        <v>0</v>
      </c>
      <c r="J106" s="31" t="str">
        <f>IF(csv!P96="","",csv!P96)</f>
        <v/>
      </c>
      <c r="K106" s="31" t="str">
        <f>IF(csv!Q96="","",csv!Q96)</f>
        <v/>
      </c>
      <c r="L106" s="31" t="s">
        <v>0</v>
      </c>
      <c r="M106" s="66" t="str">
        <f>IF(csv!R96="","",csv!R96)</f>
        <v/>
      </c>
      <c r="N106" s="47" t="s">
        <v>0</v>
      </c>
      <c r="O106" s="243" t="str">
        <f t="shared" si="95"/>
        <v/>
      </c>
      <c r="P106" s="47"/>
      <c r="Q106" s="52" t="str">
        <f t="shared" si="96"/>
        <v>M21B</v>
      </c>
      <c r="R106" s="73">
        <f>IF(Q106="","",IF(COUNTIF(Q$12:Q105,Q106)=0,R105+1,R105))</f>
        <v>6</v>
      </c>
      <c r="S106" s="73">
        <f t="shared" si="97"/>
        <v>108</v>
      </c>
      <c r="T106" s="73">
        <f t="shared" si="72"/>
        <v>19</v>
      </c>
      <c r="U106" s="66" t="str">
        <f t="shared" si="73"/>
        <v>M21B – M16</v>
      </c>
      <c r="V106" s="47" t="s">
        <v>0</v>
      </c>
      <c r="W106" s="222" t="str">
        <f t="shared" si="74"/>
        <v/>
      </c>
      <c r="X106" s="223" t="str">
        <f t="shared" si="75"/>
        <v/>
      </c>
      <c r="Y106" s="47" t="s">
        <v>0</v>
      </c>
      <c r="Z106" s="52" t="str">
        <f t="shared" si="98"/>
        <v/>
      </c>
      <c r="AA106" s="73" t="str">
        <f t="shared" si="76"/>
        <v/>
      </c>
      <c r="AB106" s="31" t="str">
        <f t="shared" si="99"/>
        <v/>
      </c>
      <c r="AC106" s="66" t="str">
        <f>IF(AB106="","",MAX(AC$12:AC105)+1)</f>
        <v/>
      </c>
      <c r="AD106" s="47" t="s">
        <v>0</v>
      </c>
      <c r="AE106" s="125"/>
      <c r="AF106" s="47" t="s">
        <v>0</v>
      </c>
      <c r="AG106" s="19" t="str">
        <f t="shared" si="100"/>
        <v/>
      </c>
      <c r="AH106" s="47" t="s">
        <v>0</v>
      </c>
      <c r="AI106" s="143" t="str">
        <f t="shared" si="101"/>
        <v/>
      </c>
      <c r="AJ106" s="47"/>
      <c r="AK106" s="52" t="str">
        <f t="shared" si="102"/>
        <v/>
      </c>
      <c r="AL106" s="31" t="str">
        <f t="shared" si="103"/>
        <v/>
      </c>
      <c r="AM106" s="73" t="str">
        <f t="shared" si="104"/>
        <v/>
      </c>
      <c r="AN106" s="73" t="str">
        <f t="shared" si="105"/>
        <v/>
      </c>
      <c r="AO106" s="31" t="str">
        <f t="shared" si="77"/>
        <v/>
      </c>
      <c r="AP106" s="66" t="str">
        <f t="shared" si="78"/>
        <v/>
      </c>
      <c r="AQ106" s="47" t="s">
        <v>0</v>
      </c>
      <c r="AR106" s="82" t="str">
        <f t="shared" si="106"/>
        <v/>
      </c>
      <c r="AS106" s="47" t="s">
        <v>0</v>
      </c>
      <c r="AT106" s="19" t="str">
        <f t="shared" si="107"/>
        <v/>
      </c>
      <c r="AU106" s="47" t="s">
        <v>0</v>
      </c>
      <c r="AV106" s="103"/>
      <c r="AW106" s="105"/>
      <c r="AX106" s="47" t="s">
        <v>0</v>
      </c>
      <c r="AY106" s="256" t="str">
        <f t="shared" si="125"/>
        <v/>
      </c>
      <c r="AZ106" s="47" t="s">
        <v>0</v>
      </c>
      <c r="BA106" s="52" t="str">
        <f t="shared" si="79"/>
        <v/>
      </c>
      <c r="BB106" s="73" t="str">
        <f>IF(AV106&amp;AW106="","",MAX(BB$12:BB105)+1)</f>
        <v/>
      </c>
      <c r="BC106" s="268" t="str">
        <f t="shared" si="80"/>
        <v/>
      </c>
      <c r="BD106" s="53" t="str">
        <f>IF(AND(AM106="NEMA",AN106="NEMA",OR(AV106&amp;AW106="",BC106="NEMA")),MAX(BD$12:BD105)+1,"")</f>
        <v/>
      </c>
      <c r="BE106" s="47" t="s">
        <v>0</v>
      </c>
      <c r="BF106" s="52" t="str">
        <f t="shared" si="81"/>
        <v/>
      </c>
      <c r="BG106" s="31" t="str">
        <f t="shared" si="82"/>
        <v/>
      </c>
      <c r="BH106" s="73" t="str">
        <f t="shared" si="108"/>
        <v/>
      </c>
      <c r="BI106" s="53" t="str">
        <f t="shared" si="109"/>
        <v/>
      </c>
      <c r="BJ106" s="47" t="s">
        <v>0</v>
      </c>
      <c r="BK106" s="52" t="str">
        <f t="shared" si="83"/>
        <v/>
      </c>
      <c r="BL106" s="31" t="str">
        <f t="shared" si="84"/>
        <v/>
      </c>
      <c r="BM106" s="73" t="str">
        <f t="shared" si="85"/>
        <v/>
      </c>
      <c r="BN106" s="73" t="str">
        <f t="shared" si="86"/>
        <v/>
      </c>
      <c r="BO106" s="31" t="str" cm="1">
        <f t="array" ref="BO106">IF(BN106="",""&amp;BL106,IF(BN106="NEMA",BL106,INDEX(regKlub_naziv,MATCH(INDEX(regKlub_alias_klubId,BN106),regKlub_id,0))))</f>
        <v/>
      </c>
      <c r="BP106" s="31" t="str" cm="1">
        <f t="array" ref="BP106">IFERROR(""&amp;INDEX(regNatjecatelj_klub,DY106),"")</f>
        <v/>
      </c>
      <c r="BQ106" s="88" t="str">
        <f t="shared" si="110"/>
        <v/>
      </c>
      <c r="BR106" s="66" t="str">
        <f t="shared" si="111"/>
        <v/>
      </c>
      <c r="BS106" s="47" t="s">
        <v>0</v>
      </c>
      <c r="BT106" s="82" t="str">
        <f>IF(BN106&lt;&gt;"NEMA","",IF(IFERROR(MATCH(BL106,BL$12:BL105,0),0)&lt;&gt;0,"",BL106))</f>
        <v/>
      </c>
      <c r="BU106" s="47" t="s">
        <v>0</v>
      </c>
      <c r="BV106" s="125"/>
      <c r="BW106" s="47" t="s">
        <v>0</v>
      </c>
      <c r="BX106" s="58" t="str">
        <f t="shared" si="112"/>
        <v/>
      </c>
      <c r="BY106" s="31" t="str">
        <f t="shared" si="113"/>
        <v/>
      </c>
      <c r="BZ106" s="31" t="str">
        <f>IF(BY106="","",MAX(BZ$12:BZ105)+1)</f>
        <v/>
      </c>
      <c r="CA106" s="31" t="str">
        <f>IF(BY106="","",IF(AA106="","",IF(AA106="NEMA",AC106,AA106)))</f>
        <v/>
      </c>
      <c r="CB106" s="31" t="str">
        <f t="shared" si="114"/>
        <v/>
      </c>
      <c r="CC106" s="31" t="str">
        <f>IF(BV106="","",MAX(CC$12:CC105)+1)</f>
        <v/>
      </c>
      <c r="CD106" s="31" t="str">
        <f t="shared" si="115"/>
        <v/>
      </c>
      <c r="CE106" s="66" t="str">
        <f t="shared" si="116"/>
        <v/>
      </c>
      <c r="CF106" s="47" t="s">
        <v>0</v>
      </c>
      <c r="CG106" s="73" t="str">
        <f>IF(BN106="","",IF(BN106&lt;&gt;"NEMA","",IFERROR(INDEX(nat_klubAliasId,MATCH(BL106,nat_noviKluboviAliasi,0)),"")))</f>
        <v/>
      </c>
      <c r="CH106" s="47"/>
      <c r="CI106" s="19" t="str">
        <f t="shared" si="117"/>
        <v/>
      </c>
      <c r="CJ106" s="47" t="s">
        <v>0</v>
      </c>
      <c r="CK106" s="52" t="str">
        <f>IF(X106&lt;&gt;"NEMA","",IF(IFERROR(MATCH(W106,W$12:W105,0),0)&lt;&gt;0,"",W106))</f>
        <v/>
      </c>
      <c r="CL106" s="73" t="str">
        <f>IF(CK106="","",IFERROR(INDEX(regKlub_alias_id,MATCH(CK106,regKlub_alias_alias,0)),"NEMA"))</f>
        <v/>
      </c>
      <c r="CM106" s="31" t="str">
        <f>IF(OR(CL106="",CL106&lt;&gt;"NEMA"),"",MAX(CM$12:CM105)+1)</f>
        <v/>
      </c>
      <c r="CN106" s="66" t="str">
        <f>IF(OR(CL106="",CL106&lt;&gt;"NEMA"),"",INDEX(regKlub_id,MATCH(CK106,regKlub_naziv,0)))</f>
        <v/>
      </c>
      <c r="CO106" s="47" t="s">
        <v>0</v>
      </c>
      <c r="CP106" s="19" t="str">
        <f>IF(OR(CL106="",CL106&lt;&gt;"NEMA"),"","INSERT INTO klub_alias(id,alias,klub_id) VALUES ("&amp;CM106&amp;",'"&amp;CK106&amp;"',"&amp;CN106&amp;");")</f>
        <v/>
      </c>
      <c r="CQ106" s="47" t="s">
        <v>0</v>
      </c>
      <c r="CR106" s="143" t="str">
        <f>IF(BR106="","",IF(BV106="",IF(IFERROR(MATCH(BR106,nat_noviKluboviAliasi,0),0)&gt;0,INDEX(nat_kluboviAliasi,MATCH(BR106,nat_noviKluboviAliasi,0)),BR106),BV106))</f>
        <v/>
      </c>
      <c r="CS106" s="47" t="s">
        <v>0</v>
      </c>
      <c r="CT106" s="58" t="str">
        <f>IF(G106="","",G106)</f>
        <v/>
      </c>
      <c r="CU106" s="73" t="str">
        <f>IF(H106="","",H106)</f>
        <v>0</v>
      </c>
      <c r="CV106" s="229" t="str">
        <f>IF(CT106="",IF(OR(AL106="",CU106&lt;&gt;"0"),"","GREŠKA"),IF(AND(65535&gt;=VALUE(LEFT(CT106,SEARCH(":",CT106)-1))*60+VALUE(RIGHT(CT106,2)),OR(CU106="0",CU106="1",CU106="2",CU106="3",CU106="4")),"","GREŠKA"))</f>
        <v/>
      </c>
      <c r="CW106" s="230" t="str">
        <f t="shared" si="71"/>
        <v/>
      </c>
      <c r="CX106" s="163" t="str">
        <f t="shared" si="87"/>
        <v/>
      </c>
      <c r="CY106" s="47" t="s">
        <v>0</v>
      </c>
      <c r="CZ106" s="222" t="str">
        <f>IF(CV106&lt;&gt;"GREŠKA","",AK106&amp;" "&amp;AL106&amp;" – Molim u OEventu provjeriti i ispraviti rezultat – vrijeme ("&amp;IF(CT106="","nije upisano",CT106)&amp;") i classifier ("&amp;CU106&amp;").")&amp;IF(OR(CV106&lt;&gt;"GREŠKA",CX106&lt;&gt;5),"
","")&amp;IF(CX106&lt;&gt;5,"",AK106&amp;" "&amp;AL106&amp;" – Molim u provjeriti je li natjecatelj zaista diskvalificiran. Ako je koje je obrazloženje, ako nije molim u OEventu ispraviti rezultat")</f>
        <v xml:space="preserve">
</v>
      </c>
      <c r="DA106" s="223" t="str">
        <f t="shared" si="118"/>
        <v/>
      </c>
      <c r="DB106" s="47" t="s">
        <v>0</v>
      </c>
      <c r="DC106" s="47"/>
      <c r="DD106" s="47"/>
      <c r="DE106" s="47"/>
      <c r="DF106" s="47" t="s">
        <v>0</v>
      </c>
      <c r="DG106" s="53" t="str">
        <f>IF(BD106="","",IF(DI106="O",1,""))</f>
        <v/>
      </c>
      <c r="DH106" t="s">
        <v>0</v>
      </c>
      <c r="DI106" s="128" t="str">
        <f>IF(Q106="","",LEFT(INDEX(regKategorija_oznaka,MATCH(S106,regKategorija_id,0)),1))</f>
        <v>M</v>
      </c>
      <c r="DJ106" t="s">
        <v>0</v>
      </c>
      <c r="DK106" s="52" t="str">
        <f>IF(BD106="","",IF(M106&lt;&gt;"CRO","","INSERT INTO osoba (id,reg_broj,oib,spol_id,dat_rodjenja) VALUES ("&amp;BD106&amp;",(SELECT max(os.reg_broj)+1 FROM osoba AS os),Null,'"&amp;DI106&amp;"',Null); INSERT INTO osoba_log (id,reg_broj,oib,spol_id,dat_rodjenja,dnevnik_id) SELECT id,reg_broj,oib,spol_id,dat_rodjenja,"&amp;data_dnevnik_id&amp;" FROM osoba WHERE id = "&amp;BD106&amp;";"))</f>
        <v/>
      </c>
      <c r="DL106" s="66" t="str">
        <f>IF(BD106="","","INSERT INTO imeprezime (id,osoba_id,rbr,ime,prezime,klub_id,identitet_id,sintaksa_id,info,aktivno,dnevnik_id) VALUES ("&amp;BD106&amp;","&amp;IF(DK106="","Null",BD106)&amp;",1,'"&amp;IF(AV106&lt;&gt;"",AV106,AK106)&amp;"','"&amp;IF(AW106&lt;&gt;"",AW106,AL106)&amp;"',(SELECT id FROM klub WHERE naziv = '"&amp;CR106&amp;"'),Null,1,'',1,"&amp;data_dnevnik_id&amp;");")</f>
        <v/>
      </c>
      <c r="DM106" t="s">
        <v>0</v>
      </c>
      <c r="DN106" s="19" t="str">
        <f t="shared" si="126"/>
        <v/>
      </c>
      <c r="DO106" s="47" t="s">
        <v>0</v>
      </c>
      <c r="DP106" s="19" t="str">
        <f>IF(BA106="","","INSERT INTO imeprezime_alias(id,alias,imeprezime_id) VALUES ("&amp;BB106&amp;",'"&amp;BA106&amp;"',"&amp;IF(BC106="NEMA",BD106,BC106)&amp;");")</f>
        <v/>
      </c>
      <c r="DQ106" s="47" t="s">
        <v>0</v>
      </c>
      <c r="DR106" s="52" t="str">
        <f>IF(AL106="","",DU106 &amp; IF(Q106="",""," – " &amp; Q106))</f>
        <v/>
      </c>
      <c r="DS106" s="53" t="str">
        <f t="shared" si="88"/>
        <v/>
      </c>
      <c r="DT106" s="47" t="s">
        <v>0</v>
      </c>
      <c r="DU106" s="52" t="str">
        <f>IF(AL106="","",DX106 &amp; IF(CR106="",""," – " &amp; CR106))</f>
        <v/>
      </c>
      <c r="DV106" s="53" t="str">
        <f t="shared" si="89"/>
        <v/>
      </c>
      <c r="DW106" s="47" t="s">
        <v>0</v>
      </c>
      <c r="DX106" s="52" t="str">
        <f>IF(BG106="","",BF106&amp;" – "&amp;BG106)</f>
        <v/>
      </c>
      <c r="DY106" s="53" t="str">
        <f t="shared" si="90"/>
        <v/>
      </c>
      <c r="DZ106" s="47" t="s">
        <v>0</v>
      </c>
      <c r="EA106" s="58" t="str">
        <f t="shared" si="119"/>
        <v/>
      </c>
      <c r="EB106" s="53" t="str" cm="1">
        <f t="array" ref="EB106">IF(EA106&lt;&gt;"",INDEX(regNatjecatelj_id,EA106,0),IF(BD106&lt;&gt;"",BD106,""))</f>
        <v/>
      </c>
      <c r="EC106" s="47" t="s">
        <v>0</v>
      </c>
      <c r="ED106" s="58" t="str">
        <f>IF(AL106="","",IF(BD106&lt;&gt;"","novo",IF(AN106="","imepre","imepre(ali)")))</f>
        <v/>
      </c>
      <c r="EE106" s="73" t="str">
        <f>IF(AL106="","",IF(BL106="",IF(IFERROR(INDEX(regNatjecatelj_klub,MATCH(EB106,regNatjecatelj_id,0)),"NEMA")="","klu",""),IF(OR(AND(BN106&lt;&gt;"",BN106&lt;&gt;"NEMA"),CD106&lt;&gt;""),"klu(ali)",IF(AND(BP106&lt;&gt;"",BP106&lt;&gt;BO106),"(raz-klu)","klu"))))</f>
        <v/>
      </c>
      <c r="EF106" s="73" t="str">
        <f>IF(AL106="","","kat"&amp;IF(AND(W106&lt;&gt;Q106,Q106&lt;&gt;"Open"),"(ali)",""))</f>
        <v/>
      </c>
      <c r="EG106" s="73" t="str">
        <f t="shared" si="91"/>
        <v/>
      </c>
      <c r="EH106" s="66" t="str">
        <f>IF(AL106="","",ED106&amp;IF(ED106="novo","","-"&amp;EE106&amp;"-"&amp;EF106)&amp;IF(EG106="","","-"&amp;EG106))</f>
        <v/>
      </c>
      <c r="EI106" s="47" t="s">
        <v>0</v>
      </c>
      <c r="EJ106" s="58" t="str">
        <f>IF(AL106="","",MAX(EJ$12:EJ105)+1)</f>
        <v/>
      </c>
      <c r="EK106" s="73" t="str">
        <f>IF(AO106="","",X106)</f>
        <v/>
      </c>
      <c r="EL106" s="73" t="str">
        <f t="shared" si="120"/>
        <v/>
      </c>
      <c r="EM106" s="73" t="str">
        <f t="shared" si="92"/>
        <v/>
      </c>
      <c r="EN106" s="73" t="str">
        <f t="shared" si="93"/>
        <v/>
      </c>
      <c r="EO106" s="73" t="str">
        <f t="shared" si="121"/>
        <v/>
      </c>
      <c r="EP106" s="73" t="str">
        <f t="shared" si="122"/>
        <v/>
      </c>
      <c r="EQ106" s="73" t="str">
        <f t="shared" si="94"/>
        <v/>
      </c>
      <c r="ER106" s="73" t="str">
        <f>IF(OR(AN106="",AN106="NEMA"),BB106,AN106)</f>
        <v/>
      </c>
      <c r="ES106" s="73" t="str">
        <f>IF(AND(BN106&lt;&gt;"",BN106&lt;&gt;"NEMA"),BN106,IF(CG106&lt;&gt;"",CG106,IF(AND(CL106&lt;&gt;"",CL106&lt;&gt;"NEMA"),CL106,IF(CM106&lt;&gt;"",CM106,""))))</f>
        <v/>
      </c>
      <c r="ET106" s="53" t="str">
        <f>IF(INDEX(natKategorija_alias_Id,MATCH(S106,natKategorija_katRegId,0))="","",INDEX(natKategorija_alias_Id,MATCH(S106,natKategorija_katRegId,0)))</f>
        <v/>
      </c>
      <c r="EU106" s="47" t="s">
        <v>0</v>
      </c>
      <c r="EV106" s="19" t="str">
        <f t="shared" si="123"/>
        <v/>
      </c>
      <c r="EW106" s="47" t="s">
        <v>0</v>
      </c>
      <c r="EX106" s="19" t="str">
        <f t="shared" si="124"/>
        <v/>
      </c>
      <c r="EY106" s="47" t="s">
        <v>0</v>
      </c>
      <c r="EZ106" s="180" t="str">
        <f>AG106&amp;IF(CP106="","","
")&amp;CP106&amp;IF(CI106="","","
")&amp;CI106&amp;IF(DN106="","","
")&amp;DN106&amp;IF(DP106="","","
")&amp;DP106&amp;IF(EV106="","","
")&amp;EV106&amp;IF(EX106="","","
")&amp;EX106</f>
        <v/>
      </c>
      <c r="FA106" s="47" t="s">
        <v>0</v>
      </c>
    </row>
    <row r="107" spans="1:157" x14ac:dyDescent="0.25">
      <c r="A107" t="s">
        <v>0</v>
      </c>
      <c r="B107" s="52" t="str">
        <f>IF(csv!F97="","",csv!T97)</f>
        <v>M21B</v>
      </c>
      <c r="C107" s="31" t="s">
        <v>0</v>
      </c>
      <c r="D107" s="31" t="str">
        <f>IF(csv!F97="","",csv!F97)</f>
        <v>Tomislav</v>
      </c>
      <c r="E107" s="31" t="str">
        <f>IF(csv!E97="","",csv!E97)</f>
        <v>Jurač</v>
      </c>
      <c r="F107" s="31" t="s">
        <v>0</v>
      </c>
      <c r="G107" s="73" t="str">
        <f>IF(csv!M97="","",csv!M97)</f>
        <v/>
      </c>
      <c r="H107" s="73" t="str">
        <f>IF(csv!N97="","",csv!N97)</f>
        <v>1</v>
      </c>
      <c r="I107" s="31" t="s">
        <v>0</v>
      </c>
      <c r="J107" s="31" t="str">
        <f>IF(csv!P97="","",csv!P97)</f>
        <v>Vihor</v>
      </c>
      <c r="K107" s="31" t="str">
        <f>IF(csv!Q97="","",csv!Q97)</f>
        <v>OK Vihor</v>
      </c>
      <c r="L107" s="31" t="s">
        <v>0</v>
      </c>
      <c r="M107" s="66" t="str">
        <f>IF(csv!R97="","",csv!R97)</f>
        <v>CRO</v>
      </c>
      <c r="N107" s="47" t="s">
        <v>0</v>
      </c>
      <c r="O107" s="243" t="str">
        <f t="shared" si="95"/>
        <v>ok</v>
      </c>
      <c r="P107" s="47"/>
      <c r="Q107" s="52" t="str">
        <f t="shared" si="96"/>
        <v>M21B</v>
      </c>
      <c r="R107" s="73">
        <f>IF(Q107="","",IF(COUNTIF(Q$12:Q106,Q107)=0,R106+1,R106))</f>
        <v>6</v>
      </c>
      <c r="S107" s="73">
        <f t="shared" si="97"/>
        <v>108</v>
      </c>
      <c r="T107" s="73">
        <f t="shared" si="72"/>
        <v>19</v>
      </c>
      <c r="U107" s="66" t="str">
        <f t="shared" si="73"/>
        <v>M21B – M16</v>
      </c>
      <c r="V107" s="47" t="s">
        <v>0</v>
      </c>
      <c r="W107" s="222" t="str">
        <f t="shared" si="74"/>
        <v>M21B</v>
      </c>
      <c r="X107" s="223">
        <f t="shared" si="75"/>
        <v>28</v>
      </c>
      <c r="Y107" s="47" t="s">
        <v>0</v>
      </c>
      <c r="Z107" s="52" t="str">
        <f t="shared" si="98"/>
        <v>CRO</v>
      </c>
      <c r="AA107" s="73">
        <f t="shared" si="76"/>
        <v>1</v>
      </c>
      <c r="AB107" s="31" t="str">
        <f t="shared" si="99"/>
        <v/>
      </c>
      <c r="AC107" s="66" t="str">
        <f>IF(AB107="","",MAX(AC$12:AC106)+1)</f>
        <v/>
      </c>
      <c r="AD107" s="47" t="s">
        <v>0</v>
      </c>
      <c r="AE107" s="125"/>
      <c r="AF107" s="47" t="s">
        <v>0</v>
      </c>
      <c r="AG107" s="19" t="str">
        <f t="shared" si="100"/>
        <v/>
      </c>
      <c r="AH107" s="47" t="s">
        <v>0</v>
      </c>
      <c r="AI107" s="143" t="str">
        <f t="shared" si="101"/>
        <v>CRO</v>
      </c>
      <c r="AJ107" s="47"/>
      <c r="AK107" s="52" t="str">
        <f t="shared" si="102"/>
        <v>Tomislav</v>
      </c>
      <c r="AL107" s="31" t="str">
        <f t="shared" si="103"/>
        <v>Jurač</v>
      </c>
      <c r="AM107" s="73">
        <f t="shared" si="104"/>
        <v>1567</v>
      </c>
      <c r="AN107" s="73" t="str">
        <f t="shared" si="105"/>
        <v/>
      </c>
      <c r="AO107" s="31" t="str">
        <f t="shared" si="77"/>
        <v>Tomislav</v>
      </c>
      <c r="AP107" s="66" t="str">
        <f t="shared" si="78"/>
        <v>Jurač</v>
      </c>
      <c r="AQ107" s="47" t="s">
        <v>0</v>
      </c>
      <c r="AR107" s="82" t="str">
        <f t="shared" si="106"/>
        <v/>
      </c>
      <c r="AS107" s="47" t="s">
        <v>0</v>
      </c>
      <c r="AT107" s="19" t="str">
        <f t="shared" si="107"/>
        <v/>
      </c>
      <c r="AU107" s="47" t="s">
        <v>0</v>
      </c>
      <c r="AV107" s="103"/>
      <c r="AW107" s="105"/>
      <c r="AX107" s="47" t="s">
        <v>0</v>
      </c>
      <c r="AY107" s="256" t="str">
        <f t="shared" si="125"/>
        <v/>
      </c>
      <c r="AZ107" s="47" t="s">
        <v>0</v>
      </c>
      <c r="BA107" s="52" t="str">
        <f t="shared" si="79"/>
        <v/>
      </c>
      <c r="BB107" s="73" t="str">
        <f>IF(AV107&amp;AW107="","",MAX(BB$12:BB106)+1)</f>
        <v/>
      </c>
      <c r="BC107" s="268" t="str">
        <f t="shared" si="80"/>
        <v/>
      </c>
      <c r="BD107" s="53" t="str">
        <f>IF(AND(AM107="NEMA",AN107="NEMA",OR(AV107&amp;AW107="",BC107="NEMA")),MAX(BD$12:BD106)+1,"")</f>
        <v/>
      </c>
      <c r="BE107" s="47" t="s">
        <v>0</v>
      </c>
      <c r="BF107" s="52" t="str">
        <f t="shared" si="81"/>
        <v>Tomislav</v>
      </c>
      <c r="BG107" s="31" t="str">
        <f t="shared" si="82"/>
        <v>Jurač</v>
      </c>
      <c r="BH107" s="73" t="str">
        <f t="shared" si="108"/>
        <v/>
      </c>
      <c r="BI107" s="53">
        <f t="shared" si="109"/>
        <v>1567</v>
      </c>
      <c r="BJ107" s="47" t="s">
        <v>0</v>
      </c>
      <c r="BK107" s="52" t="str">
        <f t="shared" si="83"/>
        <v>Vihor</v>
      </c>
      <c r="BL107" s="31" t="str">
        <f t="shared" si="84"/>
        <v>OK Vihor</v>
      </c>
      <c r="BM107" s="73">
        <f t="shared" si="85"/>
        <v>12</v>
      </c>
      <c r="BN107" s="73" t="str">
        <f t="shared" si="86"/>
        <v/>
      </c>
      <c r="BO107" s="31" t="str" cm="1">
        <f t="array" ref="BO107">IF(BN107="",""&amp;BL107,IF(BN107="NEMA",BL107,INDEX(regKlub_naziv,MATCH(INDEX(regKlub_alias_klubId,BN107),regKlub_id,0))))</f>
        <v>OK Vihor</v>
      </c>
      <c r="BP107" s="31" t="str" cm="1">
        <f t="array" ref="BP107">IFERROR(""&amp;INDEX(regNatjecatelj_klub,DY107),"")</f>
        <v>OK Vihor</v>
      </c>
      <c r="BQ107" s="88" t="str">
        <f t="shared" si="110"/>
        <v/>
      </c>
      <c r="BR107" s="66" t="str">
        <f t="shared" si="111"/>
        <v>OK Vihor</v>
      </c>
      <c r="BS107" s="47" t="s">
        <v>0</v>
      </c>
      <c r="BT107" s="82" t="str">
        <f>IF(BN107&lt;&gt;"NEMA","",IF(IFERROR(MATCH(BL107,BL$12:BL106,0),0)&lt;&gt;0,"",BL107))</f>
        <v/>
      </c>
      <c r="BU107" s="47" t="s">
        <v>0</v>
      </c>
      <c r="BV107" s="125"/>
      <c r="BW107" s="47" t="s">
        <v>0</v>
      </c>
      <c r="BX107" s="58" t="str">
        <f t="shared" si="112"/>
        <v/>
      </c>
      <c r="BY107" s="31" t="str">
        <f t="shared" si="113"/>
        <v/>
      </c>
      <c r="BZ107" s="31" t="str">
        <f>IF(BY107="","",MAX(BZ$12:BZ106)+1)</f>
        <v/>
      </c>
      <c r="CA107" s="31" t="str">
        <f>IF(BY107="","",IF(AA107="","",IF(AA107="NEMA",AC107,AA107)))</f>
        <v/>
      </c>
      <c r="CB107" s="31" t="str">
        <f t="shared" si="114"/>
        <v/>
      </c>
      <c r="CC107" s="31" t="str">
        <f>IF(BV107="","",MAX(CC$12:CC106)+1)</f>
        <v/>
      </c>
      <c r="CD107" s="31" t="str">
        <f t="shared" si="115"/>
        <v/>
      </c>
      <c r="CE107" s="66" t="str">
        <f t="shared" si="116"/>
        <v/>
      </c>
      <c r="CF107" s="47" t="s">
        <v>0</v>
      </c>
      <c r="CG107" s="73" t="str">
        <f>IF(BN107="","",IF(BN107&lt;&gt;"NEMA","",IFERROR(INDEX(nat_klubAliasId,MATCH(BL107,nat_noviKluboviAliasi,0)),"")))</f>
        <v/>
      </c>
      <c r="CH107" s="47"/>
      <c r="CI107" s="19" t="str">
        <f t="shared" si="117"/>
        <v/>
      </c>
      <c r="CJ107" s="47" t="s">
        <v>0</v>
      </c>
      <c r="CK107" s="52" t="str">
        <f>IF(X107&lt;&gt;"NEMA","",IF(IFERROR(MATCH(W107,W$12:W106,0),0)&lt;&gt;0,"",W107))</f>
        <v/>
      </c>
      <c r="CL107" s="73" t="str">
        <f>IF(CK107="","",IFERROR(INDEX(regKlub_alias_id,MATCH(CK107,regKlub_alias_alias,0)),"NEMA"))</f>
        <v/>
      </c>
      <c r="CM107" s="31" t="str">
        <f>IF(OR(CL107="",CL107&lt;&gt;"NEMA"),"",MAX(CM$12:CM106)+1)</f>
        <v/>
      </c>
      <c r="CN107" s="66" t="str">
        <f>IF(OR(CL107="",CL107&lt;&gt;"NEMA"),"",INDEX(regKlub_id,MATCH(CK107,regKlub_naziv,0)))</f>
        <v/>
      </c>
      <c r="CO107" s="47" t="s">
        <v>0</v>
      </c>
      <c r="CP107" s="19" t="str">
        <f>IF(OR(CL107="",CL107&lt;&gt;"NEMA"),"","INSERT INTO klub_alias(id,alias,klub_id) VALUES ("&amp;CM107&amp;",'"&amp;CK107&amp;"',"&amp;CN107&amp;");")</f>
        <v/>
      </c>
      <c r="CQ107" s="47" t="s">
        <v>0</v>
      </c>
      <c r="CR107" s="143" t="str">
        <f>IF(BR107="","",IF(BV107="",IF(IFERROR(MATCH(BR107,nat_noviKluboviAliasi,0),0)&gt;0,INDEX(nat_kluboviAliasi,MATCH(BR107,nat_noviKluboviAliasi,0)),BR107),BV107))</f>
        <v>OK Vihor</v>
      </c>
      <c r="CS107" s="47" t="s">
        <v>0</v>
      </c>
      <c r="CT107" s="58" t="str">
        <f>IF(G107="","",G107)</f>
        <v/>
      </c>
      <c r="CU107" s="73" t="str">
        <f>IF(H107="","",H107)</f>
        <v>1</v>
      </c>
      <c r="CV107" s="229" t="str">
        <f>IF(CT107="",IF(OR(AL107="",CU107&lt;&gt;"0"),"","GREŠKA"),IF(AND(65535&gt;=VALUE(LEFT(CT107,SEARCH(":",CT107)-1))*60+VALUE(RIGHT(CT107,2)),OR(CU107="0",CU107="1",CU107="2",CU107="3",CU107="4")),"","GREŠKA"))</f>
        <v/>
      </c>
      <c r="CW107" s="230" t="str">
        <f t="shared" si="71"/>
        <v/>
      </c>
      <c r="CX107" s="163">
        <f t="shared" si="87"/>
        <v>6</v>
      </c>
      <c r="CY107" s="47" t="s">
        <v>0</v>
      </c>
      <c r="CZ107" s="222" t="str">
        <f>IF(CV107&lt;&gt;"GREŠKA","",AK107&amp;" "&amp;AL107&amp;" – Molim u OEventu provjeriti i ispraviti rezultat – vrijeme ("&amp;IF(CT107="","nije upisano",CT107)&amp;") i classifier ("&amp;CU107&amp;").")&amp;IF(OR(CV107&lt;&gt;"GREŠKA",CX107&lt;&gt;5),"
","")&amp;IF(CX107&lt;&gt;5,"",AK107&amp;" "&amp;AL107&amp;" – Molim u provjeriti je li natjecatelj zaista diskvalificiran. Ako je koje je obrazloženje, ako nije molim u OEventu ispraviti rezultat")</f>
        <v xml:space="preserve">
</v>
      </c>
      <c r="DA107" s="223" t="e">
        <f t="shared" si="118"/>
        <v>#N/A</v>
      </c>
      <c r="DB107" s="47" t="s">
        <v>0</v>
      </c>
      <c r="DC107" s="47"/>
      <c r="DD107" s="47"/>
      <c r="DE107" s="47"/>
      <c r="DF107" s="47" t="s">
        <v>0</v>
      </c>
      <c r="DG107" s="53" t="str">
        <f>IF(BD107="","",IF(DI107="O",1,""))</f>
        <v/>
      </c>
      <c r="DH107" t="s">
        <v>0</v>
      </c>
      <c r="DI107" s="128" t="str">
        <f>IF(Q107="","",LEFT(INDEX(regKategorija_oznaka,MATCH(S107,regKategorija_id,0)),1))</f>
        <v>M</v>
      </c>
      <c r="DJ107" t="s">
        <v>0</v>
      </c>
      <c r="DK107" s="52" t="str">
        <f>IF(BD107="","",IF(M107&lt;&gt;"CRO","","INSERT INTO osoba (id,reg_broj,oib,spol_id,dat_rodjenja) VALUES ("&amp;BD107&amp;",(SELECT max(os.reg_broj)+1 FROM osoba AS os),Null,'"&amp;DI107&amp;"',Null); INSERT INTO osoba_log (id,reg_broj,oib,spol_id,dat_rodjenja,dnevnik_id) SELECT id,reg_broj,oib,spol_id,dat_rodjenja,"&amp;data_dnevnik_id&amp;" FROM osoba WHERE id = "&amp;BD107&amp;";"))</f>
        <v/>
      </c>
      <c r="DL107" s="66" t="str">
        <f>IF(BD107="","","INSERT INTO imeprezime (id,osoba_id,rbr,ime,prezime,klub_id,identitet_id,sintaksa_id,info,aktivno,dnevnik_id) VALUES ("&amp;BD107&amp;","&amp;IF(DK107="","Null",BD107)&amp;",1,'"&amp;IF(AV107&lt;&gt;"",AV107,AK107)&amp;"','"&amp;IF(AW107&lt;&gt;"",AW107,AL107)&amp;"',(SELECT id FROM klub WHERE naziv = '"&amp;CR107&amp;"'),Null,1,'',1,"&amp;data_dnevnik_id&amp;");")</f>
        <v/>
      </c>
      <c r="DM107" t="s">
        <v>0</v>
      </c>
      <c r="DN107" s="19" t="str">
        <f t="shared" si="126"/>
        <v/>
      </c>
      <c r="DO107" s="47" t="s">
        <v>0</v>
      </c>
      <c r="DP107" s="19" t="str">
        <f>IF(BA107="","","INSERT INTO imeprezime_alias(id,alias,imeprezime_id) VALUES ("&amp;BB107&amp;",'"&amp;BA107&amp;"',"&amp;IF(BC107="NEMA",BD107,BC107)&amp;");")</f>
        <v/>
      </c>
      <c r="DQ107" s="47" t="s">
        <v>0</v>
      </c>
      <c r="DR107" s="52" t="str">
        <f>IF(AL107="","",DU107 &amp; IF(Q107="",""," – " &amp; Q107))</f>
        <v>Tomislav – Jurač – OK Vihor – M21B</v>
      </c>
      <c r="DS107" s="53">
        <f t="shared" si="88"/>
        <v>721</v>
      </c>
      <c r="DT107" s="47" t="s">
        <v>0</v>
      </c>
      <c r="DU107" s="52" t="str">
        <f>IF(AL107="","",DX107 &amp; IF(CR107="",""," – " &amp; CR107))</f>
        <v>Tomislav – Jurač – OK Vihor</v>
      </c>
      <c r="DV107" s="53">
        <f t="shared" si="89"/>
        <v>721</v>
      </c>
      <c r="DW107" s="47" t="s">
        <v>0</v>
      </c>
      <c r="DX107" s="52" t="str">
        <f>IF(BG107="","",BF107&amp;" – "&amp;BG107)</f>
        <v>Tomislav – Jurač</v>
      </c>
      <c r="DY107" s="53">
        <f t="shared" si="90"/>
        <v>721</v>
      </c>
      <c r="DZ107" s="47" t="s">
        <v>0</v>
      </c>
      <c r="EA107" s="58">
        <f t="shared" si="119"/>
        <v>721</v>
      </c>
      <c r="EB107" s="53" cm="1">
        <f t="array" ref="EB107">IF(EA107&lt;&gt;"",INDEX(regNatjecatelj_id,EA107,0),IF(BD107&lt;&gt;"",BD107,""))</f>
        <v>1567</v>
      </c>
      <c r="EC107" s="47" t="s">
        <v>0</v>
      </c>
      <c r="ED107" s="58" t="str">
        <f>IF(AL107="","",IF(BD107&lt;&gt;"","novo",IF(AN107="","imepre","imepre(ali)")))</f>
        <v>imepre</v>
      </c>
      <c r="EE107" s="73" t="str">
        <f>IF(AL107="","",IF(BL107="",IF(IFERROR(INDEX(regNatjecatelj_klub,MATCH(EB107,regNatjecatelj_id,0)),"NEMA")="","klu",""),IF(OR(AND(BN107&lt;&gt;"",BN107&lt;&gt;"NEMA"),CD107&lt;&gt;""),"klu(ali)",IF(AND(BP107&lt;&gt;"",BP107&lt;&gt;BO107),"(raz-klu)","klu"))))</f>
        <v>klu</v>
      </c>
      <c r="EF107" s="73" t="str">
        <f>IF(AL107="","","kat"&amp;IF(AND(W107&lt;&gt;Q107,Q107&lt;&gt;"Open"),"(ali)",""))</f>
        <v>kat</v>
      </c>
      <c r="EG107" s="73" t="str">
        <f t="shared" si="91"/>
        <v/>
      </c>
      <c r="EH107" s="66" t="str">
        <f>IF(AL107="","",ED107&amp;IF(ED107="novo","","-"&amp;EE107&amp;"-"&amp;EF107)&amp;IF(EG107="","","-"&amp;EG107))</f>
        <v>imepre-klu-kat</v>
      </c>
      <c r="EI107" s="47" t="s">
        <v>0</v>
      </c>
      <c r="EJ107" s="58">
        <f>IF(AL107="","",MAX(EJ$12:EJ106)+1)</f>
        <v>275</v>
      </c>
      <c r="EK107" s="73">
        <f>IF(AO107="","",X107)</f>
        <v>28</v>
      </c>
      <c r="EL107" s="73">
        <f t="shared" si="120"/>
        <v>1567</v>
      </c>
      <c r="EM107" s="73" t="str">
        <f t="shared" si="92"/>
        <v/>
      </c>
      <c r="EN107" s="73">
        <f t="shared" si="93"/>
        <v>6</v>
      </c>
      <c r="EO107" s="73">
        <f t="shared" si="121"/>
        <v>1</v>
      </c>
      <c r="EP107" s="73">
        <f t="shared" si="122"/>
        <v>1</v>
      </c>
      <c r="EQ107" s="73" t="str">
        <f t="shared" si="94"/>
        <v>1</v>
      </c>
      <c r="ER107" s="73" t="str">
        <f>IF(OR(AN107="",AN107="NEMA"),BB107,AN107)</f>
        <v/>
      </c>
      <c r="ES107" s="73" t="str">
        <f>IF(AND(BN107&lt;&gt;"",BN107&lt;&gt;"NEMA"),BN107,IF(CG107&lt;&gt;"",CG107,IF(AND(CL107&lt;&gt;"",CL107&lt;&gt;"NEMA"),CL107,IF(CM107&lt;&gt;"",CM107,""))))</f>
        <v/>
      </c>
      <c r="ET107" s="53" t="str">
        <f>IF(INDEX(natKategorija_alias_Id,MATCH(S107,natKategorija_katRegId,0))="","",INDEX(natKategorija_alias_Id,MATCH(S107,natKategorija_katRegId,0)))</f>
        <v/>
      </c>
      <c r="EU107" s="47" t="s">
        <v>0</v>
      </c>
      <c r="EV107" s="19" t="str">
        <f t="shared" si="123"/>
        <v>INSERT INTO rezultat(id,stazakategorija_id,imeprezime_id,vrijeme_sec,status_id,registracija,uparivanje_id,originalstatus_id,imeprezimealias_id,klubalias_id,kategorijaalias_id) VALUES (275,28,1567,Null,6,1,1,1,Null,Null,Null);</v>
      </c>
      <c r="EW107" s="47" t="s">
        <v>0</v>
      </c>
      <c r="EX107" s="19" t="str">
        <f t="shared" si="124"/>
        <v>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107" s="47" t="s">
        <v>0</v>
      </c>
      <c r="EZ107" s="180" t="str">
        <f>AG107&amp;IF(CP107="","","
")&amp;CP107&amp;IF(CI107="","","
")&amp;CI107&amp;IF(DN107="","","
")&amp;DN107&amp;IF(DP107="","","
")&amp;DP107&amp;IF(EV107="","","
")&amp;EV107&amp;IF(EX107="","","
")&amp;EX107</f>
        <v xml:space="preserve">
INSERT INTO rezultat(id,stazakategorija_id,imeprezime_id,vrijeme_sec,status_id,registracija,uparivanje_id,originalstatus_id,imeprezimealias_id,klubalias_id,kategorijaalias_id) VALUES (275,28,1567,Null,6,1,1,1,Null,Null,Null);
UPDATE
	registar
SET
	potvrda = 1
WHERE
	imeprezime_id=1567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107" s="47" t="s">
        <v>0</v>
      </c>
    </row>
    <row r="108" spans="1:157" x14ac:dyDescent="0.25">
      <c r="A108" t="s">
        <v>0</v>
      </c>
      <c r="B108" s="52" t="str">
        <f>IF(csv!F98="","",csv!T98)</f>
        <v>M21B</v>
      </c>
      <c r="C108" s="31" t="s">
        <v>0</v>
      </c>
      <c r="D108" s="31" t="str">
        <f>IF(csv!F98="","",csv!F98)</f>
        <v>Josip</v>
      </c>
      <c r="E108" s="31" t="str">
        <f>IF(csv!E98="","",csv!E98)</f>
        <v>Stipeljković</v>
      </c>
      <c r="F108" s="31" t="s">
        <v>0</v>
      </c>
      <c r="G108" s="73" t="str">
        <f>IF(csv!M98="","",csv!M98)</f>
        <v/>
      </c>
      <c r="H108" s="73" t="str">
        <f>IF(csv!N98="","",csv!N98)</f>
        <v>2</v>
      </c>
      <c r="I108" s="31" t="s">
        <v>0</v>
      </c>
      <c r="J108" s="31" t="str">
        <f>IF(csv!P98="","",csv!P98)</f>
        <v>Vihor</v>
      </c>
      <c r="K108" s="31" t="str">
        <f>IF(csv!Q98="","",csv!Q98)</f>
        <v>OK Vihor</v>
      </c>
      <c r="L108" s="31" t="s">
        <v>0</v>
      </c>
      <c r="M108" s="66" t="str">
        <f>IF(csv!R98="","",csv!R98)</f>
        <v>CRO</v>
      </c>
      <c r="N108" s="47" t="s">
        <v>0</v>
      </c>
      <c r="O108" s="243" t="str">
        <f t="shared" si="95"/>
        <v>ok</v>
      </c>
      <c r="P108" s="47"/>
      <c r="Q108" s="52" t="str">
        <f t="shared" si="96"/>
        <v>M21B</v>
      </c>
      <c r="R108" s="73">
        <f>IF(Q108="","",IF(COUNTIF(Q$12:Q107,Q108)=0,R107+1,R107))</f>
        <v>6</v>
      </c>
      <c r="S108" s="73">
        <f t="shared" si="97"/>
        <v>108</v>
      </c>
      <c r="T108" s="73">
        <f t="shared" si="72"/>
        <v>19</v>
      </c>
      <c r="U108" s="66" t="str">
        <f t="shared" si="73"/>
        <v>M21B – M16</v>
      </c>
      <c r="V108" s="47" t="s">
        <v>0</v>
      </c>
      <c r="W108" s="222" t="str">
        <f t="shared" si="74"/>
        <v>M21B</v>
      </c>
      <c r="X108" s="223">
        <f t="shared" si="75"/>
        <v>28</v>
      </c>
      <c r="Y108" s="47" t="s">
        <v>0</v>
      </c>
      <c r="Z108" s="52" t="str">
        <f t="shared" si="98"/>
        <v>CRO</v>
      </c>
      <c r="AA108" s="73">
        <f t="shared" si="76"/>
        <v>1</v>
      </c>
      <c r="AB108" s="31" t="str">
        <f t="shared" si="99"/>
        <v/>
      </c>
      <c r="AC108" s="66" t="str">
        <f>IF(AB108="","",MAX(AC$12:AC107)+1)</f>
        <v/>
      </c>
      <c r="AD108" s="47" t="s">
        <v>0</v>
      </c>
      <c r="AE108" s="125"/>
      <c r="AF108" s="47" t="s">
        <v>0</v>
      </c>
      <c r="AG108" s="19" t="str">
        <f t="shared" si="100"/>
        <v/>
      </c>
      <c r="AH108" s="47" t="s">
        <v>0</v>
      </c>
      <c r="AI108" s="143" t="str">
        <f t="shared" si="101"/>
        <v>CRO</v>
      </c>
      <c r="AJ108" s="47"/>
      <c r="AK108" s="52" t="str">
        <f t="shared" si="102"/>
        <v>Josip</v>
      </c>
      <c r="AL108" s="31" t="str">
        <f t="shared" si="103"/>
        <v>Stipeljković</v>
      </c>
      <c r="AM108" s="73">
        <f t="shared" si="104"/>
        <v>1906</v>
      </c>
      <c r="AN108" s="73" t="str">
        <f t="shared" si="105"/>
        <v/>
      </c>
      <c r="AO108" s="31" t="str">
        <f t="shared" si="77"/>
        <v>Josip</v>
      </c>
      <c r="AP108" s="66" t="str">
        <f t="shared" si="78"/>
        <v>Stipeljković</v>
      </c>
      <c r="AQ108" s="47" t="s">
        <v>0</v>
      </c>
      <c r="AR108" s="82" t="str">
        <f t="shared" si="106"/>
        <v/>
      </c>
      <c r="AS108" s="47" t="s">
        <v>0</v>
      </c>
      <c r="AT108" s="19" t="str">
        <f t="shared" si="107"/>
        <v/>
      </c>
      <c r="AU108" s="47" t="s">
        <v>0</v>
      </c>
      <c r="AV108" s="103"/>
      <c r="AW108" s="105"/>
      <c r="AX108" s="47" t="s">
        <v>0</v>
      </c>
      <c r="AY108" s="256" t="str">
        <f t="shared" si="125"/>
        <v/>
      </c>
      <c r="AZ108" s="47" t="s">
        <v>0</v>
      </c>
      <c r="BA108" s="52" t="str">
        <f t="shared" si="79"/>
        <v/>
      </c>
      <c r="BB108" s="73" t="str">
        <f>IF(AV108&amp;AW108="","",MAX(BB$12:BB107)+1)</f>
        <v/>
      </c>
      <c r="BC108" s="268" t="str">
        <f t="shared" si="80"/>
        <v/>
      </c>
      <c r="BD108" s="53" t="str">
        <f>IF(AND(AM108="NEMA",AN108="NEMA",OR(AV108&amp;AW108="",BC108="NEMA")),MAX(BD$12:BD107)+1,"")</f>
        <v/>
      </c>
      <c r="BE108" s="47" t="s">
        <v>0</v>
      </c>
      <c r="BF108" s="52" t="str">
        <f t="shared" si="81"/>
        <v>Josip</v>
      </c>
      <c r="BG108" s="31" t="str">
        <f t="shared" si="82"/>
        <v>Stipeljković</v>
      </c>
      <c r="BH108" s="73" t="str">
        <f t="shared" si="108"/>
        <v/>
      </c>
      <c r="BI108" s="53">
        <f t="shared" si="109"/>
        <v>1906</v>
      </c>
      <c r="BJ108" s="47" t="s">
        <v>0</v>
      </c>
      <c r="BK108" s="52" t="str">
        <f t="shared" si="83"/>
        <v>Vihor</v>
      </c>
      <c r="BL108" s="31" t="str">
        <f t="shared" si="84"/>
        <v>OK Vihor</v>
      </c>
      <c r="BM108" s="73">
        <f t="shared" si="85"/>
        <v>12</v>
      </c>
      <c r="BN108" s="73" t="str">
        <f t="shared" si="86"/>
        <v/>
      </c>
      <c r="BO108" s="31" t="str" cm="1">
        <f t="array" ref="BO108">IF(BN108="",""&amp;BL108,IF(BN108="NEMA",BL108,INDEX(regKlub_naziv,MATCH(INDEX(regKlub_alias_klubId,BN108),regKlub_id,0))))</f>
        <v>OK Vihor</v>
      </c>
      <c r="BP108" s="31" t="str" cm="1">
        <f t="array" ref="BP108">IFERROR(""&amp;INDEX(regNatjecatelj_klub,DY108),"")</f>
        <v>OK Vihor</v>
      </c>
      <c r="BQ108" s="88" t="str">
        <f t="shared" si="110"/>
        <v/>
      </c>
      <c r="BR108" s="66" t="str">
        <f t="shared" si="111"/>
        <v>OK Vihor</v>
      </c>
      <c r="BS108" s="47" t="s">
        <v>0</v>
      </c>
      <c r="BT108" s="82" t="str">
        <f>IF(BN108&lt;&gt;"NEMA","",IF(IFERROR(MATCH(BL108,BL$12:BL107,0),0)&lt;&gt;0,"",BL108))</f>
        <v/>
      </c>
      <c r="BU108" s="47" t="s">
        <v>0</v>
      </c>
      <c r="BV108" s="125"/>
      <c r="BW108" s="47" t="s">
        <v>0</v>
      </c>
      <c r="BX108" s="58" t="str">
        <f t="shared" si="112"/>
        <v/>
      </c>
      <c r="BY108" s="31" t="str">
        <f t="shared" si="113"/>
        <v/>
      </c>
      <c r="BZ108" s="31" t="str">
        <f>IF(BY108="","",MAX(BZ$12:BZ107)+1)</f>
        <v/>
      </c>
      <c r="CA108" s="31" t="str">
        <f>IF(BY108="","",IF(AA108="","",IF(AA108="NEMA",AC108,AA108)))</f>
        <v/>
      </c>
      <c r="CB108" s="31" t="str">
        <f t="shared" si="114"/>
        <v/>
      </c>
      <c r="CC108" s="31" t="str">
        <f>IF(BV108="","",MAX(CC$12:CC107)+1)</f>
        <v/>
      </c>
      <c r="CD108" s="31" t="str">
        <f t="shared" si="115"/>
        <v/>
      </c>
      <c r="CE108" s="66" t="str">
        <f t="shared" si="116"/>
        <v/>
      </c>
      <c r="CF108" s="47" t="s">
        <v>0</v>
      </c>
      <c r="CG108" s="73" t="str">
        <f>IF(BN108="","",IF(BN108&lt;&gt;"NEMA","",IFERROR(INDEX(nat_klubAliasId,MATCH(BL108,nat_noviKluboviAliasi,0)),"")))</f>
        <v/>
      </c>
      <c r="CH108" s="47"/>
      <c r="CI108" s="19" t="str">
        <f t="shared" si="117"/>
        <v/>
      </c>
      <c r="CJ108" s="47" t="s">
        <v>0</v>
      </c>
      <c r="CK108" s="52" t="str">
        <f>IF(X108&lt;&gt;"NEMA","",IF(IFERROR(MATCH(W108,W$12:W107,0),0)&lt;&gt;0,"",W108))</f>
        <v/>
      </c>
      <c r="CL108" s="73" t="str">
        <f>IF(CK108="","",IFERROR(INDEX(regKlub_alias_id,MATCH(CK108,regKlub_alias_alias,0)),"NEMA"))</f>
        <v/>
      </c>
      <c r="CM108" s="31" t="str">
        <f>IF(OR(CL108="",CL108&lt;&gt;"NEMA"),"",MAX(CM$12:CM107)+1)</f>
        <v/>
      </c>
      <c r="CN108" s="66" t="str">
        <f>IF(OR(CL108="",CL108&lt;&gt;"NEMA"),"",INDEX(regKlub_id,MATCH(CK108,regKlub_naziv,0)))</f>
        <v/>
      </c>
      <c r="CO108" s="47" t="s">
        <v>0</v>
      </c>
      <c r="CP108" s="19" t="str">
        <f>IF(OR(CL108="",CL108&lt;&gt;"NEMA"),"","INSERT INTO klub_alias(id,alias,klub_id) VALUES ("&amp;CM108&amp;",'"&amp;CK108&amp;"',"&amp;CN108&amp;");")</f>
        <v/>
      </c>
      <c r="CQ108" s="47" t="s">
        <v>0</v>
      </c>
      <c r="CR108" s="143" t="str">
        <f>IF(BR108="","",IF(BV108="",IF(IFERROR(MATCH(BR108,nat_noviKluboviAliasi,0),0)&gt;0,INDEX(nat_kluboviAliasi,MATCH(BR108,nat_noviKluboviAliasi,0)),BR108),BV108))</f>
        <v>OK Vihor</v>
      </c>
      <c r="CS108" s="47" t="s">
        <v>0</v>
      </c>
      <c r="CT108" s="58" t="str">
        <f>IF(G108="","",G108)</f>
        <v/>
      </c>
      <c r="CU108" s="73" t="str">
        <f>IF(H108="","",H108)</f>
        <v>2</v>
      </c>
      <c r="CV108" s="229" t="str">
        <f>IF(CT108="",IF(OR(AL108="",CU108&lt;&gt;"0"),"","GREŠKA"),IF(AND(65535&gt;=VALUE(LEFT(CT108,SEARCH(":",CT108)-1))*60+VALUE(RIGHT(CT108,2)),OR(CU108="0",CU108="1",CU108="2",CU108="3",CU108="4")),"","GREŠKA"))</f>
        <v/>
      </c>
      <c r="CW108" s="230" t="str">
        <f t="shared" si="71"/>
        <v/>
      </c>
      <c r="CX108" s="163">
        <f t="shared" si="87"/>
        <v>4</v>
      </c>
      <c r="CY108" s="47" t="s">
        <v>0</v>
      </c>
      <c r="CZ108" s="222" t="str">
        <f>IF(CV108&lt;&gt;"GREŠKA","",AK108&amp;" "&amp;AL108&amp;" – Molim u OEventu provjeriti i ispraviti rezultat – vrijeme ("&amp;IF(CT108="","nije upisano",CT108)&amp;") i classifier ("&amp;CU108&amp;").")&amp;IF(OR(CV108&lt;&gt;"GREŠKA",CX108&lt;&gt;5),"
","")&amp;IF(CX108&lt;&gt;5,"",AK108&amp;" "&amp;AL108&amp;" – Molim u provjeriti je li natjecatelj zaista diskvalificiran. Ako je koje je obrazloženje, ako nije molim u OEventu ispraviti rezultat")</f>
        <v xml:space="preserve">
</v>
      </c>
      <c r="DA108" s="223">
        <f t="shared" si="118"/>
        <v>5</v>
      </c>
      <c r="DB108" s="47" t="s">
        <v>0</v>
      </c>
      <c r="DC108" s="47"/>
      <c r="DD108" s="47"/>
      <c r="DE108" s="47"/>
      <c r="DF108" s="47" t="s">
        <v>0</v>
      </c>
      <c r="DG108" s="53" t="str">
        <f>IF(BD108="","",IF(DI108="O",1,""))</f>
        <v/>
      </c>
      <c r="DH108" t="s">
        <v>0</v>
      </c>
      <c r="DI108" s="128" t="str">
        <f>IF(Q108="","",LEFT(INDEX(regKategorija_oznaka,MATCH(S108,regKategorija_id,0)),1))</f>
        <v>M</v>
      </c>
      <c r="DJ108" t="s">
        <v>0</v>
      </c>
      <c r="DK108" s="52" t="str">
        <f>IF(BD108="","",IF(M108&lt;&gt;"CRO","","INSERT INTO osoba (id,reg_broj,oib,spol_id,dat_rodjenja) VALUES ("&amp;BD108&amp;",(SELECT max(os.reg_broj)+1 FROM osoba AS os),Null,'"&amp;DI108&amp;"',Null); INSERT INTO osoba_log (id,reg_broj,oib,spol_id,dat_rodjenja,dnevnik_id) SELECT id,reg_broj,oib,spol_id,dat_rodjenja,"&amp;data_dnevnik_id&amp;" FROM osoba WHERE id = "&amp;BD108&amp;";"))</f>
        <v/>
      </c>
      <c r="DL108" s="66" t="str">
        <f>IF(BD108="","","INSERT INTO imeprezime (id,osoba_id,rbr,ime,prezime,klub_id,identitet_id,sintaksa_id,info,aktivno,dnevnik_id) VALUES ("&amp;BD108&amp;","&amp;IF(DK108="","Null",BD108)&amp;",1,'"&amp;IF(AV108&lt;&gt;"",AV108,AK108)&amp;"','"&amp;IF(AW108&lt;&gt;"",AW108,AL108)&amp;"',(SELECT id FROM klub WHERE naziv = '"&amp;CR108&amp;"'),Null,1,'',1,"&amp;data_dnevnik_id&amp;");")</f>
        <v/>
      </c>
      <c r="DM108" t="s">
        <v>0</v>
      </c>
      <c r="DN108" s="19" t="str">
        <f t="shared" si="126"/>
        <v/>
      </c>
      <c r="DO108" s="47" t="s">
        <v>0</v>
      </c>
      <c r="DP108" s="19" t="str">
        <f>IF(BA108="","","INSERT INTO imeprezime_alias(id,alias,imeprezime_id) VALUES ("&amp;BB108&amp;",'"&amp;BA108&amp;"',"&amp;IF(BC108="NEMA",BD108,BC108)&amp;");")</f>
        <v/>
      </c>
      <c r="DQ108" s="47" t="s">
        <v>0</v>
      </c>
      <c r="DR108" s="52" t="str">
        <f>IF(AL108="","",DU108 &amp; IF(Q108="",""," – " &amp; Q108))</f>
        <v>Josip – Stipeljković – OK Vihor – M21B</v>
      </c>
      <c r="DS108" s="53">
        <f t="shared" si="88"/>
        <v>911</v>
      </c>
      <c r="DT108" s="47" t="s">
        <v>0</v>
      </c>
      <c r="DU108" s="52" t="str">
        <f>IF(AL108="","",DX108 &amp; IF(CR108="",""," – " &amp; CR108))</f>
        <v>Josip – Stipeljković – OK Vihor</v>
      </c>
      <c r="DV108" s="53">
        <f t="shared" si="89"/>
        <v>911</v>
      </c>
      <c r="DW108" s="47" t="s">
        <v>0</v>
      </c>
      <c r="DX108" s="52" t="str">
        <f>IF(BG108="","",BF108&amp;" – "&amp;BG108)</f>
        <v>Josip – Stipeljković</v>
      </c>
      <c r="DY108" s="53">
        <f t="shared" si="90"/>
        <v>911</v>
      </c>
      <c r="DZ108" s="47" t="s">
        <v>0</v>
      </c>
      <c r="EA108" s="58">
        <f t="shared" si="119"/>
        <v>911</v>
      </c>
      <c r="EB108" s="53" cm="1">
        <f t="array" ref="EB108">IF(EA108&lt;&gt;"",INDEX(regNatjecatelj_id,EA108,0),IF(BD108&lt;&gt;"",BD108,""))</f>
        <v>1906</v>
      </c>
      <c r="EC108" s="47" t="s">
        <v>0</v>
      </c>
      <c r="ED108" s="58" t="str">
        <f>IF(AL108="","",IF(BD108&lt;&gt;"","novo",IF(AN108="","imepre","imepre(ali)")))</f>
        <v>imepre</v>
      </c>
      <c r="EE108" s="73" t="str">
        <f>IF(AL108="","",IF(BL108="",IF(IFERROR(INDEX(regNatjecatelj_klub,MATCH(EB108,regNatjecatelj_id,0)),"NEMA")="","klu",""),IF(OR(AND(BN108&lt;&gt;"",BN108&lt;&gt;"NEMA"),CD108&lt;&gt;""),"klu(ali)",IF(AND(BP108&lt;&gt;"",BP108&lt;&gt;BO108),"(raz-klu)","klu"))))</f>
        <v>klu</v>
      </c>
      <c r="EF108" s="73" t="str">
        <f>IF(AL108="","","kat"&amp;IF(AND(W108&lt;&gt;Q108,Q108&lt;&gt;"Open"),"(ali)",""))</f>
        <v>kat</v>
      </c>
      <c r="EG108" s="73" t="str">
        <f t="shared" si="91"/>
        <v/>
      </c>
      <c r="EH108" s="66" t="str">
        <f>IF(AL108="","",ED108&amp;IF(ED108="novo","","-"&amp;EE108&amp;"-"&amp;EF108)&amp;IF(EG108="","","-"&amp;EG108))</f>
        <v>imepre-klu-kat</v>
      </c>
      <c r="EI108" s="47" t="s">
        <v>0</v>
      </c>
      <c r="EJ108" s="58">
        <f>IF(AL108="","",MAX(EJ$12:EJ107)+1)</f>
        <v>276</v>
      </c>
      <c r="EK108" s="73">
        <f>IF(AO108="","",X108)</f>
        <v>28</v>
      </c>
      <c r="EL108" s="73">
        <f t="shared" si="120"/>
        <v>1906</v>
      </c>
      <c r="EM108" s="73" t="str">
        <f t="shared" si="92"/>
        <v/>
      </c>
      <c r="EN108" s="73">
        <f t="shared" si="93"/>
        <v>4</v>
      </c>
      <c r="EO108" s="73">
        <f t="shared" si="121"/>
        <v>1</v>
      </c>
      <c r="EP108" s="73">
        <f t="shared" si="122"/>
        <v>1</v>
      </c>
      <c r="EQ108" s="73" t="str">
        <f t="shared" si="94"/>
        <v>2</v>
      </c>
      <c r="ER108" s="73" t="str">
        <f>IF(OR(AN108="",AN108="NEMA"),BB108,AN108)</f>
        <v/>
      </c>
      <c r="ES108" s="73" t="str">
        <f>IF(AND(BN108&lt;&gt;"",BN108&lt;&gt;"NEMA"),BN108,IF(CG108&lt;&gt;"",CG108,IF(AND(CL108&lt;&gt;"",CL108&lt;&gt;"NEMA"),CL108,IF(CM108&lt;&gt;"",CM108,""))))</f>
        <v/>
      </c>
      <c r="ET108" s="53" t="str">
        <f>IF(INDEX(natKategorija_alias_Id,MATCH(S108,natKategorija_katRegId,0))="","",INDEX(natKategorija_alias_Id,MATCH(S108,natKategorija_katRegId,0)))</f>
        <v/>
      </c>
      <c r="EU108" s="47" t="s">
        <v>0</v>
      </c>
      <c r="EV108" s="19" t="str">
        <f t="shared" si="123"/>
        <v>INSERT INTO rezultat(id,stazakategorija_id,imeprezime_id,vrijeme_sec,status_id,registracija,uparivanje_id,originalstatus_id,imeprezimealias_id,klubalias_id,kategorijaalias_id) VALUES (276,28,1906,Null,4,1,1,2,Null,Null,Null);</v>
      </c>
      <c r="EW108" s="47" t="s">
        <v>0</v>
      </c>
      <c r="EX108" s="19" t="str">
        <f t="shared" si="124"/>
        <v>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EY108" s="47" t="s">
        <v>0</v>
      </c>
      <c r="EZ108" s="180" t="str">
        <f>AG108&amp;IF(CP108="","","
")&amp;CP108&amp;IF(CI108="","","
")&amp;CI108&amp;IF(DN108="","","
")&amp;DN108&amp;IF(DP108="","","
")&amp;DP108&amp;IF(EV108="","","
")&amp;EV108&amp;IF(EX108="","","
")&amp;EX108</f>
        <v xml:space="preserve">
INSERT INTO rezultat(id,stazakategorija_id,imeprezime_id,vrijeme_sec,status_id,registracija,uparivanje_id,originalstatus_id,imeprezimealias_id,klubalias_id,kategorijaalias_id) VALUES (276,28,1906,Null,4,1,1,2,Null,Null,Null);
UPDATE
	registar
SET
	potvrda = 1
WHERE
	imeprezime_id=1906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28)
                         		AND
                         	kategorija_liga.liga_id = 101)
		AND
	datum_od &lt;= '2021-04-18'
    	AND
    datum_do is Null;</v>
      </c>
      <c r="FA108" s="47" t="s">
        <v>0</v>
      </c>
    </row>
    <row r="109" spans="1:157" x14ac:dyDescent="0.25">
      <c r="A109" t="s">
        <v>0</v>
      </c>
      <c r="B109" s="52" t="str">
        <f>IF(csv!F99="","",csv!T99)</f>
        <v>M35</v>
      </c>
      <c r="C109" s="31" t="s">
        <v>0</v>
      </c>
      <c r="D109" s="31" t="str">
        <f>IF(csv!F99="","",csv!F99)</f>
        <v>Lino</v>
      </c>
      <c r="E109" s="31" t="str">
        <f>IF(csv!E99="","",csv!E99)</f>
        <v>Legac</v>
      </c>
      <c r="F109" s="31" t="s">
        <v>0</v>
      </c>
      <c r="G109" s="73" t="str">
        <f>IF(csv!M99="","",csv!M99)</f>
        <v>50:53</v>
      </c>
      <c r="H109" s="73" t="str">
        <f>IF(csv!N99="","",csv!N99)</f>
        <v>0</v>
      </c>
      <c r="I109" s="31" t="s">
        <v>0</v>
      </c>
      <c r="J109" s="31" t="str">
        <f>IF(csv!P99="","",csv!P99)</f>
        <v>JAP</v>
      </c>
      <c r="K109" s="31" t="str">
        <f>IF(csv!Q99="","",csv!Q99)</f>
        <v>OK Japetic</v>
      </c>
      <c r="L109" s="31" t="s">
        <v>0</v>
      </c>
      <c r="M109" s="66" t="str">
        <f>IF(csv!R99="","",csv!R99)</f>
        <v>CRO</v>
      </c>
      <c r="N109" s="47" t="s">
        <v>0</v>
      </c>
      <c r="O109" s="243" t="str">
        <f t="shared" si="95"/>
        <v>ok</v>
      </c>
      <c r="P109" s="47"/>
      <c r="Q109" s="52" t="str">
        <f t="shared" si="96"/>
        <v>M35</v>
      </c>
      <c r="R109" s="73">
        <f>IF(Q109="","",IF(COUNTIF(Q$12:Q108,Q109)=0,R108+1,R108))</f>
        <v>7</v>
      </c>
      <c r="S109" s="73">
        <f t="shared" si="97"/>
        <v>107</v>
      </c>
      <c r="T109" s="73">
        <f t="shared" si="72"/>
        <v>18</v>
      </c>
      <c r="U109" s="66" t="str">
        <f t="shared" si="73"/>
        <v>M35</v>
      </c>
      <c r="V109" s="47" t="s">
        <v>0</v>
      </c>
      <c r="W109" s="222" t="str">
        <f t="shared" si="74"/>
        <v>M35</v>
      </c>
      <c r="X109" s="223">
        <f t="shared" si="75"/>
        <v>29</v>
      </c>
      <c r="Y109" s="47" t="s">
        <v>0</v>
      </c>
      <c r="Z109" s="52" t="str">
        <f t="shared" si="98"/>
        <v>CRO</v>
      </c>
      <c r="AA109" s="73">
        <f t="shared" si="76"/>
        <v>1</v>
      </c>
      <c r="AB109" s="31" t="str">
        <f t="shared" si="99"/>
        <v/>
      </c>
      <c r="AC109" s="66" t="str">
        <f>IF(AB109="","",MAX(AC$12:AC108)+1)</f>
        <v/>
      </c>
      <c r="AD109" s="47" t="s">
        <v>0</v>
      </c>
      <c r="AE109" s="125"/>
      <c r="AF109" s="47" t="s">
        <v>0</v>
      </c>
      <c r="AG109" s="19" t="str">
        <f t="shared" si="100"/>
        <v/>
      </c>
      <c r="AH109" s="47" t="s">
        <v>0</v>
      </c>
      <c r="AI109" s="143" t="str">
        <f t="shared" si="101"/>
        <v>CRO</v>
      </c>
      <c r="AJ109" s="47"/>
      <c r="AK109" s="52" t="str">
        <f t="shared" si="102"/>
        <v>Lino</v>
      </c>
      <c r="AL109" s="31" t="str">
        <f t="shared" si="103"/>
        <v>Legac</v>
      </c>
      <c r="AM109" s="73">
        <f t="shared" si="104"/>
        <v>1370</v>
      </c>
      <c r="AN109" s="73" t="str">
        <f t="shared" si="105"/>
        <v/>
      </c>
      <c r="AO109" s="31" t="str">
        <f t="shared" si="77"/>
        <v>Lino</v>
      </c>
      <c r="AP109" s="66" t="str">
        <f t="shared" si="78"/>
        <v>Legac</v>
      </c>
      <c r="AQ109" s="47" t="s">
        <v>0</v>
      </c>
      <c r="AR109" s="82" t="str">
        <f t="shared" si="106"/>
        <v/>
      </c>
      <c r="AS109" s="47" t="s">
        <v>0</v>
      </c>
      <c r="AT109" s="19" t="str">
        <f t="shared" si="107"/>
        <v/>
      </c>
      <c r="AU109" s="47" t="s">
        <v>0</v>
      </c>
      <c r="AV109" s="103"/>
      <c r="AW109" s="105"/>
      <c r="AX109" s="47" t="s">
        <v>0</v>
      </c>
      <c r="AY109" s="256" t="str">
        <f t="shared" si="125"/>
        <v/>
      </c>
      <c r="AZ109" s="47" t="s">
        <v>0</v>
      </c>
      <c r="BA109" s="52" t="str">
        <f t="shared" si="79"/>
        <v/>
      </c>
      <c r="BB109" s="73" t="str">
        <f>IF(AV109&amp;AW109="","",MAX(BB$12:BB108)+1)</f>
        <v/>
      </c>
      <c r="BC109" s="268" t="str">
        <f t="shared" si="80"/>
        <v/>
      </c>
      <c r="BD109" s="53" t="str">
        <f>IF(AND(AM109="NEMA",AN109="NEMA",OR(AV109&amp;AW109="",BC109="NEMA")),MAX(BD$12:BD108)+1,"")</f>
        <v/>
      </c>
      <c r="BE109" s="47" t="s">
        <v>0</v>
      </c>
      <c r="BF109" s="52" t="str">
        <f t="shared" si="81"/>
        <v>Lino</v>
      </c>
      <c r="BG109" s="31" t="str">
        <f t="shared" si="82"/>
        <v>Legac</v>
      </c>
      <c r="BH109" s="73" t="str">
        <f t="shared" si="108"/>
        <v/>
      </c>
      <c r="BI109" s="53">
        <f t="shared" si="109"/>
        <v>1370</v>
      </c>
      <c r="BJ109" s="47" t="s">
        <v>0</v>
      </c>
      <c r="BK109" s="52" t="str">
        <f t="shared" si="83"/>
        <v>JAP</v>
      </c>
      <c r="BL109" s="31" t="str">
        <f t="shared" si="84"/>
        <v>OK Japetic</v>
      </c>
      <c r="BM109" s="73" t="str">
        <f t="shared" si="85"/>
        <v>NEMA</v>
      </c>
      <c r="BN109" s="73">
        <f t="shared" si="86"/>
        <v>1</v>
      </c>
      <c r="BO109" s="31" t="str" cm="1">
        <f t="array" ref="BO109">IF(BN109="",""&amp;BL109,IF(BN109="NEMA",BL109,INDEX(regKlub_naziv,MATCH(INDEX(regKlub_alias_klubId,BN109),regKlub_id,0))))</f>
        <v>OK Japetić</v>
      </c>
      <c r="BP109" s="31" t="str" cm="1">
        <f t="array" ref="BP109">IFERROR(""&amp;INDEX(regNatjecatelj_klub,DY109),"")</f>
        <v>OK Japetić</v>
      </c>
      <c r="BQ109" s="88" t="str">
        <f t="shared" si="110"/>
        <v/>
      </c>
      <c r="BR109" s="66" t="str">
        <f t="shared" si="111"/>
        <v>OK Japetić</v>
      </c>
      <c r="BS109" s="47" t="s">
        <v>0</v>
      </c>
      <c r="BT109" s="82" t="str">
        <f>IF(BN109&lt;&gt;"NEMA","",IF(IFERROR(MATCH(BL109,BL$12:BL108,0),0)&lt;&gt;0,"",BL109))</f>
        <v/>
      </c>
      <c r="BU109" s="47" t="s">
        <v>0</v>
      </c>
      <c r="BV109" s="125"/>
      <c r="BW109" s="47" t="s">
        <v>0</v>
      </c>
      <c r="BX109" s="58" t="str">
        <f t="shared" si="112"/>
        <v/>
      </c>
      <c r="BY109" s="31" t="str">
        <f t="shared" si="113"/>
        <v/>
      </c>
      <c r="BZ109" s="31" t="str">
        <f>IF(BY109="","",MAX(BZ$12:BZ108)+1)</f>
        <v/>
      </c>
      <c r="CA109" s="31" t="str">
        <f>IF(BY109="","",IF(AA109="","",IF(AA109="NEMA",AC109,AA109)))</f>
        <v/>
      </c>
      <c r="CB109" s="31" t="str">
        <f t="shared" si="114"/>
        <v/>
      </c>
      <c r="CC109" s="31" t="str">
        <f>IF(BV109="","",MAX(CC$12:CC108)+1)</f>
        <v/>
      </c>
      <c r="CD109" s="31" t="str">
        <f t="shared" si="115"/>
        <v/>
      </c>
      <c r="CE109" s="66" t="str">
        <f t="shared" si="116"/>
        <v/>
      </c>
      <c r="CF109" s="47" t="s">
        <v>0</v>
      </c>
      <c r="CG109" s="73" t="str">
        <f>IF(BN109="","",IF(BN109&lt;&gt;"NEMA","",IFERROR(INDEX(nat_klubAliasId,MATCH(BL109,nat_noviKluboviAliasi,0)),"")))</f>
        <v/>
      </c>
      <c r="CH109" s="47"/>
      <c r="CI109" s="19" t="str">
        <f t="shared" si="117"/>
        <v/>
      </c>
      <c r="CJ109" s="47" t="s">
        <v>0</v>
      </c>
      <c r="CK109" s="52" t="str">
        <f>IF(X109&lt;&gt;"NEMA","",IF(IFERROR(MATCH(W109,W$12:W108,0),0)&lt;&gt;0,"",W109))</f>
        <v/>
      </c>
      <c r="CL109" s="73" t="str">
        <f>IF(CK109="","",IFERROR(INDEX(regKlub_alias_id,MATCH(CK109,regKlub_alias_alias,0)),"NEMA"))</f>
        <v/>
      </c>
      <c r="CM109" s="31" t="str">
        <f>IF(OR(CL109="",CL109&lt;&gt;"NEMA"),"",MAX(CM$12:CM108)+1)</f>
        <v/>
      </c>
      <c r="CN109" s="66" t="str">
        <f>IF(OR(CL109="",CL109&lt;&gt;"NEMA"),"",INDEX(regKlub_id,MATCH(CK109,regKlub_naziv,0)))</f>
        <v/>
      </c>
      <c r="CO109" s="47" t="s">
        <v>0</v>
      </c>
      <c r="CP109" s="19" t="str">
        <f>IF(OR(CL109="",CL109&lt;&gt;"NEMA"),"","INSERT INTO klub_alias(id,alias,klub_id) VALUES ("&amp;CM109&amp;",'"&amp;CK109&amp;"',"&amp;CN109&amp;");")</f>
        <v/>
      </c>
      <c r="CQ109" s="47" t="s">
        <v>0</v>
      </c>
      <c r="CR109" s="143" t="str">
        <f>IF(BR109="","",IF(BV109="",IF(IFERROR(MATCH(BR109,nat_noviKluboviAliasi,0),0)&gt;0,INDEX(nat_kluboviAliasi,MATCH(BR109,nat_noviKluboviAliasi,0)),BR109),BV109))</f>
        <v>OK Japetić</v>
      </c>
      <c r="CS109" s="47" t="s">
        <v>0</v>
      </c>
      <c r="CT109" s="58" t="str">
        <f>IF(G109="","",G109)</f>
        <v>50:53</v>
      </c>
      <c r="CU109" s="73" t="str">
        <f>IF(H109="","",H109)</f>
        <v>0</v>
      </c>
      <c r="CV109" s="229" t="str">
        <f>IF(CT109="",IF(OR(AL109="",CU109&lt;&gt;"0"),"","GREŠKA"),IF(AND(65535&gt;=VALUE(LEFT(CT109,SEARCH(":",CT109)-1))*60+VALUE(RIGHT(CT109,2)),OR(CU109="0",CU109="1",CU109="2",CU109="3",CU109="4")),"","GREŠKA"))</f>
        <v/>
      </c>
      <c r="CW109" s="230">
        <f t="shared" si="71"/>
        <v>3053</v>
      </c>
      <c r="CX109" s="163">
        <f t="shared" si="87"/>
        <v>1</v>
      </c>
      <c r="CY109" s="47" t="s">
        <v>0</v>
      </c>
      <c r="CZ109" s="222" t="str">
        <f>IF(CV109&lt;&gt;"GREŠKA","",AK109&amp;" "&amp;AL109&amp;" – Molim u OEventu provjeriti i ispraviti rezultat – vrijeme ("&amp;IF(CT109="","nije upisano",CT109)&amp;") i classifier ("&amp;CU109&amp;").")&amp;IF(OR(CV109&lt;&gt;"GREŠKA",CX109&lt;&gt;5),"
","")&amp;IF(CX109&lt;&gt;5,"",AK109&amp;" "&amp;AL109&amp;" – Molim u provjeriti je li natjecatelj zaista diskvalificiran. Ako je koje je obrazloženje, ako nije molim u OEventu ispraviti rezultat")</f>
        <v xml:space="preserve">
</v>
      </c>
      <c r="DA109" s="223">
        <f t="shared" si="118"/>
        <v>6</v>
      </c>
      <c r="DB109" s="47" t="s">
        <v>0</v>
      </c>
      <c r="DC109" s="47"/>
      <c r="DD109" s="47"/>
      <c r="DE109" s="47"/>
      <c r="DF109" s="47" t="s">
        <v>0</v>
      </c>
      <c r="DG109" s="53" t="str">
        <f>IF(BD109="","",IF(DI109="O",1,""))</f>
        <v/>
      </c>
      <c r="DH109" t="s">
        <v>0</v>
      </c>
      <c r="DI109" s="128" t="str">
        <f>IF(Q109="","",LEFT(INDEX(regKategorija_oznaka,MATCH(S109,regKategorija_id,0)),1))</f>
        <v>M</v>
      </c>
      <c r="DJ109" t="s">
        <v>0</v>
      </c>
      <c r="DK109" s="52" t="str">
        <f>IF(BD109="","",IF(M109&lt;&gt;"CRO","","INSERT INTO osoba (id,reg_broj,oib,spol_id,dat_rodjenja) VALUES ("&amp;BD109&amp;",(SELECT max(os.reg_broj)+1 FROM osoba AS os),Null,'"&amp;DI109&amp;"',Null); INSERT INTO osoba_log (id,reg_broj,oib,spol_id,dat_rodjenja,dnevnik_id) SELECT id,reg_broj,oib,spol_id,dat_rodjenja,"&amp;data_dnevnik_id&amp;" FROM osoba WHERE id = "&amp;BD109&amp;";"))</f>
        <v/>
      </c>
      <c r="DL109" s="66" t="str">
        <f>IF(BD109="","","INSERT INTO imeprezime (id,osoba_id,rbr,ime,prezime,klub_id,identitet_id,sintaksa_id,info,aktivno,dnevnik_id) VALUES ("&amp;BD109&amp;","&amp;IF(DK109="","Null",BD109)&amp;",1,'"&amp;IF(AV109&lt;&gt;"",AV109,AK109)&amp;"','"&amp;IF(AW109&lt;&gt;"",AW109,AL109)&amp;"',(SELECT id FROM klub WHERE naziv = '"&amp;CR109&amp;"'),Null,1,'',1,"&amp;data_dnevnik_id&amp;");")</f>
        <v/>
      </c>
      <c r="DM109" t="s">
        <v>0</v>
      </c>
      <c r="DN109" s="19" t="str">
        <f t="shared" si="126"/>
        <v/>
      </c>
      <c r="DO109" s="47" t="s">
        <v>0</v>
      </c>
      <c r="DP109" s="19" t="str">
        <f>IF(BA109="","","INSERT INTO imeprezime_alias(id,alias,imeprezime_id) VALUES ("&amp;BB109&amp;",'"&amp;BA109&amp;"',"&amp;IF(BC109="NEMA",BD109,BC109)&amp;");")</f>
        <v/>
      </c>
      <c r="DQ109" s="47" t="s">
        <v>0</v>
      </c>
      <c r="DR109" s="52" t="str">
        <f>IF(AL109="","",DU109 &amp; IF(Q109="",""," – " &amp; Q109))</f>
        <v>Lino – Legac – OK Japetić – M35</v>
      </c>
      <c r="DS109" s="53">
        <f t="shared" si="88"/>
        <v>103</v>
      </c>
      <c r="DT109" s="47" t="s">
        <v>0</v>
      </c>
      <c r="DU109" s="52" t="str">
        <f>IF(AL109="","",DX109 &amp; IF(CR109="",""," – " &amp; CR109))</f>
        <v>Lino – Legac – OK Japetić</v>
      </c>
      <c r="DV109" s="53">
        <f t="shared" si="89"/>
        <v>103</v>
      </c>
      <c r="DW109" s="47" t="s">
        <v>0</v>
      </c>
      <c r="DX109" s="52" t="str">
        <f>IF(BG109="","",BF109&amp;" – "&amp;BG109)</f>
        <v>Lino – Legac</v>
      </c>
      <c r="DY109" s="53">
        <f t="shared" si="90"/>
        <v>103</v>
      </c>
      <c r="DZ109" s="47" t="s">
        <v>0</v>
      </c>
      <c r="EA109" s="58">
        <f t="shared" si="119"/>
        <v>103</v>
      </c>
      <c r="EB109" s="53" cm="1">
        <f t="array" ref="EB109">IF(EA109&lt;&gt;"",INDEX(regNatjecatelj_id,EA109,0),IF(BD109&lt;&gt;"",BD109,""))</f>
        <v>1370</v>
      </c>
      <c r="EC109" s="47" t="s">
        <v>0</v>
      </c>
      <c r="ED109" s="58" t="str">
        <f>IF(AL109="","",IF(BD109&lt;&gt;"","novo",IF(AN109="","imepre","imepre(ali)")))</f>
        <v>imepre</v>
      </c>
      <c r="EE109" s="73" t="str">
        <f>IF(AL109="","",IF(BL109="",IF(IFERROR(INDEX(regNatjecatelj_klub,MATCH(EB109,regNatjecatelj_id,0)),"NEMA")="","klu",""),IF(OR(AND(BN109&lt;&gt;"",BN109&lt;&gt;"NEMA"),CD109&lt;&gt;""),"klu(ali)",IF(AND(BP109&lt;&gt;"",BP109&lt;&gt;BO109),"(raz-klu)","klu"))))</f>
        <v>klu(ali)</v>
      </c>
      <c r="EF109" s="73" t="str">
        <f>IF(AL109="","","kat"&amp;IF(AND(W109&lt;&gt;Q109,Q109&lt;&gt;"Open"),"(ali)",""))</f>
        <v>kat</v>
      </c>
      <c r="EG109" s="73" t="str">
        <f t="shared" si="91"/>
        <v/>
      </c>
      <c r="EH109" s="66" t="str">
        <f>IF(AL109="","",ED109&amp;IF(ED109="novo","","-"&amp;EE109&amp;"-"&amp;EF109)&amp;IF(EG109="","","-"&amp;EG109))</f>
        <v>imepre-klu(ali)-kat</v>
      </c>
      <c r="EI109" s="47" t="s">
        <v>0</v>
      </c>
      <c r="EJ109" s="58">
        <f>IF(AL109="","",MAX(EJ$12:EJ108)+1)</f>
        <v>277</v>
      </c>
      <c r="EK109" s="73">
        <f>IF(AO109="","",X109)</f>
        <v>29</v>
      </c>
      <c r="EL109" s="73">
        <f t="shared" si="120"/>
        <v>1370</v>
      </c>
      <c r="EM109" s="73">
        <f t="shared" si="92"/>
        <v>3053</v>
      </c>
      <c r="EN109" s="73">
        <f t="shared" si="93"/>
        <v>1</v>
      </c>
      <c r="EO109" s="73">
        <f t="shared" si="121"/>
        <v>1</v>
      </c>
      <c r="EP109" s="73">
        <f t="shared" si="122"/>
        <v>3</v>
      </c>
      <c r="EQ109" s="73" t="str">
        <f t="shared" si="94"/>
        <v>0</v>
      </c>
      <c r="ER109" s="73" t="str">
        <f>IF(OR(AN109="",AN109="NEMA"),BB109,AN109)</f>
        <v/>
      </c>
      <c r="ES109" s="73">
        <f>IF(AND(BN109&lt;&gt;"",BN109&lt;&gt;"NEMA"),BN109,IF(CG109&lt;&gt;"",CG109,IF(AND(CL109&lt;&gt;"",CL109&lt;&gt;"NEMA"),CL109,IF(CM109&lt;&gt;"",CM109,""))))</f>
        <v>1</v>
      </c>
      <c r="ET109" s="53" t="str">
        <f>IF(INDEX(natKategorija_alias_Id,MATCH(S109,natKategorija_katRegId,0))="","",INDEX(natKategorija_alias_Id,MATCH(S109,natKategorija_katRegId,0)))</f>
        <v/>
      </c>
      <c r="EU109" s="47" t="s">
        <v>0</v>
      </c>
      <c r="EV109" s="19" t="str">
        <f t="shared" si="123"/>
        <v>INSERT INTO rezultat(id,stazakategorija_id,imeprezime_id,vrijeme_sec,status_id,registracija,uparivanje_id,originalstatus_id,imeprezimealias_id,klubalias_id,kategorijaalias_id) VALUES (277,29,1370,3053,1,1,3,0,Null,1,Null);</v>
      </c>
      <c r="EW109" s="47" t="s">
        <v>0</v>
      </c>
      <c r="EX109" s="19" t="str">
        <f t="shared" si="124"/>
        <v>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09" s="47" t="s">
        <v>0</v>
      </c>
      <c r="EZ109" s="180" t="str">
        <f>AG109&amp;IF(CP109="","","
")&amp;CP109&amp;IF(CI109="","","
")&amp;CI109&amp;IF(DN109="","","
")&amp;DN109&amp;IF(DP109="","","
")&amp;DP109&amp;IF(EV109="","","
")&amp;EV109&amp;IF(EX109="","","
")&amp;EX109</f>
        <v xml:space="preserve">
INSERT INTO rezultat(id,stazakategorija_id,imeprezime_id,vrijeme_sec,status_id,registracija,uparivanje_id,originalstatus_id,imeprezimealias_id,klubalias_id,kategorijaalias_id) VALUES (277,29,1370,3053,1,1,3,0,Null,1,Null);
UPDATE
	registar
SET
	potvrda = 1
WHERE
	imeprezime_id=1370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09" s="47" t="s">
        <v>0</v>
      </c>
    </row>
    <row r="110" spans="1:157" x14ac:dyDescent="0.25">
      <c r="A110" t="s">
        <v>0</v>
      </c>
      <c r="B110" s="52" t="str">
        <f>IF(csv!F100="","",csv!T100)</f>
        <v>M35</v>
      </c>
      <c r="C110" s="31" t="s">
        <v>0</v>
      </c>
      <c r="D110" s="31" t="str">
        <f>IF(csv!F100="","",csv!F100)</f>
        <v>Petar</v>
      </c>
      <c r="E110" s="31" t="str">
        <f>IF(csv!E100="","",csv!E100)</f>
        <v>Delić</v>
      </c>
      <c r="F110" s="31" t="s">
        <v>0</v>
      </c>
      <c r="G110" s="73" t="str">
        <f>IF(csv!M100="","",csv!M100)</f>
        <v>57:59</v>
      </c>
      <c r="H110" s="73" t="str">
        <f>IF(csv!N100="","",csv!N100)</f>
        <v>0</v>
      </c>
      <c r="I110" s="31" t="s">
        <v>0</v>
      </c>
      <c r="J110" s="31" t="str">
        <f>IF(csv!P100="","",csv!P100)</f>
        <v>Maksimir</v>
      </c>
      <c r="K110" s="31" t="str">
        <f>IF(csv!Q100="","",csv!Q100)</f>
        <v>OK Maksimir</v>
      </c>
      <c r="L110" s="31" t="s">
        <v>0</v>
      </c>
      <c r="M110" s="66" t="str">
        <f>IF(csv!R100="","",csv!R100)</f>
        <v>CRO</v>
      </c>
      <c r="N110" s="47" t="s">
        <v>0</v>
      </c>
      <c r="O110" s="243" t="str">
        <f t="shared" si="95"/>
        <v>ok</v>
      </c>
      <c r="P110" s="47"/>
      <c r="Q110" s="52" t="str">
        <f t="shared" si="96"/>
        <v>M35</v>
      </c>
      <c r="R110" s="73">
        <f>IF(Q110="","",IF(COUNTIF(Q$12:Q109,Q110)=0,R109+1,R109))</f>
        <v>7</v>
      </c>
      <c r="S110" s="73">
        <f t="shared" si="97"/>
        <v>107</v>
      </c>
      <c r="T110" s="73">
        <f t="shared" si="72"/>
        <v>18</v>
      </c>
      <c r="U110" s="66" t="str">
        <f t="shared" si="73"/>
        <v>M35</v>
      </c>
      <c r="V110" s="47" t="s">
        <v>0</v>
      </c>
      <c r="W110" s="222" t="str">
        <f t="shared" si="74"/>
        <v>M35</v>
      </c>
      <c r="X110" s="223">
        <f t="shared" si="75"/>
        <v>29</v>
      </c>
      <c r="Y110" s="47" t="s">
        <v>0</v>
      </c>
      <c r="Z110" s="52" t="str">
        <f t="shared" si="98"/>
        <v>CRO</v>
      </c>
      <c r="AA110" s="73">
        <f t="shared" si="76"/>
        <v>1</v>
      </c>
      <c r="AB110" s="31" t="str">
        <f t="shared" si="99"/>
        <v/>
      </c>
      <c r="AC110" s="66" t="str">
        <f>IF(AB110="","",MAX(AC$12:AC109)+1)</f>
        <v/>
      </c>
      <c r="AD110" s="47" t="s">
        <v>0</v>
      </c>
      <c r="AE110" s="125"/>
      <c r="AF110" s="47" t="s">
        <v>0</v>
      </c>
      <c r="AG110" s="19" t="str">
        <f t="shared" si="100"/>
        <v/>
      </c>
      <c r="AH110" s="47" t="s">
        <v>0</v>
      </c>
      <c r="AI110" s="143" t="str">
        <f t="shared" si="101"/>
        <v>CRO</v>
      </c>
      <c r="AJ110" s="47"/>
      <c r="AK110" s="52" t="str">
        <f t="shared" si="102"/>
        <v>Petar</v>
      </c>
      <c r="AL110" s="31" t="str">
        <f t="shared" si="103"/>
        <v>Delić</v>
      </c>
      <c r="AM110" s="73">
        <f t="shared" si="104"/>
        <v>1418</v>
      </c>
      <c r="AN110" s="73" t="str">
        <f t="shared" si="105"/>
        <v/>
      </c>
      <c r="AO110" s="31" t="str">
        <f t="shared" si="77"/>
        <v>Petar</v>
      </c>
      <c r="AP110" s="66" t="str">
        <f t="shared" si="78"/>
        <v>Delić</v>
      </c>
      <c r="AQ110" s="47" t="s">
        <v>0</v>
      </c>
      <c r="AR110" s="82" t="str">
        <f t="shared" si="106"/>
        <v/>
      </c>
      <c r="AS110" s="47" t="s">
        <v>0</v>
      </c>
      <c r="AT110" s="19" t="str">
        <f t="shared" si="107"/>
        <v/>
      </c>
      <c r="AU110" s="47" t="s">
        <v>0</v>
      </c>
      <c r="AV110" s="103"/>
      <c r="AW110" s="105"/>
      <c r="AX110" s="47" t="s">
        <v>0</v>
      </c>
      <c r="AY110" s="256" t="str">
        <f t="shared" si="125"/>
        <v/>
      </c>
      <c r="AZ110" s="47" t="s">
        <v>0</v>
      </c>
      <c r="BA110" s="52" t="str">
        <f t="shared" si="79"/>
        <v/>
      </c>
      <c r="BB110" s="73" t="str">
        <f>IF(AV110&amp;AW110="","",MAX(BB$12:BB109)+1)</f>
        <v/>
      </c>
      <c r="BC110" s="268" t="str">
        <f t="shared" si="80"/>
        <v/>
      </c>
      <c r="BD110" s="53" t="str">
        <f>IF(AND(AM110="NEMA",AN110="NEMA",OR(AV110&amp;AW110="",BC110="NEMA")),MAX(BD$12:BD109)+1,"")</f>
        <v/>
      </c>
      <c r="BE110" s="47" t="s">
        <v>0</v>
      </c>
      <c r="BF110" s="52" t="str">
        <f t="shared" si="81"/>
        <v>Petar</v>
      </c>
      <c r="BG110" s="31" t="str">
        <f t="shared" si="82"/>
        <v>Delić</v>
      </c>
      <c r="BH110" s="73" t="str">
        <f t="shared" si="108"/>
        <v/>
      </c>
      <c r="BI110" s="53">
        <f t="shared" si="109"/>
        <v>1418</v>
      </c>
      <c r="BJ110" s="47" t="s">
        <v>0</v>
      </c>
      <c r="BK110" s="52" t="str">
        <f t="shared" si="83"/>
        <v>Maksimir</v>
      </c>
      <c r="BL110" s="31" t="str">
        <f t="shared" si="84"/>
        <v>OK Maksimir</v>
      </c>
      <c r="BM110" s="73">
        <f t="shared" si="85"/>
        <v>6</v>
      </c>
      <c r="BN110" s="73" t="str">
        <f t="shared" si="86"/>
        <v/>
      </c>
      <c r="BO110" s="31" t="str" cm="1">
        <f t="array" ref="BO110">IF(BN110="",""&amp;BL110,IF(BN110="NEMA",BL110,INDEX(regKlub_naziv,MATCH(INDEX(regKlub_alias_klubId,BN110),regKlub_id,0))))</f>
        <v>OK Maksimir</v>
      </c>
      <c r="BP110" s="31" t="str" cm="1">
        <f t="array" ref="BP110">IFERROR(""&amp;INDEX(regNatjecatelj_klub,DY110),"")</f>
        <v>OK Maksimir</v>
      </c>
      <c r="BQ110" s="88" t="str">
        <f t="shared" si="110"/>
        <v/>
      </c>
      <c r="BR110" s="66" t="str">
        <f t="shared" si="111"/>
        <v>OK Maksimir</v>
      </c>
      <c r="BS110" s="47" t="s">
        <v>0</v>
      </c>
      <c r="BT110" s="82" t="str">
        <f>IF(BN110&lt;&gt;"NEMA","",IF(IFERROR(MATCH(BL110,BL$12:BL109,0),0)&lt;&gt;0,"",BL110))</f>
        <v/>
      </c>
      <c r="BU110" s="47" t="s">
        <v>0</v>
      </c>
      <c r="BV110" s="125"/>
      <c r="BW110" s="47" t="s">
        <v>0</v>
      </c>
      <c r="BX110" s="58" t="str">
        <f t="shared" si="112"/>
        <v/>
      </c>
      <c r="BY110" s="31" t="str">
        <f t="shared" si="113"/>
        <v/>
      </c>
      <c r="BZ110" s="31" t="str">
        <f>IF(BY110="","",MAX(BZ$12:BZ109)+1)</f>
        <v/>
      </c>
      <c r="CA110" s="31" t="str">
        <f>IF(BY110="","",IF(AA110="","",IF(AA110="NEMA",AC110,AA110)))</f>
        <v/>
      </c>
      <c r="CB110" s="31" t="str">
        <f t="shared" si="114"/>
        <v/>
      </c>
      <c r="CC110" s="31" t="str">
        <f>IF(BV110="","",MAX(CC$12:CC109)+1)</f>
        <v/>
      </c>
      <c r="CD110" s="31" t="str">
        <f t="shared" si="115"/>
        <v/>
      </c>
      <c r="CE110" s="66" t="str">
        <f t="shared" si="116"/>
        <v/>
      </c>
      <c r="CF110" s="47" t="s">
        <v>0</v>
      </c>
      <c r="CG110" s="73" t="str">
        <f>IF(BN110="","",IF(BN110&lt;&gt;"NEMA","",IFERROR(INDEX(nat_klubAliasId,MATCH(BL110,nat_noviKluboviAliasi,0)),"")))</f>
        <v/>
      </c>
      <c r="CH110" s="47"/>
      <c r="CI110" s="19" t="str">
        <f t="shared" si="117"/>
        <v/>
      </c>
      <c r="CJ110" s="47" t="s">
        <v>0</v>
      </c>
      <c r="CK110" s="52" t="str">
        <f>IF(X110&lt;&gt;"NEMA","",IF(IFERROR(MATCH(W110,W$12:W109,0),0)&lt;&gt;0,"",W110))</f>
        <v/>
      </c>
      <c r="CL110" s="73" t="str">
        <f>IF(CK110="","",IFERROR(INDEX(regKlub_alias_id,MATCH(CK110,regKlub_alias_alias,0)),"NEMA"))</f>
        <v/>
      </c>
      <c r="CM110" s="31" t="str">
        <f>IF(OR(CL110="",CL110&lt;&gt;"NEMA"),"",MAX(CM$12:CM109)+1)</f>
        <v/>
      </c>
      <c r="CN110" s="66" t="str">
        <f>IF(OR(CL110="",CL110&lt;&gt;"NEMA"),"",INDEX(regKlub_id,MATCH(CK110,regKlub_naziv,0)))</f>
        <v/>
      </c>
      <c r="CO110" s="47" t="s">
        <v>0</v>
      </c>
      <c r="CP110" s="19" t="str">
        <f>IF(OR(CL110="",CL110&lt;&gt;"NEMA"),"","INSERT INTO klub_alias(id,alias,klub_id) VALUES ("&amp;CM110&amp;",'"&amp;CK110&amp;"',"&amp;CN110&amp;");")</f>
        <v/>
      </c>
      <c r="CQ110" s="47" t="s">
        <v>0</v>
      </c>
      <c r="CR110" s="143" t="str">
        <f>IF(BR110="","",IF(BV110="",IF(IFERROR(MATCH(BR110,nat_noviKluboviAliasi,0),0)&gt;0,INDEX(nat_kluboviAliasi,MATCH(BR110,nat_noviKluboviAliasi,0)),BR110),BV110))</f>
        <v>OK Maksimir</v>
      </c>
      <c r="CS110" s="47" t="s">
        <v>0</v>
      </c>
      <c r="CT110" s="58" t="str">
        <f>IF(G110="","",G110)</f>
        <v>57:59</v>
      </c>
      <c r="CU110" s="73" t="str">
        <f>IF(H110="","",H110)</f>
        <v>0</v>
      </c>
      <c r="CV110" s="229" t="str">
        <f>IF(CT110="",IF(OR(AL110="",CU110&lt;&gt;"0"),"","GREŠKA"),IF(AND(65535&gt;=VALUE(LEFT(CT110,SEARCH(":",CT110)-1))*60+VALUE(RIGHT(CT110,2)),OR(CU110="0",CU110="1",CU110="2",CU110="3",CU110="4")),"","GREŠKA"))</f>
        <v/>
      </c>
      <c r="CW110" s="230">
        <f t="shared" si="71"/>
        <v>3479</v>
      </c>
      <c r="CX110" s="163">
        <f t="shared" si="87"/>
        <v>1</v>
      </c>
      <c r="CY110" s="47" t="s">
        <v>0</v>
      </c>
      <c r="CZ110" s="222" t="str">
        <f>IF(CV110&lt;&gt;"GREŠKA","",AK110&amp;" "&amp;AL110&amp;" – Molim u OEventu provjeriti i ispraviti rezultat – vrijeme ("&amp;IF(CT110="","nije upisano",CT110)&amp;") i classifier ("&amp;CU110&amp;").")&amp;IF(OR(CV110&lt;&gt;"GREŠKA",CX110&lt;&gt;5),"
","")&amp;IF(CX110&lt;&gt;5,"",AK110&amp;" "&amp;AL110&amp;" – Molim u provjeriti je li natjecatelj zaista diskvalificiran. Ako je koje je obrazloženje, ako nije molim u OEventu ispraviti rezultat")</f>
        <v xml:space="preserve">
</v>
      </c>
      <c r="DA110" s="223">
        <f t="shared" si="118"/>
        <v>6</v>
      </c>
      <c r="DB110" s="47" t="s">
        <v>0</v>
      </c>
      <c r="DC110" s="47"/>
      <c r="DD110" s="47"/>
      <c r="DE110" s="47"/>
      <c r="DF110" s="47" t="s">
        <v>0</v>
      </c>
      <c r="DG110" s="53" t="str">
        <f>IF(BD110="","",IF(DI110="O",1,""))</f>
        <v/>
      </c>
      <c r="DH110" t="s">
        <v>0</v>
      </c>
      <c r="DI110" s="128" t="str">
        <f>IF(Q110="","",LEFT(INDEX(regKategorija_oznaka,MATCH(S110,regKategorija_id,0)),1))</f>
        <v>M</v>
      </c>
      <c r="DJ110" t="s">
        <v>0</v>
      </c>
      <c r="DK110" s="52" t="str">
        <f>IF(BD110="","",IF(M110&lt;&gt;"CRO","","INSERT INTO osoba (id,reg_broj,oib,spol_id,dat_rodjenja) VALUES ("&amp;BD110&amp;",(SELECT max(os.reg_broj)+1 FROM osoba AS os),Null,'"&amp;DI110&amp;"',Null); INSERT INTO osoba_log (id,reg_broj,oib,spol_id,dat_rodjenja,dnevnik_id) SELECT id,reg_broj,oib,spol_id,dat_rodjenja,"&amp;data_dnevnik_id&amp;" FROM osoba WHERE id = "&amp;BD110&amp;";"))</f>
        <v/>
      </c>
      <c r="DL110" s="66" t="str">
        <f>IF(BD110="","","INSERT INTO imeprezime (id,osoba_id,rbr,ime,prezime,klub_id,identitet_id,sintaksa_id,info,aktivno,dnevnik_id) VALUES ("&amp;BD110&amp;","&amp;IF(DK110="","Null",BD110)&amp;",1,'"&amp;IF(AV110&lt;&gt;"",AV110,AK110)&amp;"','"&amp;IF(AW110&lt;&gt;"",AW110,AL110)&amp;"',(SELECT id FROM klub WHERE naziv = '"&amp;CR110&amp;"'),Null,1,'',1,"&amp;data_dnevnik_id&amp;");")</f>
        <v/>
      </c>
      <c r="DM110" t="s">
        <v>0</v>
      </c>
      <c r="DN110" s="19" t="str">
        <f t="shared" si="126"/>
        <v/>
      </c>
      <c r="DO110" s="47" t="s">
        <v>0</v>
      </c>
      <c r="DP110" s="19" t="str">
        <f>IF(BA110="","","INSERT INTO imeprezime_alias(id,alias,imeprezime_id) VALUES ("&amp;BB110&amp;",'"&amp;BA110&amp;"',"&amp;IF(BC110="NEMA",BD110,BC110)&amp;");")</f>
        <v/>
      </c>
      <c r="DQ110" s="47" t="s">
        <v>0</v>
      </c>
      <c r="DR110" s="52" t="str">
        <f>IF(AL110="","",DU110 &amp; IF(Q110="",""," – " &amp; Q110))</f>
        <v>Petar – Delić – OK Maksimir – M35</v>
      </c>
      <c r="DS110" s="53">
        <f t="shared" si="88"/>
        <v>343</v>
      </c>
      <c r="DT110" s="47" t="s">
        <v>0</v>
      </c>
      <c r="DU110" s="52" t="str">
        <f>IF(AL110="","",DX110 &amp; IF(CR110="",""," – " &amp; CR110))</f>
        <v>Petar – Delić – OK Maksimir</v>
      </c>
      <c r="DV110" s="53">
        <f t="shared" si="89"/>
        <v>343</v>
      </c>
      <c r="DW110" s="47" t="s">
        <v>0</v>
      </c>
      <c r="DX110" s="52" t="str">
        <f>IF(BG110="","",BF110&amp;" – "&amp;BG110)</f>
        <v>Petar – Delić</v>
      </c>
      <c r="DY110" s="53">
        <f t="shared" si="90"/>
        <v>343</v>
      </c>
      <c r="DZ110" s="47" t="s">
        <v>0</v>
      </c>
      <c r="EA110" s="58">
        <f t="shared" si="119"/>
        <v>343</v>
      </c>
      <c r="EB110" s="53" cm="1">
        <f t="array" ref="EB110">IF(EA110&lt;&gt;"",INDEX(regNatjecatelj_id,EA110,0),IF(BD110&lt;&gt;"",BD110,""))</f>
        <v>1418</v>
      </c>
      <c r="EC110" s="47" t="s">
        <v>0</v>
      </c>
      <c r="ED110" s="58" t="str">
        <f>IF(AL110="","",IF(BD110&lt;&gt;"","novo",IF(AN110="","imepre","imepre(ali)")))</f>
        <v>imepre</v>
      </c>
      <c r="EE110" s="73" t="str">
        <f>IF(AL110="","",IF(BL110="",IF(IFERROR(INDEX(regNatjecatelj_klub,MATCH(EB110,regNatjecatelj_id,0)),"NEMA")="","klu",""),IF(OR(AND(BN110&lt;&gt;"",BN110&lt;&gt;"NEMA"),CD110&lt;&gt;""),"klu(ali)",IF(AND(BP110&lt;&gt;"",BP110&lt;&gt;BO110),"(raz-klu)","klu"))))</f>
        <v>klu</v>
      </c>
      <c r="EF110" s="73" t="str">
        <f>IF(AL110="","","kat"&amp;IF(AND(W110&lt;&gt;Q110,Q110&lt;&gt;"Open"),"(ali)",""))</f>
        <v>kat</v>
      </c>
      <c r="EG110" s="73" t="str">
        <f t="shared" si="91"/>
        <v/>
      </c>
      <c r="EH110" s="66" t="str">
        <f>IF(AL110="","",ED110&amp;IF(ED110="novo","","-"&amp;EE110&amp;"-"&amp;EF110)&amp;IF(EG110="","","-"&amp;EG110))</f>
        <v>imepre-klu-kat</v>
      </c>
      <c r="EI110" s="47" t="s">
        <v>0</v>
      </c>
      <c r="EJ110" s="58">
        <f>IF(AL110="","",MAX(EJ$12:EJ109)+1)</f>
        <v>278</v>
      </c>
      <c r="EK110" s="73">
        <f>IF(AO110="","",X110)</f>
        <v>29</v>
      </c>
      <c r="EL110" s="73">
        <f t="shared" si="120"/>
        <v>1418</v>
      </c>
      <c r="EM110" s="73">
        <f t="shared" si="92"/>
        <v>3479</v>
      </c>
      <c r="EN110" s="73">
        <f t="shared" si="93"/>
        <v>1</v>
      </c>
      <c r="EO110" s="73">
        <f t="shared" si="121"/>
        <v>1</v>
      </c>
      <c r="EP110" s="73">
        <f t="shared" si="122"/>
        <v>1</v>
      </c>
      <c r="EQ110" s="73" t="str">
        <f t="shared" si="94"/>
        <v>0</v>
      </c>
      <c r="ER110" s="73" t="str">
        <f>IF(OR(AN110="",AN110="NEMA"),BB110,AN110)</f>
        <v/>
      </c>
      <c r="ES110" s="73" t="str">
        <f>IF(AND(BN110&lt;&gt;"",BN110&lt;&gt;"NEMA"),BN110,IF(CG110&lt;&gt;"",CG110,IF(AND(CL110&lt;&gt;"",CL110&lt;&gt;"NEMA"),CL110,IF(CM110&lt;&gt;"",CM110,""))))</f>
        <v/>
      </c>
      <c r="ET110" s="53" t="str">
        <f>IF(INDEX(natKategorija_alias_Id,MATCH(S110,natKategorija_katRegId,0))="","",INDEX(natKategorija_alias_Id,MATCH(S110,natKategorija_katRegId,0)))</f>
        <v/>
      </c>
      <c r="EU110" s="47" t="s">
        <v>0</v>
      </c>
      <c r="EV110" s="19" t="str">
        <f t="shared" si="123"/>
        <v>INSERT INTO rezultat(id,stazakategorija_id,imeprezime_id,vrijeme_sec,status_id,registracija,uparivanje_id,originalstatus_id,imeprezimealias_id,klubalias_id,kategorijaalias_id) VALUES (278,29,1418,3479,1,1,1,0,Null,Null,Null);</v>
      </c>
      <c r="EW110" s="47" t="s">
        <v>0</v>
      </c>
      <c r="EX110" s="19" t="str">
        <f t="shared" si="124"/>
        <v>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0" s="47" t="s">
        <v>0</v>
      </c>
      <c r="EZ110" s="180" t="str">
        <f>AG110&amp;IF(CP110="","","
")&amp;CP110&amp;IF(CI110="","","
")&amp;CI110&amp;IF(DN110="","","
")&amp;DN110&amp;IF(DP110="","","
")&amp;DP110&amp;IF(EV110="","","
")&amp;EV110&amp;IF(EX110="","","
")&amp;EX110</f>
        <v xml:space="preserve">
INSERT INTO rezultat(id,stazakategorija_id,imeprezime_id,vrijeme_sec,status_id,registracija,uparivanje_id,originalstatus_id,imeprezimealias_id,klubalias_id,kategorijaalias_id) VALUES (278,29,1418,3479,1,1,1,0,Null,Null,Null);
UPDATE
	registar
SET
	potvrda = 1
WHERE
	imeprezime_id=1418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0" s="47" t="s">
        <v>0</v>
      </c>
    </row>
    <row r="111" spans="1:157" x14ac:dyDescent="0.25">
      <c r="A111" t="s">
        <v>0</v>
      </c>
      <c r="B111" s="52" t="str">
        <f>IF(csv!F101="","",csv!T101)</f>
        <v>M35</v>
      </c>
      <c r="C111" s="31" t="s">
        <v>0</v>
      </c>
      <c r="D111" s="31" t="str">
        <f>IF(csv!F101="","",csv!F101)</f>
        <v>Branimir</v>
      </c>
      <c r="E111" s="31" t="str">
        <f>IF(csv!E101="","",csv!E101)</f>
        <v>Pongrac</v>
      </c>
      <c r="F111" s="31" t="s">
        <v>0</v>
      </c>
      <c r="G111" s="73" t="str">
        <f>IF(csv!M101="","",csv!M101)</f>
        <v>59:57</v>
      </c>
      <c r="H111" s="73" t="str">
        <f>IF(csv!N101="","",csv!N101)</f>
        <v>0</v>
      </c>
      <c r="I111" s="31" t="s">
        <v>0</v>
      </c>
      <c r="J111" s="31" t="str">
        <f>IF(csv!P101="","",csv!P101)</f>
        <v>JAP</v>
      </c>
      <c r="K111" s="31" t="str">
        <f>IF(csv!Q101="","",csv!Q101)</f>
        <v>OK Japetic</v>
      </c>
      <c r="L111" s="31" t="s">
        <v>0</v>
      </c>
      <c r="M111" s="66" t="str">
        <f>IF(csv!R101="","",csv!R101)</f>
        <v>CRO</v>
      </c>
      <c r="N111" s="47" t="s">
        <v>0</v>
      </c>
      <c r="O111" s="243" t="str">
        <f t="shared" si="95"/>
        <v>ok</v>
      </c>
      <c r="P111" s="47"/>
      <c r="Q111" s="52" t="str">
        <f t="shared" si="96"/>
        <v>M35</v>
      </c>
      <c r="R111" s="73">
        <f>IF(Q111="","",IF(COUNTIF(Q$12:Q110,Q111)=0,R110+1,R110))</f>
        <v>7</v>
      </c>
      <c r="S111" s="73">
        <f t="shared" si="97"/>
        <v>107</v>
      </c>
      <c r="T111" s="73">
        <f t="shared" si="72"/>
        <v>18</v>
      </c>
      <c r="U111" s="66" t="str">
        <f t="shared" si="73"/>
        <v>M35</v>
      </c>
      <c r="V111" s="47" t="s">
        <v>0</v>
      </c>
      <c r="W111" s="222" t="str">
        <f t="shared" si="74"/>
        <v>M35</v>
      </c>
      <c r="X111" s="223">
        <f t="shared" si="75"/>
        <v>29</v>
      </c>
      <c r="Y111" s="47" t="s">
        <v>0</v>
      </c>
      <c r="Z111" s="52" t="str">
        <f t="shared" si="98"/>
        <v>CRO</v>
      </c>
      <c r="AA111" s="73">
        <f t="shared" si="76"/>
        <v>1</v>
      </c>
      <c r="AB111" s="31" t="str">
        <f t="shared" si="99"/>
        <v/>
      </c>
      <c r="AC111" s="66" t="str">
        <f>IF(AB111="","",MAX(AC$12:AC110)+1)</f>
        <v/>
      </c>
      <c r="AD111" s="47" t="s">
        <v>0</v>
      </c>
      <c r="AE111" s="125"/>
      <c r="AF111" s="47" t="s">
        <v>0</v>
      </c>
      <c r="AG111" s="19" t="str">
        <f t="shared" si="100"/>
        <v/>
      </c>
      <c r="AH111" s="47" t="s">
        <v>0</v>
      </c>
      <c r="AI111" s="143" t="str">
        <f t="shared" si="101"/>
        <v>CRO</v>
      </c>
      <c r="AJ111" s="47"/>
      <c r="AK111" s="52" t="str">
        <f t="shared" si="102"/>
        <v>Branimir</v>
      </c>
      <c r="AL111" s="31" t="str">
        <f t="shared" si="103"/>
        <v>Pongrac</v>
      </c>
      <c r="AM111" s="73">
        <f t="shared" si="104"/>
        <v>1206</v>
      </c>
      <c r="AN111" s="73" t="str">
        <f t="shared" si="105"/>
        <v/>
      </c>
      <c r="AO111" s="31" t="str">
        <f t="shared" si="77"/>
        <v>Branimir</v>
      </c>
      <c r="AP111" s="66" t="str">
        <f t="shared" si="78"/>
        <v>Pongrac</v>
      </c>
      <c r="AQ111" s="47" t="s">
        <v>0</v>
      </c>
      <c r="AR111" s="82" t="str">
        <f t="shared" si="106"/>
        <v/>
      </c>
      <c r="AS111" s="47" t="s">
        <v>0</v>
      </c>
      <c r="AT111" s="19" t="str">
        <f t="shared" si="107"/>
        <v/>
      </c>
      <c r="AU111" s="47" t="s">
        <v>0</v>
      </c>
      <c r="AV111" s="103"/>
      <c r="AW111" s="105"/>
      <c r="AX111" s="47" t="s">
        <v>0</v>
      </c>
      <c r="AY111" s="256" t="str">
        <f t="shared" si="125"/>
        <v/>
      </c>
      <c r="AZ111" s="47" t="s">
        <v>0</v>
      </c>
      <c r="BA111" s="52" t="str">
        <f t="shared" si="79"/>
        <v/>
      </c>
      <c r="BB111" s="73" t="str">
        <f>IF(AV111&amp;AW111="","",MAX(BB$12:BB110)+1)</f>
        <v/>
      </c>
      <c r="BC111" s="268" t="str">
        <f t="shared" si="80"/>
        <v/>
      </c>
      <c r="BD111" s="53" t="str">
        <f>IF(AND(AM111="NEMA",AN111="NEMA",OR(AV111&amp;AW111="",BC111="NEMA")),MAX(BD$12:BD110)+1,"")</f>
        <v/>
      </c>
      <c r="BE111" s="47" t="s">
        <v>0</v>
      </c>
      <c r="BF111" s="52" t="str">
        <f t="shared" si="81"/>
        <v>Branimir</v>
      </c>
      <c r="BG111" s="31" t="str">
        <f t="shared" si="82"/>
        <v>Pongrac</v>
      </c>
      <c r="BH111" s="73" t="str">
        <f t="shared" si="108"/>
        <v/>
      </c>
      <c r="BI111" s="53">
        <f t="shared" si="109"/>
        <v>1206</v>
      </c>
      <c r="BJ111" s="47" t="s">
        <v>0</v>
      </c>
      <c r="BK111" s="52" t="str">
        <f t="shared" si="83"/>
        <v>JAP</v>
      </c>
      <c r="BL111" s="31" t="str">
        <f t="shared" si="84"/>
        <v>OK Japetic</v>
      </c>
      <c r="BM111" s="73" t="str">
        <f t="shared" si="85"/>
        <v>NEMA</v>
      </c>
      <c r="BN111" s="73">
        <f t="shared" si="86"/>
        <v>1</v>
      </c>
      <c r="BO111" s="31" t="str" cm="1">
        <f t="array" ref="BO111">IF(BN111="",""&amp;BL111,IF(BN111="NEMA",BL111,INDEX(regKlub_naziv,MATCH(INDEX(regKlub_alias_klubId,BN111),regKlub_id,0))))</f>
        <v>OK Japetić</v>
      </c>
      <c r="BP111" s="31" t="str" cm="1">
        <f t="array" ref="BP111">IFERROR(""&amp;INDEX(regNatjecatelj_klub,DY111),"")</f>
        <v>OK Japetić</v>
      </c>
      <c r="BQ111" s="88" t="str">
        <f t="shared" si="110"/>
        <v/>
      </c>
      <c r="BR111" s="66" t="str">
        <f t="shared" si="111"/>
        <v>OK Japetić</v>
      </c>
      <c r="BS111" s="47" t="s">
        <v>0</v>
      </c>
      <c r="BT111" s="82" t="str">
        <f>IF(BN111&lt;&gt;"NEMA","",IF(IFERROR(MATCH(BL111,BL$12:BL110,0),0)&lt;&gt;0,"",BL111))</f>
        <v/>
      </c>
      <c r="BU111" s="47" t="s">
        <v>0</v>
      </c>
      <c r="BV111" s="125"/>
      <c r="BW111" s="47" t="s">
        <v>0</v>
      </c>
      <c r="BX111" s="58" t="str">
        <f t="shared" si="112"/>
        <v/>
      </c>
      <c r="BY111" s="31" t="str">
        <f t="shared" si="113"/>
        <v/>
      </c>
      <c r="BZ111" s="31" t="str">
        <f>IF(BY111="","",MAX(BZ$12:BZ110)+1)</f>
        <v/>
      </c>
      <c r="CA111" s="31" t="str">
        <f>IF(BY111="","",IF(AA111="","",IF(AA111="NEMA",AC111,AA111)))</f>
        <v/>
      </c>
      <c r="CB111" s="31" t="str">
        <f t="shared" si="114"/>
        <v/>
      </c>
      <c r="CC111" s="31" t="str">
        <f>IF(BV111="","",MAX(CC$12:CC110)+1)</f>
        <v/>
      </c>
      <c r="CD111" s="31" t="str">
        <f t="shared" si="115"/>
        <v/>
      </c>
      <c r="CE111" s="66" t="str">
        <f t="shared" si="116"/>
        <v/>
      </c>
      <c r="CF111" s="47" t="s">
        <v>0</v>
      </c>
      <c r="CG111" s="73" t="str">
        <f>IF(BN111="","",IF(BN111&lt;&gt;"NEMA","",IFERROR(INDEX(nat_klubAliasId,MATCH(BL111,nat_noviKluboviAliasi,0)),"")))</f>
        <v/>
      </c>
      <c r="CH111" s="47"/>
      <c r="CI111" s="19" t="str">
        <f t="shared" si="117"/>
        <v/>
      </c>
      <c r="CJ111" s="47" t="s">
        <v>0</v>
      </c>
      <c r="CK111" s="52" t="str">
        <f>IF(X111&lt;&gt;"NEMA","",IF(IFERROR(MATCH(W111,W$12:W110,0),0)&lt;&gt;0,"",W111))</f>
        <v/>
      </c>
      <c r="CL111" s="73" t="str">
        <f>IF(CK111="","",IFERROR(INDEX(regKlub_alias_id,MATCH(CK111,regKlub_alias_alias,0)),"NEMA"))</f>
        <v/>
      </c>
      <c r="CM111" s="31" t="str">
        <f>IF(OR(CL111="",CL111&lt;&gt;"NEMA"),"",MAX(CM$12:CM110)+1)</f>
        <v/>
      </c>
      <c r="CN111" s="66" t="str">
        <f>IF(OR(CL111="",CL111&lt;&gt;"NEMA"),"",INDEX(regKlub_id,MATCH(CK111,regKlub_naziv,0)))</f>
        <v/>
      </c>
      <c r="CO111" s="47" t="s">
        <v>0</v>
      </c>
      <c r="CP111" s="19" t="str">
        <f>IF(OR(CL111="",CL111&lt;&gt;"NEMA"),"","INSERT INTO klub_alias(id,alias,klub_id) VALUES ("&amp;CM111&amp;",'"&amp;CK111&amp;"',"&amp;CN111&amp;");")</f>
        <v/>
      </c>
      <c r="CQ111" s="47" t="s">
        <v>0</v>
      </c>
      <c r="CR111" s="143" t="str">
        <f>IF(BR111="","",IF(BV111="",IF(IFERROR(MATCH(BR111,nat_noviKluboviAliasi,0),0)&gt;0,INDEX(nat_kluboviAliasi,MATCH(BR111,nat_noviKluboviAliasi,0)),BR111),BV111))</f>
        <v>OK Japetić</v>
      </c>
      <c r="CS111" s="47" t="s">
        <v>0</v>
      </c>
      <c r="CT111" s="58" t="str">
        <f>IF(G111="","",G111)</f>
        <v>59:57</v>
      </c>
      <c r="CU111" s="73" t="str">
        <f>IF(H111="","",H111)</f>
        <v>0</v>
      </c>
      <c r="CV111" s="229" t="str">
        <f>IF(CT111="",IF(OR(AL111="",CU111&lt;&gt;"0"),"","GREŠKA"),IF(AND(65535&gt;=VALUE(LEFT(CT111,SEARCH(":",CT111)-1))*60+VALUE(RIGHT(CT111,2)),OR(CU111="0",CU111="1",CU111="2",CU111="3",CU111="4")),"","GREŠKA"))</f>
        <v/>
      </c>
      <c r="CW111" s="230">
        <f t="shared" si="71"/>
        <v>3597</v>
      </c>
      <c r="CX111" s="163">
        <f t="shared" si="87"/>
        <v>1</v>
      </c>
      <c r="CY111" s="47" t="s">
        <v>0</v>
      </c>
      <c r="CZ111" s="222" t="str">
        <f>IF(CV111&lt;&gt;"GREŠKA","",AK111&amp;" "&amp;AL111&amp;" – Molim u OEventu provjeriti i ispraviti rezultat – vrijeme ("&amp;IF(CT111="","nije upisano",CT111)&amp;") i classifier ("&amp;CU111&amp;").")&amp;IF(OR(CV111&lt;&gt;"GREŠKA",CX111&lt;&gt;5),"
","")&amp;IF(CX111&lt;&gt;5,"",AK111&amp;" "&amp;AL111&amp;" – Molim u provjeriti je li natjecatelj zaista diskvalificiran. Ako je koje je obrazloženje, ako nije molim u OEventu ispraviti rezultat")</f>
        <v xml:space="preserve">
</v>
      </c>
      <c r="DA111" s="223">
        <f t="shared" si="118"/>
        <v>6</v>
      </c>
      <c r="DB111" s="47" t="s">
        <v>0</v>
      </c>
      <c r="DC111" s="47"/>
      <c r="DD111" s="47"/>
      <c r="DE111" s="47"/>
      <c r="DF111" s="47" t="s">
        <v>0</v>
      </c>
      <c r="DG111" s="53" t="str">
        <f>IF(BD111="","",IF(DI111="O",1,""))</f>
        <v/>
      </c>
      <c r="DH111" t="s">
        <v>0</v>
      </c>
      <c r="DI111" s="128" t="str">
        <f>IF(Q111="","",LEFT(INDEX(regKategorija_oznaka,MATCH(S111,regKategorija_id,0)),1))</f>
        <v>M</v>
      </c>
      <c r="DJ111" t="s">
        <v>0</v>
      </c>
      <c r="DK111" s="52" t="str">
        <f>IF(BD111="","",IF(M111&lt;&gt;"CRO","","INSERT INTO osoba (id,reg_broj,oib,spol_id,dat_rodjenja) VALUES ("&amp;BD111&amp;",(SELECT max(os.reg_broj)+1 FROM osoba AS os),Null,'"&amp;DI111&amp;"',Null); INSERT INTO osoba_log (id,reg_broj,oib,spol_id,dat_rodjenja,dnevnik_id) SELECT id,reg_broj,oib,spol_id,dat_rodjenja,"&amp;data_dnevnik_id&amp;" FROM osoba WHERE id = "&amp;BD111&amp;";"))</f>
        <v/>
      </c>
      <c r="DL111" s="66" t="str">
        <f>IF(BD111="","","INSERT INTO imeprezime (id,osoba_id,rbr,ime,prezime,klub_id,identitet_id,sintaksa_id,info,aktivno,dnevnik_id) VALUES ("&amp;BD111&amp;","&amp;IF(DK111="","Null",BD111)&amp;",1,'"&amp;IF(AV111&lt;&gt;"",AV111,AK111)&amp;"','"&amp;IF(AW111&lt;&gt;"",AW111,AL111)&amp;"',(SELECT id FROM klub WHERE naziv = '"&amp;CR111&amp;"'),Null,1,'',1,"&amp;data_dnevnik_id&amp;");")</f>
        <v/>
      </c>
      <c r="DM111" t="s">
        <v>0</v>
      </c>
      <c r="DN111" s="19" t="str">
        <f t="shared" si="126"/>
        <v/>
      </c>
      <c r="DO111" s="47" t="s">
        <v>0</v>
      </c>
      <c r="DP111" s="19" t="str">
        <f>IF(BA111="","","INSERT INTO imeprezime_alias(id,alias,imeprezime_id) VALUES ("&amp;BB111&amp;",'"&amp;BA111&amp;"',"&amp;IF(BC111="NEMA",BD111,BC111)&amp;");")</f>
        <v/>
      </c>
      <c r="DQ111" s="47" t="s">
        <v>0</v>
      </c>
      <c r="DR111" s="52" t="str">
        <f>IF(AL111="","",DU111 &amp; IF(Q111="",""," – " &amp; Q111))</f>
        <v>Branimir – Pongrac – OK Japetić – M35</v>
      </c>
      <c r="DS111" s="53">
        <f t="shared" si="88"/>
        <v>130</v>
      </c>
      <c r="DT111" s="47" t="s">
        <v>0</v>
      </c>
      <c r="DU111" s="52" t="str">
        <f>IF(AL111="","",DX111 &amp; IF(CR111="",""," – " &amp; CR111))</f>
        <v>Branimir – Pongrac – OK Japetić</v>
      </c>
      <c r="DV111" s="53">
        <f t="shared" si="89"/>
        <v>130</v>
      </c>
      <c r="DW111" s="47" t="s">
        <v>0</v>
      </c>
      <c r="DX111" s="52" t="str">
        <f>IF(BG111="","",BF111&amp;" – "&amp;BG111)</f>
        <v>Branimir – Pongrac</v>
      </c>
      <c r="DY111" s="53">
        <f t="shared" si="90"/>
        <v>130</v>
      </c>
      <c r="DZ111" s="47" t="s">
        <v>0</v>
      </c>
      <c r="EA111" s="58">
        <f t="shared" si="119"/>
        <v>130</v>
      </c>
      <c r="EB111" s="53" cm="1">
        <f t="array" ref="EB111">IF(EA111&lt;&gt;"",INDEX(regNatjecatelj_id,EA111,0),IF(BD111&lt;&gt;"",BD111,""))</f>
        <v>1206</v>
      </c>
      <c r="EC111" s="47" t="s">
        <v>0</v>
      </c>
      <c r="ED111" s="58" t="str">
        <f>IF(AL111="","",IF(BD111&lt;&gt;"","novo",IF(AN111="","imepre","imepre(ali)")))</f>
        <v>imepre</v>
      </c>
      <c r="EE111" s="73" t="str">
        <f>IF(AL111="","",IF(BL111="",IF(IFERROR(INDEX(regNatjecatelj_klub,MATCH(EB111,regNatjecatelj_id,0)),"NEMA")="","klu",""),IF(OR(AND(BN111&lt;&gt;"",BN111&lt;&gt;"NEMA"),CD111&lt;&gt;""),"klu(ali)",IF(AND(BP111&lt;&gt;"",BP111&lt;&gt;BO111),"(raz-klu)","klu"))))</f>
        <v>klu(ali)</v>
      </c>
      <c r="EF111" s="73" t="str">
        <f>IF(AL111="","","kat"&amp;IF(AND(W111&lt;&gt;Q111,Q111&lt;&gt;"Open"),"(ali)",""))</f>
        <v>kat</v>
      </c>
      <c r="EG111" s="73" t="str">
        <f t="shared" si="91"/>
        <v/>
      </c>
      <c r="EH111" s="66" t="str">
        <f>IF(AL111="","",ED111&amp;IF(ED111="novo","","-"&amp;EE111&amp;"-"&amp;EF111)&amp;IF(EG111="","","-"&amp;EG111))</f>
        <v>imepre-klu(ali)-kat</v>
      </c>
      <c r="EI111" s="47" t="s">
        <v>0</v>
      </c>
      <c r="EJ111" s="58">
        <f>IF(AL111="","",MAX(EJ$12:EJ110)+1)</f>
        <v>279</v>
      </c>
      <c r="EK111" s="73">
        <f>IF(AO111="","",X111)</f>
        <v>29</v>
      </c>
      <c r="EL111" s="73">
        <f t="shared" si="120"/>
        <v>1206</v>
      </c>
      <c r="EM111" s="73">
        <f t="shared" si="92"/>
        <v>3597</v>
      </c>
      <c r="EN111" s="73">
        <f t="shared" si="93"/>
        <v>1</v>
      </c>
      <c r="EO111" s="73">
        <f t="shared" si="121"/>
        <v>1</v>
      </c>
      <c r="EP111" s="73">
        <f t="shared" si="122"/>
        <v>3</v>
      </c>
      <c r="EQ111" s="73" t="str">
        <f t="shared" si="94"/>
        <v>0</v>
      </c>
      <c r="ER111" s="73" t="str">
        <f>IF(OR(AN111="",AN111="NEMA"),BB111,AN111)</f>
        <v/>
      </c>
      <c r="ES111" s="73">
        <f>IF(AND(BN111&lt;&gt;"",BN111&lt;&gt;"NEMA"),BN111,IF(CG111&lt;&gt;"",CG111,IF(AND(CL111&lt;&gt;"",CL111&lt;&gt;"NEMA"),CL111,IF(CM111&lt;&gt;"",CM111,""))))</f>
        <v>1</v>
      </c>
      <c r="ET111" s="53" t="str">
        <f>IF(INDEX(natKategorija_alias_Id,MATCH(S111,natKategorija_katRegId,0))="","",INDEX(natKategorija_alias_Id,MATCH(S111,natKategorija_katRegId,0)))</f>
        <v/>
      </c>
      <c r="EU111" s="47" t="s">
        <v>0</v>
      </c>
      <c r="EV111" s="19" t="str">
        <f t="shared" si="123"/>
        <v>INSERT INTO rezultat(id,stazakategorija_id,imeprezime_id,vrijeme_sec,status_id,registracija,uparivanje_id,originalstatus_id,imeprezimealias_id,klubalias_id,kategorijaalias_id) VALUES (279,29,1206,3597,1,1,3,0,Null,1,Null);</v>
      </c>
      <c r="EW111" s="47" t="s">
        <v>0</v>
      </c>
      <c r="EX111" s="19" t="str">
        <f t="shared" si="124"/>
        <v>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1" s="47" t="s">
        <v>0</v>
      </c>
      <c r="EZ111" s="180" t="str">
        <f>AG111&amp;IF(CP111="","","
")&amp;CP111&amp;IF(CI111="","","
")&amp;CI111&amp;IF(DN111="","","
")&amp;DN111&amp;IF(DP111="","","
")&amp;DP111&amp;IF(EV111="","","
")&amp;EV111&amp;IF(EX111="","","
")&amp;EX111</f>
        <v xml:space="preserve">
INSERT INTO rezultat(id,stazakategorija_id,imeprezime_id,vrijeme_sec,status_id,registracija,uparivanje_id,originalstatus_id,imeprezimealias_id,klubalias_id,kategorijaalias_id) VALUES (279,29,1206,3597,1,1,3,0,Null,1,Null);
UPDATE
	registar
SET
	potvrda = 1
WHERE
	imeprezime_id=1206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1" s="47" t="s">
        <v>0</v>
      </c>
    </row>
    <row r="112" spans="1:157" x14ac:dyDescent="0.25">
      <c r="A112" t="s">
        <v>0</v>
      </c>
      <c r="B112" s="52" t="str">
        <f>IF(csv!F102="","",csv!T102)</f>
        <v>M35</v>
      </c>
      <c r="C112" s="31" t="s">
        <v>0</v>
      </c>
      <c r="D112" s="31" t="str">
        <f>IF(csv!F102="","",csv!F102)</f>
        <v>Vedran</v>
      </c>
      <c r="E112" s="31" t="str">
        <f>IF(csv!E102="","",csv!E102)</f>
        <v>Bijelić</v>
      </c>
      <c r="F112" s="31" t="s">
        <v>0</v>
      </c>
      <c r="G112" s="73" t="str">
        <f>IF(csv!M102="","",csv!M102)</f>
        <v>60:35</v>
      </c>
      <c r="H112" s="73" t="str">
        <f>IF(csv!N102="","",csv!N102)</f>
        <v>0</v>
      </c>
      <c r="I112" s="31" t="s">
        <v>0</v>
      </c>
      <c r="J112" s="31" t="str">
        <f>IF(csv!P102="","",csv!P102)</f>
        <v>BJE</v>
      </c>
      <c r="K112" s="31" t="str">
        <f>IF(csv!Q102="","",csv!Q102)</f>
        <v>OK Bjelovar</v>
      </c>
      <c r="L112" s="31" t="s">
        <v>0</v>
      </c>
      <c r="M112" s="66" t="str">
        <f>IF(csv!R102="","",csv!R102)</f>
        <v>CRO</v>
      </c>
      <c r="N112" s="47" t="s">
        <v>0</v>
      </c>
      <c r="O112" s="243" t="str">
        <f t="shared" si="95"/>
        <v>ok</v>
      </c>
      <c r="P112" s="47"/>
      <c r="Q112" s="52" t="str">
        <f t="shared" si="96"/>
        <v>M35</v>
      </c>
      <c r="R112" s="73">
        <f>IF(Q112="","",IF(COUNTIF(Q$12:Q111,Q112)=0,R111+1,R111))</f>
        <v>7</v>
      </c>
      <c r="S112" s="73">
        <f t="shared" si="97"/>
        <v>107</v>
      </c>
      <c r="T112" s="73">
        <f t="shared" si="72"/>
        <v>18</v>
      </c>
      <c r="U112" s="66" t="str">
        <f t="shared" si="73"/>
        <v>M35</v>
      </c>
      <c r="V112" s="47" t="s">
        <v>0</v>
      </c>
      <c r="W112" s="222" t="str">
        <f t="shared" si="74"/>
        <v>M35</v>
      </c>
      <c r="X112" s="223">
        <f t="shared" si="75"/>
        <v>29</v>
      </c>
      <c r="Y112" s="47" t="s">
        <v>0</v>
      </c>
      <c r="Z112" s="52" t="str">
        <f t="shared" si="98"/>
        <v>CRO</v>
      </c>
      <c r="AA112" s="73">
        <f t="shared" si="76"/>
        <v>1</v>
      </c>
      <c r="AB112" s="31" t="str">
        <f t="shared" si="99"/>
        <v/>
      </c>
      <c r="AC112" s="66" t="str">
        <f>IF(AB112="","",MAX(AC$12:AC111)+1)</f>
        <v/>
      </c>
      <c r="AD112" s="47" t="s">
        <v>0</v>
      </c>
      <c r="AE112" s="125"/>
      <c r="AF112" s="47" t="s">
        <v>0</v>
      </c>
      <c r="AG112" s="19" t="str">
        <f t="shared" si="100"/>
        <v/>
      </c>
      <c r="AH112" s="47" t="s">
        <v>0</v>
      </c>
      <c r="AI112" s="143" t="str">
        <f t="shared" si="101"/>
        <v>CRO</v>
      </c>
      <c r="AJ112" s="47"/>
      <c r="AK112" s="52" t="str">
        <f t="shared" si="102"/>
        <v>Vedran</v>
      </c>
      <c r="AL112" s="31" t="str">
        <f t="shared" si="103"/>
        <v>Bijelić</v>
      </c>
      <c r="AM112" s="73">
        <f t="shared" si="104"/>
        <v>1537</v>
      </c>
      <c r="AN112" s="73" t="str">
        <f t="shared" si="105"/>
        <v/>
      </c>
      <c r="AO112" s="31" t="str">
        <f t="shared" si="77"/>
        <v>Vedran</v>
      </c>
      <c r="AP112" s="66" t="str">
        <f t="shared" si="78"/>
        <v>Bijelić</v>
      </c>
      <c r="AQ112" s="47" t="s">
        <v>0</v>
      </c>
      <c r="AR112" s="82" t="str">
        <f t="shared" si="106"/>
        <v/>
      </c>
      <c r="AS112" s="47" t="s">
        <v>0</v>
      </c>
      <c r="AT112" s="19" t="str">
        <f t="shared" si="107"/>
        <v/>
      </c>
      <c r="AU112" s="47" t="s">
        <v>0</v>
      </c>
      <c r="AV112" s="103"/>
      <c r="AW112" s="105"/>
      <c r="AX112" s="47" t="s">
        <v>0</v>
      </c>
      <c r="AY112" s="256" t="str">
        <f t="shared" si="125"/>
        <v/>
      </c>
      <c r="AZ112" s="47" t="s">
        <v>0</v>
      </c>
      <c r="BA112" s="52" t="str">
        <f t="shared" si="79"/>
        <v/>
      </c>
      <c r="BB112" s="73" t="str">
        <f>IF(AV112&amp;AW112="","",MAX(BB$12:BB111)+1)</f>
        <v/>
      </c>
      <c r="BC112" s="268" t="str">
        <f t="shared" si="80"/>
        <v/>
      </c>
      <c r="BD112" s="53" t="str">
        <f>IF(AND(AM112="NEMA",AN112="NEMA",OR(AV112&amp;AW112="",BC112="NEMA")),MAX(BD$12:BD111)+1,"")</f>
        <v/>
      </c>
      <c r="BE112" s="47" t="s">
        <v>0</v>
      </c>
      <c r="BF112" s="52" t="str">
        <f t="shared" si="81"/>
        <v>Vedran</v>
      </c>
      <c r="BG112" s="31" t="str">
        <f t="shared" si="82"/>
        <v>Bijelić</v>
      </c>
      <c r="BH112" s="73" t="str">
        <f t="shared" si="108"/>
        <v/>
      </c>
      <c r="BI112" s="53">
        <f t="shared" si="109"/>
        <v>1537</v>
      </c>
      <c r="BJ112" s="47" t="s">
        <v>0</v>
      </c>
      <c r="BK112" s="52" t="str">
        <f t="shared" si="83"/>
        <v>BJE</v>
      </c>
      <c r="BL112" s="31" t="str">
        <f t="shared" si="84"/>
        <v>OK Bjelovar</v>
      </c>
      <c r="BM112" s="73">
        <f t="shared" si="85"/>
        <v>1</v>
      </c>
      <c r="BN112" s="73" t="str">
        <f t="shared" si="86"/>
        <v/>
      </c>
      <c r="BO112" s="31" t="str" cm="1">
        <f t="array" ref="BO112">IF(BN112="",""&amp;BL112,IF(BN112="NEMA",BL112,INDEX(regKlub_naziv,MATCH(INDEX(regKlub_alias_klubId,BN112),regKlub_id,0))))</f>
        <v>OK Bjelovar</v>
      </c>
      <c r="BP112" s="31" t="str" cm="1">
        <f t="array" ref="BP112">IFERROR(""&amp;INDEX(regNatjecatelj_klub,DY112),"")</f>
        <v>OK Bjelovar</v>
      </c>
      <c r="BQ112" s="88" t="str">
        <f t="shared" si="110"/>
        <v/>
      </c>
      <c r="BR112" s="66" t="str">
        <f t="shared" si="111"/>
        <v>OK Bjelovar</v>
      </c>
      <c r="BS112" s="47" t="s">
        <v>0</v>
      </c>
      <c r="BT112" s="82" t="str">
        <f>IF(BN112&lt;&gt;"NEMA","",IF(IFERROR(MATCH(BL112,BL$12:BL111,0),0)&lt;&gt;0,"",BL112))</f>
        <v/>
      </c>
      <c r="BU112" s="47" t="s">
        <v>0</v>
      </c>
      <c r="BV112" s="125"/>
      <c r="BW112" s="47" t="s">
        <v>0</v>
      </c>
      <c r="BX112" s="58" t="str">
        <f t="shared" si="112"/>
        <v/>
      </c>
      <c r="BY112" s="31" t="str">
        <f t="shared" si="113"/>
        <v/>
      </c>
      <c r="BZ112" s="31" t="str">
        <f>IF(BY112="","",MAX(BZ$12:BZ111)+1)</f>
        <v/>
      </c>
      <c r="CA112" s="31" t="str">
        <f>IF(BY112="","",IF(AA112="","",IF(AA112="NEMA",AC112,AA112)))</f>
        <v/>
      </c>
      <c r="CB112" s="31" t="str">
        <f t="shared" si="114"/>
        <v/>
      </c>
      <c r="CC112" s="31" t="str">
        <f>IF(BV112="","",MAX(CC$12:CC111)+1)</f>
        <v/>
      </c>
      <c r="CD112" s="31" t="str">
        <f t="shared" si="115"/>
        <v/>
      </c>
      <c r="CE112" s="66" t="str">
        <f t="shared" si="116"/>
        <v/>
      </c>
      <c r="CF112" s="47" t="s">
        <v>0</v>
      </c>
      <c r="CG112" s="73" t="str">
        <f>IF(BN112="","",IF(BN112&lt;&gt;"NEMA","",IFERROR(INDEX(nat_klubAliasId,MATCH(BL112,nat_noviKluboviAliasi,0)),"")))</f>
        <v/>
      </c>
      <c r="CH112" s="47"/>
      <c r="CI112" s="19" t="str">
        <f t="shared" si="117"/>
        <v/>
      </c>
      <c r="CJ112" s="47" t="s">
        <v>0</v>
      </c>
      <c r="CK112" s="52" t="str">
        <f>IF(X112&lt;&gt;"NEMA","",IF(IFERROR(MATCH(W112,W$12:W111,0),0)&lt;&gt;0,"",W112))</f>
        <v/>
      </c>
      <c r="CL112" s="73" t="str">
        <f>IF(CK112="","",IFERROR(INDEX(regKlub_alias_id,MATCH(CK112,regKlub_alias_alias,0)),"NEMA"))</f>
        <v/>
      </c>
      <c r="CM112" s="31" t="str">
        <f>IF(OR(CL112="",CL112&lt;&gt;"NEMA"),"",MAX(CM$12:CM111)+1)</f>
        <v/>
      </c>
      <c r="CN112" s="66" t="str">
        <f>IF(OR(CL112="",CL112&lt;&gt;"NEMA"),"",INDEX(regKlub_id,MATCH(CK112,regKlub_naziv,0)))</f>
        <v/>
      </c>
      <c r="CO112" s="47" t="s">
        <v>0</v>
      </c>
      <c r="CP112" s="19" t="str">
        <f>IF(OR(CL112="",CL112&lt;&gt;"NEMA"),"","INSERT INTO klub_alias(id,alias,klub_id) VALUES ("&amp;CM112&amp;",'"&amp;CK112&amp;"',"&amp;CN112&amp;");")</f>
        <v/>
      </c>
      <c r="CQ112" s="47" t="s">
        <v>0</v>
      </c>
      <c r="CR112" s="143" t="str">
        <f>IF(BR112="","",IF(BV112="",IF(IFERROR(MATCH(BR112,nat_noviKluboviAliasi,0),0)&gt;0,INDEX(nat_kluboviAliasi,MATCH(BR112,nat_noviKluboviAliasi,0)),BR112),BV112))</f>
        <v>OK Bjelovar</v>
      </c>
      <c r="CS112" s="47" t="s">
        <v>0</v>
      </c>
      <c r="CT112" s="58" t="str">
        <f>IF(G112="","",G112)</f>
        <v>60:35</v>
      </c>
      <c r="CU112" s="73" t="str">
        <f>IF(H112="","",H112)</f>
        <v>0</v>
      </c>
      <c r="CV112" s="229" t="str">
        <f>IF(CT112="",IF(OR(AL112="",CU112&lt;&gt;"0"),"","GREŠKA"),IF(AND(65535&gt;=VALUE(LEFT(CT112,SEARCH(":",CT112)-1))*60+VALUE(RIGHT(CT112,2)),OR(CU112="0",CU112="1",CU112="2",CU112="3",CU112="4")),"","GREŠKA"))</f>
        <v/>
      </c>
      <c r="CW112" s="230">
        <f t="shared" si="71"/>
        <v>3635</v>
      </c>
      <c r="CX112" s="163">
        <f t="shared" si="87"/>
        <v>1</v>
      </c>
      <c r="CY112" s="47" t="s">
        <v>0</v>
      </c>
      <c r="CZ112" s="222" t="str">
        <f>IF(CV112&lt;&gt;"GREŠKA","",AK112&amp;" "&amp;AL112&amp;" – Molim u OEventu provjeriti i ispraviti rezultat – vrijeme ("&amp;IF(CT112="","nije upisano",CT112)&amp;") i classifier ("&amp;CU112&amp;").")&amp;IF(OR(CV112&lt;&gt;"GREŠKA",CX112&lt;&gt;5),"
","")&amp;IF(CX112&lt;&gt;5,"",AK112&amp;" "&amp;AL112&amp;" – Molim u provjeriti je li natjecatelj zaista diskvalificiran. Ako je koje je obrazloženje, ako nije molim u OEventu ispraviti rezultat")</f>
        <v xml:space="preserve">
</v>
      </c>
      <c r="DA112" s="223">
        <f t="shared" si="118"/>
        <v>6</v>
      </c>
      <c r="DB112" s="47" t="s">
        <v>0</v>
      </c>
      <c r="DC112" s="47"/>
      <c r="DD112" s="47"/>
      <c r="DE112" s="47"/>
      <c r="DF112" s="47" t="s">
        <v>0</v>
      </c>
      <c r="DG112" s="53" t="str">
        <f>IF(BD112="","",IF(DI112="O",1,""))</f>
        <v/>
      </c>
      <c r="DH112" t="s">
        <v>0</v>
      </c>
      <c r="DI112" s="128" t="str">
        <f>IF(Q112="","",LEFT(INDEX(regKategorija_oznaka,MATCH(S112,regKategorija_id,0)),1))</f>
        <v>M</v>
      </c>
      <c r="DJ112" t="s">
        <v>0</v>
      </c>
      <c r="DK112" s="52" t="str">
        <f>IF(BD112="","",IF(M112&lt;&gt;"CRO","","INSERT INTO osoba (id,reg_broj,oib,spol_id,dat_rodjenja) VALUES ("&amp;BD112&amp;",(SELECT max(os.reg_broj)+1 FROM osoba AS os),Null,'"&amp;DI112&amp;"',Null); INSERT INTO osoba_log (id,reg_broj,oib,spol_id,dat_rodjenja,dnevnik_id) SELECT id,reg_broj,oib,spol_id,dat_rodjenja,"&amp;data_dnevnik_id&amp;" FROM osoba WHERE id = "&amp;BD112&amp;";"))</f>
        <v/>
      </c>
      <c r="DL112" s="66" t="str">
        <f>IF(BD112="","","INSERT INTO imeprezime (id,osoba_id,rbr,ime,prezime,klub_id,identitet_id,sintaksa_id,info,aktivno,dnevnik_id) VALUES ("&amp;BD112&amp;","&amp;IF(DK112="","Null",BD112)&amp;",1,'"&amp;IF(AV112&lt;&gt;"",AV112,AK112)&amp;"','"&amp;IF(AW112&lt;&gt;"",AW112,AL112)&amp;"',(SELECT id FROM klub WHERE naziv = '"&amp;CR112&amp;"'),Null,1,'',1,"&amp;data_dnevnik_id&amp;");")</f>
        <v/>
      </c>
      <c r="DM112" t="s">
        <v>0</v>
      </c>
      <c r="DN112" s="19" t="str">
        <f t="shared" si="126"/>
        <v/>
      </c>
      <c r="DO112" s="47" t="s">
        <v>0</v>
      </c>
      <c r="DP112" s="19" t="str">
        <f>IF(BA112="","","INSERT INTO imeprezime_alias(id,alias,imeprezime_id) VALUES ("&amp;BB112&amp;",'"&amp;BA112&amp;"',"&amp;IF(BC112="NEMA",BD112,BC112)&amp;");")</f>
        <v/>
      </c>
      <c r="DQ112" s="47" t="s">
        <v>0</v>
      </c>
      <c r="DR112" s="52" t="str">
        <f>IF(AL112="","",DU112 &amp; IF(Q112="",""," – " &amp; Q112))</f>
        <v>Vedran – Bijelić – OK Bjelovar – M35</v>
      </c>
      <c r="DS112" s="53">
        <f t="shared" si="88"/>
        <v>5</v>
      </c>
      <c r="DT112" s="47" t="s">
        <v>0</v>
      </c>
      <c r="DU112" s="52" t="str">
        <f>IF(AL112="","",DX112 &amp; IF(CR112="",""," – " &amp; CR112))</f>
        <v>Vedran – Bijelić – OK Bjelovar</v>
      </c>
      <c r="DV112" s="53">
        <f t="shared" si="89"/>
        <v>5</v>
      </c>
      <c r="DW112" s="47" t="s">
        <v>0</v>
      </c>
      <c r="DX112" s="52" t="str">
        <f>IF(BG112="","",BF112&amp;" – "&amp;BG112)</f>
        <v>Vedran – Bijelić</v>
      </c>
      <c r="DY112" s="53">
        <f t="shared" si="90"/>
        <v>5</v>
      </c>
      <c r="DZ112" s="47" t="s">
        <v>0</v>
      </c>
      <c r="EA112" s="58">
        <f t="shared" si="119"/>
        <v>5</v>
      </c>
      <c r="EB112" s="53" cm="1">
        <f t="array" ref="EB112">IF(EA112&lt;&gt;"",INDEX(regNatjecatelj_id,EA112,0),IF(BD112&lt;&gt;"",BD112,""))</f>
        <v>1537</v>
      </c>
      <c r="EC112" s="47" t="s">
        <v>0</v>
      </c>
      <c r="ED112" s="58" t="str">
        <f>IF(AL112="","",IF(BD112&lt;&gt;"","novo",IF(AN112="","imepre","imepre(ali)")))</f>
        <v>imepre</v>
      </c>
      <c r="EE112" s="73" t="str">
        <f>IF(AL112="","",IF(BL112="",IF(IFERROR(INDEX(regNatjecatelj_klub,MATCH(EB112,regNatjecatelj_id,0)),"NEMA")="","klu",""),IF(OR(AND(BN112&lt;&gt;"",BN112&lt;&gt;"NEMA"),CD112&lt;&gt;""),"klu(ali)",IF(AND(BP112&lt;&gt;"",BP112&lt;&gt;BO112),"(raz-klu)","klu"))))</f>
        <v>klu</v>
      </c>
      <c r="EF112" s="73" t="str">
        <f>IF(AL112="","","kat"&amp;IF(AND(W112&lt;&gt;Q112,Q112&lt;&gt;"Open"),"(ali)",""))</f>
        <v>kat</v>
      </c>
      <c r="EG112" s="73" t="str">
        <f t="shared" si="91"/>
        <v/>
      </c>
      <c r="EH112" s="66" t="str">
        <f>IF(AL112="","",ED112&amp;IF(ED112="novo","","-"&amp;EE112&amp;"-"&amp;EF112)&amp;IF(EG112="","","-"&amp;EG112))</f>
        <v>imepre-klu-kat</v>
      </c>
      <c r="EI112" s="47" t="s">
        <v>0</v>
      </c>
      <c r="EJ112" s="58">
        <f>IF(AL112="","",MAX(EJ$12:EJ111)+1)</f>
        <v>280</v>
      </c>
      <c r="EK112" s="73">
        <f>IF(AO112="","",X112)</f>
        <v>29</v>
      </c>
      <c r="EL112" s="73">
        <f t="shared" si="120"/>
        <v>1537</v>
      </c>
      <c r="EM112" s="73">
        <f t="shared" si="92"/>
        <v>3635</v>
      </c>
      <c r="EN112" s="73">
        <f t="shared" si="93"/>
        <v>1</v>
      </c>
      <c r="EO112" s="73">
        <f t="shared" si="121"/>
        <v>1</v>
      </c>
      <c r="EP112" s="73">
        <f t="shared" si="122"/>
        <v>1</v>
      </c>
      <c r="EQ112" s="73" t="str">
        <f t="shared" si="94"/>
        <v>0</v>
      </c>
      <c r="ER112" s="73" t="str">
        <f>IF(OR(AN112="",AN112="NEMA"),BB112,AN112)</f>
        <v/>
      </c>
      <c r="ES112" s="73" t="str">
        <f>IF(AND(BN112&lt;&gt;"",BN112&lt;&gt;"NEMA"),BN112,IF(CG112&lt;&gt;"",CG112,IF(AND(CL112&lt;&gt;"",CL112&lt;&gt;"NEMA"),CL112,IF(CM112&lt;&gt;"",CM112,""))))</f>
        <v/>
      </c>
      <c r="ET112" s="53" t="str">
        <f>IF(INDEX(natKategorija_alias_Id,MATCH(S112,natKategorija_katRegId,0))="","",INDEX(natKategorija_alias_Id,MATCH(S112,natKategorija_katRegId,0)))</f>
        <v/>
      </c>
      <c r="EU112" s="47" t="s">
        <v>0</v>
      </c>
      <c r="EV112" s="19" t="str">
        <f t="shared" si="123"/>
        <v>INSERT INTO rezultat(id,stazakategorija_id,imeprezime_id,vrijeme_sec,status_id,registracija,uparivanje_id,originalstatus_id,imeprezimealias_id,klubalias_id,kategorijaalias_id) VALUES (280,29,1537,3635,1,1,1,0,Null,Null,Null);</v>
      </c>
      <c r="EW112" s="47" t="s">
        <v>0</v>
      </c>
      <c r="EX112" s="19" t="str">
        <f t="shared" si="124"/>
        <v>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2" s="47" t="s">
        <v>0</v>
      </c>
      <c r="EZ112" s="180" t="str">
        <f>AG112&amp;IF(CP112="","","
")&amp;CP112&amp;IF(CI112="","","
")&amp;CI112&amp;IF(DN112="","","
")&amp;DN112&amp;IF(DP112="","","
")&amp;DP112&amp;IF(EV112="","","
")&amp;EV112&amp;IF(EX112="","","
")&amp;EX112</f>
        <v xml:space="preserve">
INSERT INTO rezultat(id,stazakategorija_id,imeprezime_id,vrijeme_sec,status_id,registracija,uparivanje_id,originalstatus_id,imeprezimealias_id,klubalias_id,kategorijaalias_id) VALUES (280,29,1537,3635,1,1,1,0,Null,Null,Null);
UPDATE
	registar
SET
	potvrda = 1
WHERE
	imeprezime_id=1537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2" s="47" t="s">
        <v>0</v>
      </c>
    </row>
    <row r="113" spans="1:157" x14ac:dyDescent="0.25">
      <c r="A113" t="s">
        <v>0</v>
      </c>
      <c r="B113" s="52" t="str">
        <f>IF(csv!F103="","",csv!T103)</f>
        <v>M35</v>
      </c>
      <c r="C113" s="31" t="s">
        <v>0</v>
      </c>
      <c r="D113" s="31" t="str">
        <f>IF(csv!F103="","",csv!F103)</f>
        <v>Franjo</v>
      </c>
      <c r="E113" s="31" t="str">
        <f>IF(csv!E103="","",csv!E103)</f>
        <v>Budi</v>
      </c>
      <c r="F113" s="31" t="s">
        <v>0</v>
      </c>
      <c r="G113" s="73" t="str">
        <f>IF(csv!M103="","",csv!M103)</f>
        <v>61:54</v>
      </c>
      <c r="H113" s="73" t="str">
        <f>IF(csv!N103="","",csv!N103)</f>
        <v>0</v>
      </c>
      <c r="I113" s="31" t="s">
        <v>0</v>
      </c>
      <c r="J113" s="31" t="str">
        <f>IF(csv!P103="","",csv!P103)</f>
        <v>JAP</v>
      </c>
      <c r="K113" s="31" t="str">
        <f>IF(csv!Q103="","",csv!Q103)</f>
        <v>OK Japetic</v>
      </c>
      <c r="L113" s="31" t="s">
        <v>0</v>
      </c>
      <c r="M113" s="66" t="str">
        <f>IF(csv!R103="","",csv!R103)</f>
        <v>CRO</v>
      </c>
      <c r="N113" s="47" t="s">
        <v>0</v>
      </c>
      <c r="O113" s="243" t="str">
        <f t="shared" si="95"/>
        <v>ok</v>
      </c>
      <c r="P113" s="47"/>
      <c r="Q113" s="52" t="str">
        <f t="shared" si="96"/>
        <v>M35</v>
      </c>
      <c r="R113" s="73">
        <f>IF(Q113="","",IF(COUNTIF(Q$12:Q112,Q113)=0,R112+1,R112))</f>
        <v>7</v>
      </c>
      <c r="S113" s="73">
        <f t="shared" si="97"/>
        <v>107</v>
      </c>
      <c r="T113" s="73">
        <f t="shared" si="72"/>
        <v>18</v>
      </c>
      <c r="U113" s="66" t="str">
        <f t="shared" si="73"/>
        <v>M35</v>
      </c>
      <c r="V113" s="47" t="s">
        <v>0</v>
      </c>
      <c r="W113" s="222" t="str">
        <f t="shared" si="74"/>
        <v>M35</v>
      </c>
      <c r="X113" s="223">
        <f t="shared" si="75"/>
        <v>29</v>
      </c>
      <c r="Y113" s="47" t="s">
        <v>0</v>
      </c>
      <c r="Z113" s="52" t="str">
        <f t="shared" si="98"/>
        <v>CRO</v>
      </c>
      <c r="AA113" s="73">
        <f t="shared" si="76"/>
        <v>1</v>
      </c>
      <c r="AB113" s="31" t="str">
        <f t="shared" si="99"/>
        <v/>
      </c>
      <c r="AC113" s="66" t="str">
        <f>IF(AB113="","",MAX(AC$12:AC112)+1)</f>
        <v/>
      </c>
      <c r="AD113" s="47" t="s">
        <v>0</v>
      </c>
      <c r="AE113" s="125"/>
      <c r="AF113" s="47" t="s">
        <v>0</v>
      </c>
      <c r="AG113" s="19" t="str">
        <f t="shared" si="100"/>
        <v/>
      </c>
      <c r="AH113" s="47" t="s">
        <v>0</v>
      </c>
      <c r="AI113" s="143" t="str">
        <f t="shared" si="101"/>
        <v>CRO</v>
      </c>
      <c r="AJ113" s="47"/>
      <c r="AK113" s="52" t="str">
        <f t="shared" si="102"/>
        <v>Franjo</v>
      </c>
      <c r="AL113" s="31" t="str">
        <f t="shared" si="103"/>
        <v>Budi</v>
      </c>
      <c r="AM113" s="73">
        <f t="shared" si="104"/>
        <v>1385</v>
      </c>
      <c r="AN113" s="73" t="str">
        <f t="shared" si="105"/>
        <v/>
      </c>
      <c r="AO113" s="31" t="str">
        <f t="shared" si="77"/>
        <v>Franjo</v>
      </c>
      <c r="AP113" s="66" t="str">
        <f t="shared" si="78"/>
        <v>Budi</v>
      </c>
      <c r="AQ113" s="47" t="s">
        <v>0</v>
      </c>
      <c r="AR113" s="82" t="str">
        <f t="shared" si="106"/>
        <v/>
      </c>
      <c r="AS113" s="47" t="s">
        <v>0</v>
      </c>
      <c r="AT113" s="19" t="str">
        <f t="shared" si="107"/>
        <v/>
      </c>
      <c r="AU113" s="47" t="s">
        <v>0</v>
      </c>
      <c r="AV113" s="103"/>
      <c r="AW113" s="105"/>
      <c r="AX113" s="47" t="s">
        <v>0</v>
      </c>
      <c r="AY113" s="256" t="str">
        <f t="shared" si="125"/>
        <v/>
      </c>
      <c r="AZ113" s="47" t="s">
        <v>0</v>
      </c>
      <c r="BA113" s="52" t="str">
        <f t="shared" si="79"/>
        <v/>
      </c>
      <c r="BB113" s="73" t="str">
        <f>IF(AV113&amp;AW113="","",MAX(BB$12:BB112)+1)</f>
        <v/>
      </c>
      <c r="BC113" s="268" t="str">
        <f t="shared" si="80"/>
        <v/>
      </c>
      <c r="BD113" s="53" t="str">
        <f>IF(AND(AM113="NEMA",AN113="NEMA",OR(AV113&amp;AW113="",BC113="NEMA")),MAX(BD$12:BD112)+1,"")</f>
        <v/>
      </c>
      <c r="BE113" s="47" t="s">
        <v>0</v>
      </c>
      <c r="BF113" s="52" t="str">
        <f t="shared" si="81"/>
        <v>Franjo</v>
      </c>
      <c r="BG113" s="31" t="str">
        <f t="shared" si="82"/>
        <v>Budi</v>
      </c>
      <c r="BH113" s="73" t="str">
        <f t="shared" si="108"/>
        <v/>
      </c>
      <c r="BI113" s="53">
        <f t="shared" si="109"/>
        <v>1385</v>
      </c>
      <c r="BJ113" s="47" t="s">
        <v>0</v>
      </c>
      <c r="BK113" s="52" t="str">
        <f t="shared" si="83"/>
        <v>JAP</v>
      </c>
      <c r="BL113" s="31" t="str">
        <f t="shared" si="84"/>
        <v>OK Japetic</v>
      </c>
      <c r="BM113" s="73" t="str">
        <f t="shared" si="85"/>
        <v>NEMA</v>
      </c>
      <c r="BN113" s="73">
        <f t="shared" si="86"/>
        <v>1</v>
      </c>
      <c r="BO113" s="31" t="str" cm="1">
        <f t="array" ref="BO113">IF(BN113="",""&amp;BL113,IF(BN113="NEMA",BL113,INDEX(regKlub_naziv,MATCH(INDEX(regKlub_alias_klubId,BN113),regKlub_id,0))))</f>
        <v>OK Japetić</v>
      </c>
      <c r="BP113" s="31" t="str" cm="1">
        <f t="array" ref="BP113">IFERROR(""&amp;INDEX(regNatjecatelj_klub,DY113),"")</f>
        <v>OK Japetić</v>
      </c>
      <c r="BQ113" s="88" t="str">
        <f t="shared" si="110"/>
        <v/>
      </c>
      <c r="BR113" s="66" t="str">
        <f t="shared" si="111"/>
        <v>OK Japetić</v>
      </c>
      <c r="BS113" s="47" t="s">
        <v>0</v>
      </c>
      <c r="BT113" s="82" t="str">
        <f>IF(BN113&lt;&gt;"NEMA","",IF(IFERROR(MATCH(BL113,BL$12:BL112,0),0)&lt;&gt;0,"",BL113))</f>
        <v/>
      </c>
      <c r="BU113" s="47" t="s">
        <v>0</v>
      </c>
      <c r="BV113" s="125"/>
      <c r="BW113" s="47" t="s">
        <v>0</v>
      </c>
      <c r="BX113" s="58" t="str">
        <f t="shared" si="112"/>
        <v/>
      </c>
      <c r="BY113" s="31" t="str">
        <f t="shared" si="113"/>
        <v/>
      </c>
      <c r="BZ113" s="31" t="str">
        <f>IF(BY113="","",MAX(BZ$12:BZ112)+1)</f>
        <v/>
      </c>
      <c r="CA113" s="31" t="str">
        <f>IF(BY113="","",IF(AA113="","",IF(AA113="NEMA",AC113,AA113)))</f>
        <v/>
      </c>
      <c r="CB113" s="31" t="str">
        <f t="shared" si="114"/>
        <v/>
      </c>
      <c r="CC113" s="31" t="str">
        <f>IF(BV113="","",MAX(CC$12:CC112)+1)</f>
        <v/>
      </c>
      <c r="CD113" s="31" t="str">
        <f t="shared" si="115"/>
        <v/>
      </c>
      <c r="CE113" s="66" t="str">
        <f t="shared" si="116"/>
        <v/>
      </c>
      <c r="CF113" s="47" t="s">
        <v>0</v>
      </c>
      <c r="CG113" s="73" t="str">
        <f>IF(BN113="","",IF(BN113&lt;&gt;"NEMA","",IFERROR(INDEX(nat_klubAliasId,MATCH(BL113,nat_noviKluboviAliasi,0)),"")))</f>
        <v/>
      </c>
      <c r="CH113" s="47"/>
      <c r="CI113" s="19" t="str">
        <f t="shared" si="117"/>
        <v/>
      </c>
      <c r="CJ113" s="47" t="s">
        <v>0</v>
      </c>
      <c r="CK113" s="52" t="str">
        <f>IF(X113&lt;&gt;"NEMA","",IF(IFERROR(MATCH(W113,W$12:W112,0),0)&lt;&gt;0,"",W113))</f>
        <v/>
      </c>
      <c r="CL113" s="73" t="str">
        <f>IF(CK113="","",IFERROR(INDEX(regKlub_alias_id,MATCH(CK113,regKlub_alias_alias,0)),"NEMA"))</f>
        <v/>
      </c>
      <c r="CM113" s="31" t="str">
        <f>IF(OR(CL113="",CL113&lt;&gt;"NEMA"),"",MAX(CM$12:CM112)+1)</f>
        <v/>
      </c>
      <c r="CN113" s="66" t="str">
        <f>IF(OR(CL113="",CL113&lt;&gt;"NEMA"),"",INDEX(regKlub_id,MATCH(CK113,regKlub_naziv,0)))</f>
        <v/>
      </c>
      <c r="CO113" s="47" t="s">
        <v>0</v>
      </c>
      <c r="CP113" s="19" t="str">
        <f>IF(OR(CL113="",CL113&lt;&gt;"NEMA"),"","INSERT INTO klub_alias(id,alias,klub_id) VALUES ("&amp;CM113&amp;",'"&amp;CK113&amp;"',"&amp;CN113&amp;");")</f>
        <v/>
      </c>
      <c r="CQ113" s="47" t="s">
        <v>0</v>
      </c>
      <c r="CR113" s="143" t="str">
        <f>IF(BR113="","",IF(BV113="",IF(IFERROR(MATCH(BR113,nat_noviKluboviAliasi,0),0)&gt;0,INDEX(nat_kluboviAliasi,MATCH(BR113,nat_noviKluboviAliasi,0)),BR113),BV113))</f>
        <v>OK Japetić</v>
      </c>
      <c r="CS113" s="47" t="s">
        <v>0</v>
      </c>
      <c r="CT113" s="58" t="str">
        <f>IF(G113="","",G113)</f>
        <v>61:54</v>
      </c>
      <c r="CU113" s="73" t="str">
        <f>IF(H113="","",H113)</f>
        <v>0</v>
      </c>
      <c r="CV113" s="229" t="str">
        <f>IF(CT113="",IF(OR(AL113="",CU113&lt;&gt;"0"),"","GREŠKA"),IF(AND(65535&gt;=VALUE(LEFT(CT113,SEARCH(":",CT113)-1))*60+VALUE(RIGHT(CT113,2)),OR(CU113="0",CU113="1",CU113="2",CU113="3",CU113="4")),"","GREŠKA"))</f>
        <v/>
      </c>
      <c r="CW113" s="230">
        <f t="shared" si="71"/>
        <v>3714</v>
      </c>
      <c r="CX113" s="163">
        <f t="shared" si="87"/>
        <v>1</v>
      </c>
      <c r="CY113" s="47" t="s">
        <v>0</v>
      </c>
      <c r="CZ113" s="222" t="str">
        <f>IF(CV113&lt;&gt;"GREŠKA","",AK113&amp;" "&amp;AL113&amp;" – Molim u OEventu provjeriti i ispraviti rezultat – vrijeme ("&amp;IF(CT113="","nije upisano",CT113)&amp;") i classifier ("&amp;CU113&amp;").")&amp;IF(OR(CV113&lt;&gt;"GREŠKA",CX113&lt;&gt;5),"
","")&amp;IF(CX113&lt;&gt;5,"",AK113&amp;" "&amp;AL113&amp;" – Molim u provjeriti je li natjecatelj zaista diskvalificiran. Ako je koje je obrazloženje, ako nije molim u OEventu ispraviti rezultat")</f>
        <v xml:space="preserve">
</v>
      </c>
      <c r="DA113" s="223">
        <f t="shared" si="118"/>
        <v>6</v>
      </c>
      <c r="DB113" s="47" t="s">
        <v>0</v>
      </c>
      <c r="DC113" s="47"/>
      <c r="DD113" s="47"/>
      <c r="DE113" s="47"/>
      <c r="DF113" s="47" t="s">
        <v>0</v>
      </c>
      <c r="DG113" s="53" t="str">
        <f>IF(BD113="","",IF(DI113="O",1,""))</f>
        <v/>
      </c>
      <c r="DH113" t="s">
        <v>0</v>
      </c>
      <c r="DI113" s="128" t="str">
        <f>IF(Q113="","",LEFT(INDEX(regKategorija_oznaka,MATCH(S113,regKategorija_id,0)),1))</f>
        <v>M</v>
      </c>
      <c r="DJ113" t="s">
        <v>0</v>
      </c>
      <c r="DK113" s="52" t="str">
        <f>IF(BD113="","",IF(M113&lt;&gt;"CRO","","INSERT INTO osoba (id,reg_broj,oib,spol_id,dat_rodjenja) VALUES ("&amp;BD113&amp;",(SELECT max(os.reg_broj)+1 FROM osoba AS os),Null,'"&amp;DI113&amp;"',Null); INSERT INTO osoba_log (id,reg_broj,oib,spol_id,dat_rodjenja,dnevnik_id) SELECT id,reg_broj,oib,spol_id,dat_rodjenja,"&amp;data_dnevnik_id&amp;" FROM osoba WHERE id = "&amp;BD113&amp;";"))</f>
        <v/>
      </c>
      <c r="DL113" s="66" t="str">
        <f>IF(BD113="","","INSERT INTO imeprezime (id,osoba_id,rbr,ime,prezime,klub_id,identitet_id,sintaksa_id,info,aktivno,dnevnik_id) VALUES ("&amp;BD113&amp;","&amp;IF(DK113="","Null",BD113)&amp;",1,'"&amp;IF(AV113&lt;&gt;"",AV113,AK113)&amp;"','"&amp;IF(AW113&lt;&gt;"",AW113,AL113)&amp;"',(SELECT id FROM klub WHERE naziv = '"&amp;CR113&amp;"'),Null,1,'',1,"&amp;data_dnevnik_id&amp;");")</f>
        <v/>
      </c>
      <c r="DM113" t="s">
        <v>0</v>
      </c>
      <c r="DN113" s="19" t="str">
        <f t="shared" si="126"/>
        <v/>
      </c>
      <c r="DO113" s="47" t="s">
        <v>0</v>
      </c>
      <c r="DP113" s="19" t="str">
        <f>IF(BA113="","","INSERT INTO imeprezime_alias(id,alias,imeprezime_id) VALUES ("&amp;BB113&amp;",'"&amp;BA113&amp;"',"&amp;IF(BC113="NEMA",BD113,BC113)&amp;");")</f>
        <v/>
      </c>
      <c r="DQ113" s="47" t="s">
        <v>0</v>
      </c>
      <c r="DR113" s="52" t="str">
        <f>IF(AL113="","",DU113 &amp; IF(Q113="",""," – " &amp; Q113))</f>
        <v>Franjo – Budi – OK Japetić – M35</v>
      </c>
      <c r="DS113" s="53">
        <f t="shared" si="88"/>
        <v>78</v>
      </c>
      <c r="DT113" s="47" t="s">
        <v>0</v>
      </c>
      <c r="DU113" s="52" t="str">
        <f>IF(AL113="","",DX113 &amp; IF(CR113="",""," – " &amp; CR113))</f>
        <v>Franjo – Budi – OK Japetić</v>
      </c>
      <c r="DV113" s="53">
        <f t="shared" si="89"/>
        <v>78</v>
      </c>
      <c r="DW113" s="47" t="s">
        <v>0</v>
      </c>
      <c r="DX113" s="52" t="str">
        <f>IF(BG113="","",BF113&amp;" – "&amp;BG113)</f>
        <v>Franjo – Budi</v>
      </c>
      <c r="DY113" s="53">
        <f t="shared" si="90"/>
        <v>78</v>
      </c>
      <c r="DZ113" s="47" t="s">
        <v>0</v>
      </c>
      <c r="EA113" s="58">
        <f t="shared" si="119"/>
        <v>78</v>
      </c>
      <c r="EB113" s="53" cm="1">
        <f t="array" ref="EB113">IF(EA113&lt;&gt;"",INDEX(regNatjecatelj_id,EA113,0),IF(BD113&lt;&gt;"",BD113,""))</f>
        <v>1385</v>
      </c>
      <c r="EC113" s="47" t="s">
        <v>0</v>
      </c>
      <c r="ED113" s="58" t="str">
        <f>IF(AL113="","",IF(BD113&lt;&gt;"","novo",IF(AN113="","imepre","imepre(ali)")))</f>
        <v>imepre</v>
      </c>
      <c r="EE113" s="73" t="str">
        <f>IF(AL113="","",IF(BL113="",IF(IFERROR(INDEX(regNatjecatelj_klub,MATCH(EB113,regNatjecatelj_id,0)),"NEMA")="","klu",""),IF(OR(AND(BN113&lt;&gt;"",BN113&lt;&gt;"NEMA"),CD113&lt;&gt;""),"klu(ali)",IF(AND(BP113&lt;&gt;"",BP113&lt;&gt;BO113),"(raz-klu)","klu"))))</f>
        <v>klu(ali)</v>
      </c>
      <c r="EF113" s="73" t="str">
        <f>IF(AL113="","","kat"&amp;IF(AND(W113&lt;&gt;Q113,Q113&lt;&gt;"Open"),"(ali)",""))</f>
        <v>kat</v>
      </c>
      <c r="EG113" s="73" t="str">
        <f t="shared" si="91"/>
        <v/>
      </c>
      <c r="EH113" s="66" t="str">
        <f>IF(AL113="","",ED113&amp;IF(ED113="novo","","-"&amp;EE113&amp;"-"&amp;EF113)&amp;IF(EG113="","","-"&amp;EG113))</f>
        <v>imepre-klu(ali)-kat</v>
      </c>
      <c r="EI113" s="47" t="s">
        <v>0</v>
      </c>
      <c r="EJ113" s="58">
        <f>IF(AL113="","",MAX(EJ$12:EJ112)+1)</f>
        <v>281</v>
      </c>
      <c r="EK113" s="73">
        <f>IF(AO113="","",X113)</f>
        <v>29</v>
      </c>
      <c r="EL113" s="73">
        <f t="shared" si="120"/>
        <v>1385</v>
      </c>
      <c r="EM113" s="73">
        <f t="shared" si="92"/>
        <v>3714</v>
      </c>
      <c r="EN113" s="73">
        <f t="shared" si="93"/>
        <v>1</v>
      </c>
      <c r="EO113" s="73">
        <f t="shared" si="121"/>
        <v>1</v>
      </c>
      <c r="EP113" s="73">
        <f t="shared" si="122"/>
        <v>3</v>
      </c>
      <c r="EQ113" s="73" t="str">
        <f t="shared" si="94"/>
        <v>0</v>
      </c>
      <c r="ER113" s="73" t="str">
        <f>IF(OR(AN113="",AN113="NEMA"),BB113,AN113)</f>
        <v/>
      </c>
      <c r="ES113" s="73">
        <f>IF(AND(BN113&lt;&gt;"",BN113&lt;&gt;"NEMA"),BN113,IF(CG113&lt;&gt;"",CG113,IF(AND(CL113&lt;&gt;"",CL113&lt;&gt;"NEMA"),CL113,IF(CM113&lt;&gt;"",CM113,""))))</f>
        <v>1</v>
      </c>
      <c r="ET113" s="53" t="str">
        <f>IF(INDEX(natKategorija_alias_Id,MATCH(S113,natKategorija_katRegId,0))="","",INDEX(natKategorija_alias_Id,MATCH(S113,natKategorija_katRegId,0)))</f>
        <v/>
      </c>
      <c r="EU113" s="47" t="s">
        <v>0</v>
      </c>
      <c r="EV113" s="19" t="str">
        <f t="shared" si="123"/>
        <v>INSERT INTO rezultat(id,stazakategorija_id,imeprezime_id,vrijeme_sec,status_id,registracija,uparivanje_id,originalstatus_id,imeprezimealias_id,klubalias_id,kategorijaalias_id) VALUES (281,29,1385,3714,1,1,3,0,Null,1,Null);</v>
      </c>
      <c r="EW113" s="47" t="s">
        <v>0</v>
      </c>
      <c r="EX113" s="19" t="str">
        <f t="shared" si="124"/>
        <v>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3" s="47" t="s">
        <v>0</v>
      </c>
      <c r="EZ113" s="180" t="str">
        <f>AG113&amp;IF(CP113="","","
")&amp;CP113&amp;IF(CI113="","","
")&amp;CI113&amp;IF(DN113="","","
")&amp;DN113&amp;IF(DP113="","","
")&amp;DP113&amp;IF(EV113="","","
")&amp;EV113&amp;IF(EX113="","","
")&amp;EX113</f>
        <v xml:space="preserve">
INSERT INTO rezultat(id,stazakategorija_id,imeprezime_id,vrijeme_sec,status_id,registracija,uparivanje_id,originalstatus_id,imeprezimealias_id,klubalias_id,kategorijaalias_id) VALUES (281,29,1385,3714,1,1,3,0,Null,1,Null);
UPDATE
	registar
SET
	potvrda = 1
WHERE
	imeprezime_id=1385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3" s="47" t="s">
        <v>0</v>
      </c>
    </row>
    <row r="114" spans="1:157" x14ac:dyDescent="0.25">
      <c r="A114" t="s">
        <v>0</v>
      </c>
      <c r="B114" s="52" t="str">
        <f>IF(csv!F104="","",csv!T104)</f>
        <v>M35</v>
      </c>
      <c r="C114" s="31" t="s">
        <v>0</v>
      </c>
      <c r="D114" s="31" t="str">
        <f>IF(csv!F104="","",csv!F104)</f>
        <v>Krunoslav</v>
      </c>
      <c r="E114" s="31" t="str">
        <f>IF(csv!E104="","",csv!E104)</f>
        <v>Canjuga</v>
      </c>
      <c r="F114" s="31" t="s">
        <v>0</v>
      </c>
      <c r="G114" s="73" t="str">
        <f>IF(csv!M104="","",csv!M104)</f>
        <v>66:09</v>
      </c>
      <c r="H114" s="73" t="str">
        <f>IF(csv!N104="","",csv!N104)</f>
        <v>0</v>
      </c>
      <c r="I114" s="31" t="s">
        <v>0</v>
      </c>
      <c r="J114" s="31" t="str">
        <f>IF(csv!P104="","",csv!P104)</f>
        <v>OK Varaždin</v>
      </c>
      <c r="K114" s="31" t="str">
        <f>IF(csv!Q104="","",csv!Q104)</f>
        <v>OK Varaždin</v>
      </c>
      <c r="L114" s="31" t="s">
        <v>0</v>
      </c>
      <c r="M114" s="66" t="str">
        <f>IF(csv!R104="","",csv!R104)</f>
        <v>CRO</v>
      </c>
      <c r="N114" s="47" t="s">
        <v>0</v>
      </c>
      <c r="O114" s="243" t="str">
        <f t="shared" si="95"/>
        <v>ok</v>
      </c>
      <c r="P114" s="47"/>
      <c r="Q114" s="52" t="str">
        <f t="shared" si="96"/>
        <v>M35</v>
      </c>
      <c r="R114" s="73">
        <f>IF(Q114="","",IF(COUNTIF(Q$12:Q113,Q114)=0,R113+1,R113))</f>
        <v>7</v>
      </c>
      <c r="S114" s="73">
        <f t="shared" si="97"/>
        <v>107</v>
      </c>
      <c r="T114" s="73">
        <f t="shared" si="72"/>
        <v>18</v>
      </c>
      <c r="U114" s="66" t="str">
        <f t="shared" si="73"/>
        <v>M35</v>
      </c>
      <c r="V114" s="47" t="s">
        <v>0</v>
      </c>
      <c r="W114" s="222" t="str">
        <f t="shared" si="74"/>
        <v>M35</v>
      </c>
      <c r="X114" s="223">
        <f t="shared" si="75"/>
        <v>29</v>
      </c>
      <c r="Y114" s="47" t="s">
        <v>0</v>
      </c>
      <c r="Z114" s="52" t="str">
        <f t="shared" si="98"/>
        <v>CRO</v>
      </c>
      <c r="AA114" s="73">
        <f t="shared" si="76"/>
        <v>1</v>
      </c>
      <c r="AB114" s="31" t="str">
        <f t="shared" si="99"/>
        <v/>
      </c>
      <c r="AC114" s="66" t="str">
        <f>IF(AB114="","",MAX(AC$12:AC113)+1)</f>
        <v/>
      </c>
      <c r="AD114" s="47" t="s">
        <v>0</v>
      </c>
      <c r="AE114" s="125"/>
      <c r="AF114" s="47" t="s">
        <v>0</v>
      </c>
      <c r="AG114" s="19" t="str">
        <f t="shared" si="100"/>
        <v/>
      </c>
      <c r="AH114" s="47" t="s">
        <v>0</v>
      </c>
      <c r="AI114" s="143" t="str">
        <f t="shared" si="101"/>
        <v>CRO</v>
      </c>
      <c r="AJ114" s="47"/>
      <c r="AK114" s="52" t="str">
        <f t="shared" si="102"/>
        <v>Krunoslav</v>
      </c>
      <c r="AL114" s="31" t="str">
        <f t="shared" si="103"/>
        <v>Canjuga</v>
      </c>
      <c r="AM114" s="73">
        <f t="shared" si="104"/>
        <v>1099</v>
      </c>
      <c r="AN114" s="73" t="str">
        <f t="shared" si="105"/>
        <v/>
      </c>
      <c r="AO114" s="31" t="str">
        <f t="shared" si="77"/>
        <v>Krunoslav</v>
      </c>
      <c r="AP114" s="66" t="str">
        <f t="shared" si="78"/>
        <v>Canjuga</v>
      </c>
      <c r="AQ114" s="47" t="s">
        <v>0</v>
      </c>
      <c r="AR114" s="82" t="str">
        <f t="shared" si="106"/>
        <v/>
      </c>
      <c r="AS114" s="47" t="s">
        <v>0</v>
      </c>
      <c r="AT114" s="19" t="str">
        <f t="shared" si="107"/>
        <v/>
      </c>
      <c r="AU114" s="47" t="s">
        <v>0</v>
      </c>
      <c r="AV114" s="103"/>
      <c r="AW114" s="105"/>
      <c r="AX114" s="47" t="s">
        <v>0</v>
      </c>
      <c r="AY114" s="256" t="str">
        <f t="shared" si="125"/>
        <v/>
      </c>
      <c r="AZ114" s="47" t="s">
        <v>0</v>
      </c>
      <c r="BA114" s="52" t="str">
        <f t="shared" si="79"/>
        <v/>
      </c>
      <c r="BB114" s="73" t="str">
        <f>IF(AV114&amp;AW114="","",MAX(BB$12:BB113)+1)</f>
        <v/>
      </c>
      <c r="BC114" s="268" t="str">
        <f t="shared" si="80"/>
        <v/>
      </c>
      <c r="BD114" s="53" t="str">
        <f>IF(AND(AM114="NEMA",AN114="NEMA",OR(AV114&amp;AW114="",BC114="NEMA")),MAX(BD$12:BD113)+1,"")</f>
        <v/>
      </c>
      <c r="BE114" s="47" t="s">
        <v>0</v>
      </c>
      <c r="BF114" s="52" t="str">
        <f t="shared" si="81"/>
        <v>Krunoslav</v>
      </c>
      <c r="BG114" s="31" t="str">
        <f t="shared" si="82"/>
        <v>Canjuga</v>
      </c>
      <c r="BH114" s="73" t="str">
        <f t="shared" si="108"/>
        <v/>
      </c>
      <c r="BI114" s="53">
        <f t="shared" si="109"/>
        <v>1099</v>
      </c>
      <c r="BJ114" s="47" t="s">
        <v>0</v>
      </c>
      <c r="BK114" s="52" t="str">
        <f t="shared" si="83"/>
        <v>OK Varaždin</v>
      </c>
      <c r="BL114" s="31" t="str">
        <f t="shared" si="84"/>
        <v>OK Varaždin</v>
      </c>
      <c r="BM114" s="73">
        <f t="shared" si="85"/>
        <v>11</v>
      </c>
      <c r="BN114" s="73" t="str">
        <f t="shared" si="86"/>
        <v/>
      </c>
      <c r="BO114" s="31" t="str" cm="1">
        <f t="array" ref="BO114">IF(BN114="",""&amp;BL114,IF(BN114="NEMA",BL114,INDEX(regKlub_naziv,MATCH(INDEX(regKlub_alias_klubId,BN114),regKlub_id,0))))</f>
        <v>OK Varaždin</v>
      </c>
      <c r="BP114" s="31" t="str" cm="1">
        <f t="array" ref="BP114">IFERROR(""&amp;INDEX(regNatjecatelj_klub,DY114),"")</f>
        <v>OK Varaždin</v>
      </c>
      <c r="BQ114" s="88" t="str">
        <f t="shared" si="110"/>
        <v/>
      </c>
      <c r="BR114" s="66" t="str">
        <f t="shared" si="111"/>
        <v>OK Varaždin</v>
      </c>
      <c r="BS114" s="47" t="s">
        <v>0</v>
      </c>
      <c r="BT114" s="82" t="str">
        <f>IF(BN114&lt;&gt;"NEMA","",IF(IFERROR(MATCH(BL114,BL$12:BL113,0),0)&lt;&gt;0,"",BL114))</f>
        <v/>
      </c>
      <c r="BU114" s="47" t="s">
        <v>0</v>
      </c>
      <c r="BV114" s="125"/>
      <c r="BW114" s="47" t="s">
        <v>0</v>
      </c>
      <c r="BX114" s="58" t="str">
        <f t="shared" si="112"/>
        <v/>
      </c>
      <c r="BY114" s="31" t="str">
        <f t="shared" si="113"/>
        <v/>
      </c>
      <c r="BZ114" s="31" t="str">
        <f>IF(BY114="","",MAX(BZ$12:BZ113)+1)</f>
        <v/>
      </c>
      <c r="CA114" s="31" t="str">
        <f>IF(BY114="","",IF(AA114="","",IF(AA114="NEMA",AC114,AA114)))</f>
        <v/>
      </c>
      <c r="CB114" s="31" t="str">
        <f t="shared" si="114"/>
        <v/>
      </c>
      <c r="CC114" s="31" t="str">
        <f>IF(BV114="","",MAX(CC$12:CC113)+1)</f>
        <v/>
      </c>
      <c r="CD114" s="31" t="str">
        <f t="shared" si="115"/>
        <v/>
      </c>
      <c r="CE114" s="66" t="str">
        <f t="shared" si="116"/>
        <v/>
      </c>
      <c r="CF114" s="47" t="s">
        <v>0</v>
      </c>
      <c r="CG114" s="73" t="str">
        <f>IF(BN114="","",IF(BN114&lt;&gt;"NEMA","",IFERROR(INDEX(nat_klubAliasId,MATCH(BL114,nat_noviKluboviAliasi,0)),"")))</f>
        <v/>
      </c>
      <c r="CH114" s="47"/>
      <c r="CI114" s="19" t="str">
        <f t="shared" si="117"/>
        <v/>
      </c>
      <c r="CJ114" s="47" t="s">
        <v>0</v>
      </c>
      <c r="CK114" s="52" t="str">
        <f>IF(X114&lt;&gt;"NEMA","",IF(IFERROR(MATCH(W114,W$12:W113,0),0)&lt;&gt;0,"",W114))</f>
        <v/>
      </c>
      <c r="CL114" s="73" t="str">
        <f>IF(CK114="","",IFERROR(INDEX(regKlub_alias_id,MATCH(CK114,regKlub_alias_alias,0)),"NEMA"))</f>
        <v/>
      </c>
      <c r="CM114" s="31" t="str">
        <f>IF(OR(CL114="",CL114&lt;&gt;"NEMA"),"",MAX(CM$12:CM113)+1)</f>
        <v/>
      </c>
      <c r="CN114" s="66" t="str">
        <f>IF(OR(CL114="",CL114&lt;&gt;"NEMA"),"",INDEX(regKlub_id,MATCH(CK114,regKlub_naziv,0)))</f>
        <v/>
      </c>
      <c r="CO114" s="47" t="s">
        <v>0</v>
      </c>
      <c r="CP114" s="19" t="str">
        <f>IF(OR(CL114="",CL114&lt;&gt;"NEMA"),"","INSERT INTO klub_alias(id,alias,klub_id) VALUES ("&amp;CM114&amp;",'"&amp;CK114&amp;"',"&amp;CN114&amp;");")</f>
        <v/>
      </c>
      <c r="CQ114" s="47" t="s">
        <v>0</v>
      </c>
      <c r="CR114" s="143" t="str">
        <f>IF(BR114="","",IF(BV114="",IF(IFERROR(MATCH(BR114,nat_noviKluboviAliasi,0),0)&gt;0,INDEX(nat_kluboviAliasi,MATCH(BR114,nat_noviKluboviAliasi,0)),BR114),BV114))</f>
        <v>OK Varaždin</v>
      </c>
      <c r="CS114" s="47" t="s">
        <v>0</v>
      </c>
      <c r="CT114" s="58" t="str">
        <f>IF(G114="","",G114)</f>
        <v>66:09</v>
      </c>
      <c r="CU114" s="73" t="str">
        <f>IF(H114="","",H114)</f>
        <v>0</v>
      </c>
      <c r="CV114" s="229" t="str">
        <f>IF(CT114="",IF(OR(AL114="",CU114&lt;&gt;"0"),"","GREŠKA"),IF(AND(65535&gt;=VALUE(LEFT(CT114,SEARCH(":",CT114)-1))*60+VALUE(RIGHT(CT114,2)),OR(CU114="0",CU114="1",CU114="2",CU114="3",CU114="4")),"","GREŠKA"))</f>
        <v/>
      </c>
      <c r="CW114" s="230">
        <f t="shared" si="71"/>
        <v>3969</v>
      </c>
      <c r="CX114" s="163">
        <f t="shared" si="87"/>
        <v>1</v>
      </c>
      <c r="CY114" s="47" t="s">
        <v>0</v>
      </c>
      <c r="CZ114" s="222" t="str">
        <f>IF(CV114&lt;&gt;"GREŠKA","",AK114&amp;" "&amp;AL114&amp;" – Molim u OEventu provjeriti i ispraviti rezultat – vrijeme ("&amp;IF(CT114="","nije upisano",CT114)&amp;") i classifier ("&amp;CU114&amp;").")&amp;IF(OR(CV114&lt;&gt;"GREŠKA",CX114&lt;&gt;5),"
","")&amp;IF(CX114&lt;&gt;5,"",AK114&amp;" "&amp;AL114&amp;" – Molim u provjeriti je li natjecatelj zaista diskvalificiran. Ako je koje je obrazloženje, ako nije molim u OEventu ispraviti rezultat")</f>
        <v xml:space="preserve">
</v>
      </c>
      <c r="DA114" s="223">
        <f t="shared" si="118"/>
        <v>6</v>
      </c>
      <c r="DB114" s="47" t="s">
        <v>0</v>
      </c>
      <c r="DC114" s="47"/>
      <c r="DD114" s="47"/>
      <c r="DE114" s="47"/>
      <c r="DF114" s="47" t="s">
        <v>0</v>
      </c>
      <c r="DG114" s="53" t="str">
        <f>IF(BD114="","",IF(DI114="O",1,""))</f>
        <v/>
      </c>
      <c r="DH114" t="s">
        <v>0</v>
      </c>
      <c r="DI114" s="128" t="str">
        <f>IF(Q114="","",LEFT(INDEX(regKategorija_oznaka,MATCH(S114,regKategorija_id,0)),1))</f>
        <v>M</v>
      </c>
      <c r="DJ114" t="s">
        <v>0</v>
      </c>
      <c r="DK114" s="52" t="str">
        <f>IF(BD114="","",IF(M114&lt;&gt;"CRO","","INSERT INTO osoba (id,reg_broj,oib,spol_id,dat_rodjenja) VALUES ("&amp;BD114&amp;",(SELECT max(os.reg_broj)+1 FROM osoba AS os),Null,'"&amp;DI114&amp;"',Null); INSERT INTO osoba_log (id,reg_broj,oib,spol_id,dat_rodjenja,dnevnik_id) SELECT id,reg_broj,oib,spol_id,dat_rodjenja,"&amp;data_dnevnik_id&amp;" FROM osoba WHERE id = "&amp;BD114&amp;";"))</f>
        <v/>
      </c>
      <c r="DL114" s="66" t="str">
        <f>IF(BD114="","","INSERT INTO imeprezime (id,osoba_id,rbr,ime,prezime,klub_id,identitet_id,sintaksa_id,info,aktivno,dnevnik_id) VALUES ("&amp;BD114&amp;","&amp;IF(DK114="","Null",BD114)&amp;",1,'"&amp;IF(AV114&lt;&gt;"",AV114,AK114)&amp;"','"&amp;IF(AW114&lt;&gt;"",AW114,AL114)&amp;"',(SELECT id FROM klub WHERE naziv = '"&amp;CR114&amp;"'),Null,1,'',1,"&amp;data_dnevnik_id&amp;");")</f>
        <v/>
      </c>
      <c r="DM114" t="s">
        <v>0</v>
      </c>
      <c r="DN114" s="19" t="str">
        <f t="shared" si="126"/>
        <v/>
      </c>
      <c r="DO114" s="47" t="s">
        <v>0</v>
      </c>
      <c r="DP114" s="19" t="str">
        <f>IF(BA114="","","INSERT INTO imeprezime_alias(id,alias,imeprezime_id) VALUES ("&amp;BB114&amp;",'"&amp;BA114&amp;"',"&amp;IF(BC114="NEMA",BD114,BC114)&amp;");")</f>
        <v/>
      </c>
      <c r="DQ114" s="47" t="s">
        <v>0</v>
      </c>
      <c r="DR114" s="52" t="str">
        <f>IF(AL114="","",DU114 &amp; IF(Q114="",""," – " &amp; Q114))</f>
        <v>Krunoslav – Canjuga – OK Varaždin – M35</v>
      </c>
      <c r="DS114" s="53">
        <f t="shared" si="88"/>
        <v>523</v>
      </c>
      <c r="DT114" s="47" t="s">
        <v>0</v>
      </c>
      <c r="DU114" s="52" t="str">
        <f>IF(AL114="","",DX114 &amp; IF(CR114="",""," – " &amp; CR114))</f>
        <v>Krunoslav – Canjuga – OK Varaždin</v>
      </c>
      <c r="DV114" s="53">
        <f t="shared" si="89"/>
        <v>523</v>
      </c>
      <c r="DW114" s="47" t="s">
        <v>0</v>
      </c>
      <c r="DX114" s="52" t="str">
        <f>IF(BG114="","",BF114&amp;" – "&amp;BG114)</f>
        <v>Krunoslav – Canjuga</v>
      </c>
      <c r="DY114" s="53">
        <f t="shared" si="90"/>
        <v>523</v>
      </c>
      <c r="DZ114" s="47" t="s">
        <v>0</v>
      </c>
      <c r="EA114" s="58">
        <f t="shared" si="119"/>
        <v>523</v>
      </c>
      <c r="EB114" s="53" cm="1">
        <f t="array" ref="EB114">IF(EA114&lt;&gt;"",INDEX(regNatjecatelj_id,EA114,0),IF(BD114&lt;&gt;"",BD114,""))</f>
        <v>1099</v>
      </c>
      <c r="EC114" s="47" t="s">
        <v>0</v>
      </c>
      <c r="ED114" s="58" t="str">
        <f>IF(AL114="","",IF(BD114&lt;&gt;"","novo",IF(AN114="","imepre","imepre(ali)")))</f>
        <v>imepre</v>
      </c>
      <c r="EE114" s="73" t="str">
        <f>IF(AL114="","",IF(BL114="",IF(IFERROR(INDEX(regNatjecatelj_klub,MATCH(EB114,regNatjecatelj_id,0)),"NEMA")="","klu",""),IF(OR(AND(BN114&lt;&gt;"",BN114&lt;&gt;"NEMA"),CD114&lt;&gt;""),"klu(ali)",IF(AND(BP114&lt;&gt;"",BP114&lt;&gt;BO114),"(raz-klu)","klu"))))</f>
        <v>klu</v>
      </c>
      <c r="EF114" s="73" t="str">
        <f>IF(AL114="","","kat"&amp;IF(AND(W114&lt;&gt;Q114,Q114&lt;&gt;"Open"),"(ali)",""))</f>
        <v>kat</v>
      </c>
      <c r="EG114" s="73" t="str">
        <f t="shared" si="91"/>
        <v/>
      </c>
      <c r="EH114" s="66" t="str">
        <f>IF(AL114="","",ED114&amp;IF(ED114="novo","","-"&amp;EE114&amp;"-"&amp;EF114)&amp;IF(EG114="","","-"&amp;EG114))</f>
        <v>imepre-klu-kat</v>
      </c>
      <c r="EI114" s="47" t="s">
        <v>0</v>
      </c>
      <c r="EJ114" s="58">
        <f>IF(AL114="","",MAX(EJ$12:EJ113)+1)</f>
        <v>282</v>
      </c>
      <c r="EK114" s="73">
        <f>IF(AO114="","",X114)</f>
        <v>29</v>
      </c>
      <c r="EL114" s="73">
        <f t="shared" si="120"/>
        <v>1099</v>
      </c>
      <c r="EM114" s="73">
        <f t="shared" si="92"/>
        <v>3969</v>
      </c>
      <c r="EN114" s="73">
        <f t="shared" si="93"/>
        <v>1</v>
      </c>
      <c r="EO114" s="73">
        <f t="shared" si="121"/>
        <v>1</v>
      </c>
      <c r="EP114" s="73">
        <f t="shared" si="122"/>
        <v>1</v>
      </c>
      <c r="EQ114" s="73" t="str">
        <f t="shared" si="94"/>
        <v>0</v>
      </c>
      <c r="ER114" s="73" t="str">
        <f>IF(OR(AN114="",AN114="NEMA"),BB114,AN114)</f>
        <v/>
      </c>
      <c r="ES114" s="73" t="str">
        <f>IF(AND(BN114&lt;&gt;"",BN114&lt;&gt;"NEMA"),BN114,IF(CG114&lt;&gt;"",CG114,IF(AND(CL114&lt;&gt;"",CL114&lt;&gt;"NEMA"),CL114,IF(CM114&lt;&gt;"",CM114,""))))</f>
        <v/>
      </c>
      <c r="ET114" s="53" t="str">
        <f>IF(INDEX(natKategorija_alias_Id,MATCH(S114,natKategorija_katRegId,0))="","",INDEX(natKategorija_alias_Id,MATCH(S114,natKategorija_katRegId,0)))</f>
        <v/>
      </c>
      <c r="EU114" s="47" t="s">
        <v>0</v>
      </c>
      <c r="EV114" s="19" t="str">
        <f t="shared" si="123"/>
        <v>INSERT INTO rezultat(id,stazakategorija_id,imeprezime_id,vrijeme_sec,status_id,registracija,uparivanje_id,originalstatus_id,imeprezimealias_id,klubalias_id,kategorijaalias_id) VALUES (282,29,1099,3969,1,1,1,0,Null,Null,Null);</v>
      </c>
      <c r="EW114" s="47" t="s">
        <v>0</v>
      </c>
      <c r="EX114" s="19" t="str">
        <f t="shared" si="124"/>
        <v>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4" s="47" t="s">
        <v>0</v>
      </c>
      <c r="EZ114" s="180" t="str">
        <f>AG114&amp;IF(CP114="","","
")&amp;CP114&amp;IF(CI114="","","
")&amp;CI114&amp;IF(DN114="","","
")&amp;DN114&amp;IF(DP114="","","
")&amp;DP114&amp;IF(EV114="","","
")&amp;EV114&amp;IF(EX114="","","
")&amp;EX114</f>
        <v xml:space="preserve">
INSERT INTO rezultat(id,stazakategorija_id,imeprezime_id,vrijeme_sec,status_id,registracija,uparivanje_id,originalstatus_id,imeprezimealias_id,klubalias_id,kategorijaalias_id) VALUES (282,29,1099,3969,1,1,1,0,Null,Null,Null);
UPDATE
	registar
SET
	potvrda = 1
WHERE
	imeprezime_id=1099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4" s="47" t="s">
        <v>0</v>
      </c>
    </row>
    <row r="115" spans="1:157" x14ac:dyDescent="0.25">
      <c r="A115" t="s">
        <v>0</v>
      </c>
      <c r="B115" s="52" t="str">
        <f>IF(csv!F105="","",csv!T105)</f>
        <v>M35</v>
      </c>
      <c r="C115" s="31" t="s">
        <v>0</v>
      </c>
      <c r="D115" s="31" t="str">
        <f>IF(csv!F105="","",csv!F105)</f>
        <v>Ivan</v>
      </c>
      <c r="E115" s="31" t="str">
        <f>IF(csv!E105="","",csv!E105)</f>
        <v>Bublić</v>
      </c>
      <c r="F115" s="31" t="s">
        <v>0</v>
      </c>
      <c r="G115" s="73" t="str">
        <f>IF(csv!M105="","",csv!M105)</f>
        <v>69:07</v>
      </c>
      <c r="H115" s="73" t="str">
        <f>IF(csv!N105="","",csv!N105)</f>
        <v>0</v>
      </c>
      <c r="I115" s="31" t="s">
        <v>0</v>
      </c>
      <c r="J115" s="31" t="str">
        <f>IF(csv!P105="","",csv!P105)</f>
        <v>KAP</v>
      </c>
      <c r="K115" s="31" t="str">
        <f>IF(csv!Q105="","",csv!Q105)</f>
        <v>OK Kapela</v>
      </c>
      <c r="L115" s="31" t="s">
        <v>0</v>
      </c>
      <c r="M115" s="66" t="str">
        <f>IF(csv!R105="","",csv!R105)</f>
        <v>CRO</v>
      </c>
      <c r="N115" s="47" t="s">
        <v>0</v>
      </c>
      <c r="O115" s="243" t="str">
        <f t="shared" si="95"/>
        <v>ok</v>
      </c>
      <c r="P115" s="47"/>
      <c r="Q115" s="52" t="str">
        <f t="shared" si="96"/>
        <v>M35</v>
      </c>
      <c r="R115" s="73">
        <f>IF(Q115="","",IF(COUNTIF(Q$12:Q114,Q115)=0,R114+1,R114))</f>
        <v>7</v>
      </c>
      <c r="S115" s="73">
        <f t="shared" si="97"/>
        <v>107</v>
      </c>
      <c r="T115" s="73">
        <f t="shared" si="72"/>
        <v>18</v>
      </c>
      <c r="U115" s="66" t="str">
        <f t="shared" si="73"/>
        <v>M35</v>
      </c>
      <c r="V115" s="47" t="s">
        <v>0</v>
      </c>
      <c r="W115" s="222" t="str">
        <f t="shared" si="74"/>
        <v>M35</v>
      </c>
      <c r="X115" s="223">
        <f t="shared" si="75"/>
        <v>29</v>
      </c>
      <c r="Y115" s="47" t="s">
        <v>0</v>
      </c>
      <c r="Z115" s="52" t="str">
        <f t="shared" si="98"/>
        <v>CRO</v>
      </c>
      <c r="AA115" s="73">
        <f t="shared" si="76"/>
        <v>1</v>
      </c>
      <c r="AB115" s="31" t="str">
        <f t="shared" si="99"/>
        <v/>
      </c>
      <c r="AC115" s="66" t="str">
        <f>IF(AB115="","",MAX(AC$12:AC114)+1)</f>
        <v/>
      </c>
      <c r="AD115" s="47" t="s">
        <v>0</v>
      </c>
      <c r="AE115" s="125"/>
      <c r="AF115" s="47" t="s">
        <v>0</v>
      </c>
      <c r="AG115" s="19" t="str">
        <f t="shared" si="100"/>
        <v/>
      </c>
      <c r="AH115" s="47" t="s">
        <v>0</v>
      </c>
      <c r="AI115" s="143" t="str">
        <f t="shared" si="101"/>
        <v>CRO</v>
      </c>
      <c r="AJ115" s="47"/>
      <c r="AK115" s="52" t="str">
        <f t="shared" si="102"/>
        <v>Ivan</v>
      </c>
      <c r="AL115" s="31" t="str">
        <f t="shared" si="103"/>
        <v>Bublić</v>
      </c>
      <c r="AM115" s="73">
        <f t="shared" si="104"/>
        <v>1125</v>
      </c>
      <c r="AN115" s="73" t="str">
        <f t="shared" si="105"/>
        <v/>
      </c>
      <c r="AO115" s="31" t="str">
        <f t="shared" si="77"/>
        <v>Ivan</v>
      </c>
      <c r="AP115" s="66" t="str">
        <f t="shared" si="78"/>
        <v>Bublić</v>
      </c>
      <c r="AQ115" s="47" t="s">
        <v>0</v>
      </c>
      <c r="AR115" s="82" t="str">
        <f t="shared" si="106"/>
        <v/>
      </c>
      <c r="AS115" s="47" t="s">
        <v>0</v>
      </c>
      <c r="AT115" s="19" t="str">
        <f t="shared" si="107"/>
        <v/>
      </c>
      <c r="AU115" s="47" t="s">
        <v>0</v>
      </c>
      <c r="AV115" s="103"/>
      <c r="AW115" s="105"/>
      <c r="AX115" s="47" t="s">
        <v>0</v>
      </c>
      <c r="AY115" s="256" t="str">
        <f t="shared" si="125"/>
        <v/>
      </c>
      <c r="AZ115" s="47" t="s">
        <v>0</v>
      </c>
      <c r="BA115" s="52" t="str">
        <f t="shared" si="79"/>
        <v/>
      </c>
      <c r="BB115" s="73" t="str">
        <f>IF(AV115&amp;AW115="","",MAX(BB$12:BB114)+1)</f>
        <v/>
      </c>
      <c r="BC115" s="268" t="str">
        <f t="shared" si="80"/>
        <v/>
      </c>
      <c r="BD115" s="53" t="str">
        <f>IF(AND(AM115="NEMA",AN115="NEMA",OR(AV115&amp;AW115="",BC115="NEMA")),MAX(BD$12:BD114)+1,"")</f>
        <v/>
      </c>
      <c r="BE115" s="47" t="s">
        <v>0</v>
      </c>
      <c r="BF115" s="52" t="str">
        <f t="shared" si="81"/>
        <v>Ivan</v>
      </c>
      <c r="BG115" s="31" t="str">
        <f t="shared" si="82"/>
        <v>Bublić</v>
      </c>
      <c r="BH115" s="73" t="str">
        <f t="shared" si="108"/>
        <v/>
      </c>
      <c r="BI115" s="53">
        <f t="shared" si="109"/>
        <v>1125</v>
      </c>
      <c r="BJ115" s="47" t="s">
        <v>0</v>
      </c>
      <c r="BK115" s="52" t="str">
        <f t="shared" si="83"/>
        <v>KAP</v>
      </c>
      <c r="BL115" s="31" t="str">
        <f t="shared" si="84"/>
        <v>OK Kapela</v>
      </c>
      <c r="BM115" s="73">
        <f t="shared" si="85"/>
        <v>5</v>
      </c>
      <c r="BN115" s="73" t="str">
        <f t="shared" si="86"/>
        <v/>
      </c>
      <c r="BO115" s="31" t="str" cm="1">
        <f t="array" ref="BO115">IF(BN115="",""&amp;BL115,IF(BN115="NEMA",BL115,INDEX(regKlub_naziv,MATCH(INDEX(regKlub_alias_klubId,BN115),regKlub_id,0))))</f>
        <v>OK Kapela</v>
      </c>
      <c r="BP115" s="31" t="str" cm="1">
        <f t="array" ref="BP115">IFERROR(""&amp;INDEX(regNatjecatelj_klub,DY115),"")</f>
        <v>OK Kapela</v>
      </c>
      <c r="BQ115" s="88" t="str">
        <f t="shared" si="110"/>
        <v/>
      </c>
      <c r="BR115" s="66" t="str">
        <f t="shared" si="111"/>
        <v>OK Kapela</v>
      </c>
      <c r="BS115" s="47" t="s">
        <v>0</v>
      </c>
      <c r="BT115" s="82" t="str">
        <f>IF(BN115&lt;&gt;"NEMA","",IF(IFERROR(MATCH(BL115,BL$12:BL114,0),0)&lt;&gt;0,"",BL115))</f>
        <v/>
      </c>
      <c r="BU115" s="47" t="s">
        <v>0</v>
      </c>
      <c r="BV115" s="125"/>
      <c r="BW115" s="47" t="s">
        <v>0</v>
      </c>
      <c r="BX115" s="58" t="str">
        <f t="shared" si="112"/>
        <v/>
      </c>
      <c r="BY115" s="31" t="str">
        <f t="shared" si="113"/>
        <v/>
      </c>
      <c r="BZ115" s="31" t="str">
        <f>IF(BY115="","",MAX(BZ$12:BZ114)+1)</f>
        <v/>
      </c>
      <c r="CA115" s="31" t="str">
        <f>IF(BY115="","",IF(AA115="","",IF(AA115="NEMA",AC115,AA115)))</f>
        <v/>
      </c>
      <c r="CB115" s="31" t="str">
        <f t="shared" si="114"/>
        <v/>
      </c>
      <c r="CC115" s="31" t="str">
        <f>IF(BV115="","",MAX(CC$12:CC114)+1)</f>
        <v/>
      </c>
      <c r="CD115" s="31" t="str">
        <f t="shared" si="115"/>
        <v/>
      </c>
      <c r="CE115" s="66" t="str">
        <f t="shared" si="116"/>
        <v/>
      </c>
      <c r="CF115" s="47" t="s">
        <v>0</v>
      </c>
      <c r="CG115" s="73" t="str">
        <f>IF(BN115="","",IF(BN115&lt;&gt;"NEMA","",IFERROR(INDEX(nat_klubAliasId,MATCH(BL115,nat_noviKluboviAliasi,0)),"")))</f>
        <v/>
      </c>
      <c r="CH115" s="47"/>
      <c r="CI115" s="19" t="str">
        <f t="shared" si="117"/>
        <v/>
      </c>
      <c r="CJ115" s="47" t="s">
        <v>0</v>
      </c>
      <c r="CK115" s="52" t="str">
        <f>IF(X115&lt;&gt;"NEMA","",IF(IFERROR(MATCH(W115,W$12:W114,0),0)&lt;&gt;0,"",W115))</f>
        <v/>
      </c>
      <c r="CL115" s="73" t="str">
        <f>IF(CK115="","",IFERROR(INDEX(regKlub_alias_id,MATCH(CK115,regKlub_alias_alias,0)),"NEMA"))</f>
        <v/>
      </c>
      <c r="CM115" s="31" t="str">
        <f>IF(OR(CL115="",CL115&lt;&gt;"NEMA"),"",MAX(CM$12:CM114)+1)</f>
        <v/>
      </c>
      <c r="CN115" s="66" t="str">
        <f>IF(OR(CL115="",CL115&lt;&gt;"NEMA"),"",INDEX(regKlub_id,MATCH(CK115,regKlub_naziv,0)))</f>
        <v/>
      </c>
      <c r="CO115" s="47" t="s">
        <v>0</v>
      </c>
      <c r="CP115" s="19" t="str">
        <f>IF(OR(CL115="",CL115&lt;&gt;"NEMA"),"","INSERT INTO klub_alias(id,alias,klub_id) VALUES ("&amp;CM115&amp;",'"&amp;CK115&amp;"',"&amp;CN115&amp;");")</f>
        <v/>
      </c>
      <c r="CQ115" s="47" t="s">
        <v>0</v>
      </c>
      <c r="CR115" s="143" t="str">
        <f>IF(BR115="","",IF(BV115="",IF(IFERROR(MATCH(BR115,nat_noviKluboviAliasi,0),0)&gt;0,INDEX(nat_kluboviAliasi,MATCH(BR115,nat_noviKluboviAliasi,0)),BR115),BV115))</f>
        <v>OK Kapela</v>
      </c>
      <c r="CS115" s="47" t="s">
        <v>0</v>
      </c>
      <c r="CT115" s="58" t="str">
        <f>IF(G115="","",G115)</f>
        <v>69:07</v>
      </c>
      <c r="CU115" s="73" t="str">
        <f>IF(H115="","",H115)</f>
        <v>0</v>
      </c>
      <c r="CV115" s="229" t="str">
        <f>IF(CT115="",IF(OR(AL115="",CU115&lt;&gt;"0"),"","GREŠKA"),IF(AND(65535&gt;=VALUE(LEFT(CT115,SEARCH(":",CT115)-1))*60+VALUE(RIGHT(CT115,2)),OR(CU115="0",CU115="1",CU115="2",CU115="3",CU115="4")),"","GREŠKA"))</f>
        <v/>
      </c>
      <c r="CW115" s="230">
        <f t="shared" si="71"/>
        <v>4147</v>
      </c>
      <c r="CX115" s="163">
        <f t="shared" si="87"/>
        <v>1</v>
      </c>
      <c r="CY115" s="47" t="s">
        <v>0</v>
      </c>
      <c r="CZ115" s="222" t="str">
        <f>IF(CV115&lt;&gt;"GREŠKA","",AK115&amp;" "&amp;AL115&amp;" – Molim u OEventu provjeriti i ispraviti rezultat – vrijeme ("&amp;IF(CT115="","nije upisano",CT115)&amp;") i classifier ("&amp;CU115&amp;").")&amp;IF(OR(CV115&lt;&gt;"GREŠKA",CX115&lt;&gt;5),"
","")&amp;IF(CX115&lt;&gt;5,"",AK115&amp;" "&amp;AL115&amp;" – Molim u provjeriti je li natjecatelj zaista diskvalificiran. Ako je koje je obrazloženje, ako nije molim u OEventu ispraviti rezultat")</f>
        <v xml:space="preserve">
</v>
      </c>
      <c r="DA115" s="223">
        <f t="shared" si="118"/>
        <v>6</v>
      </c>
      <c r="DB115" s="47" t="s">
        <v>0</v>
      </c>
      <c r="DC115" s="47"/>
      <c r="DD115" s="47"/>
      <c r="DE115" s="47"/>
      <c r="DF115" s="47" t="s">
        <v>0</v>
      </c>
      <c r="DG115" s="53" t="str">
        <f>IF(BD115="","",IF(DI115="O",1,""))</f>
        <v/>
      </c>
      <c r="DH115" t="s">
        <v>0</v>
      </c>
      <c r="DI115" s="128" t="str">
        <f>IF(Q115="","",LEFT(INDEX(regKategorija_oznaka,MATCH(S115,regKategorija_id,0)),1))</f>
        <v>M</v>
      </c>
      <c r="DJ115" t="s">
        <v>0</v>
      </c>
      <c r="DK115" s="52" t="str">
        <f>IF(BD115="","",IF(M115&lt;&gt;"CRO","","INSERT INTO osoba (id,reg_broj,oib,spol_id,dat_rodjenja) VALUES ("&amp;BD115&amp;",(SELECT max(os.reg_broj)+1 FROM osoba AS os),Null,'"&amp;DI115&amp;"',Null); INSERT INTO osoba_log (id,reg_broj,oib,spol_id,dat_rodjenja,dnevnik_id) SELECT id,reg_broj,oib,spol_id,dat_rodjenja,"&amp;data_dnevnik_id&amp;" FROM osoba WHERE id = "&amp;BD115&amp;";"))</f>
        <v/>
      </c>
      <c r="DL115" s="66" t="str">
        <f>IF(BD115="","","INSERT INTO imeprezime (id,osoba_id,rbr,ime,prezime,klub_id,identitet_id,sintaksa_id,info,aktivno,dnevnik_id) VALUES ("&amp;BD115&amp;","&amp;IF(DK115="","Null",BD115)&amp;",1,'"&amp;IF(AV115&lt;&gt;"",AV115,AK115)&amp;"','"&amp;IF(AW115&lt;&gt;"",AW115,AL115)&amp;"',(SELECT id FROM klub WHERE naziv = '"&amp;CR115&amp;"'),Null,1,'',1,"&amp;data_dnevnik_id&amp;");")</f>
        <v/>
      </c>
      <c r="DM115" t="s">
        <v>0</v>
      </c>
      <c r="DN115" s="19" t="str">
        <f t="shared" si="126"/>
        <v/>
      </c>
      <c r="DO115" s="47" t="s">
        <v>0</v>
      </c>
      <c r="DP115" s="19" t="str">
        <f>IF(BA115="","","INSERT INTO imeprezime_alias(id,alias,imeprezime_id) VALUES ("&amp;BB115&amp;",'"&amp;BA115&amp;"',"&amp;IF(BC115="NEMA",BD115,BC115)&amp;");")</f>
        <v/>
      </c>
      <c r="DQ115" s="47" t="s">
        <v>0</v>
      </c>
      <c r="DR115" s="52" t="str">
        <f>IF(AL115="","",DU115 &amp; IF(Q115="",""," – " &amp; Q115))</f>
        <v>Ivan – Bublić – OK Kapela – M35</v>
      </c>
      <c r="DS115" s="53">
        <f t="shared" si="88"/>
        <v>217</v>
      </c>
      <c r="DT115" s="47" t="s">
        <v>0</v>
      </c>
      <c r="DU115" s="52" t="str">
        <f>IF(AL115="","",DX115 &amp; IF(CR115="",""," – " &amp; CR115))</f>
        <v>Ivan – Bublić – OK Kapela</v>
      </c>
      <c r="DV115" s="53">
        <f t="shared" si="89"/>
        <v>217</v>
      </c>
      <c r="DW115" s="47" t="s">
        <v>0</v>
      </c>
      <c r="DX115" s="52" t="str">
        <f>IF(BG115="","",BF115&amp;" – "&amp;BG115)</f>
        <v>Ivan – Bublić</v>
      </c>
      <c r="DY115" s="53">
        <f t="shared" si="90"/>
        <v>217</v>
      </c>
      <c r="DZ115" s="47" t="s">
        <v>0</v>
      </c>
      <c r="EA115" s="58">
        <f t="shared" si="119"/>
        <v>217</v>
      </c>
      <c r="EB115" s="53" cm="1">
        <f t="array" ref="EB115">IF(EA115&lt;&gt;"",INDEX(regNatjecatelj_id,EA115,0),IF(BD115&lt;&gt;"",BD115,""))</f>
        <v>1125</v>
      </c>
      <c r="EC115" s="47" t="s">
        <v>0</v>
      </c>
      <c r="ED115" s="58" t="str">
        <f>IF(AL115="","",IF(BD115&lt;&gt;"","novo",IF(AN115="","imepre","imepre(ali)")))</f>
        <v>imepre</v>
      </c>
      <c r="EE115" s="73" t="str">
        <f>IF(AL115="","",IF(BL115="",IF(IFERROR(INDEX(regNatjecatelj_klub,MATCH(EB115,regNatjecatelj_id,0)),"NEMA")="","klu",""),IF(OR(AND(BN115&lt;&gt;"",BN115&lt;&gt;"NEMA"),CD115&lt;&gt;""),"klu(ali)",IF(AND(BP115&lt;&gt;"",BP115&lt;&gt;BO115),"(raz-klu)","klu"))))</f>
        <v>klu</v>
      </c>
      <c r="EF115" s="73" t="str">
        <f>IF(AL115="","","kat"&amp;IF(AND(W115&lt;&gt;Q115,Q115&lt;&gt;"Open"),"(ali)",""))</f>
        <v>kat</v>
      </c>
      <c r="EG115" s="73" t="str">
        <f t="shared" si="91"/>
        <v/>
      </c>
      <c r="EH115" s="66" t="str">
        <f>IF(AL115="","",ED115&amp;IF(ED115="novo","","-"&amp;EE115&amp;"-"&amp;EF115)&amp;IF(EG115="","","-"&amp;EG115))</f>
        <v>imepre-klu-kat</v>
      </c>
      <c r="EI115" s="47" t="s">
        <v>0</v>
      </c>
      <c r="EJ115" s="58">
        <f>IF(AL115="","",MAX(EJ$12:EJ114)+1)</f>
        <v>283</v>
      </c>
      <c r="EK115" s="73">
        <f>IF(AO115="","",X115)</f>
        <v>29</v>
      </c>
      <c r="EL115" s="73">
        <f t="shared" si="120"/>
        <v>1125</v>
      </c>
      <c r="EM115" s="73">
        <f t="shared" si="92"/>
        <v>4147</v>
      </c>
      <c r="EN115" s="73">
        <f t="shared" si="93"/>
        <v>1</v>
      </c>
      <c r="EO115" s="73">
        <f t="shared" si="121"/>
        <v>1</v>
      </c>
      <c r="EP115" s="73">
        <f t="shared" si="122"/>
        <v>1</v>
      </c>
      <c r="EQ115" s="73" t="str">
        <f t="shared" si="94"/>
        <v>0</v>
      </c>
      <c r="ER115" s="73" t="str">
        <f>IF(OR(AN115="",AN115="NEMA"),BB115,AN115)</f>
        <v/>
      </c>
      <c r="ES115" s="73" t="str">
        <f>IF(AND(BN115&lt;&gt;"",BN115&lt;&gt;"NEMA"),BN115,IF(CG115&lt;&gt;"",CG115,IF(AND(CL115&lt;&gt;"",CL115&lt;&gt;"NEMA"),CL115,IF(CM115&lt;&gt;"",CM115,""))))</f>
        <v/>
      </c>
      <c r="ET115" s="53" t="str">
        <f>IF(INDEX(natKategorija_alias_Id,MATCH(S115,natKategorija_katRegId,0))="","",INDEX(natKategorija_alias_Id,MATCH(S115,natKategorija_katRegId,0)))</f>
        <v/>
      </c>
      <c r="EU115" s="47" t="s">
        <v>0</v>
      </c>
      <c r="EV115" s="19" t="str">
        <f t="shared" si="123"/>
        <v>INSERT INTO rezultat(id,stazakategorija_id,imeprezime_id,vrijeme_sec,status_id,registracija,uparivanje_id,originalstatus_id,imeprezimealias_id,klubalias_id,kategorijaalias_id) VALUES (283,29,1125,4147,1,1,1,0,Null,Null,Null);</v>
      </c>
      <c r="EW115" s="47" t="s">
        <v>0</v>
      </c>
      <c r="EX115" s="19" t="str">
        <f t="shared" si="124"/>
        <v>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5" s="47" t="s">
        <v>0</v>
      </c>
      <c r="EZ115" s="180" t="str">
        <f>AG115&amp;IF(CP115="","","
")&amp;CP115&amp;IF(CI115="","","
")&amp;CI115&amp;IF(DN115="","","
")&amp;DN115&amp;IF(DP115="","","
")&amp;DP115&amp;IF(EV115="","","
")&amp;EV115&amp;IF(EX115="","","
")&amp;EX115</f>
        <v xml:space="preserve">
INSERT INTO rezultat(id,stazakategorija_id,imeprezime_id,vrijeme_sec,status_id,registracija,uparivanje_id,originalstatus_id,imeprezimealias_id,klubalias_id,kategorijaalias_id) VALUES (283,29,1125,4147,1,1,1,0,Null,Null,Null);
UPDATE
	registar
SET
	potvrda = 1
WHERE
	imeprezime_id=1125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5" s="47" t="s">
        <v>0</v>
      </c>
    </row>
    <row r="116" spans="1:157" x14ac:dyDescent="0.25">
      <c r="A116" t="s">
        <v>0</v>
      </c>
      <c r="B116" s="52" t="str">
        <f>IF(csv!F106="","",csv!T106)</f>
        <v>M35</v>
      </c>
      <c r="C116" s="31" t="s">
        <v>0</v>
      </c>
      <c r="D116" s="31" t="str">
        <f>IF(csv!F106="","",csv!F106)</f>
        <v>Ivan</v>
      </c>
      <c r="E116" s="31" t="str">
        <f>IF(csv!E106="","",csv!E106)</f>
        <v>Gverić</v>
      </c>
      <c r="F116" s="31" t="s">
        <v>0</v>
      </c>
      <c r="G116" s="73" t="str">
        <f>IF(csv!M106="","",csv!M106)</f>
        <v>69:22</v>
      </c>
      <c r="H116" s="73" t="str">
        <f>IF(csv!N106="","",csv!N106)</f>
        <v>0</v>
      </c>
      <c r="I116" s="31" t="s">
        <v>0</v>
      </c>
      <c r="J116" s="31" t="str">
        <f>IF(csv!P106="","",csv!P106)</f>
        <v>KAP</v>
      </c>
      <c r="K116" s="31" t="str">
        <f>IF(csv!Q106="","",csv!Q106)</f>
        <v>OK Kapela</v>
      </c>
      <c r="L116" s="31" t="s">
        <v>0</v>
      </c>
      <c r="M116" s="66" t="str">
        <f>IF(csv!R106="","",csv!R106)</f>
        <v>CRO</v>
      </c>
      <c r="N116" s="47" t="s">
        <v>0</v>
      </c>
      <c r="O116" s="243" t="str">
        <f t="shared" si="95"/>
        <v>ok</v>
      </c>
      <c r="P116" s="47"/>
      <c r="Q116" s="52" t="str">
        <f t="shared" si="96"/>
        <v>M35</v>
      </c>
      <c r="R116" s="73">
        <f>IF(Q116="","",IF(COUNTIF(Q$12:Q115,Q116)=0,R115+1,R115))</f>
        <v>7</v>
      </c>
      <c r="S116" s="73">
        <f t="shared" si="97"/>
        <v>107</v>
      </c>
      <c r="T116" s="73">
        <f t="shared" si="72"/>
        <v>18</v>
      </c>
      <c r="U116" s="66" t="str">
        <f t="shared" si="73"/>
        <v>M35</v>
      </c>
      <c r="V116" s="47" t="s">
        <v>0</v>
      </c>
      <c r="W116" s="222" t="str">
        <f t="shared" si="74"/>
        <v>M35</v>
      </c>
      <c r="X116" s="223">
        <f t="shared" si="75"/>
        <v>29</v>
      </c>
      <c r="Y116" s="47" t="s">
        <v>0</v>
      </c>
      <c r="Z116" s="52" t="str">
        <f t="shared" si="98"/>
        <v>CRO</v>
      </c>
      <c r="AA116" s="73">
        <f t="shared" si="76"/>
        <v>1</v>
      </c>
      <c r="AB116" s="31" t="str">
        <f t="shared" si="99"/>
        <v/>
      </c>
      <c r="AC116" s="66" t="str">
        <f>IF(AB116="","",MAX(AC$12:AC115)+1)</f>
        <v/>
      </c>
      <c r="AD116" s="47" t="s">
        <v>0</v>
      </c>
      <c r="AE116" s="125"/>
      <c r="AF116" s="47" t="s">
        <v>0</v>
      </c>
      <c r="AG116" s="19" t="str">
        <f t="shared" si="100"/>
        <v/>
      </c>
      <c r="AH116" s="47" t="s">
        <v>0</v>
      </c>
      <c r="AI116" s="143" t="str">
        <f t="shared" si="101"/>
        <v>CRO</v>
      </c>
      <c r="AJ116" s="47"/>
      <c r="AK116" s="52" t="str">
        <f t="shared" si="102"/>
        <v>Ivan</v>
      </c>
      <c r="AL116" s="31" t="str">
        <f t="shared" si="103"/>
        <v>Gverić</v>
      </c>
      <c r="AM116" s="73">
        <f t="shared" si="104"/>
        <v>1205</v>
      </c>
      <c r="AN116" s="73" t="str">
        <f t="shared" si="105"/>
        <v/>
      </c>
      <c r="AO116" s="31" t="str">
        <f t="shared" si="77"/>
        <v>Ivan</v>
      </c>
      <c r="AP116" s="66" t="str">
        <f t="shared" si="78"/>
        <v>Gverić</v>
      </c>
      <c r="AQ116" s="47" t="s">
        <v>0</v>
      </c>
      <c r="AR116" s="82" t="str">
        <f t="shared" si="106"/>
        <v/>
      </c>
      <c r="AS116" s="47" t="s">
        <v>0</v>
      </c>
      <c r="AT116" s="19" t="str">
        <f t="shared" si="107"/>
        <v/>
      </c>
      <c r="AU116" s="47" t="s">
        <v>0</v>
      </c>
      <c r="AV116" s="103"/>
      <c r="AW116" s="105"/>
      <c r="AX116" s="47" t="s">
        <v>0</v>
      </c>
      <c r="AY116" s="256" t="str">
        <f t="shared" si="125"/>
        <v/>
      </c>
      <c r="AZ116" s="47" t="s">
        <v>0</v>
      </c>
      <c r="BA116" s="52" t="str">
        <f t="shared" si="79"/>
        <v/>
      </c>
      <c r="BB116" s="73" t="str">
        <f>IF(AV116&amp;AW116="","",MAX(BB$12:BB115)+1)</f>
        <v/>
      </c>
      <c r="BC116" s="268" t="str">
        <f t="shared" si="80"/>
        <v/>
      </c>
      <c r="BD116" s="53" t="str">
        <f>IF(AND(AM116="NEMA",AN116="NEMA",OR(AV116&amp;AW116="",BC116="NEMA")),MAX(BD$12:BD115)+1,"")</f>
        <v/>
      </c>
      <c r="BE116" s="47" t="s">
        <v>0</v>
      </c>
      <c r="BF116" s="52" t="str">
        <f t="shared" si="81"/>
        <v>Ivan</v>
      </c>
      <c r="BG116" s="31" t="str">
        <f t="shared" si="82"/>
        <v>Gverić</v>
      </c>
      <c r="BH116" s="73" t="str">
        <f t="shared" si="108"/>
        <v/>
      </c>
      <c r="BI116" s="53">
        <f t="shared" si="109"/>
        <v>1205</v>
      </c>
      <c r="BJ116" s="47" t="s">
        <v>0</v>
      </c>
      <c r="BK116" s="52" t="str">
        <f t="shared" si="83"/>
        <v>KAP</v>
      </c>
      <c r="BL116" s="31" t="str">
        <f t="shared" si="84"/>
        <v>OK Kapela</v>
      </c>
      <c r="BM116" s="73">
        <f t="shared" si="85"/>
        <v>5</v>
      </c>
      <c r="BN116" s="73" t="str">
        <f t="shared" si="86"/>
        <v/>
      </c>
      <c r="BO116" s="31" t="str" cm="1">
        <f t="array" ref="BO116">IF(BN116="",""&amp;BL116,IF(BN116="NEMA",BL116,INDEX(regKlub_naziv,MATCH(INDEX(regKlub_alias_klubId,BN116),regKlub_id,0))))</f>
        <v>OK Kapela</v>
      </c>
      <c r="BP116" s="31" t="str" cm="1">
        <f t="array" ref="BP116">IFERROR(""&amp;INDEX(regNatjecatelj_klub,DY116),"")</f>
        <v>OK Kapela</v>
      </c>
      <c r="BQ116" s="88" t="str">
        <f t="shared" si="110"/>
        <v/>
      </c>
      <c r="BR116" s="66" t="str">
        <f t="shared" si="111"/>
        <v>OK Kapela</v>
      </c>
      <c r="BS116" s="47" t="s">
        <v>0</v>
      </c>
      <c r="BT116" s="82" t="str">
        <f>IF(BN116&lt;&gt;"NEMA","",IF(IFERROR(MATCH(BL116,BL$12:BL115,0),0)&lt;&gt;0,"",BL116))</f>
        <v/>
      </c>
      <c r="BU116" s="47" t="s">
        <v>0</v>
      </c>
      <c r="BV116" s="125"/>
      <c r="BW116" s="47" t="s">
        <v>0</v>
      </c>
      <c r="BX116" s="58" t="str">
        <f t="shared" si="112"/>
        <v/>
      </c>
      <c r="BY116" s="31" t="str">
        <f t="shared" si="113"/>
        <v/>
      </c>
      <c r="BZ116" s="31" t="str">
        <f>IF(BY116="","",MAX(BZ$12:BZ115)+1)</f>
        <v/>
      </c>
      <c r="CA116" s="31" t="str">
        <f>IF(BY116="","",IF(AA116="","",IF(AA116="NEMA",AC116,AA116)))</f>
        <v/>
      </c>
      <c r="CB116" s="31" t="str">
        <f t="shared" si="114"/>
        <v/>
      </c>
      <c r="CC116" s="31" t="str">
        <f>IF(BV116="","",MAX(CC$12:CC115)+1)</f>
        <v/>
      </c>
      <c r="CD116" s="31" t="str">
        <f t="shared" si="115"/>
        <v/>
      </c>
      <c r="CE116" s="66" t="str">
        <f t="shared" si="116"/>
        <v/>
      </c>
      <c r="CF116" s="47" t="s">
        <v>0</v>
      </c>
      <c r="CG116" s="73" t="str">
        <f>IF(BN116="","",IF(BN116&lt;&gt;"NEMA","",IFERROR(INDEX(nat_klubAliasId,MATCH(BL116,nat_noviKluboviAliasi,0)),"")))</f>
        <v/>
      </c>
      <c r="CH116" s="47"/>
      <c r="CI116" s="19" t="str">
        <f t="shared" si="117"/>
        <v/>
      </c>
      <c r="CJ116" s="47" t="s">
        <v>0</v>
      </c>
      <c r="CK116" s="52" t="str">
        <f>IF(X116&lt;&gt;"NEMA","",IF(IFERROR(MATCH(W116,W$12:W115,0),0)&lt;&gt;0,"",W116))</f>
        <v/>
      </c>
      <c r="CL116" s="73" t="str">
        <f>IF(CK116="","",IFERROR(INDEX(regKlub_alias_id,MATCH(CK116,regKlub_alias_alias,0)),"NEMA"))</f>
        <v/>
      </c>
      <c r="CM116" s="31" t="str">
        <f>IF(OR(CL116="",CL116&lt;&gt;"NEMA"),"",MAX(CM$12:CM115)+1)</f>
        <v/>
      </c>
      <c r="CN116" s="66" t="str">
        <f>IF(OR(CL116="",CL116&lt;&gt;"NEMA"),"",INDEX(regKlub_id,MATCH(CK116,regKlub_naziv,0)))</f>
        <v/>
      </c>
      <c r="CO116" s="47" t="s">
        <v>0</v>
      </c>
      <c r="CP116" s="19" t="str">
        <f>IF(OR(CL116="",CL116&lt;&gt;"NEMA"),"","INSERT INTO klub_alias(id,alias,klub_id) VALUES ("&amp;CM116&amp;",'"&amp;CK116&amp;"',"&amp;CN116&amp;");")</f>
        <v/>
      </c>
      <c r="CQ116" s="47" t="s">
        <v>0</v>
      </c>
      <c r="CR116" s="143" t="str">
        <f>IF(BR116="","",IF(BV116="",IF(IFERROR(MATCH(BR116,nat_noviKluboviAliasi,0),0)&gt;0,INDEX(nat_kluboviAliasi,MATCH(BR116,nat_noviKluboviAliasi,0)),BR116),BV116))</f>
        <v>OK Kapela</v>
      </c>
      <c r="CS116" s="47" t="s">
        <v>0</v>
      </c>
      <c r="CT116" s="58" t="str">
        <f>IF(G116="","",G116)</f>
        <v>69:22</v>
      </c>
      <c r="CU116" s="73" t="str">
        <f>IF(H116="","",H116)</f>
        <v>0</v>
      </c>
      <c r="CV116" s="229" t="str">
        <f>IF(CT116="",IF(OR(AL116="",CU116&lt;&gt;"0"),"","GREŠKA"),IF(AND(65535&gt;=VALUE(LEFT(CT116,SEARCH(":",CT116)-1))*60+VALUE(RIGHT(CT116,2)),OR(CU116="0",CU116="1",CU116="2",CU116="3",CU116="4")),"","GREŠKA"))</f>
        <v/>
      </c>
      <c r="CW116" s="230">
        <f t="shared" si="71"/>
        <v>4162</v>
      </c>
      <c r="CX116" s="163">
        <f t="shared" si="87"/>
        <v>1</v>
      </c>
      <c r="CY116" s="47" t="s">
        <v>0</v>
      </c>
      <c r="CZ116" s="222" t="str">
        <f>IF(CV116&lt;&gt;"GREŠKA","",AK116&amp;" "&amp;AL116&amp;" – Molim u OEventu provjeriti i ispraviti rezultat – vrijeme ("&amp;IF(CT116="","nije upisano",CT116)&amp;") i classifier ("&amp;CU116&amp;").")&amp;IF(OR(CV116&lt;&gt;"GREŠKA",CX116&lt;&gt;5),"
","")&amp;IF(CX116&lt;&gt;5,"",AK116&amp;" "&amp;AL116&amp;" – Molim u provjeriti je li natjecatelj zaista diskvalificiran. Ako je koje je obrazloženje, ako nije molim u OEventu ispraviti rezultat")</f>
        <v xml:space="preserve">
</v>
      </c>
      <c r="DA116" s="223">
        <f t="shared" si="118"/>
        <v>6</v>
      </c>
      <c r="DB116" s="47" t="s">
        <v>0</v>
      </c>
      <c r="DC116" s="47"/>
      <c r="DD116" s="47"/>
      <c r="DE116" s="47"/>
      <c r="DF116" s="47" t="s">
        <v>0</v>
      </c>
      <c r="DG116" s="53" t="str">
        <f>IF(BD116="","",IF(DI116="O",1,""))</f>
        <v/>
      </c>
      <c r="DH116" t="s">
        <v>0</v>
      </c>
      <c r="DI116" s="128" t="str">
        <f>IF(Q116="","",LEFT(INDEX(regKategorija_oznaka,MATCH(S116,regKategorija_id,0)),1))</f>
        <v>M</v>
      </c>
      <c r="DJ116" t="s">
        <v>0</v>
      </c>
      <c r="DK116" s="52" t="str">
        <f>IF(BD116="","",IF(M116&lt;&gt;"CRO","","INSERT INTO osoba (id,reg_broj,oib,spol_id,dat_rodjenja) VALUES ("&amp;BD116&amp;",(SELECT max(os.reg_broj)+1 FROM osoba AS os),Null,'"&amp;DI116&amp;"',Null); INSERT INTO osoba_log (id,reg_broj,oib,spol_id,dat_rodjenja,dnevnik_id) SELECT id,reg_broj,oib,spol_id,dat_rodjenja,"&amp;data_dnevnik_id&amp;" FROM osoba WHERE id = "&amp;BD116&amp;";"))</f>
        <v/>
      </c>
      <c r="DL116" s="66" t="str">
        <f>IF(BD116="","","INSERT INTO imeprezime (id,osoba_id,rbr,ime,prezime,klub_id,identitet_id,sintaksa_id,info,aktivno,dnevnik_id) VALUES ("&amp;BD116&amp;","&amp;IF(DK116="","Null",BD116)&amp;",1,'"&amp;IF(AV116&lt;&gt;"",AV116,AK116)&amp;"','"&amp;IF(AW116&lt;&gt;"",AW116,AL116)&amp;"',(SELECT id FROM klub WHERE naziv = '"&amp;CR116&amp;"'),Null,1,'',1,"&amp;data_dnevnik_id&amp;");")</f>
        <v/>
      </c>
      <c r="DM116" t="s">
        <v>0</v>
      </c>
      <c r="DN116" s="19" t="str">
        <f t="shared" si="126"/>
        <v/>
      </c>
      <c r="DO116" s="47" t="s">
        <v>0</v>
      </c>
      <c r="DP116" s="19" t="str">
        <f>IF(BA116="","","INSERT INTO imeprezime_alias(id,alias,imeprezime_id) VALUES ("&amp;BB116&amp;",'"&amp;BA116&amp;"',"&amp;IF(BC116="NEMA",BD116,BC116)&amp;");")</f>
        <v/>
      </c>
      <c r="DQ116" s="47" t="s">
        <v>0</v>
      </c>
      <c r="DR116" s="52" t="str">
        <f>IF(AL116="","",DU116 &amp; IF(Q116="",""," – " &amp; Q116))</f>
        <v>Ivan – Gverić – OK Kapela – M35</v>
      </c>
      <c r="DS116" s="53">
        <f t="shared" si="88"/>
        <v>249</v>
      </c>
      <c r="DT116" s="47" t="s">
        <v>0</v>
      </c>
      <c r="DU116" s="52" t="str">
        <f>IF(AL116="","",DX116 &amp; IF(CR116="",""," – " &amp; CR116))</f>
        <v>Ivan – Gverić – OK Kapela</v>
      </c>
      <c r="DV116" s="53">
        <f t="shared" si="89"/>
        <v>249</v>
      </c>
      <c r="DW116" s="47" t="s">
        <v>0</v>
      </c>
      <c r="DX116" s="52" t="str">
        <f>IF(BG116="","",BF116&amp;" – "&amp;BG116)</f>
        <v>Ivan – Gverić</v>
      </c>
      <c r="DY116" s="53">
        <f t="shared" si="90"/>
        <v>249</v>
      </c>
      <c r="DZ116" s="47" t="s">
        <v>0</v>
      </c>
      <c r="EA116" s="58">
        <f t="shared" si="119"/>
        <v>249</v>
      </c>
      <c r="EB116" s="53" cm="1">
        <f t="array" ref="EB116">IF(EA116&lt;&gt;"",INDEX(regNatjecatelj_id,EA116,0),IF(BD116&lt;&gt;"",BD116,""))</f>
        <v>1205</v>
      </c>
      <c r="EC116" s="47" t="s">
        <v>0</v>
      </c>
      <c r="ED116" s="58" t="str">
        <f>IF(AL116="","",IF(BD116&lt;&gt;"","novo",IF(AN116="","imepre","imepre(ali)")))</f>
        <v>imepre</v>
      </c>
      <c r="EE116" s="73" t="str">
        <f>IF(AL116="","",IF(BL116="",IF(IFERROR(INDEX(regNatjecatelj_klub,MATCH(EB116,regNatjecatelj_id,0)),"NEMA")="","klu",""),IF(OR(AND(BN116&lt;&gt;"",BN116&lt;&gt;"NEMA"),CD116&lt;&gt;""),"klu(ali)",IF(AND(BP116&lt;&gt;"",BP116&lt;&gt;BO116),"(raz-klu)","klu"))))</f>
        <v>klu</v>
      </c>
      <c r="EF116" s="73" t="str">
        <f>IF(AL116="","","kat"&amp;IF(AND(W116&lt;&gt;Q116,Q116&lt;&gt;"Open"),"(ali)",""))</f>
        <v>kat</v>
      </c>
      <c r="EG116" s="73" t="str">
        <f t="shared" si="91"/>
        <v/>
      </c>
      <c r="EH116" s="66" t="str">
        <f>IF(AL116="","",ED116&amp;IF(ED116="novo","","-"&amp;EE116&amp;"-"&amp;EF116)&amp;IF(EG116="","","-"&amp;EG116))</f>
        <v>imepre-klu-kat</v>
      </c>
      <c r="EI116" s="47" t="s">
        <v>0</v>
      </c>
      <c r="EJ116" s="58">
        <f>IF(AL116="","",MAX(EJ$12:EJ115)+1)</f>
        <v>284</v>
      </c>
      <c r="EK116" s="73">
        <f>IF(AO116="","",X116)</f>
        <v>29</v>
      </c>
      <c r="EL116" s="73">
        <f t="shared" si="120"/>
        <v>1205</v>
      </c>
      <c r="EM116" s="73">
        <f t="shared" si="92"/>
        <v>4162</v>
      </c>
      <c r="EN116" s="73">
        <f t="shared" si="93"/>
        <v>1</v>
      </c>
      <c r="EO116" s="73">
        <f t="shared" si="121"/>
        <v>1</v>
      </c>
      <c r="EP116" s="73">
        <f t="shared" si="122"/>
        <v>1</v>
      </c>
      <c r="EQ116" s="73" t="str">
        <f t="shared" si="94"/>
        <v>0</v>
      </c>
      <c r="ER116" s="73" t="str">
        <f>IF(OR(AN116="",AN116="NEMA"),BB116,AN116)</f>
        <v/>
      </c>
      <c r="ES116" s="73" t="str">
        <f>IF(AND(BN116&lt;&gt;"",BN116&lt;&gt;"NEMA"),BN116,IF(CG116&lt;&gt;"",CG116,IF(AND(CL116&lt;&gt;"",CL116&lt;&gt;"NEMA"),CL116,IF(CM116&lt;&gt;"",CM116,""))))</f>
        <v/>
      </c>
      <c r="ET116" s="53" t="str">
        <f>IF(INDEX(natKategorija_alias_Id,MATCH(S116,natKategorija_katRegId,0))="","",INDEX(natKategorija_alias_Id,MATCH(S116,natKategorija_katRegId,0)))</f>
        <v/>
      </c>
      <c r="EU116" s="47" t="s">
        <v>0</v>
      </c>
      <c r="EV116" s="19" t="str">
        <f t="shared" si="123"/>
        <v>INSERT INTO rezultat(id,stazakategorija_id,imeprezime_id,vrijeme_sec,status_id,registracija,uparivanje_id,originalstatus_id,imeprezimealias_id,klubalias_id,kategorijaalias_id) VALUES (284,29,1205,4162,1,1,1,0,Null,Null,Null);</v>
      </c>
      <c r="EW116" s="47" t="s">
        <v>0</v>
      </c>
      <c r="EX116" s="19" t="str">
        <f t="shared" si="124"/>
        <v>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6" s="47" t="s">
        <v>0</v>
      </c>
      <c r="EZ116" s="180" t="str">
        <f>AG116&amp;IF(CP116="","","
")&amp;CP116&amp;IF(CI116="","","
")&amp;CI116&amp;IF(DN116="","","
")&amp;DN116&amp;IF(DP116="","","
")&amp;DP116&amp;IF(EV116="","","
")&amp;EV116&amp;IF(EX116="","","
")&amp;EX116</f>
        <v xml:space="preserve">
INSERT INTO rezultat(id,stazakategorija_id,imeprezime_id,vrijeme_sec,status_id,registracija,uparivanje_id,originalstatus_id,imeprezimealias_id,klubalias_id,kategorijaalias_id) VALUES (284,29,1205,4162,1,1,1,0,Null,Null,Null);
UPDATE
	registar
SET
	potvrda = 1
WHERE
	imeprezime_id=1205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6" s="47" t="s">
        <v>0</v>
      </c>
    </row>
    <row r="117" spans="1:157" x14ac:dyDescent="0.25">
      <c r="A117" t="s">
        <v>0</v>
      </c>
      <c r="B117" s="52" t="str">
        <f>IF(csv!F107="","",csv!T107)</f>
        <v>M35</v>
      </c>
      <c r="C117" s="31" t="s">
        <v>0</v>
      </c>
      <c r="D117" s="31" t="str">
        <f>IF(csv!F107="","",csv!F107)</f>
        <v>Vanja</v>
      </c>
      <c r="E117" s="31" t="str">
        <f>IF(csv!E107="","",csv!E107)</f>
        <v>Suhina</v>
      </c>
      <c r="F117" s="31" t="s">
        <v>0</v>
      </c>
      <c r="G117" s="73" t="str">
        <f>IF(csv!M107="","",csv!M107)</f>
        <v>69:24</v>
      </c>
      <c r="H117" s="73" t="str">
        <f>IF(csv!N107="","",csv!N107)</f>
        <v>0</v>
      </c>
      <c r="I117" s="31" t="s">
        <v>0</v>
      </c>
      <c r="J117" s="31" t="str">
        <f>IF(csv!P107="","",csv!P107)</f>
        <v>KAP</v>
      </c>
      <c r="K117" s="31" t="str">
        <f>IF(csv!Q107="","",csv!Q107)</f>
        <v>OK Kapela</v>
      </c>
      <c r="L117" s="31" t="s">
        <v>0</v>
      </c>
      <c r="M117" s="66" t="str">
        <f>IF(csv!R107="","",csv!R107)</f>
        <v>CRO</v>
      </c>
      <c r="N117" s="47" t="s">
        <v>0</v>
      </c>
      <c r="O117" s="243" t="str">
        <f t="shared" si="95"/>
        <v>ok</v>
      </c>
      <c r="P117" s="47"/>
      <c r="Q117" s="52" t="str">
        <f t="shared" si="96"/>
        <v>M35</v>
      </c>
      <c r="R117" s="73">
        <f>IF(Q117="","",IF(COUNTIF(Q$12:Q116,Q117)=0,R116+1,R116))</f>
        <v>7</v>
      </c>
      <c r="S117" s="73">
        <f t="shared" si="97"/>
        <v>107</v>
      </c>
      <c r="T117" s="73">
        <f t="shared" si="72"/>
        <v>18</v>
      </c>
      <c r="U117" s="66" t="str">
        <f t="shared" si="73"/>
        <v>M35</v>
      </c>
      <c r="V117" s="47" t="s">
        <v>0</v>
      </c>
      <c r="W117" s="222" t="str">
        <f t="shared" si="74"/>
        <v>M35</v>
      </c>
      <c r="X117" s="223">
        <f t="shared" si="75"/>
        <v>29</v>
      </c>
      <c r="Y117" s="47" t="s">
        <v>0</v>
      </c>
      <c r="Z117" s="52" t="str">
        <f t="shared" si="98"/>
        <v>CRO</v>
      </c>
      <c r="AA117" s="73">
        <f t="shared" si="76"/>
        <v>1</v>
      </c>
      <c r="AB117" s="31" t="str">
        <f t="shared" si="99"/>
        <v/>
      </c>
      <c r="AC117" s="66" t="str">
        <f>IF(AB117="","",MAX(AC$12:AC116)+1)</f>
        <v/>
      </c>
      <c r="AD117" s="47" t="s">
        <v>0</v>
      </c>
      <c r="AE117" s="125"/>
      <c r="AF117" s="47" t="s">
        <v>0</v>
      </c>
      <c r="AG117" s="19" t="str">
        <f t="shared" si="100"/>
        <v/>
      </c>
      <c r="AH117" s="47" t="s">
        <v>0</v>
      </c>
      <c r="AI117" s="143" t="str">
        <f t="shared" si="101"/>
        <v>CRO</v>
      </c>
      <c r="AJ117" s="47"/>
      <c r="AK117" s="52" t="str">
        <f t="shared" si="102"/>
        <v>Vanja</v>
      </c>
      <c r="AL117" s="31" t="str">
        <f t="shared" si="103"/>
        <v>Suhina</v>
      </c>
      <c r="AM117" s="73">
        <f t="shared" si="104"/>
        <v>1499</v>
      </c>
      <c r="AN117" s="73" t="str">
        <f t="shared" si="105"/>
        <v/>
      </c>
      <c r="AO117" s="31" t="str">
        <f t="shared" si="77"/>
        <v>Vanja</v>
      </c>
      <c r="AP117" s="66" t="str">
        <f t="shared" si="78"/>
        <v>Suhina</v>
      </c>
      <c r="AQ117" s="47" t="s">
        <v>0</v>
      </c>
      <c r="AR117" s="82" t="str">
        <f t="shared" si="106"/>
        <v/>
      </c>
      <c r="AS117" s="47" t="s">
        <v>0</v>
      </c>
      <c r="AT117" s="19" t="str">
        <f t="shared" si="107"/>
        <v/>
      </c>
      <c r="AU117" s="47" t="s">
        <v>0</v>
      </c>
      <c r="AV117" s="103"/>
      <c r="AW117" s="105"/>
      <c r="AX117" s="47" t="s">
        <v>0</v>
      </c>
      <c r="AY117" s="256" t="str">
        <f t="shared" si="125"/>
        <v/>
      </c>
      <c r="AZ117" s="47" t="s">
        <v>0</v>
      </c>
      <c r="BA117" s="52" t="str">
        <f t="shared" si="79"/>
        <v/>
      </c>
      <c r="BB117" s="73" t="str">
        <f>IF(AV117&amp;AW117="","",MAX(BB$12:BB116)+1)</f>
        <v/>
      </c>
      <c r="BC117" s="268" t="str">
        <f t="shared" si="80"/>
        <v/>
      </c>
      <c r="BD117" s="53" t="str">
        <f>IF(AND(AM117="NEMA",AN117="NEMA",OR(AV117&amp;AW117="",BC117="NEMA")),MAX(BD$12:BD116)+1,"")</f>
        <v/>
      </c>
      <c r="BE117" s="47" t="s">
        <v>0</v>
      </c>
      <c r="BF117" s="52" t="str">
        <f t="shared" si="81"/>
        <v>Vanja</v>
      </c>
      <c r="BG117" s="31" t="str">
        <f t="shared" si="82"/>
        <v>Suhina</v>
      </c>
      <c r="BH117" s="73" t="str">
        <f t="shared" si="108"/>
        <v/>
      </c>
      <c r="BI117" s="53">
        <f t="shared" si="109"/>
        <v>1499</v>
      </c>
      <c r="BJ117" s="47" t="s">
        <v>0</v>
      </c>
      <c r="BK117" s="52" t="str">
        <f t="shared" si="83"/>
        <v>KAP</v>
      </c>
      <c r="BL117" s="31" t="str">
        <f t="shared" si="84"/>
        <v>OK Kapela</v>
      </c>
      <c r="BM117" s="73">
        <f t="shared" si="85"/>
        <v>5</v>
      </c>
      <c r="BN117" s="73" t="str">
        <f t="shared" si="86"/>
        <v/>
      </c>
      <c r="BO117" s="31" t="str" cm="1">
        <f t="array" ref="BO117">IF(BN117="",""&amp;BL117,IF(BN117="NEMA",BL117,INDEX(regKlub_naziv,MATCH(INDEX(regKlub_alias_klubId,BN117),regKlub_id,0))))</f>
        <v>OK Kapela</v>
      </c>
      <c r="BP117" s="31" t="str" cm="1">
        <f t="array" ref="BP117">IFERROR(""&amp;INDEX(regNatjecatelj_klub,DY117),"")</f>
        <v>OK Kapela</v>
      </c>
      <c r="BQ117" s="88" t="str">
        <f t="shared" si="110"/>
        <v/>
      </c>
      <c r="BR117" s="66" t="str">
        <f t="shared" si="111"/>
        <v>OK Kapela</v>
      </c>
      <c r="BS117" s="47" t="s">
        <v>0</v>
      </c>
      <c r="BT117" s="82" t="str">
        <f>IF(BN117&lt;&gt;"NEMA","",IF(IFERROR(MATCH(BL117,BL$12:BL116,0),0)&lt;&gt;0,"",BL117))</f>
        <v/>
      </c>
      <c r="BU117" s="47" t="s">
        <v>0</v>
      </c>
      <c r="BV117" s="125"/>
      <c r="BW117" s="47" t="s">
        <v>0</v>
      </c>
      <c r="BX117" s="58" t="str">
        <f t="shared" si="112"/>
        <v/>
      </c>
      <c r="BY117" s="31" t="str">
        <f t="shared" si="113"/>
        <v/>
      </c>
      <c r="BZ117" s="31" t="str">
        <f>IF(BY117="","",MAX(BZ$12:BZ116)+1)</f>
        <v/>
      </c>
      <c r="CA117" s="31" t="str">
        <f>IF(BY117="","",IF(AA117="","",IF(AA117="NEMA",AC117,AA117)))</f>
        <v/>
      </c>
      <c r="CB117" s="31" t="str">
        <f t="shared" si="114"/>
        <v/>
      </c>
      <c r="CC117" s="31" t="str">
        <f>IF(BV117="","",MAX(CC$12:CC116)+1)</f>
        <v/>
      </c>
      <c r="CD117" s="31" t="str">
        <f t="shared" si="115"/>
        <v/>
      </c>
      <c r="CE117" s="66" t="str">
        <f t="shared" si="116"/>
        <v/>
      </c>
      <c r="CF117" s="47" t="s">
        <v>0</v>
      </c>
      <c r="CG117" s="73" t="str">
        <f>IF(BN117="","",IF(BN117&lt;&gt;"NEMA","",IFERROR(INDEX(nat_klubAliasId,MATCH(BL117,nat_noviKluboviAliasi,0)),"")))</f>
        <v/>
      </c>
      <c r="CH117" s="47"/>
      <c r="CI117" s="19" t="str">
        <f t="shared" si="117"/>
        <v/>
      </c>
      <c r="CJ117" s="47" t="s">
        <v>0</v>
      </c>
      <c r="CK117" s="52" t="str">
        <f>IF(X117&lt;&gt;"NEMA","",IF(IFERROR(MATCH(W117,W$12:W116,0),0)&lt;&gt;0,"",W117))</f>
        <v/>
      </c>
      <c r="CL117" s="73" t="str">
        <f>IF(CK117="","",IFERROR(INDEX(regKlub_alias_id,MATCH(CK117,regKlub_alias_alias,0)),"NEMA"))</f>
        <v/>
      </c>
      <c r="CM117" s="31" t="str">
        <f>IF(OR(CL117="",CL117&lt;&gt;"NEMA"),"",MAX(CM$12:CM116)+1)</f>
        <v/>
      </c>
      <c r="CN117" s="66" t="str">
        <f>IF(OR(CL117="",CL117&lt;&gt;"NEMA"),"",INDEX(regKlub_id,MATCH(CK117,regKlub_naziv,0)))</f>
        <v/>
      </c>
      <c r="CO117" s="47" t="s">
        <v>0</v>
      </c>
      <c r="CP117" s="19" t="str">
        <f>IF(OR(CL117="",CL117&lt;&gt;"NEMA"),"","INSERT INTO klub_alias(id,alias,klub_id) VALUES ("&amp;CM117&amp;",'"&amp;CK117&amp;"',"&amp;CN117&amp;");")</f>
        <v/>
      </c>
      <c r="CQ117" s="47" t="s">
        <v>0</v>
      </c>
      <c r="CR117" s="143" t="str">
        <f>IF(BR117="","",IF(BV117="",IF(IFERROR(MATCH(BR117,nat_noviKluboviAliasi,0),0)&gt;0,INDEX(nat_kluboviAliasi,MATCH(BR117,nat_noviKluboviAliasi,0)),BR117),BV117))</f>
        <v>OK Kapela</v>
      </c>
      <c r="CS117" s="47" t="s">
        <v>0</v>
      </c>
      <c r="CT117" s="58" t="str">
        <f>IF(G117="","",G117)</f>
        <v>69:24</v>
      </c>
      <c r="CU117" s="73" t="str">
        <f>IF(H117="","",H117)</f>
        <v>0</v>
      </c>
      <c r="CV117" s="229" t="str">
        <f>IF(CT117="",IF(OR(AL117="",CU117&lt;&gt;"0"),"","GREŠKA"),IF(AND(65535&gt;=VALUE(LEFT(CT117,SEARCH(":",CT117)-1))*60+VALUE(RIGHT(CT117,2)),OR(CU117="0",CU117="1",CU117="2",CU117="3",CU117="4")),"","GREŠKA"))</f>
        <v/>
      </c>
      <c r="CW117" s="230">
        <f t="shared" si="71"/>
        <v>4164</v>
      </c>
      <c r="CX117" s="163">
        <f t="shared" si="87"/>
        <v>1</v>
      </c>
      <c r="CY117" s="47" t="s">
        <v>0</v>
      </c>
      <c r="CZ117" s="222" t="str">
        <f>IF(CV117&lt;&gt;"GREŠKA","",AK117&amp;" "&amp;AL117&amp;" – Molim u OEventu provjeriti i ispraviti rezultat – vrijeme ("&amp;IF(CT117="","nije upisano",CT117)&amp;") i classifier ("&amp;CU117&amp;").")&amp;IF(OR(CV117&lt;&gt;"GREŠKA",CX117&lt;&gt;5),"
","")&amp;IF(CX117&lt;&gt;5,"",AK117&amp;" "&amp;AL117&amp;" – Molim u provjeriti je li natjecatelj zaista diskvalificiran. Ako je koje je obrazloženje, ako nije molim u OEventu ispraviti rezultat")</f>
        <v xml:space="preserve">
</v>
      </c>
      <c r="DA117" s="223">
        <f t="shared" si="118"/>
        <v>6</v>
      </c>
      <c r="DB117" s="47" t="s">
        <v>0</v>
      </c>
      <c r="DC117" s="47"/>
      <c r="DD117" s="47"/>
      <c r="DE117" s="47"/>
      <c r="DF117" s="47" t="s">
        <v>0</v>
      </c>
      <c r="DG117" s="53" t="str">
        <f>IF(BD117="","",IF(DI117="O",1,""))</f>
        <v/>
      </c>
      <c r="DH117" t="s">
        <v>0</v>
      </c>
      <c r="DI117" s="128" t="str">
        <f>IF(Q117="","",LEFT(INDEX(regKategorija_oznaka,MATCH(S117,regKategorija_id,0)),1))</f>
        <v>M</v>
      </c>
      <c r="DJ117" t="s">
        <v>0</v>
      </c>
      <c r="DK117" s="52" t="str">
        <f>IF(BD117="","",IF(M117&lt;&gt;"CRO","","INSERT INTO osoba (id,reg_broj,oib,spol_id,dat_rodjenja) VALUES ("&amp;BD117&amp;",(SELECT max(os.reg_broj)+1 FROM osoba AS os),Null,'"&amp;DI117&amp;"',Null); INSERT INTO osoba_log (id,reg_broj,oib,spol_id,dat_rodjenja,dnevnik_id) SELECT id,reg_broj,oib,spol_id,dat_rodjenja,"&amp;data_dnevnik_id&amp;" FROM osoba WHERE id = "&amp;BD117&amp;";"))</f>
        <v/>
      </c>
      <c r="DL117" s="66" t="str">
        <f>IF(BD117="","","INSERT INTO imeprezime (id,osoba_id,rbr,ime,prezime,klub_id,identitet_id,sintaksa_id,info,aktivno,dnevnik_id) VALUES ("&amp;BD117&amp;","&amp;IF(DK117="","Null",BD117)&amp;",1,'"&amp;IF(AV117&lt;&gt;"",AV117,AK117)&amp;"','"&amp;IF(AW117&lt;&gt;"",AW117,AL117)&amp;"',(SELECT id FROM klub WHERE naziv = '"&amp;CR117&amp;"'),Null,1,'',1,"&amp;data_dnevnik_id&amp;");")</f>
        <v/>
      </c>
      <c r="DM117" t="s">
        <v>0</v>
      </c>
      <c r="DN117" s="19" t="str">
        <f t="shared" si="126"/>
        <v/>
      </c>
      <c r="DO117" s="47" t="s">
        <v>0</v>
      </c>
      <c r="DP117" s="19" t="str">
        <f>IF(BA117="","","INSERT INTO imeprezime_alias(id,alias,imeprezime_id) VALUES ("&amp;BB117&amp;",'"&amp;BA117&amp;"',"&amp;IF(BC117="NEMA",BD117,BC117)&amp;");")</f>
        <v/>
      </c>
      <c r="DQ117" s="47" t="s">
        <v>0</v>
      </c>
      <c r="DR117" s="52" t="str">
        <f>IF(AL117="","",DU117 &amp; IF(Q117="",""," – " &amp; Q117))</f>
        <v>Vanja – Suhina – OK Kapela – M35</v>
      </c>
      <c r="DS117" s="53">
        <f t="shared" si="88"/>
        <v>317</v>
      </c>
      <c r="DT117" s="47" t="s">
        <v>0</v>
      </c>
      <c r="DU117" s="52" t="str">
        <f>IF(AL117="","",DX117 &amp; IF(CR117="",""," – " &amp; CR117))</f>
        <v>Vanja – Suhina – OK Kapela</v>
      </c>
      <c r="DV117" s="53">
        <f t="shared" si="89"/>
        <v>317</v>
      </c>
      <c r="DW117" s="47" t="s">
        <v>0</v>
      </c>
      <c r="DX117" s="52" t="str">
        <f>IF(BG117="","",BF117&amp;" – "&amp;BG117)</f>
        <v>Vanja – Suhina</v>
      </c>
      <c r="DY117" s="53">
        <f t="shared" si="90"/>
        <v>317</v>
      </c>
      <c r="DZ117" s="47" t="s">
        <v>0</v>
      </c>
      <c r="EA117" s="58">
        <f t="shared" si="119"/>
        <v>317</v>
      </c>
      <c r="EB117" s="53" cm="1">
        <f t="array" ref="EB117">IF(EA117&lt;&gt;"",INDEX(regNatjecatelj_id,EA117,0),IF(BD117&lt;&gt;"",BD117,""))</f>
        <v>1499</v>
      </c>
      <c r="EC117" s="47" t="s">
        <v>0</v>
      </c>
      <c r="ED117" s="58" t="str">
        <f>IF(AL117="","",IF(BD117&lt;&gt;"","novo",IF(AN117="","imepre","imepre(ali)")))</f>
        <v>imepre</v>
      </c>
      <c r="EE117" s="73" t="str">
        <f>IF(AL117="","",IF(BL117="",IF(IFERROR(INDEX(regNatjecatelj_klub,MATCH(EB117,regNatjecatelj_id,0)),"NEMA")="","klu",""),IF(OR(AND(BN117&lt;&gt;"",BN117&lt;&gt;"NEMA"),CD117&lt;&gt;""),"klu(ali)",IF(AND(BP117&lt;&gt;"",BP117&lt;&gt;BO117),"(raz-klu)","klu"))))</f>
        <v>klu</v>
      </c>
      <c r="EF117" s="73" t="str">
        <f>IF(AL117="","","kat"&amp;IF(AND(W117&lt;&gt;Q117,Q117&lt;&gt;"Open"),"(ali)",""))</f>
        <v>kat</v>
      </c>
      <c r="EG117" s="73" t="str">
        <f t="shared" si="91"/>
        <v/>
      </c>
      <c r="EH117" s="66" t="str">
        <f>IF(AL117="","",ED117&amp;IF(ED117="novo","","-"&amp;EE117&amp;"-"&amp;EF117)&amp;IF(EG117="","","-"&amp;EG117))</f>
        <v>imepre-klu-kat</v>
      </c>
      <c r="EI117" s="47" t="s">
        <v>0</v>
      </c>
      <c r="EJ117" s="58">
        <f>IF(AL117="","",MAX(EJ$12:EJ116)+1)</f>
        <v>285</v>
      </c>
      <c r="EK117" s="73">
        <f>IF(AO117="","",X117)</f>
        <v>29</v>
      </c>
      <c r="EL117" s="73">
        <f t="shared" si="120"/>
        <v>1499</v>
      </c>
      <c r="EM117" s="73">
        <f t="shared" si="92"/>
        <v>4164</v>
      </c>
      <c r="EN117" s="73">
        <f t="shared" si="93"/>
        <v>1</v>
      </c>
      <c r="EO117" s="73">
        <f t="shared" si="121"/>
        <v>1</v>
      </c>
      <c r="EP117" s="73">
        <f t="shared" si="122"/>
        <v>1</v>
      </c>
      <c r="EQ117" s="73" t="str">
        <f t="shared" si="94"/>
        <v>0</v>
      </c>
      <c r="ER117" s="73" t="str">
        <f>IF(OR(AN117="",AN117="NEMA"),BB117,AN117)</f>
        <v/>
      </c>
      <c r="ES117" s="73" t="str">
        <f>IF(AND(BN117&lt;&gt;"",BN117&lt;&gt;"NEMA"),BN117,IF(CG117&lt;&gt;"",CG117,IF(AND(CL117&lt;&gt;"",CL117&lt;&gt;"NEMA"),CL117,IF(CM117&lt;&gt;"",CM117,""))))</f>
        <v/>
      </c>
      <c r="ET117" s="53" t="str">
        <f>IF(INDEX(natKategorija_alias_Id,MATCH(S117,natKategorija_katRegId,0))="","",INDEX(natKategorija_alias_Id,MATCH(S117,natKategorija_katRegId,0)))</f>
        <v/>
      </c>
      <c r="EU117" s="47" t="s">
        <v>0</v>
      </c>
      <c r="EV117" s="19" t="str">
        <f t="shared" si="123"/>
        <v>INSERT INTO rezultat(id,stazakategorija_id,imeprezime_id,vrijeme_sec,status_id,registracija,uparivanje_id,originalstatus_id,imeprezimealias_id,klubalias_id,kategorijaalias_id) VALUES (285,29,1499,4164,1,1,1,0,Null,Null,Null);</v>
      </c>
      <c r="EW117" s="47" t="s">
        <v>0</v>
      </c>
      <c r="EX117" s="19" t="str">
        <f t="shared" si="124"/>
        <v>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7" s="47" t="s">
        <v>0</v>
      </c>
      <c r="EZ117" s="180" t="str">
        <f>AG117&amp;IF(CP117="","","
")&amp;CP117&amp;IF(CI117="","","
")&amp;CI117&amp;IF(DN117="","","
")&amp;DN117&amp;IF(DP117="","","
")&amp;DP117&amp;IF(EV117="","","
")&amp;EV117&amp;IF(EX117="","","
")&amp;EX117</f>
        <v xml:space="preserve">
INSERT INTO rezultat(id,stazakategorija_id,imeprezime_id,vrijeme_sec,status_id,registracija,uparivanje_id,originalstatus_id,imeprezimealias_id,klubalias_id,kategorijaalias_id) VALUES (285,29,1499,4164,1,1,1,0,Null,Null,Null);
UPDATE
	registar
SET
	potvrda = 1
WHERE
	imeprezime_id=1499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7" s="47" t="s">
        <v>0</v>
      </c>
    </row>
    <row r="118" spans="1:157" x14ac:dyDescent="0.25">
      <c r="A118" t="s">
        <v>0</v>
      </c>
      <c r="B118" s="52" t="str">
        <f>IF(csv!F108="","",csv!T108)</f>
        <v>M35</v>
      </c>
      <c r="C118" s="31" t="s">
        <v>0</v>
      </c>
      <c r="D118" s="31" t="str">
        <f>IF(csv!F108="","",csv!F108)</f>
        <v>Duje</v>
      </c>
      <c r="E118" s="31" t="str">
        <f>IF(csv!E108="","",csv!E108)</f>
        <v>Rako</v>
      </c>
      <c r="F118" s="31" t="s">
        <v>0</v>
      </c>
      <c r="G118" s="73" t="str">
        <f>IF(csv!M108="","",csv!M108)</f>
        <v>69:30</v>
      </c>
      <c r="H118" s="73" t="str">
        <f>IF(csv!N108="","",csv!N108)</f>
        <v>0</v>
      </c>
      <c r="I118" s="31" t="s">
        <v>0</v>
      </c>
      <c r="J118" s="31" t="str">
        <f>IF(csv!P108="","",csv!P108)</f>
        <v>Vihor</v>
      </c>
      <c r="K118" s="31" t="str">
        <f>IF(csv!Q108="","",csv!Q108)</f>
        <v>OK Vihor</v>
      </c>
      <c r="L118" s="31" t="s">
        <v>0</v>
      </c>
      <c r="M118" s="66" t="str">
        <f>IF(csv!R108="","",csv!R108)</f>
        <v>CRO</v>
      </c>
      <c r="N118" s="47" t="s">
        <v>0</v>
      </c>
      <c r="O118" s="243" t="str">
        <f t="shared" si="95"/>
        <v>ok</v>
      </c>
      <c r="P118" s="47"/>
      <c r="Q118" s="52" t="str">
        <f t="shared" si="96"/>
        <v>M35</v>
      </c>
      <c r="R118" s="73">
        <f>IF(Q118="","",IF(COUNTIF(Q$12:Q117,Q118)=0,R117+1,R117))</f>
        <v>7</v>
      </c>
      <c r="S118" s="73">
        <f t="shared" si="97"/>
        <v>107</v>
      </c>
      <c r="T118" s="73">
        <f t="shared" si="72"/>
        <v>18</v>
      </c>
      <c r="U118" s="66" t="str">
        <f t="shared" si="73"/>
        <v>M35</v>
      </c>
      <c r="V118" s="47" t="s">
        <v>0</v>
      </c>
      <c r="W118" s="222" t="str">
        <f t="shared" si="74"/>
        <v>M35</v>
      </c>
      <c r="X118" s="223">
        <f t="shared" si="75"/>
        <v>29</v>
      </c>
      <c r="Y118" s="47" t="s">
        <v>0</v>
      </c>
      <c r="Z118" s="52" t="str">
        <f t="shared" si="98"/>
        <v>CRO</v>
      </c>
      <c r="AA118" s="73">
        <f t="shared" si="76"/>
        <v>1</v>
      </c>
      <c r="AB118" s="31" t="str">
        <f t="shared" si="99"/>
        <v/>
      </c>
      <c r="AC118" s="66" t="str">
        <f>IF(AB118="","",MAX(AC$12:AC117)+1)</f>
        <v/>
      </c>
      <c r="AD118" s="47" t="s">
        <v>0</v>
      </c>
      <c r="AE118" s="125"/>
      <c r="AF118" s="47" t="s">
        <v>0</v>
      </c>
      <c r="AG118" s="19" t="str">
        <f t="shared" si="100"/>
        <v/>
      </c>
      <c r="AH118" s="47" t="s">
        <v>0</v>
      </c>
      <c r="AI118" s="143" t="str">
        <f t="shared" si="101"/>
        <v>CRO</v>
      </c>
      <c r="AJ118" s="47"/>
      <c r="AK118" s="52" t="str">
        <f t="shared" si="102"/>
        <v>Duje</v>
      </c>
      <c r="AL118" s="31" t="str">
        <f t="shared" si="103"/>
        <v>Rako</v>
      </c>
      <c r="AM118" s="73">
        <f t="shared" si="104"/>
        <v>1374</v>
      </c>
      <c r="AN118" s="73" t="str">
        <f t="shared" si="105"/>
        <v/>
      </c>
      <c r="AO118" s="31" t="str">
        <f t="shared" si="77"/>
        <v>Duje</v>
      </c>
      <c r="AP118" s="66" t="str">
        <f t="shared" si="78"/>
        <v>Rako</v>
      </c>
      <c r="AQ118" s="47" t="s">
        <v>0</v>
      </c>
      <c r="AR118" s="82" t="str">
        <f t="shared" si="106"/>
        <v/>
      </c>
      <c r="AS118" s="47" t="s">
        <v>0</v>
      </c>
      <c r="AT118" s="19" t="str">
        <f t="shared" si="107"/>
        <v/>
      </c>
      <c r="AU118" s="47" t="s">
        <v>0</v>
      </c>
      <c r="AV118" s="103"/>
      <c r="AW118" s="105"/>
      <c r="AX118" s="47" t="s">
        <v>0</v>
      </c>
      <c r="AY118" s="256" t="str">
        <f t="shared" si="125"/>
        <v/>
      </c>
      <c r="AZ118" s="47" t="s">
        <v>0</v>
      </c>
      <c r="BA118" s="52" t="str">
        <f t="shared" si="79"/>
        <v/>
      </c>
      <c r="BB118" s="73" t="str">
        <f>IF(AV118&amp;AW118="","",MAX(BB$12:BB117)+1)</f>
        <v/>
      </c>
      <c r="BC118" s="268" t="str">
        <f t="shared" si="80"/>
        <v/>
      </c>
      <c r="BD118" s="53" t="str">
        <f>IF(AND(AM118="NEMA",AN118="NEMA",OR(AV118&amp;AW118="",BC118="NEMA")),MAX(BD$12:BD117)+1,"")</f>
        <v/>
      </c>
      <c r="BE118" s="47" t="s">
        <v>0</v>
      </c>
      <c r="BF118" s="52" t="str">
        <f t="shared" si="81"/>
        <v>Duje</v>
      </c>
      <c r="BG118" s="31" t="str">
        <f t="shared" si="82"/>
        <v>Rako</v>
      </c>
      <c r="BH118" s="73" t="str">
        <f t="shared" si="108"/>
        <v/>
      </c>
      <c r="BI118" s="53">
        <f t="shared" si="109"/>
        <v>1374</v>
      </c>
      <c r="BJ118" s="47" t="s">
        <v>0</v>
      </c>
      <c r="BK118" s="52" t="str">
        <f t="shared" si="83"/>
        <v>Vihor</v>
      </c>
      <c r="BL118" s="31" t="str">
        <f t="shared" si="84"/>
        <v>OK Vihor</v>
      </c>
      <c r="BM118" s="73">
        <f t="shared" si="85"/>
        <v>12</v>
      </c>
      <c r="BN118" s="73" t="str">
        <f t="shared" si="86"/>
        <v/>
      </c>
      <c r="BO118" s="31" t="str" cm="1">
        <f t="array" ref="BO118">IF(BN118="",""&amp;BL118,IF(BN118="NEMA",BL118,INDEX(regKlub_naziv,MATCH(INDEX(regKlub_alias_klubId,BN118),regKlub_id,0))))</f>
        <v>OK Vihor</v>
      </c>
      <c r="BP118" s="31" t="str" cm="1">
        <f t="array" ref="BP118">IFERROR(""&amp;INDEX(regNatjecatelj_klub,DY118),"")</f>
        <v>OK Vihor</v>
      </c>
      <c r="BQ118" s="88" t="str">
        <f t="shared" si="110"/>
        <v/>
      </c>
      <c r="BR118" s="66" t="str">
        <f t="shared" si="111"/>
        <v>OK Vihor</v>
      </c>
      <c r="BS118" s="47" t="s">
        <v>0</v>
      </c>
      <c r="BT118" s="82" t="str">
        <f>IF(BN118&lt;&gt;"NEMA","",IF(IFERROR(MATCH(BL118,BL$12:BL117,0),0)&lt;&gt;0,"",BL118))</f>
        <v/>
      </c>
      <c r="BU118" s="47" t="s">
        <v>0</v>
      </c>
      <c r="BV118" s="125"/>
      <c r="BW118" s="47" t="s">
        <v>0</v>
      </c>
      <c r="BX118" s="58" t="str">
        <f t="shared" si="112"/>
        <v/>
      </c>
      <c r="BY118" s="31" t="str">
        <f t="shared" si="113"/>
        <v/>
      </c>
      <c r="BZ118" s="31" t="str">
        <f>IF(BY118="","",MAX(BZ$12:BZ117)+1)</f>
        <v/>
      </c>
      <c r="CA118" s="31" t="str">
        <f>IF(BY118="","",IF(AA118="","",IF(AA118="NEMA",AC118,AA118)))</f>
        <v/>
      </c>
      <c r="CB118" s="31" t="str">
        <f t="shared" si="114"/>
        <v/>
      </c>
      <c r="CC118" s="31" t="str">
        <f>IF(BV118="","",MAX(CC$12:CC117)+1)</f>
        <v/>
      </c>
      <c r="CD118" s="31" t="str">
        <f t="shared" si="115"/>
        <v/>
      </c>
      <c r="CE118" s="66" t="str">
        <f t="shared" si="116"/>
        <v/>
      </c>
      <c r="CF118" s="47" t="s">
        <v>0</v>
      </c>
      <c r="CG118" s="73" t="str">
        <f>IF(BN118="","",IF(BN118&lt;&gt;"NEMA","",IFERROR(INDEX(nat_klubAliasId,MATCH(BL118,nat_noviKluboviAliasi,0)),"")))</f>
        <v/>
      </c>
      <c r="CH118" s="47"/>
      <c r="CI118" s="19" t="str">
        <f t="shared" si="117"/>
        <v/>
      </c>
      <c r="CJ118" s="47" t="s">
        <v>0</v>
      </c>
      <c r="CK118" s="52" t="str">
        <f>IF(X118&lt;&gt;"NEMA","",IF(IFERROR(MATCH(W118,W$12:W117,0),0)&lt;&gt;0,"",W118))</f>
        <v/>
      </c>
      <c r="CL118" s="73" t="str">
        <f>IF(CK118="","",IFERROR(INDEX(regKlub_alias_id,MATCH(CK118,regKlub_alias_alias,0)),"NEMA"))</f>
        <v/>
      </c>
      <c r="CM118" s="31" t="str">
        <f>IF(OR(CL118="",CL118&lt;&gt;"NEMA"),"",MAX(CM$12:CM117)+1)</f>
        <v/>
      </c>
      <c r="CN118" s="66" t="str">
        <f>IF(OR(CL118="",CL118&lt;&gt;"NEMA"),"",INDEX(regKlub_id,MATCH(CK118,regKlub_naziv,0)))</f>
        <v/>
      </c>
      <c r="CO118" s="47" t="s">
        <v>0</v>
      </c>
      <c r="CP118" s="19" t="str">
        <f>IF(OR(CL118="",CL118&lt;&gt;"NEMA"),"","INSERT INTO klub_alias(id,alias,klub_id) VALUES ("&amp;CM118&amp;",'"&amp;CK118&amp;"',"&amp;CN118&amp;");")</f>
        <v/>
      </c>
      <c r="CQ118" s="47" t="s">
        <v>0</v>
      </c>
      <c r="CR118" s="143" t="str">
        <f>IF(BR118="","",IF(BV118="",IF(IFERROR(MATCH(BR118,nat_noviKluboviAliasi,0),0)&gt;0,INDEX(nat_kluboviAliasi,MATCH(BR118,nat_noviKluboviAliasi,0)),BR118),BV118))</f>
        <v>OK Vihor</v>
      </c>
      <c r="CS118" s="47" t="s">
        <v>0</v>
      </c>
      <c r="CT118" s="58" t="str">
        <f>IF(G118="","",G118)</f>
        <v>69:30</v>
      </c>
      <c r="CU118" s="73" t="str">
        <f>IF(H118="","",H118)</f>
        <v>0</v>
      </c>
      <c r="CV118" s="229" t="str">
        <f>IF(CT118="",IF(OR(AL118="",CU118&lt;&gt;"0"),"","GREŠKA"),IF(AND(65535&gt;=VALUE(LEFT(CT118,SEARCH(":",CT118)-1))*60+VALUE(RIGHT(CT118,2)),OR(CU118="0",CU118="1",CU118="2",CU118="3",CU118="4")),"","GREŠKA"))</f>
        <v/>
      </c>
      <c r="CW118" s="230">
        <f t="shared" si="71"/>
        <v>4170</v>
      </c>
      <c r="CX118" s="163">
        <f t="shared" si="87"/>
        <v>1</v>
      </c>
      <c r="CY118" s="47" t="s">
        <v>0</v>
      </c>
      <c r="CZ118" s="222" t="str">
        <f>IF(CV118&lt;&gt;"GREŠKA","",AK118&amp;" "&amp;AL118&amp;" – Molim u OEventu provjeriti i ispraviti rezultat – vrijeme ("&amp;IF(CT118="","nije upisano",CT118)&amp;") i classifier ("&amp;CU118&amp;").")&amp;IF(OR(CV118&lt;&gt;"GREŠKA",CX118&lt;&gt;5),"
","")&amp;IF(CX118&lt;&gt;5,"",AK118&amp;" "&amp;AL118&amp;" – Molim u provjeriti je li natjecatelj zaista diskvalificiran. Ako je koje je obrazloženje, ako nije molim u OEventu ispraviti rezultat")</f>
        <v xml:space="preserve">
</v>
      </c>
      <c r="DA118" s="223">
        <f t="shared" si="118"/>
        <v>6</v>
      </c>
      <c r="DB118" s="47" t="s">
        <v>0</v>
      </c>
      <c r="DC118" s="47"/>
      <c r="DD118" s="47"/>
      <c r="DE118" s="47"/>
      <c r="DF118" s="47" t="s">
        <v>0</v>
      </c>
      <c r="DG118" s="53" t="str">
        <f>IF(BD118="","",IF(DI118="O",1,""))</f>
        <v/>
      </c>
      <c r="DH118" t="s">
        <v>0</v>
      </c>
      <c r="DI118" s="128" t="str">
        <f>IF(Q118="","",LEFT(INDEX(regKategorija_oznaka,MATCH(S118,regKategorija_id,0)),1))</f>
        <v>M</v>
      </c>
      <c r="DJ118" t="s">
        <v>0</v>
      </c>
      <c r="DK118" s="52" t="str">
        <f>IF(BD118="","",IF(M118&lt;&gt;"CRO","","INSERT INTO osoba (id,reg_broj,oib,spol_id,dat_rodjenja) VALUES ("&amp;BD118&amp;",(SELECT max(os.reg_broj)+1 FROM osoba AS os),Null,'"&amp;DI118&amp;"',Null); INSERT INTO osoba_log (id,reg_broj,oib,spol_id,dat_rodjenja,dnevnik_id) SELECT id,reg_broj,oib,spol_id,dat_rodjenja,"&amp;data_dnevnik_id&amp;" FROM osoba WHERE id = "&amp;BD118&amp;";"))</f>
        <v/>
      </c>
      <c r="DL118" s="66" t="str">
        <f>IF(BD118="","","INSERT INTO imeprezime (id,osoba_id,rbr,ime,prezime,klub_id,identitet_id,sintaksa_id,info,aktivno,dnevnik_id) VALUES ("&amp;BD118&amp;","&amp;IF(DK118="","Null",BD118)&amp;",1,'"&amp;IF(AV118&lt;&gt;"",AV118,AK118)&amp;"','"&amp;IF(AW118&lt;&gt;"",AW118,AL118)&amp;"',(SELECT id FROM klub WHERE naziv = '"&amp;CR118&amp;"'),Null,1,'',1,"&amp;data_dnevnik_id&amp;");")</f>
        <v/>
      </c>
      <c r="DM118" t="s">
        <v>0</v>
      </c>
      <c r="DN118" s="19" t="str">
        <f t="shared" si="126"/>
        <v/>
      </c>
      <c r="DO118" s="47" t="s">
        <v>0</v>
      </c>
      <c r="DP118" s="19" t="str">
        <f>IF(BA118="","","INSERT INTO imeprezime_alias(id,alias,imeprezime_id) VALUES ("&amp;BB118&amp;",'"&amp;BA118&amp;"',"&amp;IF(BC118="NEMA",BD118,BC118)&amp;");")</f>
        <v/>
      </c>
      <c r="DQ118" s="47" t="s">
        <v>0</v>
      </c>
      <c r="DR118" s="52" t="str">
        <f>IF(AL118="","",DU118 &amp; IF(Q118="",""," – " &amp; Q118))</f>
        <v>Duje – Rako – OK Vihor – M35</v>
      </c>
      <c r="DS118" s="53">
        <f t="shared" si="88"/>
        <v>868</v>
      </c>
      <c r="DT118" s="47" t="s">
        <v>0</v>
      </c>
      <c r="DU118" s="52" t="str">
        <f>IF(AL118="","",DX118 &amp; IF(CR118="",""," – " &amp; CR118))</f>
        <v>Duje – Rako – OK Vihor</v>
      </c>
      <c r="DV118" s="53">
        <f t="shared" si="89"/>
        <v>868</v>
      </c>
      <c r="DW118" s="47" t="s">
        <v>0</v>
      </c>
      <c r="DX118" s="52" t="str">
        <f>IF(BG118="","",BF118&amp;" – "&amp;BG118)</f>
        <v>Duje – Rako</v>
      </c>
      <c r="DY118" s="53">
        <f t="shared" si="90"/>
        <v>868</v>
      </c>
      <c r="DZ118" s="47" t="s">
        <v>0</v>
      </c>
      <c r="EA118" s="58">
        <f t="shared" si="119"/>
        <v>868</v>
      </c>
      <c r="EB118" s="53" cm="1">
        <f t="array" ref="EB118">IF(EA118&lt;&gt;"",INDEX(regNatjecatelj_id,EA118,0),IF(BD118&lt;&gt;"",BD118,""))</f>
        <v>1374</v>
      </c>
      <c r="EC118" s="47" t="s">
        <v>0</v>
      </c>
      <c r="ED118" s="58" t="str">
        <f>IF(AL118="","",IF(BD118&lt;&gt;"","novo",IF(AN118="","imepre","imepre(ali)")))</f>
        <v>imepre</v>
      </c>
      <c r="EE118" s="73" t="str">
        <f>IF(AL118="","",IF(BL118="",IF(IFERROR(INDEX(regNatjecatelj_klub,MATCH(EB118,regNatjecatelj_id,0)),"NEMA")="","klu",""),IF(OR(AND(BN118&lt;&gt;"",BN118&lt;&gt;"NEMA"),CD118&lt;&gt;""),"klu(ali)",IF(AND(BP118&lt;&gt;"",BP118&lt;&gt;BO118),"(raz-klu)","klu"))))</f>
        <v>klu</v>
      </c>
      <c r="EF118" s="73" t="str">
        <f>IF(AL118="","","kat"&amp;IF(AND(W118&lt;&gt;Q118,Q118&lt;&gt;"Open"),"(ali)",""))</f>
        <v>kat</v>
      </c>
      <c r="EG118" s="73" t="str">
        <f t="shared" si="91"/>
        <v/>
      </c>
      <c r="EH118" s="66" t="str">
        <f>IF(AL118="","",ED118&amp;IF(ED118="novo","","-"&amp;EE118&amp;"-"&amp;EF118)&amp;IF(EG118="","","-"&amp;EG118))</f>
        <v>imepre-klu-kat</v>
      </c>
      <c r="EI118" s="47" t="s">
        <v>0</v>
      </c>
      <c r="EJ118" s="58">
        <f>IF(AL118="","",MAX(EJ$12:EJ117)+1)</f>
        <v>286</v>
      </c>
      <c r="EK118" s="73">
        <f>IF(AO118="","",X118)</f>
        <v>29</v>
      </c>
      <c r="EL118" s="73">
        <f t="shared" si="120"/>
        <v>1374</v>
      </c>
      <c r="EM118" s="73">
        <f t="shared" si="92"/>
        <v>4170</v>
      </c>
      <c r="EN118" s="73">
        <f t="shared" si="93"/>
        <v>1</v>
      </c>
      <c r="EO118" s="73">
        <f t="shared" si="121"/>
        <v>1</v>
      </c>
      <c r="EP118" s="73">
        <f t="shared" si="122"/>
        <v>1</v>
      </c>
      <c r="EQ118" s="73" t="str">
        <f t="shared" si="94"/>
        <v>0</v>
      </c>
      <c r="ER118" s="73" t="str">
        <f>IF(OR(AN118="",AN118="NEMA"),BB118,AN118)</f>
        <v/>
      </c>
      <c r="ES118" s="73" t="str">
        <f>IF(AND(BN118&lt;&gt;"",BN118&lt;&gt;"NEMA"),BN118,IF(CG118&lt;&gt;"",CG118,IF(AND(CL118&lt;&gt;"",CL118&lt;&gt;"NEMA"),CL118,IF(CM118&lt;&gt;"",CM118,""))))</f>
        <v/>
      </c>
      <c r="ET118" s="53" t="str">
        <f>IF(INDEX(natKategorija_alias_Id,MATCH(S118,natKategorija_katRegId,0))="","",INDEX(natKategorija_alias_Id,MATCH(S118,natKategorija_katRegId,0)))</f>
        <v/>
      </c>
      <c r="EU118" s="47" t="s">
        <v>0</v>
      </c>
      <c r="EV118" s="19" t="str">
        <f t="shared" si="123"/>
        <v>INSERT INTO rezultat(id,stazakategorija_id,imeprezime_id,vrijeme_sec,status_id,registracija,uparivanje_id,originalstatus_id,imeprezimealias_id,klubalias_id,kategorijaalias_id) VALUES (286,29,1374,4170,1,1,1,0,Null,Null,Null);</v>
      </c>
      <c r="EW118" s="47" t="s">
        <v>0</v>
      </c>
      <c r="EX118" s="19" t="str">
        <f t="shared" si="124"/>
        <v>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8" s="47" t="s">
        <v>0</v>
      </c>
      <c r="EZ118" s="180" t="str">
        <f>AG118&amp;IF(CP118="","","
")&amp;CP118&amp;IF(CI118="","","
")&amp;CI118&amp;IF(DN118="","","
")&amp;DN118&amp;IF(DP118="","","
")&amp;DP118&amp;IF(EV118="","","
")&amp;EV118&amp;IF(EX118="","","
")&amp;EX118</f>
        <v xml:space="preserve">
INSERT INTO rezultat(id,stazakategorija_id,imeprezime_id,vrijeme_sec,status_id,registracija,uparivanje_id,originalstatus_id,imeprezimealias_id,klubalias_id,kategorijaalias_id) VALUES (286,29,1374,4170,1,1,1,0,Null,Null,Null);
UPDATE
	registar
SET
	potvrda = 1
WHERE
	imeprezime_id=1374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8" s="47" t="s">
        <v>0</v>
      </c>
    </row>
    <row r="119" spans="1:157" x14ac:dyDescent="0.25">
      <c r="A119" t="s">
        <v>0</v>
      </c>
      <c r="B119" s="52" t="str">
        <f>IF(csv!F109="","",csv!T109)</f>
        <v>M35</v>
      </c>
      <c r="C119" s="31" t="s">
        <v>0</v>
      </c>
      <c r="D119" s="31" t="str">
        <f>IF(csv!F109="","",csv!F109)</f>
        <v>Tomislav</v>
      </c>
      <c r="E119" s="31" t="str">
        <f>IF(csv!E109="","",csv!E109)</f>
        <v>Vuk</v>
      </c>
      <c r="F119" s="31" t="s">
        <v>0</v>
      </c>
      <c r="G119" s="73" t="str">
        <f>IF(csv!M109="","",csv!M109)</f>
        <v>75:11</v>
      </c>
      <c r="H119" s="73" t="str">
        <f>IF(csv!N109="","",csv!N109)</f>
        <v>0</v>
      </c>
      <c r="I119" s="31" t="s">
        <v>0</v>
      </c>
      <c r="J119" s="31" t="str">
        <f>IF(csv!P109="","",csv!P109)</f>
        <v>Vihor</v>
      </c>
      <c r="K119" s="31" t="str">
        <f>IF(csv!Q109="","",csv!Q109)</f>
        <v>OK Vihor</v>
      </c>
      <c r="L119" s="31" t="s">
        <v>0</v>
      </c>
      <c r="M119" s="66" t="str">
        <f>IF(csv!R109="","",csv!R109)</f>
        <v>CRO</v>
      </c>
      <c r="N119" s="47" t="s">
        <v>0</v>
      </c>
      <c r="O119" s="243" t="str">
        <f t="shared" si="95"/>
        <v>ok</v>
      </c>
      <c r="P119" s="47"/>
      <c r="Q119" s="52" t="str">
        <f t="shared" si="96"/>
        <v>M35</v>
      </c>
      <c r="R119" s="73">
        <f>IF(Q119="","",IF(COUNTIF(Q$12:Q118,Q119)=0,R118+1,R118))</f>
        <v>7</v>
      </c>
      <c r="S119" s="73">
        <f t="shared" si="97"/>
        <v>107</v>
      </c>
      <c r="T119" s="73">
        <f t="shared" si="72"/>
        <v>18</v>
      </c>
      <c r="U119" s="66" t="str">
        <f t="shared" si="73"/>
        <v>M35</v>
      </c>
      <c r="V119" s="47" t="s">
        <v>0</v>
      </c>
      <c r="W119" s="222" t="str">
        <f t="shared" si="74"/>
        <v>M35</v>
      </c>
      <c r="X119" s="223">
        <f t="shared" si="75"/>
        <v>29</v>
      </c>
      <c r="Y119" s="47" t="s">
        <v>0</v>
      </c>
      <c r="Z119" s="52" t="str">
        <f t="shared" si="98"/>
        <v>CRO</v>
      </c>
      <c r="AA119" s="73">
        <f t="shared" si="76"/>
        <v>1</v>
      </c>
      <c r="AB119" s="31" t="str">
        <f t="shared" si="99"/>
        <v/>
      </c>
      <c r="AC119" s="66" t="str">
        <f>IF(AB119="","",MAX(AC$12:AC118)+1)</f>
        <v/>
      </c>
      <c r="AD119" s="47" t="s">
        <v>0</v>
      </c>
      <c r="AE119" s="125"/>
      <c r="AF119" s="47" t="s">
        <v>0</v>
      </c>
      <c r="AG119" s="19" t="str">
        <f t="shared" si="100"/>
        <v/>
      </c>
      <c r="AH119" s="47" t="s">
        <v>0</v>
      </c>
      <c r="AI119" s="143" t="str">
        <f t="shared" si="101"/>
        <v>CRO</v>
      </c>
      <c r="AJ119" s="47"/>
      <c r="AK119" s="52" t="str">
        <f t="shared" si="102"/>
        <v>Tomislav</v>
      </c>
      <c r="AL119" s="31" t="str">
        <f t="shared" si="103"/>
        <v>Vuk</v>
      </c>
      <c r="AM119" s="73">
        <f t="shared" si="104"/>
        <v>1448</v>
      </c>
      <c r="AN119" s="73" t="str">
        <f t="shared" si="105"/>
        <v/>
      </c>
      <c r="AO119" s="31" t="str">
        <f t="shared" si="77"/>
        <v>Tomislav</v>
      </c>
      <c r="AP119" s="66" t="str">
        <f t="shared" si="78"/>
        <v>Vuk</v>
      </c>
      <c r="AQ119" s="47" t="s">
        <v>0</v>
      </c>
      <c r="AR119" s="82" t="str">
        <f t="shared" si="106"/>
        <v/>
      </c>
      <c r="AS119" s="47" t="s">
        <v>0</v>
      </c>
      <c r="AT119" s="19" t="str">
        <f t="shared" si="107"/>
        <v/>
      </c>
      <c r="AU119" s="47" t="s">
        <v>0</v>
      </c>
      <c r="AV119" s="103"/>
      <c r="AW119" s="105"/>
      <c r="AX119" s="47" t="s">
        <v>0</v>
      </c>
      <c r="AY119" s="256" t="str">
        <f t="shared" si="125"/>
        <v/>
      </c>
      <c r="AZ119" s="47" t="s">
        <v>0</v>
      </c>
      <c r="BA119" s="52" t="str">
        <f t="shared" si="79"/>
        <v/>
      </c>
      <c r="BB119" s="73" t="str">
        <f>IF(AV119&amp;AW119="","",MAX(BB$12:BB118)+1)</f>
        <v/>
      </c>
      <c r="BC119" s="268" t="str">
        <f t="shared" si="80"/>
        <v/>
      </c>
      <c r="BD119" s="53" t="str">
        <f>IF(AND(AM119="NEMA",AN119="NEMA",OR(AV119&amp;AW119="",BC119="NEMA")),MAX(BD$12:BD118)+1,"")</f>
        <v/>
      </c>
      <c r="BE119" s="47" t="s">
        <v>0</v>
      </c>
      <c r="BF119" s="52" t="str">
        <f t="shared" si="81"/>
        <v>Tomislav</v>
      </c>
      <c r="BG119" s="31" t="str">
        <f t="shared" si="82"/>
        <v>Vuk</v>
      </c>
      <c r="BH119" s="73" t="str">
        <f t="shared" si="108"/>
        <v/>
      </c>
      <c r="BI119" s="53">
        <f t="shared" si="109"/>
        <v>1448</v>
      </c>
      <c r="BJ119" s="47" t="s">
        <v>0</v>
      </c>
      <c r="BK119" s="52" t="str">
        <f t="shared" si="83"/>
        <v>Vihor</v>
      </c>
      <c r="BL119" s="31" t="str">
        <f t="shared" si="84"/>
        <v>OK Vihor</v>
      </c>
      <c r="BM119" s="73">
        <f t="shared" si="85"/>
        <v>12</v>
      </c>
      <c r="BN119" s="73" t="str">
        <f t="shared" si="86"/>
        <v/>
      </c>
      <c r="BO119" s="31" t="str" cm="1">
        <f t="array" ref="BO119">IF(BN119="",""&amp;BL119,IF(BN119="NEMA",BL119,INDEX(regKlub_naziv,MATCH(INDEX(regKlub_alias_klubId,BN119),regKlub_id,0))))</f>
        <v>OK Vihor</v>
      </c>
      <c r="BP119" s="31" t="str" cm="1">
        <f t="array" ref="BP119">IFERROR(""&amp;INDEX(regNatjecatelj_klub,DY119),"")</f>
        <v>OK Vihor</v>
      </c>
      <c r="BQ119" s="88" t="str">
        <f t="shared" si="110"/>
        <v/>
      </c>
      <c r="BR119" s="66" t="str">
        <f t="shared" si="111"/>
        <v>OK Vihor</v>
      </c>
      <c r="BS119" s="47" t="s">
        <v>0</v>
      </c>
      <c r="BT119" s="82" t="str">
        <f>IF(BN119&lt;&gt;"NEMA","",IF(IFERROR(MATCH(BL119,BL$12:BL118,0),0)&lt;&gt;0,"",BL119))</f>
        <v/>
      </c>
      <c r="BU119" s="47" t="s">
        <v>0</v>
      </c>
      <c r="BV119" s="125"/>
      <c r="BW119" s="47" t="s">
        <v>0</v>
      </c>
      <c r="BX119" s="58" t="str">
        <f t="shared" si="112"/>
        <v/>
      </c>
      <c r="BY119" s="31" t="str">
        <f t="shared" si="113"/>
        <v/>
      </c>
      <c r="BZ119" s="31" t="str">
        <f>IF(BY119="","",MAX(BZ$12:BZ118)+1)</f>
        <v/>
      </c>
      <c r="CA119" s="31" t="str">
        <f>IF(BY119="","",IF(AA119="","",IF(AA119="NEMA",AC119,AA119)))</f>
        <v/>
      </c>
      <c r="CB119" s="31" t="str">
        <f t="shared" si="114"/>
        <v/>
      </c>
      <c r="CC119" s="31" t="str">
        <f>IF(BV119="","",MAX(CC$12:CC118)+1)</f>
        <v/>
      </c>
      <c r="CD119" s="31" t="str">
        <f t="shared" si="115"/>
        <v/>
      </c>
      <c r="CE119" s="66" t="str">
        <f t="shared" si="116"/>
        <v/>
      </c>
      <c r="CF119" s="47" t="s">
        <v>0</v>
      </c>
      <c r="CG119" s="73" t="str">
        <f>IF(BN119="","",IF(BN119&lt;&gt;"NEMA","",IFERROR(INDEX(nat_klubAliasId,MATCH(BL119,nat_noviKluboviAliasi,0)),"")))</f>
        <v/>
      </c>
      <c r="CH119" s="47"/>
      <c r="CI119" s="19" t="str">
        <f t="shared" si="117"/>
        <v/>
      </c>
      <c r="CJ119" s="47" t="s">
        <v>0</v>
      </c>
      <c r="CK119" s="52" t="str">
        <f>IF(X119&lt;&gt;"NEMA","",IF(IFERROR(MATCH(W119,W$12:W118,0),0)&lt;&gt;0,"",W119))</f>
        <v/>
      </c>
      <c r="CL119" s="73" t="str">
        <f>IF(CK119="","",IFERROR(INDEX(regKlub_alias_id,MATCH(CK119,regKlub_alias_alias,0)),"NEMA"))</f>
        <v/>
      </c>
      <c r="CM119" s="31" t="str">
        <f>IF(OR(CL119="",CL119&lt;&gt;"NEMA"),"",MAX(CM$12:CM118)+1)</f>
        <v/>
      </c>
      <c r="CN119" s="66" t="str">
        <f>IF(OR(CL119="",CL119&lt;&gt;"NEMA"),"",INDEX(regKlub_id,MATCH(CK119,regKlub_naziv,0)))</f>
        <v/>
      </c>
      <c r="CO119" s="47" t="s">
        <v>0</v>
      </c>
      <c r="CP119" s="19" t="str">
        <f>IF(OR(CL119="",CL119&lt;&gt;"NEMA"),"","INSERT INTO klub_alias(id,alias,klub_id) VALUES ("&amp;CM119&amp;",'"&amp;CK119&amp;"',"&amp;CN119&amp;");")</f>
        <v/>
      </c>
      <c r="CQ119" s="47" t="s">
        <v>0</v>
      </c>
      <c r="CR119" s="143" t="str">
        <f>IF(BR119="","",IF(BV119="",IF(IFERROR(MATCH(BR119,nat_noviKluboviAliasi,0),0)&gt;0,INDEX(nat_kluboviAliasi,MATCH(BR119,nat_noviKluboviAliasi,0)),BR119),BV119))</f>
        <v>OK Vihor</v>
      </c>
      <c r="CS119" s="47" t="s">
        <v>0</v>
      </c>
      <c r="CT119" s="58" t="str">
        <f>IF(G119="","",G119)</f>
        <v>75:11</v>
      </c>
      <c r="CU119" s="73" t="str">
        <f>IF(H119="","",H119)</f>
        <v>0</v>
      </c>
      <c r="CV119" s="229" t="str">
        <f>IF(CT119="",IF(OR(AL119="",CU119&lt;&gt;"0"),"","GREŠKA"),IF(AND(65535&gt;=VALUE(LEFT(CT119,SEARCH(":",CT119)-1))*60+VALUE(RIGHT(CT119,2)),OR(CU119="0",CU119="1",CU119="2",CU119="3",CU119="4")),"","GREŠKA"))</f>
        <v/>
      </c>
      <c r="CW119" s="230">
        <f t="shared" si="71"/>
        <v>4511</v>
      </c>
      <c r="CX119" s="163">
        <f t="shared" si="87"/>
        <v>1</v>
      </c>
      <c r="CY119" s="47" t="s">
        <v>0</v>
      </c>
      <c r="CZ119" s="222" t="str">
        <f>IF(CV119&lt;&gt;"GREŠKA","",AK119&amp;" "&amp;AL119&amp;" – Molim u OEventu provjeriti i ispraviti rezultat – vrijeme ("&amp;IF(CT119="","nije upisano",CT119)&amp;") i classifier ("&amp;CU119&amp;").")&amp;IF(OR(CV119&lt;&gt;"GREŠKA",CX119&lt;&gt;5),"
","")&amp;IF(CX119&lt;&gt;5,"",AK119&amp;" "&amp;AL119&amp;" – Molim u provjeriti je li natjecatelj zaista diskvalificiran. Ako je koje je obrazloženje, ako nije molim u OEventu ispraviti rezultat")</f>
        <v xml:space="preserve">
</v>
      </c>
      <c r="DA119" s="223">
        <f t="shared" si="118"/>
        <v>6</v>
      </c>
      <c r="DB119" s="47" t="s">
        <v>0</v>
      </c>
      <c r="DC119" s="47"/>
      <c r="DD119" s="47"/>
      <c r="DE119" s="47"/>
      <c r="DF119" s="47" t="s">
        <v>0</v>
      </c>
      <c r="DG119" s="53" t="str">
        <f>IF(BD119="","",IF(DI119="O",1,""))</f>
        <v/>
      </c>
      <c r="DH119" t="s">
        <v>0</v>
      </c>
      <c r="DI119" s="128" t="str">
        <f>IF(Q119="","",LEFT(INDEX(regKategorija_oznaka,MATCH(S119,regKategorija_id,0)),1))</f>
        <v>M</v>
      </c>
      <c r="DJ119" t="s">
        <v>0</v>
      </c>
      <c r="DK119" s="52" t="str">
        <f>IF(BD119="","",IF(M119&lt;&gt;"CRO","","INSERT INTO osoba (id,reg_broj,oib,spol_id,dat_rodjenja) VALUES ("&amp;BD119&amp;",(SELECT max(os.reg_broj)+1 FROM osoba AS os),Null,'"&amp;DI119&amp;"',Null); INSERT INTO osoba_log (id,reg_broj,oib,spol_id,dat_rodjenja,dnevnik_id) SELECT id,reg_broj,oib,spol_id,dat_rodjenja,"&amp;data_dnevnik_id&amp;" FROM osoba WHERE id = "&amp;BD119&amp;";"))</f>
        <v/>
      </c>
      <c r="DL119" s="66" t="str">
        <f>IF(BD119="","","INSERT INTO imeprezime (id,osoba_id,rbr,ime,prezime,klub_id,identitet_id,sintaksa_id,info,aktivno,dnevnik_id) VALUES ("&amp;BD119&amp;","&amp;IF(DK119="","Null",BD119)&amp;",1,'"&amp;IF(AV119&lt;&gt;"",AV119,AK119)&amp;"','"&amp;IF(AW119&lt;&gt;"",AW119,AL119)&amp;"',(SELECT id FROM klub WHERE naziv = '"&amp;CR119&amp;"'),Null,1,'',1,"&amp;data_dnevnik_id&amp;");")</f>
        <v/>
      </c>
      <c r="DM119" t="s">
        <v>0</v>
      </c>
      <c r="DN119" s="19" t="str">
        <f t="shared" si="126"/>
        <v/>
      </c>
      <c r="DO119" s="47" t="s">
        <v>0</v>
      </c>
      <c r="DP119" s="19" t="str">
        <f>IF(BA119="","","INSERT INTO imeprezime_alias(id,alias,imeprezime_id) VALUES ("&amp;BB119&amp;",'"&amp;BA119&amp;"',"&amp;IF(BC119="NEMA",BD119,BC119)&amp;");")</f>
        <v/>
      </c>
      <c r="DQ119" s="47" t="s">
        <v>0</v>
      </c>
      <c r="DR119" s="52" t="str">
        <f>IF(AL119="","",DU119 &amp; IF(Q119="",""," – " &amp; Q119))</f>
        <v>Tomislav – Vuk – OK Vihor – M35</v>
      </c>
      <c r="DS119" s="53">
        <f t="shared" si="88"/>
        <v>944</v>
      </c>
      <c r="DT119" s="47" t="s">
        <v>0</v>
      </c>
      <c r="DU119" s="52" t="str">
        <f>IF(AL119="","",DX119 &amp; IF(CR119="",""," – " &amp; CR119))</f>
        <v>Tomislav – Vuk – OK Vihor</v>
      </c>
      <c r="DV119" s="53">
        <f t="shared" si="89"/>
        <v>944</v>
      </c>
      <c r="DW119" s="47" t="s">
        <v>0</v>
      </c>
      <c r="DX119" s="52" t="str">
        <f>IF(BG119="","",BF119&amp;" – "&amp;BG119)</f>
        <v>Tomislav – Vuk</v>
      </c>
      <c r="DY119" s="53">
        <f t="shared" si="90"/>
        <v>944</v>
      </c>
      <c r="DZ119" s="47" t="s">
        <v>0</v>
      </c>
      <c r="EA119" s="58">
        <f t="shared" si="119"/>
        <v>944</v>
      </c>
      <c r="EB119" s="53" cm="1">
        <f t="array" ref="EB119">IF(EA119&lt;&gt;"",INDEX(regNatjecatelj_id,EA119,0),IF(BD119&lt;&gt;"",BD119,""))</f>
        <v>1448</v>
      </c>
      <c r="EC119" s="47" t="s">
        <v>0</v>
      </c>
      <c r="ED119" s="58" t="str">
        <f>IF(AL119="","",IF(BD119&lt;&gt;"","novo",IF(AN119="","imepre","imepre(ali)")))</f>
        <v>imepre</v>
      </c>
      <c r="EE119" s="73" t="str">
        <f>IF(AL119="","",IF(BL119="",IF(IFERROR(INDEX(regNatjecatelj_klub,MATCH(EB119,regNatjecatelj_id,0)),"NEMA")="","klu",""),IF(OR(AND(BN119&lt;&gt;"",BN119&lt;&gt;"NEMA"),CD119&lt;&gt;""),"klu(ali)",IF(AND(BP119&lt;&gt;"",BP119&lt;&gt;BO119),"(raz-klu)","klu"))))</f>
        <v>klu</v>
      </c>
      <c r="EF119" s="73" t="str">
        <f>IF(AL119="","","kat"&amp;IF(AND(W119&lt;&gt;Q119,Q119&lt;&gt;"Open"),"(ali)",""))</f>
        <v>kat</v>
      </c>
      <c r="EG119" s="73" t="str">
        <f t="shared" si="91"/>
        <v/>
      </c>
      <c r="EH119" s="66" t="str">
        <f>IF(AL119="","",ED119&amp;IF(ED119="novo","","-"&amp;EE119&amp;"-"&amp;EF119)&amp;IF(EG119="","","-"&amp;EG119))</f>
        <v>imepre-klu-kat</v>
      </c>
      <c r="EI119" s="47" t="s">
        <v>0</v>
      </c>
      <c r="EJ119" s="58">
        <f>IF(AL119="","",MAX(EJ$12:EJ118)+1)</f>
        <v>287</v>
      </c>
      <c r="EK119" s="73">
        <f>IF(AO119="","",X119)</f>
        <v>29</v>
      </c>
      <c r="EL119" s="73">
        <f t="shared" si="120"/>
        <v>1448</v>
      </c>
      <c r="EM119" s="73">
        <f t="shared" si="92"/>
        <v>4511</v>
      </c>
      <c r="EN119" s="73">
        <f t="shared" si="93"/>
        <v>1</v>
      </c>
      <c r="EO119" s="73">
        <f t="shared" si="121"/>
        <v>1</v>
      </c>
      <c r="EP119" s="73">
        <f t="shared" si="122"/>
        <v>1</v>
      </c>
      <c r="EQ119" s="73" t="str">
        <f t="shared" si="94"/>
        <v>0</v>
      </c>
      <c r="ER119" s="73" t="str">
        <f>IF(OR(AN119="",AN119="NEMA"),BB119,AN119)</f>
        <v/>
      </c>
      <c r="ES119" s="73" t="str">
        <f>IF(AND(BN119&lt;&gt;"",BN119&lt;&gt;"NEMA"),BN119,IF(CG119&lt;&gt;"",CG119,IF(AND(CL119&lt;&gt;"",CL119&lt;&gt;"NEMA"),CL119,IF(CM119&lt;&gt;"",CM119,""))))</f>
        <v/>
      </c>
      <c r="ET119" s="53" t="str">
        <f>IF(INDEX(natKategorija_alias_Id,MATCH(S119,natKategorija_katRegId,0))="","",INDEX(natKategorija_alias_Id,MATCH(S119,natKategorija_katRegId,0)))</f>
        <v/>
      </c>
      <c r="EU119" s="47" t="s">
        <v>0</v>
      </c>
      <c r="EV119" s="19" t="str">
        <f t="shared" si="123"/>
        <v>INSERT INTO rezultat(id,stazakategorija_id,imeprezime_id,vrijeme_sec,status_id,registracija,uparivanje_id,originalstatus_id,imeprezimealias_id,klubalias_id,kategorijaalias_id) VALUES (287,29,1448,4511,1,1,1,0,Null,Null,Null);</v>
      </c>
      <c r="EW119" s="47" t="s">
        <v>0</v>
      </c>
      <c r="EX119" s="19" t="str">
        <f t="shared" si="124"/>
        <v>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19" s="47" t="s">
        <v>0</v>
      </c>
      <c r="EZ119" s="180" t="str">
        <f>AG119&amp;IF(CP119="","","
")&amp;CP119&amp;IF(CI119="","","
")&amp;CI119&amp;IF(DN119="","","
")&amp;DN119&amp;IF(DP119="","","
")&amp;DP119&amp;IF(EV119="","","
")&amp;EV119&amp;IF(EX119="","","
")&amp;EX119</f>
        <v xml:space="preserve">
INSERT INTO rezultat(id,stazakategorija_id,imeprezime_id,vrijeme_sec,status_id,registracija,uparivanje_id,originalstatus_id,imeprezimealias_id,klubalias_id,kategorijaalias_id) VALUES (287,29,1448,4511,1,1,1,0,Null,Null,Null);
UPDATE
	registar
SET
	potvrda = 1
WHERE
	imeprezime_id=1448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19" s="47" t="s">
        <v>0</v>
      </c>
    </row>
    <row r="120" spans="1:157" x14ac:dyDescent="0.25">
      <c r="A120" t="s">
        <v>0</v>
      </c>
      <c r="B120" s="52" t="str">
        <f>IF(csv!F110="","",csv!T110)</f>
        <v>M35</v>
      </c>
      <c r="C120" s="31" t="s">
        <v>0</v>
      </c>
      <c r="D120" s="31" t="str">
        <f>IF(csv!F110="","",csv!F110)</f>
        <v>Miroslav</v>
      </c>
      <c r="E120" s="31" t="str">
        <f>IF(csv!E110="","",csv!E110)</f>
        <v>Hainž</v>
      </c>
      <c r="F120" s="31" t="s">
        <v>0</v>
      </c>
      <c r="G120" s="73" t="str">
        <f>IF(csv!M110="","",csv!M110)</f>
        <v>78:12</v>
      </c>
      <c r="H120" s="73" t="str">
        <f>IF(csv!N110="","",csv!N110)</f>
        <v>0</v>
      </c>
      <c r="I120" s="31" t="s">
        <v>0</v>
      </c>
      <c r="J120" s="31" t="str">
        <f>IF(csv!P110="","",csv!P110)</f>
        <v>OK Varaždin</v>
      </c>
      <c r="K120" s="31" t="str">
        <f>IF(csv!Q110="","",csv!Q110)</f>
        <v>OK Varaždin</v>
      </c>
      <c r="L120" s="31" t="s">
        <v>0</v>
      </c>
      <c r="M120" s="66" t="str">
        <f>IF(csv!R110="","",csv!R110)</f>
        <v>CRO</v>
      </c>
      <c r="N120" s="47" t="s">
        <v>0</v>
      </c>
      <c r="O120" s="243" t="str">
        <f t="shared" si="95"/>
        <v>ok</v>
      </c>
      <c r="P120" s="47"/>
      <c r="Q120" s="52" t="str">
        <f t="shared" si="96"/>
        <v>M35</v>
      </c>
      <c r="R120" s="73">
        <f>IF(Q120="","",IF(COUNTIF(Q$12:Q119,Q120)=0,R119+1,R119))</f>
        <v>7</v>
      </c>
      <c r="S120" s="73">
        <f t="shared" si="97"/>
        <v>107</v>
      </c>
      <c r="T120" s="73">
        <f t="shared" si="72"/>
        <v>18</v>
      </c>
      <c r="U120" s="66" t="str">
        <f t="shared" si="73"/>
        <v>M35</v>
      </c>
      <c r="V120" s="47" t="s">
        <v>0</v>
      </c>
      <c r="W120" s="222" t="str">
        <f t="shared" si="74"/>
        <v>M35</v>
      </c>
      <c r="X120" s="223">
        <f t="shared" si="75"/>
        <v>29</v>
      </c>
      <c r="Y120" s="47" t="s">
        <v>0</v>
      </c>
      <c r="Z120" s="52" t="str">
        <f t="shared" si="98"/>
        <v>CRO</v>
      </c>
      <c r="AA120" s="73">
        <f t="shared" si="76"/>
        <v>1</v>
      </c>
      <c r="AB120" s="31" t="str">
        <f t="shared" si="99"/>
        <v/>
      </c>
      <c r="AC120" s="66" t="str">
        <f>IF(AB120="","",MAX(AC$12:AC119)+1)</f>
        <v/>
      </c>
      <c r="AD120" s="47" t="s">
        <v>0</v>
      </c>
      <c r="AE120" s="125"/>
      <c r="AF120" s="47" t="s">
        <v>0</v>
      </c>
      <c r="AG120" s="19" t="str">
        <f t="shared" si="100"/>
        <v/>
      </c>
      <c r="AH120" s="47" t="s">
        <v>0</v>
      </c>
      <c r="AI120" s="143" t="str">
        <f t="shared" si="101"/>
        <v>CRO</v>
      </c>
      <c r="AJ120" s="47"/>
      <c r="AK120" s="52" t="str">
        <f t="shared" si="102"/>
        <v>Miroslav</v>
      </c>
      <c r="AL120" s="31" t="str">
        <f t="shared" si="103"/>
        <v>Hainž</v>
      </c>
      <c r="AM120" s="73">
        <f t="shared" si="104"/>
        <v>1151</v>
      </c>
      <c r="AN120" s="73" t="str">
        <f t="shared" si="105"/>
        <v/>
      </c>
      <c r="AO120" s="31" t="str">
        <f t="shared" si="77"/>
        <v>Miroslav</v>
      </c>
      <c r="AP120" s="66" t="str">
        <f t="shared" si="78"/>
        <v>Hainž</v>
      </c>
      <c r="AQ120" s="47" t="s">
        <v>0</v>
      </c>
      <c r="AR120" s="82" t="str">
        <f t="shared" si="106"/>
        <v/>
      </c>
      <c r="AS120" s="47" t="s">
        <v>0</v>
      </c>
      <c r="AT120" s="19" t="str">
        <f t="shared" si="107"/>
        <v/>
      </c>
      <c r="AU120" s="47" t="s">
        <v>0</v>
      </c>
      <c r="AV120" s="103"/>
      <c r="AW120" s="105"/>
      <c r="AX120" s="47" t="s">
        <v>0</v>
      </c>
      <c r="AY120" s="256" t="str">
        <f t="shared" si="125"/>
        <v/>
      </c>
      <c r="AZ120" s="47" t="s">
        <v>0</v>
      </c>
      <c r="BA120" s="52" t="str">
        <f t="shared" si="79"/>
        <v/>
      </c>
      <c r="BB120" s="73" t="str">
        <f>IF(AV120&amp;AW120="","",MAX(BB$12:BB119)+1)</f>
        <v/>
      </c>
      <c r="BC120" s="268" t="str">
        <f t="shared" si="80"/>
        <v/>
      </c>
      <c r="BD120" s="53" t="str">
        <f>IF(AND(AM120="NEMA",AN120="NEMA",OR(AV120&amp;AW120="",BC120="NEMA")),MAX(BD$12:BD119)+1,"")</f>
        <v/>
      </c>
      <c r="BE120" s="47" t="s">
        <v>0</v>
      </c>
      <c r="BF120" s="52" t="str">
        <f t="shared" si="81"/>
        <v>Miroslav</v>
      </c>
      <c r="BG120" s="31" t="str">
        <f t="shared" si="82"/>
        <v>Hainž</v>
      </c>
      <c r="BH120" s="73" t="str">
        <f t="shared" si="108"/>
        <v/>
      </c>
      <c r="BI120" s="53">
        <f t="shared" si="109"/>
        <v>1151</v>
      </c>
      <c r="BJ120" s="47" t="s">
        <v>0</v>
      </c>
      <c r="BK120" s="52" t="str">
        <f t="shared" si="83"/>
        <v>OK Varaždin</v>
      </c>
      <c r="BL120" s="31" t="str">
        <f t="shared" si="84"/>
        <v>OK Varaždin</v>
      </c>
      <c r="BM120" s="73">
        <f t="shared" si="85"/>
        <v>11</v>
      </c>
      <c r="BN120" s="73" t="str">
        <f t="shared" si="86"/>
        <v/>
      </c>
      <c r="BO120" s="31" t="str" cm="1">
        <f t="array" ref="BO120">IF(BN120="",""&amp;BL120,IF(BN120="NEMA",BL120,INDEX(regKlub_naziv,MATCH(INDEX(regKlub_alias_klubId,BN120),regKlub_id,0))))</f>
        <v>OK Varaždin</v>
      </c>
      <c r="BP120" s="31" t="str" cm="1">
        <f t="array" ref="BP120">IFERROR(""&amp;INDEX(regNatjecatelj_klub,DY120),"")</f>
        <v>OK Varaždin</v>
      </c>
      <c r="BQ120" s="88" t="str">
        <f t="shared" si="110"/>
        <v/>
      </c>
      <c r="BR120" s="66" t="str">
        <f t="shared" si="111"/>
        <v>OK Varaždin</v>
      </c>
      <c r="BS120" s="47" t="s">
        <v>0</v>
      </c>
      <c r="BT120" s="82" t="str">
        <f>IF(BN120&lt;&gt;"NEMA","",IF(IFERROR(MATCH(BL120,BL$12:BL119,0),0)&lt;&gt;0,"",BL120))</f>
        <v/>
      </c>
      <c r="BU120" s="47" t="s">
        <v>0</v>
      </c>
      <c r="BV120" s="125"/>
      <c r="BW120" s="47" t="s">
        <v>0</v>
      </c>
      <c r="BX120" s="58" t="str">
        <f t="shared" si="112"/>
        <v/>
      </c>
      <c r="BY120" s="31" t="str">
        <f t="shared" si="113"/>
        <v/>
      </c>
      <c r="BZ120" s="31" t="str">
        <f>IF(BY120="","",MAX(BZ$12:BZ119)+1)</f>
        <v/>
      </c>
      <c r="CA120" s="31" t="str">
        <f>IF(BY120="","",IF(AA120="","",IF(AA120="NEMA",AC120,AA120)))</f>
        <v/>
      </c>
      <c r="CB120" s="31" t="str">
        <f t="shared" si="114"/>
        <v/>
      </c>
      <c r="CC120" s="31" t="str">
        <f>IF(BV120="","",MAX(CC$12:CC119)+1)</f>
        <v/>
      </c>
      <c r="CD120" s="31" t="str">
        <f t="shared" si="115"/>
        <v/>
      </c>
      <c r="CE120" s="66" t="str">
        <f t="shared" si="116"/>
        <v/>
      </c>
      <c r="CF120" s="47" t="s">
        <v>0</v>
      </c>
      <c r="CG120" s="73" t="str">
        <f>IF(BN120="","",IF(BN120&lt;&gt;"NEMA","",IFERROR(INDEX(nat_klubAliasId,MATCH(BL120,nat_noviKluboviAliasi,0)),"")))</f>
        <v/>
      </c>
      <c r="CH120" s="47"/>
      <c r="CI120" s="19" t="str">
        <f t="shared" si="117"/>
        <v/>
      </c>
      <c r="CJ120" s="47" t="s">
        <v>0</v>
      </c>
      <c r="CK120" s="52" t="str">
        <f>IF(X120&lt;&gt;"NEMA","",IF(IFERROR(MATCH(W120,W$12:W119,0),0)&lt;&gt;0,"",W120))</f>
        <v/>
      </c>
      <c r="CL120" s="73" t="str">
        <f>IF(CK120="","",IFERROR(INDEX(regKlub_alias_id,MATCH(CK120,regKlub_alias_alias,0)),"NEMA"))</f>
        <v/>
      </c>
      <c r="CM120" s="31" t="str">
        <f>IF(OR(CL120="",CL120&lt;&gt;"NEMA"),"",MAX(CM$12:CM119)+1)</f>
        <v/>
      </c>
      <c r="CN120" s="66" t="str">
        <f>IF(OR(CL120="",CL120&lt;&gt;"NEMA"),"",INDEX(regKlub_id,MATCH(CK120,regKlub_naziv,0)))</f>
        <v/>
      </c>
      <c r="CO120" s="47" t="s">
        <v>0</v>
      </c>
      <c r="CP120" s="19" t="str">
        <f>IF(OR(CL120="",CL120&lt;&gt;"NEMA"),"","INSERT INTO klub_alias(id,alias,klub_id) VALUES ("&amp;CM120&amp;",'"&amp;CK120&amp;"',"&amp;CN120&amp;");")</f>
        <v/>
      </c>
      <c r="CQ120" s="47" t="s">
        <v>0</v>
      </c>
      <c r="CR120" s="143" t="str">
        <f>IF(BR120="","",IF(BV120="",IF(IFERROR(MATCH(BR120,nat_noviKluboviAliasi,0),0)&gt;0,INDEX(nat_kluboviAliasi,MATCH(BR120,nat_noviKluboviAliasi,0)),BR120),BV120))</f>
        <v>OK Varaždin</v>
      </c>
      <c r="CS120" s="47" t="s">
        <v>0</v>
      </c>
      <c r="CT120" s="58" t="str">
        <f>IF(G120="","",G120)</f>
        <v>78:12</v>
      </c>
      <c r="CU120" s="73" t="str">
        <f>IF(H120="","",H120)</f>
        <v>0</v>
      </c>
      <c r="CV120" s="229" t="str">
        <f>IF(CT120="",IF(OR(AL120="",CU120&lt;&gt;"0"),"","GREŠKA"),IF(AND(65535&gt;=VALUE(LEFT(CT120,SEARCH(":",CT120)-1))*60+VALUE(RIGHT(CT120,2)),OR(CU120="0",CU120="1",CU120="2",CU120="3",CU120="4")),"","GREŠKA"))</f>
        <v/>
      </c>
      <c r="CW120" s="230">
        <f t="shared" si="71"/>
        <v>4692</v>
      </c>
      <c r="CX120" s="163">
        <f t="shared" si="87"/>
        <v>1</v>
      </c>
      <c r="CY120" s="47" t="s">
        <v>0</v>
      </c>
      <c r="CZ120" s="222" t="str">
        <f>IF(CV120&lt;&gt;"GREŠKA","",AK120&amp;" "&amp;AL120&amp;" – Molim u OEventu provjeriti i ispraviti rezultat – vrijeme ("&amp;IF(CT120="","nije upisano",CT120)&amp;") i classifier ("&amp;CU120&amp;").")&amp;IF(OR(CV120&lt;&gt;"GREŠKA",CX120&lt;&gt;5),"
","")&amp;IF(CX120&lt;&gt;5,"",AK120&amp;" "&amp;AL120&amp;" – Molim u provjeriti je li natjecatelj zaista diskvalificiran. Ako je koje je obrazloženje, ako nije molim u OEventu ispraviti rezultat")</f>
        <v xml:space="preserve">
</v>
      </c>
      <c r="DA120" s="223">
        <f t="shared" si="118"/>
        <v>6</v>
      </c>
      <c r="DB120" s="47" t="s">
        <v>0</v>
      </c>
      <c r="DC120" s="47"/>
      <c r="DD120" s="47"/>
      <c r="DE120" s="47"/>
      <c r="DF120" s="47" t="s">
        <v>0</v>
      </c>
      <c r="DG120" s="53" t="str">
        <f>IF(BD120="","",IF(DI120="O",1,""))</f>
        <v/>
      </c>
      <c r="DH120" t="s">
        <v>0</v>
      </c>
      <c r="DI120" s="128" t="str">
        <f>IF(Q120="","",LEFT(INDEX(regKategorija_oznaka,MATCH(S120,regKategorija_id,0)),1))</f>
        <v>M</v>
      </c>
      <c r="DJ120" t="s">
        <v>0</v>
      </c>
      <c r="DK120" s="52" t="str">
        <f>IF(BD120="","",IF(M120&lt;&gt;"CRO","","INSERT INTO osoba (id,reg_broj,oib,spol_id,dat_rodjenja) VALUES ("&amp;BD120&amp;",(SELECT max(os.reg_broj)+1 FROM osoba AS os),Null,'"&amp;DI120&amp;"',Null); INSERT INTO osoba_log (id,reg_broj,oib,spol_id,dat_rodjenja,dnevnik_id) SELECT id,reg_broj,oib,spol_id,dat_rodjenja,"&amp;data_dnevnik_id&amp;" FROM osoba WHERE id = "&amp;BD120&amp;";"))</f>
        <v/>
      </c>
      <c r="DL120" s="66" t="str">
        <f>IF(BD120="","","INSERT INTO imeprezime (id,osoba_id,rbr,ime,prezime,klub_id,identitet_id,sintaksa_id,info,aktivno,dnevnik_id) VALUES ("&amp;BD120&amp;","&amp;IF(DK120="","Null",BD120)&amp;",1,'"&amp;IF(AV120&lt;&gt;"",AV120,AK120)&amp;"','"&amp;IF(AW120&lt;&gt;"",AW120,AL120)&amp;"',(SELECT id FROM klub WHERE naziv = '"&amp;CR120&amp;"'),Null,1,'',1,"&amp;data_dnevnik_id&amp;");")</f>
        <v/>
      </c>
      <c r="DM120" t="s">
        <v>0</v>
      </c>
      <c r="DN120" s="19" t="str">
        <f t="shared" si="126"/>
        <v/>
      </c>
      <c r="DO120" s="47" t="s">
        <v>0</v>
      </c>
      <c r="DP120" s="19" t="str">
        <f>IF(BA120="","","INSERT INTO imeprezime_alias(id,alias,imeprezime_id) VALUES ("&amp;BB120&amp;",'"&amp;BA120&amp;"',"&amp;IF(BC120="NEMA",BD120,BC120)&amp;");")</f>
        <v/>
      </c>
      <c r="DQ120" s="47" t="s">
        <v>0</v>
      </c>
      <c r="DR120" s="52" t="str">
        <f>IF(AL120="","",DU120 &amp; IF(Q120="",""," – " &amp; Q120))</f>
        <v>Miroslav – Hainž – OK Varaždin – M35</v>
      </c>
      <c r="DS120" s="53">
        <f t="shared" si="88"/>
        <v>535</v>
      </c>
      <c r="DT120" s="47" t="s">
        <v>0</v>
      </c>
      <c r="DU120" s="52" t="str">
        <f>IF(AL120="","",DX120 &amp; IF(CR120="",""," – " &amp; CR120))</f>
        <v>Miroslav – Hainž – OK Varaždin</v>
      </c>
      <c r="DV120" s="53">
        <f t="shared" si="89"/>
        <v>535</v>
      </c>
      <c r="DW120" s="47" t="s">
        <v>0</v>
      </c>
      <c r="DX120" s="52" t="str">
        <f>IF(BG120="","",BF120&amp;" – "&amp;BG120)</f>
        <v>Miroslav – Hainž</v>
      </c>
      <c r="DY120" s="53">
        <f t="shared" si="90"/>
        <v>535</v>
      </c>
      <c r="DZ120" s="47" t="s">
        <v>0</v>
      </c>
      <c r="EA120" s="58">
        <f t="shared" si="119"/>
        <v>535</v>
      </c>
      <c r="EB120" s="53" cm="1">
        <f t="array" ref="EB120">IF(EA120&lt;&gt;"",INDEX(regNatjecatelj_id,EA120,0),IF(BD120&lt;&gt;"",BD120,""))</f>
        <v>1151</v>
      </c>
      <c r="EC120" s="47" t="s">
        <v>0</v>
      </c>
      <c r="ED120" s="58" t="str">
        <f>IF(AL120="","",IF(BD120&lt;&gt;"","novo",IF(AN120="","imepre","imepre(ali)")))</f>
        <v>imepre</v>
      </c>
      <c r="EE120" s="73" t="str">
        <f>IF(AL120="","",IF(BL120="",IF(IFERROR(INDEX(regNatjecatelj_klub,MATCH(EB120,regNatjecatelj_id,0)),"NEMA")="","klu",""),IF(OR(AND(BN120&lt;&gt;"",BN120&lt;&gt;"NEMA"),CD120&lt;&gt;""),"klu(ali)",IF(AND(BP120&lt;&gt;"",BP120&lt;&gt;BO120),"(raz-klu)","klu"))))</f>
        <v>klu</v>
      </c>
      <c r="EF120" s="73" t="str">
        <f>IF(AL120="","","kat"&amp;IF(AND(W120&lt;&gt;Q120,Q120&lt;&gt;"Open"),"(ali)",""))</f>
        <v>kat</v>
      </c>
      <c r="EG120" s="73" t="str">
        <f t="shared" si="91"/>
        <v/>
      </c>
      <c r="EH120" s="66" t="str">
        <f>IF(AL120="","",ED120&amp;IF(ED120="novo","","-"&amp;EE120&amp;"-"&amp;EF120)&amp;IF(EG120="","","-"&amp;EG120))</f>
        <v>imepre-klu-kat</v>
      </c>
      <c r="EI120" s="47" t="s">
        <v>0</v>
      </c>
      <c r="EJ120" s="58">
        <f>IF(AL120="","",MAX(EJ$12:EJ119)+1)</f>
        <v>288</v>
      </c>
      <c r="EK120" s="73">
        <f>IF(AO120="","",X120)</f>
        <v>29</v>
      </c>
      <c r="EL120" s="73">
        <f t="shared" si="120"/>
        <v>1151</v>
      </c>
      <c r="EM120" s="73">
        <f t="shared" si="92"/>
        <v>4692</v>
      </c>
      <c r="EN120" s="73">
        <f t="shared" si="93"/>
        <v>1</v>
      </c>
      <c r="EO120" s="73">
        <f t="shared" si="121"/>
        <v>1</v>
      </c>
      <c r="EP120" s="73">
        <f t="shared" si="122"/>
        <v>1</v>
      </c>
      <c r="EQ120" s="73" t="str">
        <f t="shared" si="94"/>
        <v>0</v>
      </c>
      <c r="ER120" s="73" t="str">
        <f>IF(OR(AN120="",AN120="NEMA"),BB120,AN120)</f>
        <v/>
      </c>
      <c r="ES120" s="73" t="str">
        <f>IF(AND(BN120&lt;&gt;"",BN120&lt;&gt;"NEMA"),BN120,IF(CG120&lt;&gt;"",CG120,IF(AND(CL120&lt;&gt;"",CL120&lt;&gt;"NEMA"),CL120,IF(CM120&lt;&gt;"",CM120,""))))</f>
        <v/>
      </c>
      <c r="ET120" s="53" t="str">
        <f>IF(INDEX(natKategorija_alias_Id,MATCH(S120,natKategorija_katRegId,0))="","",INDEX(natKategorija_alias_Id,MATCH(S120,natKategorija_katRegId,0)))</f>
        <v/>
      </c>
      <c r="EU120" s="47" t="s">
        <v>0</v>
      </c>
      <c r="EV120" s="19" t="str">
        <f t="shared" si="123"/>
        <v>INSERT INTO rezultat(id,stazakategorija_id,imeprezime_id,vrijeme_sec,status_id,registracija,uparivanje_id,originalstatus_id,imeprezimealias_id,klubalias_id,kategorijaalias_id) VALUES (288,29,1151,4692,1,1,1,0,Null,Null,Null);</v>
      </c>
      <c r="EW120" s="47" t="s">
        <v>0</v>
      </c>
      <c r="EX120" s="19" t="str">
        <f t="shared" si="124"/>
        <v>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0" s="47" t="s">
        <v>0</v>
      </c>
      <c r="EZ120" s="180" t="str">
        <f>AG120&amp;IF(CP120="","","
")&amp;CP120&amp;IF(CI120="","","
")&amp;CI120&amp;IF(DN120="","","
")&amp;DN120&amp;IF(DP120="","","
")&amp;DP120&amp;IF(EV120="","","
")&amp;EV120&amp;IF(EX120="","","
")&amp;EX120</f>
        <v xml:space="preserve">
INSERT INTO rezultat(id,stazakategorija_id,imeprezime_id,vrijeme_sec,status_id,registracija,uparivanje_id,originalstatus_id,imeprezimealias_id,klubalias_id,kategorijaalias_id) VALUES (288,29,1151,4692,1,1,1,0,Null,Null,Null);
UPDATE
	registar
SET
	potvrda = 1
WHERE
	imeprezime_id=1151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0" s="47" t="s">
        <v>0</v>
      </c>
    </row>
    <row r="121" spans="1:157" x14ac:dyDescent="0.25">
      <c r="A121" t="s">
        <v>0</v>
      </c>
      <c r="B121" s="52" t="str">
        <f>IF(csv!F111="","",csv!T111)</f>
        <v>M35</v>
      </c>
      <c r="C121" s="31" t="s">
        <v>0</v>
      </c>
      <c r="D121" s="31" t="str">
        <f>IF(csv!F111="","",csv!F111)</f>
        <v>Tomislav</v>
      </c>
      <c r="E121" s="31" t="str">
        <f>IF(csv!E111="","",csv!E111)</f>
        <v>Meštrović</v>
      </c>
      <c r="F121" s="31" t="s">
        <v>0</v>
      </c>
      <c r="G121" s="73" t="str">
        <f>IF(csv!M111="","",csv!M111)</f>
        <v>79:32</v>
      </c>
      <c r="H121" s="73" t="str">
        <f>IF(csv!N111="","",csv!N111)</f>
        <v>0</v>
      </c>
      <c r="I121" s="31" t="s">
        <v>0</v>
      </c>
      <c r="J121" s="31" t="str">
        <f>IF(csv!P111="","",csv!P111)</f>
        <v>KAP</v>
      </c>
      <c r="K121" s="31" t="str">
        <f>IF(csv!Q111="","",csv!Q111)</f>
        <v>OK Kapela</v>
      </c>
      <c r="L121" s="31" t="s">
        <v>0</v>
      </c>
      <c r="M121" s="66" t="str">
        <f>IF(csv!R111="","",csv!R111)</f>
        <v>CRO</v>
      </c>
      <c r="N121" s="47" t="s">
        <v>0</v>
      </c>
      <c r="O121" s="243" t="str">
        <f t="shared" si="95"/>
        <v>ok</v>
      </c>
      <c r="P121" s="47"/>
      <c r="Q121" s="52" t="str">
        <f t="shared" si="96"/>
        <v>M35</v>
      </c>
      <c r="R121" s="73">
        <f>IF(Q121="","",IF(COUNTIF(Q$12:Q120,Q121)=0,R120+1,R120))</f>
        <v>7</v>
      </c>
      <c r="S121" s="73">
        <f t="shared" si="97"/>
        <v>107</v>
      </c>
      <c r="T121" s="73">
        <f t="shared" si="72"/>
        <v>18</v>
      </c>
      <c r="U121" s="66" t="str">
        <f t="shared" si="73"/>
        <v>M35</v>
      </c>
      <c r="V121" s="47" t="s">
        <v>0</v>
      </c>
      <c r="W121" s="222" t="str">
        <f t="shared" si="74"/>
        <v>M35</v>
      </c>
      <c r="X121" s="223">
        <f t="shared" si="75"/>
        <v>29</v>
      </c>
      <c r="Y121" s="47" t="s">
        <v>0</v>
      </c>
      <c r="Z121" s="52" t="str">
        <f t="shared" si="98"/>
        <v>CRO</v>
      </c>
      <c r="AA121" s="73">
        <f t="shared" si="76"/>
        <v>1</v>
      </c>
      <c r="AB121" s="31" t="str">
        <f t="shared" si="99"/>
        <v/>
      </c>
      <c r="AC121" s="66" t="str">
        <f>IF(AB121="","",MAX(AC$12:AC120)+1)</f>
        <v/>
      </c>
      <c r="AD121" s="47" t="s">
        <v>0</v>
      </c>
      <c r="AE121" s="125"/>
      <c r="AF121" s="47" t="s">
        <v>0</v>
      </c>
      <c r="AG121" s="19" t="str">
        <f t="shared" si="100"/>
        <v/>
      </c>
      <c r="AH121" s="47" t="s">
        <v>0</v>
      </c>
      <c r="AI121" s="143" t="str">
        <f t="shared" si="101"/>
        <v>CRO</v>
      </c>
      <c r="AJ121" s="47"/>
      <c r="AK121" s="52" t="str">
        <f t="shared" si="102"/>
        <v>Tomislav</v>
      </c>
      <c r="AL121" s="31" t="str">
        <f t="shared" si="103"/>
        <v>Meštrović</v>
      </c>
      <c r="AM121" s="73">
        <f t="shared" si="104"/>
        <v>1367</v>
      </c>
      <c r="AN121" s="73" t="str">
        <f t="shared" si="105"/>
        <v/>
      </c>
      <c r="AO121" s="31" t="str">
        <f t="shared" si="77"/>
        <v>Tomislav</v>
      </c>
      <c r="AP121" s="66" t="str">
        <f t="shared" si="78"/>
        <v>Meštrović</v>
      </c>
      <c r="AQ121" s="47" t="s">
        <v>0</v>
      </c>
      <c r="AR121" s="82" t="str">
        <f t="shared" si="106"/>
        <v/>
      </c>
      <c r="AS121" s="47" t="s">
        <v>0</v>
      </c>
      <c r="AT121" s="19" t="str">
        <f t="shared" si="107"/>
        <v/>
      </c>
      <c r="AU121" s="47" t="s">
        <v>0</v>
      </c>
      <c r="AV121" s="103"/>
      <c r="AW121" s="105"/>
      <c r="AX121" s="47" t="s">
        <v>0</v>
      </c>
      <c r="AY121" s="256" t="str">
        <f t="shared" si="125"/>
        <v/>
      </c>
      <c r="AZ121" s="47" t="s">
        <v>0</v>
      </c>
      <c r="BA121" s="52" t="str">
        <f t="shared" si="79"/>
        <v/>
      </c>
      <c r="BB121" s="73" t="str">
        <f>IF(AV121&amp;AW121="","",MAX(BB$12:BB120)+1)</f>
        <v/>
      </c>
      <c r="BC121" s="268" t="str">
        <f t="shared" si="80"/>
        <v/>
      </c>
      <c r="BD121" s="53" t="str">
        <f>IF(AND(AM121="NEMA",AN121="NEMA",OR(AV121&amp;AW121="",BC121="NEMA")),MAX(BD$12:BD120)+1,"")</f>
        <v/>
      </c>
      <c r="BE121" s="47" t="s">
        <v>0</v>
      </c>
      <c r="BF121" s="52" t="str">
        <f t="shared" si="81"/>
        <v>Tomislav</v>
      </c>
      <c r="BG121" s="31" t="str">
        <f t="shared" si="82"/>
        <v>Meštrović</v>
      </c>
      <c r="BH121" s="73" t="str">
        <f t="shared" si="108"/>
        <v/>
      </c>
      <c r="BI121" s="53">
        <f t="shared" si="109"/>
        <v>1367</v>
      </c>
      <c r="BJ121" s="47" t="s">
        <v>0</v>
      </c>
      <c r="BK121" s="52" t="str">
        <f t="shared" si="83"/>
        <v>KAP</v>
      </c>
      <c r="BL121" s="31" t="str">
        <f t="shared" si="84"/>
        <v>OK Kapela</v>
      </c>
      <c r="BM121" s="73">
        <f t="shared" si="85"/>
        <v>5</v>
      </c>
      <c r="BN121" s="73" t="str">
        <f t="shared" si="86"/>
        <v/>
      </c>
      <c r="BO121" s="31" t="str" cm="1">
        <f t="array" ref="BO121">IF(BN121="",""&amp;BL121,IF(BN121="NEMA",BL121,INDEX(regKlub_naziv,MATCH(INDEX(regKlub_alias_klubId,BN121),regKlub_id,0))))</f>
        <v>OK Kapela</v>
      </c>
      <c r="BP121" s="31" t="str" cm="1">
        <f t="array" ref="BP121">IFERROR(""&amp;INDEX(regNatjecatelj_klub,DY121),"")</f>
        <v>OK Kapela</v>
      </c>
      <c r="BQ121" s="88" t="str">
        <f t="shared" si="110"/>
        <v/>
      </c>
      <c r="BR121" s="66" t="str">
        <f t="shared" si="111"/>
        <v>OK Kapela</v>
      </c>
      <c r="BS121" s="47" t="s">
        <v>0</v>
      </c>
      <c r="BT121" s="82" t="str">
        <f>IF(BN121&lt;&gt;"NEMA","",IF(IFERROR(MATCH(BL121,BL$12:BL120,0),0)&lt;&gt;0,"",BL121))</f>
        <v/>
      </c>
      <c r="BU121" s="47" t="s">
        <v>0</v>
      </c>
      <c r="BV121" s="125"/>
      <c r="BW121" s="47" t="s">
        <v>0</v>
      </c>
      <c r="BX121" s="58" t="str">
        <f t="shared" si="112"/>
        <v/>
      </c>
      <c r="BY121" s="31" t="str">
        <f t="shared" si="113"/>
        <v/>
      </c>
      <c r="BZ121" s="31" t="str">
        <f>IF(BY121="","",MAX(BZ$12:BZ120)+1)</f>
        <v/>
      </c>
      <c r="CA121" s="31" t="str">
        <f>IF(BY121="","",IF(AA121="","",IF(AA121="NEMA",AC121,AA121)))</f>
        <v/>
      </c>
      <c r="CB121" s="31" t="str">
        <f t="shared" si="114"/>
        <v/>
      </c>
      <c r="CC121" s="31" t="str">
        <f>IF(BV121="","",MAX(CC$12:CC120)+1)</f>
        <v/>
      </c>
      <c r="CD121" s="31" t="str">
        <f t="shared" si="115"/>
        <v/>
      </c>
      <c r="CE121" s="66" t="str">
        <f t="shared" si="116"/>
        <v/>
      </c>
      <c r="CF121" s="47" t="s">
        <v>0</v>
      </c>
      <c r="CG121" s="73" t="str">
        <f>IF(BN121="","",IF(BN121&lt;&gt;"NEMA","",IFERROR(INDEX(nat_klubAliasId,MATCH(BL121,nat_noviKluboviAliasi,0)),"")))</f>
        <v/>
      </c>
      <c r="CH121" s="47"/>
      <c r="CI121" s="19" t="str">
        <f t="shared" si="117"/>
        <v/>
      </c>
      <c r="CJ121" s="47" t="s">
        <v>0</v>
      </c>
      <c r="CK121" s="52" t="str">
        <f>IF(X121&lt;&gt;"NEMA","",IF(IFERROR(MATCH(W121,W$12:W120,0),0)&lt;&gt;0,"",W121))</f>
        <v/>
      </c>
      <c r="CL121" s="73" t="str">
        <f>IF(CK121="","",IFERROR(INDEX(regKlub_alias_id,MATCH(CK121,regKlub_alias_alias,0)),"NEMA"))</f>
        <v/>
      </c>
      <c r="CM121" s="31" t="str">
        <f>IF(OR(CL121="",CL121&lt;&gt;"NEMA"),"",MAX(CM$12:CM120)+1)</f>
        <v/>
      </c>
      <c r="CN121" s="66" t="str">
        <f>IF(OR(CL121="",CL121&lt;&gt;"NEMA"),"",INDEX(regKlub_id,MATCH(CK121,regKlub_naziv,0)))</f>
        <v/>
      </c>
      <c r="CO121" s="47" t="s">
        <v>0</v>
      </c>
      <c r="CP121" s="19" t="str">
        <f>IF(OR(CL121="",CL121&lt;&gt;"NEMA"),"","INSERT INTO klub_alias(id,alias,klub_id) VALUES ("&amp;CM121&amp;",'"&amp;CK121&amp;"',"&amp;CN121&amp;");")</f>
        <v/>
      </c>
      <c r="CQ121" s="47" t="s">
        <v>0</v>
      </c>
      <c r="CR121" s="143" t="str">
        <f>IF(BR121="","",IF(BV121="",IF(IFERROR(MATCH(BR121,nat_noviKluboviAliasi,0),0)&gt;0,INDEX(nat_kluboviAliasi,MATCH(BR121,nat_noviKluboviAliasi,0)),BR121),BV121))</f>
        <v>OK Kapela</v>
      </c>
      <c r="CS121" s="47" t="s">
        <v>0</v>
      </c>
      <c r="CT121" s="58" t="str">
        <f>IF(G121="","",G121)</f>
        <v>79:32</v>
      </c>
      <c r="CU121" s="73" t="str">
        <f>IF(H121="","",H121)</f>
        <v>0</v>
      </c>
      <c r="CV121" s="229" t="str">
        <f>IF(CT121="",IF(OR(AL121="",CU121&lt;&gt;"0"),"","GREŠKA"),IF(AND(65535&gt;=VALUE(LEFT(CT121,SEARCH(":",CT121)-1))*60+VALUE(RIGHT(CT121,2)),OR(CU121="0",CU121="1",CU121="2",CU121="3",CU121="4")),"","GREŠKA"))</f>
        <v/>
      </c>
      <c r="CW121" s="230">
        <f t="shared" si="71"/>
        <v>4772</v>
      </c>
      <c r="CX121" s="163">
        <f t="shared" si="87"/>
        <v>1</v>
      </c>
      <c r="CY121" s="47" t="s">
        <v>0</v>
      </c>
      <c r="CZ121" s="222" t="str">
        <f>IF(CV121&lt;&gt;"GREŠKA","",AK121&amp;" "&amp;AL121&amp;" – Molim u OEventu provjeriti i ispraviti rezultat – vrijeme ("&amp;IF(CT121="","nije upisano",CT121)&amp;") i classifier ("&amp;CU121&amp;").")&amp;IF(OR(CV121&lt;&gt;"GREŠKA",CX121&lt;&gt;5),"
","")&amp;IF(CX121&lt;&gt;5,"",AK121&amp;" "&amp;AL121&amp;" – Molim u provjeriti je li natjecatelj zaista diskvalificiran. Ako je koje je obrazloženje, ako nije molim u OEventu ispraviti rezultat")</f>
        <v xml:space="preserve">
</v>
      </c>
      <c r="DA121" s="223">
        <f t="shared" si="118"/>
        <v>6</v>
      </c>
      <c r="DB121" s="47" t="s">
        <v>0</v>
      </c>
      <c r="DC121" s="47"/>
      <c r="DD121" s="47"/>
      <c r="DE121" s="47"/>
      <c r="DF121" s="47" t="s">
        <v>0</v>
      </c>
      <c r="DG121" s="53" t="str">
        <f>IF(BD121="","",IF(DI121="O",1,""))</f>
        <v/>
      </c>
      <c r="DH121" t="s">
        <v>0</v>
      </c>
      <c r="DI121" s="128" t="str">
        <f>IF(Q121="","",LEFT(INDEX(regKategorija_oznaka,MATCH(S121,regKategorija_id,0)),1))</f>
        <v>M</v>
      </c>
      <c r="DJ121" t="s">
        <v>0</v>
      </c>
      <c r="DK121" s="52" t="str">
        <f>IF(BD121="","",IF(M121&lt;&gt;"CRO","","INSERT INTO osoba (id,reg_broj,oib,spol_id,dat_rodjenja) VALUES ("&amp;BD121&amp;",(SELECT max(os.reg_broj)+1 FROM osoba AS os),Null,'"&amp;DI121&amp;"',Null); INSERT INTO osoba_log (id,reg_broj,oib,spol_id,dat_rodjenja,dnevnik_id) SELECT id,reg_broj,oib,spol_id,dat_rodjenja,"&amp;data_dnevnik_id&amp;" FROM osoba WHERE id = "&amp;BD121&amp;";"))</f>
        <v/>
      </c>
      <c r="DL121" s="66" t="str">
        <f>IF(BD121="","","INSERT INTO imeprezime (id,osoba_id,rbr,ime,prezime,klub_id,identitet_id,sintaksa_id,info,aktivno,dnevnik_id) VALUES ("&amp;BD121&amp;","&amp;IF(DK121="","Null",BD121)&amp;",1,'"&amp;IF(AV121&lt;&gt;"",AV121,AK121)&amp;"','"&amp;IF(AW121&lt;&gt;"",AW121,AL121)&amp;"',(SELECT id FROM klub WHERE naziv = '"&amp;CR121&amp;"'),Null,1,'',1,"&amp;data_dnevnik_id&amp;");")</f>
        <v/>
      </c>
      <c r="DM121" t="s">
        <v>0</v>
      </c>
      <c r="DN121" s="19" t="str">
        <f t="shared" si="126"/>
        <v/>
      </c>
      <c r="DO121" s="47" t="s">
        <v>0</v>
      </c>
      <c r="DP121" s="19" t="str">
        <f>IF(BA121="","","INSERT INTO imeprezime_alias(id,alias,imeprezime_id) VALUES ("&amp;BB121&amp;",'"&amp;BA121&amp;"',"&amp;IF(BC121="NEMA",BD121,BC121)&amp;");")</f>
        <v/>
      </c>
      <c r="DQ121" s="47" t="s">
        <v>0</v>
      </c>
      <c r="DR121" s="52" t="str">
        <f>IF(AL121="","",DU121 &amp; IF(Q121="",""," – " &amp; Q121))</f>
        <v>Tomislav – Meštrović – OK Kapela – M35</v>
      </c>
      <c r="DS121" s="53">
        <f t="shared" si="88"/>
        <v>280</v>
      </c>
      <c r="DT121" s="47" t="s">
        <v>0</v>
      </c>
      <c r="DU121" s="52" t="str">
        <f>IF(AL121="","",DX121 &amp; IF(CR121="",""," – " &amp; CR121))</f>
        <v>Tomislav – Meštrović – OK Kapela</v>
      </c>
      <c r="DV121" s="53">
        <f t="shared" si="89"/>
        <v>280</v>
      </c>
      <c r="DW121" s="47" t="s">
        <v>0</v>
      </c>
      <c r="DX121" s="52" t="str">
        <f>IF(BG121="","",BF121&amp;" – "&amp;BG121)</f>
        <v>Tomislav – Meštrović</v>
      </c>
      <c r="DY121" s="53">
        <f t="shared" si="90"/>
        <v>280</v>
      </c>
      <c r="DZ121" s="47" t="s">
        <v>0</v>
      </c>
      <c r="EA121" s="58">
        <f t="shared" si="119"/>
        <v>280</v>
      </c>
      <c r="EB121" s="53" cm="1">
        <f t="array" ref="EB121">IF(EA121&lt;&gt;"",INDEX(regNatjecatelj_id,EA121,0),IF(BD121&lt;&gt;"",BD121,""))</f>
        <v>1367</v>
      </c>
      <c r="EC121" s="47" t="s">
        <v>0</v>
      </c>
      <c r="ED121" s="58" t="str">
        <f>IF(AL121="","",IF(BD121&lt;&gt;"","novo",IF(AN121="","imepre","imepre(ali)")))</f>
        <v>imepre</v>
      </c>
      <c r="EE121" s="73" t="str">
        <f>IF(AL121="","",IF(BL121="",IF(IFERROR(INDEX(regNatjecatelj_klub,MATCH(EB121,regNatjecatelj_id,0)),"NEMA")="","klu",""),IF(OR(AND(BN121&lt;&gt;"",BN121&lt;&gt;"NEMA"),CD121&lt;&gt;""),"klu(ali)",IF(AND(BP121&lt;&gt;"",BP121&lt;&gt;BO121),"(raz-klu)","klu"))))</f>
        <v>klu</v>
      </c>
      <c r="EF121" s="73" t="str">
        <f>IF(AL121="","","kat"&amp;IF(AND(W121&lt;&gt;Q121,Q121&lt;&gt;"Open"),"(ali)",""))</f>
        <v>kat</v>
      </c>
      <c r="EG121" s="73" t="str">
        <f t="shared" si="91"/>
        <v/>
      </c>
      <c r="EH121" s="66" t="str">
        <f>IF(AL121="","",ED121&amp;IF(ED121="novo","","-"&amp;EE121&amp;"-"&amp;EF121)&amp;IF(EG121="","","-"&amp;EG121))</f>
        <v>imepre-klu-kat</v>
      </c>
      <c r="EI121" s="47" t="s">
        <v>0</v>
      </c>
      <c r="EJ121" s="58">
        <f>IF(AL121="","",MAX(EJ$12:EJ120)+1)</f>
        <v>289</v>
      </c>
      <c r="EK121" s="73">
        <f>IF(AO121="","",X121)</f>
        <v>29</v>
      </c>
      <c r="EL121" s="73">
        <f t="shared" si="120"/>
        <v>1367</v>
      </c>
      <c r="EM121" s="73">
        <f t="shared" si="92"/>
        <v>4772</v>
      </c>
      <c r="EN121" s="73">
        <f t="shared" si="93"/>
        <v>1</v>
      </c>
      <c r="EO121" s="73">
        <f t="shared" si="121"/>
        <v>1</v>
      </c>
      <c r="EP121" s="73">
        <f t="shared" si="122"/>
        <v>1</v>
      </c>
      <c r="EQ121" s="73" t="str">
        <f t="shared" si="94"/>
        <v>0</v>
      </c>
      <c r="ER121" s="73" t="str">
        <f>IF(OR(AN121="",AN121="NEMA"),BB121,AN121)</f>
        <v/>
      </c>
      <c r="ES121" s="73" t="str">
        <f>IF(AND(BN121&lt;&gt;"",BN121&lt;&gt;"NEMA"),BN121,IF(CG121&lt;&gt;"",CG121,IF(AND(CL121&lt;&gt;"",CL121&lt;&gt;"NEMA"),CL121,IF(CM121&lt;&gt;"",CM121,""))))</f>
        <v/>
      </c>
      <c r="ET121" s="53" t="str">
        <f>IF(INDEX(natKategorija_alias_Id,MATCH(S121,natKategorija_katRegId,0))="","",INDEX(natKategorija_alias_Id,MATCH(S121,natKategorija_katRegId,0)))</f>
        <v/>
      </c>
      <c r="EU121" s="47" t="s">
        <v>0</v>
      </c>
      <c r="EV121" s="19" t="str">
        <f t="shared" si="123"/>
        <v>INSERT INTO rezultat(id,stazakategorija_id,imeprezime_id,vrijeme_sec,status_id,registracija,uparivanje_id,originalstatus_id,imeprezimealias_id,klubalias_id,kategorijaalias_id) VALUES (289,29,1367,4772,1,1,1,0,Null,Null,Null);</v>
      </c>
      <c r="EW121" s="47" t="s">
        <v>0</v>
      </c>
      <c r="EX121" s="19" t="str">
        <f t="shared" si="124"/>
        <v>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1" s="47" t="s">
        <v>0</v>
      </c>
      <c r="EZ121" s="180" t="str">
        <f>AG121&amp;IF(CP121="","","
")&amp;CP121&amp;IF(CI121="","","
")&amp;CI121&amp;IF(DN121="","","
")&amp;DN121&amp;IF(DP121="","","
")&amp;DP121&amp;IF(EV121="","","
")&amp;EV121&amp;IF(EX121="","","
")&amp;EX121</f>
        <v xml:space="preserve">
INSERT INTO rezultat(id,stazakategorija_id,imeprezime_id,vrijeme_sec,status_id,registracija,uparivanje_id,originalstatus_id,imeprezimealias_id,klubalias_id,kategorijaalias_id) VALUES (289,29,1367,4772,1,1,1,0,Null,Null,Null);
UPDATE
	registar
SET
	potvrda = 1
WHERE
	imeprezime_id=1367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1" s="47" t="s">
        <v>0</v>
      </c>
    </row>
    <row r="122" spans="1:157" x14ac:dyDescent="0.25">
      <c r="A122" t="s">
        <v>0</v>
      </c>
      <c r="B122" s="52" t="str">
        <f>IF(csv!F112="","",csv!T112)</f>
        <v>M35</v>
      </c>
      <c r="C122" s="31" t="s">
        <v>0</v>
      </c>
      <c r="D122" s="31" t="str">
        <f>IF(csv!F112="","",csv!F112)</f>
        <v>Marko</v>
      </c>
      <c r="E122" s="31" t="str">
        <f>IF(csv!E112="","",csv!E112)</f>
        <v>Bunčić</v>
      </c>
      <c r="F122" s="31" t="s">
        <v>0</v>
      </c>
      <c r="G122" s="73" t="str">
        <f>IF(csv!M112="","",csv!M112)</f>
        <v>81:36</v>
      </c>
      <c r="H122" s="73" t="str">
        <f>IF(csv!N112="","",csv!N112)</f>
        <v>0</v>
      </c>
      <c r="I122" s="31" t="s">
        <v>0</v>
      </c>
      <c r="J122" s="31" t="str">
        <f>IF(csv!P112="","",csv!P112)</f>
        <v>KAP</v>
      </c>
      <c r="K122" s="31" t="str">
        <f>IF(csv!Q112="","",csv!Q112)</f>
        <v>OK Kapela</v>
      </c>
      <c r="L122" s="31" t="s">
        <v>0</v>
      </c>
      <c r="M122" s="66" t="str">
        <f>IF(csv!R112="","",csv!R112)</f>
        <v>CRO</v>
      </c>
      <c r="N122" s="47" t="s">
        <v>0</v>
      </c>
      <c r="O122" s="243" t="str">
        <f t="shared" si="95"/>
        <v>ok</v>
      </c>
      <c r="P122" s="47"/>
      <c r="Q122" s="52" t="str">
        <f t="shared" si="96"/>
        <v>M35</v>
      </c>
      <c r="R122" s="73">
        <f>IF(Q122="","",IF(COUNTIF(Q$12:Q121,Q122)=0,R121+1,R121))</f>
        <v>7</v>
      </c>
      <c r="S122" s="73">
        <f t="shared" si="97"/>
        <v>107</v>
      </c>
      <c r="T122" s="73">
        <f t="shared" si="72"/>
        <v>18</v>
      </c>
      <c r="U122" s="66" t="str">
        <f t="shared" si="73"/>
        <v>M35</v>
      </c>
      <c r="V122" s="47" t="s">
        <v>0</v>
      </c>
      <c r="W122" s="222" t="str">
        <f t="shared" si="74"/>
        <v>M35</v>
      </c>
      <c r="X122" s="223">
        <f t="shared" si="75"/>
        <v>29</v>
      </c>
      <c r="Y122" s="47" t="s">
        <v>0</v>
      </c>
      <c r="Z122" s="52" t="str">
        <f t="shared" si="98"/>
        <v>CRO</v>
      </c>
      <c r="AA122" s="73">
        <f t="shared" si="76"/>
        <v>1</v>
      </c>
      <c r="AB122" s="31" t="str">
        <f t="shared" si="99"/>
        <v/>
      </c>
      <c r="AC122" s="66" t="str">
        <f>IF(AB122="","",MAX(AC$12:AC121)+1)</f>
        <v/>
      </c>
      <c r="AD122" s="47" t="s">
        <v>0</v>
      </c>
      <c r="AE122" s="125"/>
      <c r="AF122" s="47" t="s">
        <v>0</v>
      </c>
      <c r="AG122" s="19" t="str">
        <f t="shared" si="100"/>
        <v/>
      </c>
      <c r="AH122" s="47" t="s">
        <v>0</v>
      </c>
      <c r="AI122" s="143" t="str">
        <f t="shared" si="101"/>
        <v>CRO</v>
      </c>
      <c r="AJ122" s="47"/>
      <c r="AK122" s="52" t="str">
        <f t="shared" si="102"/>
        <v>Marko</v>
      </c>
      <c r="AL122" s="31" t="str">
        <f t="shared" si="103"/>
        <v>Bunčić</v>
      </c>
      <c r="AM122" s="73">
        <f t="shared" si="104"/>
        <v>1849</v>
      </c>
      <c r="AN122" s="73" t="str">
        <f t="shared" si="105"/>
        <v/>
      </c>
      <c r="AO122" s="31" t="str">
        <f t="shared" si="77"/>
        <v>Marko</v>
      </c>
      <c r="AP122" s="66" t="str">
        <f t="shared" si="78"/>
        <v>Bunčić</v>
      </c>
      <c r="AQ122" s="47" t="s">
        <v>0</v>
      </c>
      <c r="AR122" s="82" t="str">
        <f t="shared" si="106"/>
        <v/>
      </c>
      <c r="AS122" s="47" t="s">
        <v>0</v>
      </c>
      <c r="AT122" s="19" t="str">
        <f t="shared" si="107"/>
        <v/>
      </c>
      <c r="AU122" s="47" t="s">
        <v>0</v>
      </c>
      <c r="AV122" s="103"/>
      <c r="AW122" s="105"/>
      <c r="AX122" s="47" t="s">
        <v>0</v>
      </c>
      <c r="AY122" s="256" t="str">
        <f t="shared" si="125"/>
        <v/>
      </c>
      <c r="AZ122" s="47" t="s">
        <v>0</v>
      </c>
      <c r="BA122" s="52" t="str">
        <f t="shared" si="79"/>
        <v/>
      </c>
      <c r="BB122" s="73" t="str">
        <f>IF(AV122&amp;AW122="","",MAX(BB$12:BB121)+1)</f>
        <v/>
      </c>
      <c r="BC122" s="268" t="str">
        <f t="shared" si="80"/>
        <v/>
      </c>
      <c r="BD122" s="53" t="str">
        <f>IF(AND(AM122="NEMA",AN122="NEMA",OR(AV122&amp;AW122="",BC122="NEMA")),MAX(BD$12:BD121)+1,"")</f>
        <v/>
      </c>
      <c r="BE122" s="47" t="s">
        <v>0</v>
      </c>
      <c r="BF122" s="52" t="str">
        <f t="shared" si="81"/>
        <v>Marko</v>
      </c>
      <c r="BG122" s="31" t="str">
        <f t="shared" si="82"/>
        <v>Bunčić</v>
      </c>
      <c r="BH122" s="73" t="str">
        <f t="shared" si="108"/>
        <v/>
      </c>
      <c r="BI122" s="53">
        <f t="shared" si="109"/>
        <v>1849</v>
      </c>
      <c r="BJ122" s="47" t="s">
        <v>0</v>
      </c>
      <c r="BK122" s="52" t="str">
        <f t="shared" si="83"/>
        <v>KAP</v>
      </c>
      <c r="BL122" s="31" t="str">
        <f t="shared" si="84"/>
        <v>OK Kapela</v>
      </c>
      <c r="BM122" s="73">
        <f t="shared" si="85"/>
        <v>5</v>
      </c>
      <c r="BN122" s="73" t="str">
        <f t="shared" si="86"/>
        <v/>
      </c>
      <c r="BO122" s="31" t="str" cm="1">
        <f t="array" ref="BO122">IF(BN122="",""&amp;BL122,IF(BN122="NEMA",BL122,INDEX(regKlub_naziv,MATCH(INDEX(regKlub_alias_klubId,BN122),regKlub_id,0))))</f>
        <v>OK Kapela</v>
      </c>
      <c r="BP122" s="31" t="str" cm="1">
        <f t="array" ref="BP122">IFERROR(""&amp;INDEX(regNatjecatelj_klub,DY122),"")</f>
        <v>OK Kapela</v>
      </c>
      <c r="BQ122" s="88" t="str">
        <f t="shared" si="110"/>
        <v/>
      </c>
      <c r="BR122" s="66" t="str">
        <f t="shared" si="111"/>
        <v>OK Kapela</v>
      </c>
      <c r="BS122" s="47" t="s">
        <v>0</v>
      </c>
      <c r="BT122" s="82" t="str">
        <f>IF(BN122&lt;&gt;"NEMA","",IF(IFERROR(MATCH(BL122,BL$12:BL121,0),0)&lt;&gt;0,"",BL122))</f>
        <v/>
      </c>
      <c r="BU122" s="47" t="s">
        <v>0</v>
      </c>
      <c r="BV122" s="125"/>
      <c r="BW122" s="47" t="s">
        <v>0</v>
      </c>
      <c r="BX122" s="58" t="str">
        <f t="shared" si="112"/>
        <v/>
      </c>
      <c r="BY122" s="31" t="str">
        <f t="shared" si="113"/>
        <v/>
      </c>
      <c r="BZ122" s="31" t="str">
        <f>IF(BY122="","",MAX(BZ$12:BZ121)+1)</f>
        <v/>
      </c>
      <c r="CA122" s="31" t="str">
        <f>IF(BY122="","",IF(AA122="","",IF(AA122="NEMA",AC122,AA122)))</f>
        <v/>
      </c>
      <c r="CB122" s="31" t="str">
        <f t="shared" si="114"/>
        <v/>
      </c>
      <c r="CC122" s="31" t="str">
        <f>IF(BV122="","",MAX(CC$12:CC121)+1)</f>
        <v/>
      </c>
      <c r="CD122" s="31" t="str">
        <f t="shared" si="115"/>
        <v/>
      </c>
      <c r="CE122" s="66" t="str">
        <f t="shared" si="116"/>
        <v/>
      </c>
      <c r="CF122" s="47" t="s">
        <v>0</v>
      </c>
      <c r="CG122" s="73" t="str">
        <f>IF(BN122="","",IF(BN122&lt;&gt;"NEMA","",IFERROR(INDEX(nat_klubAliasId,MATCH(BL122,nat_noviKluboviAliasi,0)),"")))</f>
        <v/>
      </c>
      <c r="CH122" s="47"/>
      <c r="CI122" s="19" t="str">
        <f t="shared" si="117"/>
        <v/>
      </c>
      <c r="CJ122" s="47" t="s">
        <v>0</v>
      </c>
      <c r="CK122" s="52" t="str">
        <f>IF(X122&lt;&gt;"NEMA","",IF(IFERROR(MATCH(W122,W$12:W121,0),0)&lt;&gt;0,"",W122))</f>
        <v/>
      </c>
      <c r="CL122" s="73" t="str">
        <f>IF(CK122="","",IFERROR(INDEX(regKlub_alias_id,MATCH(CK122,regKlub_alias_alias,0)),"NEMA"))</f>
        <v/>
      </c>
      <c r="CM122" s="31" t="str">
        <f>IF(OR(CL122="",CL122&lt;&gt;"NEMA"),"",MAX(CM$12:CM121)+1)</f>
        <v/>
      </c>
      <c r="CN122" s="66" t="str">
        <f>IF(OR(CL122="",CL122&lt;&gt;"NEMA"),"",INDEX(regKlub_id,MATCH(CK122,regKlub_naziv,0)))</f>
        <v/>
      </c>
      <c r="CO122" s="47" t="s">
        <v>0</v>
      </c>
      <c r="CP122" s="19" t="str">
        <f>IF(OR(CL122="",CL122&lt;&gt;"NEMA"),"","INSERT INTO klub_alias(id,alias,klub_id) VALUES ("&amp;CM122&amp;",'"&amp;CK122&amp;"',"&amp;CN122&amp;");")</f>
        <v/>
      </c>
      <c r="CQ122" s="47" t="s">
        <v>0</v>
      </c>
      <c r="CR122" s="143" t="str">
        <f>IF(BR122="","",IF(BV122="",IF(IFERROR(MATCH(BR122,nat_noviKluboviAliasi,0),0)&gt;0,INDEX(nat_kluboviAliasi,MATCH(BR122,nat_noviKluboviAliasi,0)),BR122),BV122))</f>
        <v>OK Kapela</v>
      </c>
      <c r="CS122" s="47" t="s">
        <v>0</v>
      </c>
      <c r="CT122" s="58" t="str">
        <f>IF(G122="","",G122)</f>
        <v>81:36</v>
      </c>
      <c r="CU122" s="73" t="str">
        <f>IF(H122="","",H122)</f>
        <v>0</v>
      </c>
      <c r="CV122" s="229" t="str">
        <f>IF(CT122="",IF(OR(AL122="",CU122&lt;&gt;"0"),"","GREŠKA"),IF(AND(65535&gt;=VALUE(LEFT(CT122,SEARCH(":",CT122)-1))*60+VALUE(RIGHT(CT122,2)),OR(CU122="0",CU122="1",CU122="2",CU122="3",CU122="4")),"","GREŠKA"))</f>
        <v/>
      </c>
      <c r="CW122" s="230">
        <f t="shared" si="71"/>
        <v>4896</v>
      </c>
      <c r="CX122" s="163">
        <f t="shared" si="87"/>
        <v>1</v>
      </c>
      <c r="CY122" s="47" t="s">
        <v>0</v>
      </c>
      <c r="CZ122" s="222" t="str">
        <f>IF(CV122&lt;&gt;"GREŠKA","",AK122&amp;" "&amp;AL122&amp;" – Molim u OEventu provjeriti i ispraviti rezultat – vrijeme ("&amp;IF(CT122="","nije upisano",CT122)&amp;") i classifier ("&amp;CU122&amp;").")&amp;IF(OR(CV122&lt;&gt;"GREŠKA",CX122&lt;&gt;5),"
","")&amp;IF(CX122&lt;&gt;5,"",AK122&amp;" "&amp;AL122&amp;" – Molim u provjeriti je li natjecatelj zaista diskvalificiran. Ako je koje je obrazloženje, ako nije molim u OEventu ispraviti rezultat")</f>
        <v xml:space="preserve">
</v>
      </c>
      <c r="DA122" s="223">
        <f t="shared" si="118"/>
        <v>6</v>
      </c>
      <c r="DB122" s="47" t="s">
        <v>0</v>
      </c>
      <c r="DC122" s="47"/>
      <c r="DD122" s="47"/>
      <c r="DE122" s="47"/>
      <c r="DF122" s="47" t="s">
        <v>0</v>
      </c>
      <c r="DG122" s="53" t="str">
        <f>IF(BD122="","",IF(DI122="O",1,""))</f>
        <v/>
      </c>
      <c r="DH122" t="s">
        <v>0</v>
      </c>
      <c r="DI122" s="128" t="str">
        <f>IF(Q122="","",LEFT(INDEX(regKategorija_oznaka,MATCH(S122,regKategorija_id,0)),1))</f>
        <v>M</v>
      </c>
      <c r="DJ122" t="s">
        <v>0</v>
      </c>
      <c r="DK122" s="52" t="str">
        <f>IF(BD122="","",IF(M122&lt;&gt;"CRO","","INSERT INTO osoba (id,reg_broj,oib,spol_id,dat_rodjenja) VALUES ("&amp;BD122&amp;",(SELECT max(os.reg_broj)+1 FROM osoba AS os),Null,'"&amp;DI122&amp;"',Null); INSERT INTO osoba_log (id,reg_broj,oib,spol_id,dat_rodjenja,dnevnik_id) SELECT id,reg_broj,oib,spol_id,dat_rodjenja,"&amp;data_dnevnik_id&amp;" FROM osoba WHERE id = "&amp;BD122&amp;";"))</f>
        <v/>
      </c>
      <c r="DL122" s="66" t="str">
        <f>IF(BD122="","","INSERT INTO imeprezime (id,osoba_id,rbr,ime,prezime,klub_id,identitet_id,sintaksa_id,info,aktivno,dnevnik_id) VALUES ("&amp;BD122&amp;","&amp;IF(DK122="","Null",BD122)&amp;",1,'"&amp;IF(AV122&lt;&gt;"",AV122,AK122)&amp;"','"&amp;IF(AW122&lt;&gt;"",AW122,AL122)&amp;"',(SELECT id FROM klub WHERE naziv = '"&amp;CR122&amp;"'),Null,1,'',1,"&amp;data_dnevnik_id&amp;");")</f>
        <v/>
      </c>
      <c r="DM122" t="s">
        <v>0</v>
      </c>
      <c r="DN122" s="19" t="str">
        <f t="shared" si="126"/>
        <v/>
      </c>
      <c r="DO122" s="47" t="s">
        <v>0</v>
      </c>
      <c r="DP122" s="19" t="str">
        <f>IF(BA122="","","INSERT INTO imeprezime_alias(id,alias,imeprezime_id) VALUES ("&amp;BB122&amp;",'"&amp;BA122&amp;"',"&amp;IF(BC122="NEMA",BD122,BC122)&amp;");")</f>
        <v/>
      </c>
      <c r="DQ122" s="47" t="s">
        <v>0</v>
      </c>
      <c r="DR122" s="52" t="str">
        <f>IF(AL122="","",DU122 &amp; IF(Q122="",""," – " &amp; Q122))</f>
        <v>Marko – Bunčić – OK Kapela – M35</v>
      </c>
      <c r="DS122" s="53">
        <f t="shared" si="88"/>
        <v>218</v>
      </c>
      <c r="DT122" s="47" t="s">
        <v>0</v>
      </c>
      <c r="DU122" s="52" t="str">
        <f>IF(AL122="","",DX122 &amp; IF(CR122="",""," – " &amp; CR122))</f>
        <v>Marko – Bunčić – OK Kapela</v>
      </c>
      <c r="DV122" s="53">
        <f t="shared" si="89"/>
        <v>218</v>
      </c>
      <c r="DW122" s="47" t="s">
        <v>0</v>
      </c>
      <c r="DX122" s="52" t="str">
        <f>IF(BG122="","",BF122&amp;" – "&amp;BG122)</f>
        <v>Marko – Bunčić</v>
      </c>
      <c r="DY122" s="53">
        <f t="shared" si="90"/>
        <v>218</v>
      </c>
      <c r="DZ122" s="47" t="s">
        <v>0</v>
      </c>
      <c r="EA122" s="58">
        <f t="shared" si="119"/>
        <v>218</v>
      </c>
      <c r="EB122" s="53" cm="1">
        <f t="array" ref="EB122">IF(EA122&lt;&gt;"",INDEX(regNatjecatelj_id,EA122,0),IF(BD122&lt;&gt;"",BD122,""))</f>
        <v>1849</v>
      </c>
      <c r="EC122" s="47" t="s">
        <v>0</v>
      </c>
      <c r="ED122" s="58" t="str">
        <f>IF(AL122="","",IF(BD122&lt;&gt;"","novo",IF(AN122="","imepre","imepre(ali)")))</f>
        <v>imepre</v>
      </c>
      <c r="EE122" s="73" t="str">
        <f>IF(AL122="","",IF(BL122="",IF(IFERROR(INDEX(regNatjecatelj_klub,MATCH(EB122,regNatjecatelj_id,0)),"NEMA")="","klu",""),IF(OR(AND(BN122&lt;&gt;"",BN122&lt;&gt;"NEMA"),CD122&lt;&gt;""),"klu(ali)",IF(AND(BP122&lt;&gt;"",BP122&lt;&gt;BO122),"(raz-klu)","klu"))))</f>
        <v>klu</v>
      </c>
      <c r="EF122" s="73" t="str">
        <f>IF(AL122="","","kat"&amp;IF(AND(W122&lt;&gt;Q122,Q122&lt;&gt;"Open"),"(ali)",""))</f>
        <v>kat</v>
      </c>
      <c r="EG122" s="73" t="str">
        <f t="shared" si="91"/>
        <v/>
      </c>
      <c r="EH122" s="66" t="str">
        <f>IF(AL122="","",ED122&amp;IF(ED122="novo","","-"&amp;EE122&amp;"-"&amp;EF122)&amp;IF(EG122="","","-"&amp;EG122))</f>
        <v>imepre-klu-kat</v>
      </c>
      <c r="EI122" s="47" t="s">
        <v>0</v>
      </c>
      <c r="EJ122" s="58">
        <f>IF(AL122="","",MAX(EJ$12:EJ121)+1)</f>
        <v>290</v>
      </c>
      <c r="EK122" s="73">
        <f>IF(AO122="","",X122)</f>
        <v>29</v>
      </c>
      <c r="EL122" s="73">
        <f t="shared" si="120"/>
        <v>1849</v>
      </c>
      <c r="EM122" s="73">
        <f t="shared" si="92"/>
        <v>4896</v>
      </c>
      <c r="EN122" s="73">
        <f t="shared" si="93"/>
        <v>1</v>
      </c>
      <c r="EO122" s="73">
        <f t="shared" si="121"/>
        <v>1</v>
      </c>
      <c r="EP122" s="73">
        <f t="shared" si="122"/>
        <v>1</v>
      </c>
      <c r="EQ122" s="73" t="str">
        <f t="shared" si="94"/>
        <v>0</v>
      </c>
      <c r="ER122" s="73" t="str">
        <f>IF(OR(AN122="",AN122="NEMA"),BB122,AN122)</f>
        <v/>
      </c>
      <c r="ES122" s="73" t="str">
        <f>IF(AND(BN122&lt;&gt;"",BN122&lt;&gt;"NEMA"),BN122,IF(CG122&lt;&gt;"",CG122,IF(AND(CL122&lt;&gt;"",CL122&lt;&gt;"NEMA"),CL122,IF(CM122&lt;&gt;"",CM122,""))))</f>
        <v/>
      </c>
      <c r="ET122" s="53" t="str">
        <f>IF(INDEX(natKategorija_alias_Id,MATCH(S122,natKategorija_katRegId,0))="","",INDEX(natKategorija_alias_Id,MATCH(S122,natKategorija_katRegId,0)))</f>
        <v/>
      </c>
      <c r="EU122" s="47" t="s">
        <v>0</v>
      </c>
      <c r="EV122" s="19" t="str">
        <f t="shared" si="123"/>
        <v>INSERT INTO rezultat(id,stazakategorija_id,imeprezime_id,vrijeme_sec,status_id,registracija,uparivanje_id,originalstatus_id,imeprezimealias_id,klubalias_id,kategorijaalias_id) VALUES (290,29,1849,4896,1,1,1,0,Null,Null,Null);</v>
      </c>
      <c r="EW122" s="47" t="s">
        <v>0</v>
      </c>
      <c r="EX122" s="19" t="str">
        <f t="shared" si="124"/>
        <v>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2" s="47" t="s">
        <v>0</v>
      </c>
      <c r="EZ122" s="180" t="str">
        <f>AG122&amp;IF(CP122="","","
")&amp;CP122&amp;IF(CI122="","","
")&amp;CI122&amp;IF(DN122="","","
")&amp;DN122&amp;IF(DP122="","","
")&amp;DP122&amp;IF(EV122="","","
")&amp;EV122&amp;IF(EX122="","","
")&amp;EX122</f>
        <v xml:space="preserve">
INSERT INTO rezultat(id,stazakategorija_id,imeprezime_id,vrijeme_sec,status_id,registracija,uparivanje_id,originalstatus_id,imeprezimealias_id,klubalias_id,kategorijaalias_id) VALUES (290,29,1849,4896,1,1,1,0,Null,Null,Null);
UPDATE
	registar
SET
	potvrda = 1
WHERE
	imeprezime_id=1849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2" s="47" t="s">
        <v>0</v>
      </c>
    </row>
    <row r="123" spans="1:157" x14ac:dyDescent="0.25">
      <c r="A123" t="s">
        <v>0</v>
      </c>
      <c r="B123" s="52" t="str">
        <f>IF(csv!F113="","",csv!T113)</f>
        <v>M35</v>
      </c>
      <c r="C123" s="31" t="s">
        <v>0</v>
      </c>
      <c r="D123" s="31" t="str">
        <f>IF(csv!F113="","",csv!F113)</f>
        <v>Luka</v>
      </c>
      <c r="E123" s="31" t="str">
        <f>IF(csv!E113="","",csv!E113)</f>
        <v>Kosić</v>
      </c>
      <c r="F123" s="31" t="s">
        <v>0</v>
      </c>
      <c r="G123" s="73" t="str">
        <f>IF(csv!M113="","",csv!M113)</f>
        <v>83:11</v>
      </c>
      <c r="H123" s="73" t="str">
        <f>IF(csv!N113="","",csv!N113)</f>
        <v>0</v>
      </c>
      <c r="I123" s="31" t="s">
        <v>0</v>
      </c>
      <c r="J123" s="31" t="str">
        <f>IF(csv!P113="","",csv!P113)</f>
        <v>JAP</v>
      </c>
      <c r="K123" s="31" t="str">
        <f>IF(csv!Q113="","",csv!Q113)</f>
        <v>OK Japetic</v>
      </c>
      <c r="L123" s="31" t="s">
        <v>0</v>
      </c>
      <c r="M123" s="66" t="str">
        <f>IF(csv!R113="","",csv!R113)</f>
        <v>CRO</v>
      </c>
      <c r="N123" s="47" t="s">
        <v>0</v>
      </c>
      <c r="O123" s="243" t="str">
        <f t="shared" si="95"/>
        <v>ok</v>
      </c>
      <c r="P123" s="47"/>
      <c r="Q123" s="52" t="str">
        <f t="shared" si="96"/>
        <v>M35</v>
      </c>
      <c r="R123" s="73">
        <f>IF(Q123="","",IF(COUNTIF(Q$12:Q122,Q123)=0,R122+1,R122))</f>
        <v>7</v>
      </c>
      <c r="S123" s="73">
        <f t="shared" si="97"/>
        <v>107</v>
      </c>
      <c r="T123" s="73">
        <f t="shared" si="72"/>
        <v>18</v>
      </c>
      <c r="U123" s="66" t="str">
        <f t="shared" si="73"/>
        <v>M35</v>
      </c>
      <c r="V123" s="47" t="s">
        <v>0</v>
      </c>
      <c r="W123" s="222" t="str">
        <f t="shared" si="74"/>
        <v>M35</v>
      </c>
      <c r="X123" s="223">
        <f t="shared" si="75"/>
        <v>29</v>
      </c>
      <c r="Y123" s="47" t="s">
        <v>0</v>
      </c>
      <c r="Z123" s="52" t="str">
        <f t="shared" si="98"/>
        <v>CRO</v>
      </c>
      <c r="AA123" s="73">
        <f t="shared" si="76"/>
        <v>1</v>
      </c>
      <c r="AB123" s="31" t="str">
        <f t="shared" si="99"/>
        <v/>
      </c>
      <c r="AC123" s="66" t="str">
        <f>IF(AB123="","",MAX(AC$12:AC122)+1)</f>
        <v/>
      </c>
      <c r="AD123" s="47" t="s">
        <v>0</v>
      </c>
      <c r="AE123" s="125"/>
      <c r="AF123" s="47" t="s">
        <v>0</v>
      </c>
      <c r="AG123" s="19" t="str">
        <f t="shared" si="100"/>
        <v/>
      </c>
      <c r="AH123" s="47" t="s">
        <v>0</v>
      </c>
      <c r="AI123" s="143" t="str">
        <f t="shared" si="101"/>
        <v>CRO</v>
      </c>
      <c r="AJ123" s="47"/>
      <c r="AK123" s="52" t="str">
        <f t="shared" si="102"/>
        <v>Luka</v>
      </c>
      <c r="AL123" s="31" t="str">
        <f t="shared" si="103"/>
        <v>Kosić</v>
      </c>
      <c r="AM123" s="73">
        <f t="shared" si="104"/>
        <v>1233</v>
      </c>
      <c r="AN123" s="73" t="str">
        <f t="shared" si="105"/>
        <v/>
      </c>
      <c r="AO123" s="31" t="str">
        <f t="shared" si="77"/>
        <v>Luka</v>
      </c>
      <c r="AP123" s="66" t="str">
        <f t="shared" si="78"/>
        <v>Kosić</v>
      </c>
      <c r="AQ123" s="47" t="s">
        <v>0</v>
      </c>
      <c r="AR123" s="82" t="str">
        <f t="shared" si="106"/>
        <v/>
      </c>
      <c r="AS123" s="47" t="s">
        <v>0</v>
      </c>
      <c r="AT123" s="19" t="str">
        <f t="shared" si="107"/>
        <v/>
      </c>
      <c r="AU123" s="47" t="s">
        <v>0</v>
      </c>
      <c r="AV123" s="103"/>
      <c r="AW123" s="105"/>
      <c r="AX123" s="47" t="s">
        <v>0</v>
      </c>
      <c r="AY123" s="256" t="str">
        <f t="shared" si="125"/>
        <v/>
      </c>
      <c r="AZ123" s="47" t="s">
        <v>0</v>
      </c>
      <c r="BA123" s="52" t="str">
        <f t="shared" si="79"/>
        <v/>
      </c>
      <c r="BB123" s="73" t="str">
        <f>IF(AV123&amp;AW123="","",MAX(BB$12:BB122)+1)</f>
        <v/>
      </c>
      <c r="BC123" s="268" t="str">
        <f t="shared" si="80"/>
        <v/>
      </c>
      <c r="BD123" s="53" t="str">
        <f>IF(AND(AM123="NEMA",AN123="NEMA",OR(AV123&amp;AW123="",BC123="NEMA")),MAX(BD$12:BD122)+1,"")</f>
        <v/>
      </c>
      <c r="BE123" s="47" t="s">
        <v>0</v>
      </c>
      <c r="BF123" s="52" t="str">
        <f t="shared" si="81"/>
        <v>Luka</v>
      </c>
      <c r="BG123" s="31" t="str">
        <f t="shared" si="82"/>
        <v>Kosić</v>
      </c>
      <c r="BH123" s="73" t="str">
        <f t="shared" si="108"/>
        <v/>
      </c>
      <c r="BI123" s="53">
        <f t="shared" si="109"/>
        <v>1233</v>
      </c>
      <c r="BJ123" s="47" t="s">
        <v>0</v>
      </c>
      <c r="BK123" s="52" t="str">
        <f t="shared" si="83"/>
        <v>JAP</v>
      </c>
      <c r="BL123" s="31" t="str">
        <f t="shared" si="84"/>
        <v>OK Japetic</v>
      </c>
      <c r="BM123" s="73" t="str">
        <f t="shared" si="85"/>
        <v>NEMA</v>
      </c>
      <c r="BN123" s="73">
        <f t="shared" si="86"/>
        <v>1</v>
      </c>
      <c r="BO123" s="31" t="str" cm="1">
        <f t="array" ref="BO123">IF(BN123="",""&amp;BL123,IF(BN123="NEMA",BL123,INDEX(regKlub_naziv,MATCH(INDEX(regKlub_alias_klubId,BN123),regKlub_id,0))))</f>
        <v>OK Japetić</v>
      </c>
      <c r="BP123" s="31" t="str" cm="1">
        <f t="array" ref="BP123">IFERROR(""&amp;INDEX(regNatjecatelj_klub,DY123),"")</f>
        <v>OK Japetić</v>
      </c>
      <c r="BQ123" s="88" t="str">
        <f t="shared" si="110"/>
        <v/>
      </c>
      <c r="BR123" s="66" t="str">
        <f t="shared" si="111"/>
        <v>OK Japetić</v>
      </c>
      <c r="BS123" s="47" t="s">
        <v>0</v>
      </c>
      <c r="BT123" s="82" t="str">
        <f>IF(BN123&lt;&gt;"NEMA","",IF(IFERROR(MATCH(BL123,BL$12:BL122,0),0)&lt;&gt;0,"",BL123))</f>
        <v/>
      </c>
      <c r="BU123" s="47" t="s">
        <v>0</v>
      </c>
      <c r="BV123" s="125"/>
      <c r="BW123" s="47" t="s">
        <v>0</v>
      </c>
      <c r="BX123" s="58" t="str">
        <f t="shared" si="112"/>
        <v/>
      </c>
      <c r="BY123" s="31" t="str">
        <f t="shared" si="113"/>
        <v/>
      </c>
      <c r="BZ123" s="31" t="str">
        <f>IF(BY123="","",MAX(BZ$12:BZ122)+1)</f>
        <v/>
      </c>
      <c r="CA123" s="31" t="str">
        <f>IF(BY123="","",IF(AA123="","",IF(AA123="NEMA",AC123,AA123)))</f>
        <v/>
      </c>
      <c r="CB123" s="31" t="str">
        <f t="shared" si="114"/>
        <v/>
      </c>
      <c r="CC123" s="31" t="str">
        <f>IF(BV123="","",MAX(CC$12:CC122)+1)</f>
        <v/>
      </c>
      <c r="CD123" s="31" t="str">
        <f t="shared" si="115"/>
        <v/>
      </c>
      <c r="CE123" s="66" t="str">
        <f t="shared" si="116"/>
        <v/>
      </c>
      <c r="CF123" s="47" t="s">
        <v>0</v>
      </c>
      <c r="CG123" s="73" t="str">
        <f>IF(BN123="","",IF(BN123&lt;&gt;"NEMA","",IFERROR(INDEX(nat_klubAliasId,MATCH(BL123,nat_noviKluboviAliasi,0)),"")))</f>
        <v/>
      </c>
      <c r="CH123" s="47"/>
      <c r="CI123" s="19" t="str">
        <f t="shared" si="117"/>
        <v/>
      </c>
      <c r="CJ123" s="47" t="s">
        <v>0</v>
      </c>
      <c r="CK123" s="52" t="str">
        <f>IF(X123&lt;&gt;"NEMA","",IF(IFERROR(MATCH(W123,W$12:W122,0),0)&lt;&gt;0,"",W123))</f>
        <v/>
      </c>
      <c r="CL123" s="73" t="str">
        <f>IF(CK123="","",IFERROR(INDEX(regKlub_alias_id,MATCH(CK123,regKlub_alias_alias,0)),"NEMA"))</f>
        <v/>
      </c>
      <c r="CM123" s="31" t="str">
        <f>IF(OR(CL123="",CL123&lt;&gt;"NEMA"),"",MAX(CM$12:CM122)+1)</f>
        <v/>
      </c>
      <c r="CN123" s="66" t="str">
        <f>IF(OR(CL123="",CL123&lt;&gt;"NEMA"),"",INDEX(regKlub_id,MATCH(CK123,regKlub_naziv,0)))</f>
        <v/>
      </c>
      <c r="CO123" s="47" t="s">
        <v>0</v>
      </c>
      <c r="CP123" s="19" t="str">
        <f>IF(OR(CL123="",CL123&lt;&gt;"NEMA"),"","INSERT INTO klub_alias(id,alias,klub_id) VALUES ("&amp;CM123&amp;",'"&amp;CK123&amp;"',"&amp;CN123&amp;");")</f>
        <v/>
      </c>
      <c r="CQ123" s="47" t="s">
        <v>0</v>
      </c>
      <c r="CR123" s="143" t="str">
        <f>IF(BR123="","",IF(BV123="",IF(IFERROR(MATCH(BR123,nat_noviKluboviAliasi,0),0)&gt;0,INDEX(nat_kluboviAliasi,MATCH(BR123,nat_noviKluboviAliasi,0)),BR123),BV123))</f>
        <v>OK Japetić</v>
      </c>
      <c r="CS123" s="47" t="s">
        <v>0</v>
      </c>
      <c r="CT123" s="58" t="str">
        <f>IF(G123="","",G123)</f>
        <v>83:11</v>
      </c>
      <c r="CU123" s="73" t="str">
        <f>IF(H123="","",H123)</f>
        <v>0</v>
      </c>
      <c r="CV123" s="229" t="str">
        <f>IF(CT123="",IF(OR(AL123="",CU123&lt;&gt;"0"),"","GREŠKA"),IF(AND(65535&gt;=VALUE(LEFT(CT123,SEARCH(":",CT123)-1))*60+VALUE(RIGHT(CT123,2)),OR(CU123="0",CU123="1",CU123="2",CU123="3",CU123="4")),"","GREŠKA"))</f>
        <v/>
      </c>
      <c r="CW123" s="230">
        <f t="shared" si="71"/>
        <v>4991</v>
      </c>
      <c r="CX123" s="163">
        <f t="shared" si="87"/>
        <v>1</v>
      </c>
      <c r="CY123" s="47" t="s">
        <v>0</v>
      </c>
      <c r="CZ123" s="222" t="str">
        <f>IF(CV123&lt;&gt;"GREŠKA","",AK123&amp;" "&amp;AL123&amp;" – Molim u OEventu provjeriti i ispraviti rezultat – vrijeme ("&amp;IF(CT123="","nije upisano",CT123)&amp;") i classifier ("&amp;CU123&amp;").")&amp;IF(OR(CV123&lt;&gt;"GREŠKA",CX123&lt;&gt;5),"
","")&amp;IF(CX123&lt;&gt;5,"",AK123&amp;" "&amp;AL123&amp;" – Molim u provjeriti je li natjecatelj zaista diskvalificiran. Ako je koje je obrazloženje, ako nije molim u OEventu ispraviti rezultat")</f>
        <v xml:space="preserve">
</v>
      </c>
      <c r="DA123" s="223">
        <f t="shared" si="118"/>
        <v>6</v>
      </c>
      <c r="DB123" s="47" t="s">
        <v>0</v>
      </c>
      <c r="DC123" s="47"/>
      <c r="DD123" s="47"/>
      <c r="DE123" s="47"/>
      <c r="DF123" s="47" t="s">
        <v>0</v>
      </c>
      <c r="DG123" s="53" t="str">
        <f>IF(BD123="","",IF(DI123="O",1,""))</f>
        <v/>
      </c>
      <c r="DH123" t="s">
        <v>0</v>
      </c>
      <c r="DI123" s="128" t="str">
        <f>IF(Q123="","",LEFT(INDEX(regKategorija_oznaka,MATCH(S123,regKategorija_id,0)),1))</f>
        <v>M</v>
      </c>
      <c r="DJ123" t="s">
        <v>0</v>
      </c>
      <c r="DK123" s="52" t="str">
        <f>IF(BD123="","",IF(M123&lt;&gt;"CRO","","INSERT INTO osoba (id,reg_broj,oib,spol_id,dat_rodjenja) VALUES ("&amp;BD123&amp;",(SELECT max(os.reg_broj)+1 FROM osoba AS os),Null,'"&amp;DI123&amp;"',Null); INSERT INTO osoba_log (id,reg_broj,oib,spol_id,dat_rodjenja,dnevnik_id) SELECT id,reg_broj,oib,spol_id,dat_rodjenja,"&amp;data_dnevnik_id&amp;" FROM osoba WHERE id = "&amp;BD123&amp;";"))</f>
        <v/>
      </c>
      <c r="DL123" s="66" t="str">
        <f>IF(BD123="","","INSERT INTO imeprezime (id,osoba_id,rbr,ime,prezime,klub_id,identitet_id,sintaksa_id,info,aktivno,dnevnik_id) VALUES ("&amp;BD123&amp;","&amp;IF(DK123="","Null",BD123)&amp;",1,'"&amp;IF(AV123&lt;&gt;"",AV123,AK123)&amp;"','"&amp;IF(AW123&lt;&gt;"",AW123,AL123)&amp;"',(SELECT id FROM klub WHERE naziv = '"&amp;CR123&amp;"'),Null,1,'',1,"&amp;data_dnevnik_id&amp;");")</f>
        <v/>
      </c>
      <c r="DM123" t="s">
        <v>0</v>
      </c>
      <c r="DN123" s="19" t="str">
        <f t="shared" si="126"/>
        <v/>
      </c>
      <c r="DO123" s="47" t="s">
        <v>0</v>
      </c>
      <c r="DP123" s="19" t="str">
        <f>IF(BA123="","","INSERT INTO imeprezime_alias(id,alias,imeprezime_id) VALUES ("&amp;BB123&amp;",'"&amp;BA123&amp;"',"&amp;IF(BC123="NEMA",BD123,BC123)&amp;");")</f>
        <v/>
      </c>
      <c r="DQ123" s="47" t="s">
        <v>0</v>
      </c>
      <c r="DR123" s="52" t="str">
        <f>IF(AL123="","",DU123 &amp; IF(Q123="",""," – " &amp; Q123))</f>
        <v>Luka – Kosić – OK Japetić – M35</v>
      </c>
      <c r="DS123" s="53">
        <f t="shared" si="88"/>
        <v>100</v>
      </c>
      <c r="DT123" s="47" t="s">
        <v>0</v>
      </c>
      <c r="DU123" s="52" t="str">
        <f>IF(AL123="","",DX123 &amp; IF(CR123="",""," – " &amp; CR123))</f>
        <v>Luka – Kosić – OK Japetić</v>
      </c>
      <c r="DV123" s="53">
        <f t="shared" si="89"/>
        <v>100</v>
      </c>
      <c r="DW123" s="47" t="s">
        <v>0</v>
      </c>
      <c r="DX123" s="52" t="str">
        <f>IF(BG123="","",BF123&amp;" – "&amp;BG123)</f>
        <v>Luka – Kosić</v>
      </c>
      <c r="DY123" s="53">
        <f t="shared" si="90"/>
        <v>100</v>
      </c>
      <c r="DZ123" s="47" t="s">
        <v>0</v>
      </c>
      <c r="EA123" s="58">
        <f t="shared" si="119"/>
        <v>100</v>
      </c>
      <c r="EB123" s="53" cm="1">
        <f t="array" ref="EB123">IF(EA123&lt;&gt;"",INDEX(regNatjecatelj_id,EA123,0),IF(BD123&lt;&gt;"",BD123,""))</f>
        <v>1233</v>
      </c>
      <c r="EC123" s="47" t="s">
        <v>0</v>
      </c>
      <c r="ED123" s="58" t="str">
        <f>IF(AL123="","",IF(BD123&lt;&gt;"","novo",IF(AN123="","imepre","imepre(ali)")))</f>
        <v>imepre</v>
      </c>
      <c r="EE123" s="73" t="str">
        <f>IF(AL123="","",IF(BL123="",IF(IFERROR(INDEX(regNatjecatelj_klub,MATCH(EB123,regNatjecatelj_id,0)),"NEMA")="","klu",""),IF(OR(AND(BN123&lt;&gt;"",BN123&lt;&gt;"NEMA"),CD123&lt;&gt;""),"klu(ali)",IF(AND(BP123&lt;&gt;"",BP123&lt;&gt;BO123),"(raz-klu)","klu"))))</f>
        <v>klu(ali)</v>
      </c>
      <c r="EF123" s="73" t="str">
        <f>IF(AL123="","","kat"&amp;IF(AND(W123&lt;&gt;Q123,Q123&lt;&gt;"Open"),"(ali)",""))</f>
        <v>kat</v>
      </c>
      <c r="EG123" s="73" t="str">
        <f t="shared" si="91"/>
        <v/>
      </c>
      <c r="EH123" s="66" t="str">
        <f>IF(AL123="","",ED123&amp;IF(ED123="novo","","-"&amp;EE123&amp;"-"&amp;EF123)&amp;IF(EG123="","","-"&amp;EG123))</f>
        <v>imepre-klu(ali)-kat</v>
      </c>
      <c r="EI123" s="47" t="s">
        <v>0</v>
      </c>
      <c r="EJ123" s="58">
        <f>IF(AL123="","",MAX(EJ$12:EJ122)+1)</f>
        <v>291</v>
      </c>
      <c r="EK123" s="73">
        <f>IF(AO123="","",X123)</f>
        <v>29</v>
      </c>
      <c r="EL123" s="73">
        <f t="shared" si="120"/>
        <v>1233</v>
      </c>
      <c r="EM123" s="73">
        <f t="shared" si="92"/>
        <v>4991</v>
      </c>
      <c r="EN123" s="73">
        <f t="shared" si="93"/>
        <v>1</v>
      </c>
      <c r="EO123" s="73">
        <f t="shared" si="121"/>
        <v>1</v>
      </c>
      <c r="EP123" s="73">
        <f t="shared" si="122"/>
        <v>3</v>
      </c>
      <c r="EQ123" s="73" t="str">
        <f t="shared" si="94"/>
        <v>0</v>
      </c>
      <c r="ER123" s="73" t="str">
        <f>IF(OR(AN123="",AN123="NEMA"),BB123,AN123)</f>
        <v/>
      </c>
      <c r="ES123" s="73">
        <f>IF(AND(BN123&lt;&gt;"",BN123&lt;&gt;"NEMA"),BN123,IF(CG123&lt;&gt;"",CG123,IF(AND(CL123&lt;&gt;"",CL123&lt;&gt;"NEMA"),CL123,IF(CM123&lt;&gt;"",CM123,""))))</f>
        <v>1</v>
      </c>
      <c r="ET123" s="53" t="str">
        <f>IF(INDEX(natKategorija_alias_Id,MATCH(S123,natKategorija_katRegId,0))="","",INDEX(natKategorija_alias_Id,MATCH(S123,natKategorija_katRegId,0)))</f>
        <v/>
      </c>
      <c r="EU123" s="47" t="s">
        <v>0</v>
      </c>
      <c r="EV123" s="19" t="str">
        <f t="shared" si="123"/>
        <v>INSERT INTO rezultat(id,stazakategorija_id,imeprezime_id,vrijeme_sec,status_id,registracija,uparivanje_id,originalstatus_id,imeprezimealias_id,klubalias_id,kategorijaalias_id) VALUES (291,29,1233,4991,1,1,3,0,Null,1,Null);</v>
      </c>
      <c r="EW123" s="47" t="s">
        <v>0</v>
      </c>
      <c r="EX123" s="19" t="str">
        <f t="shared" si="124"/>
        <v>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3" s="47" t="s">
        <v>0</v>
      </c>
      <c r="EZ123" s="180" t="str">
        <f>AG123&amp;IF(CP123="","","
")&amp;CP123&amp;IF(CI123="","","
")&amp;CI123&amp;IF(DN123="","","
")&amp;DN123&amp;IF(DP123="","","
")&amp;DP123&amp;IF(EV123="","","
")&amp;EV123&amp;IF(EX123="","","
")&amp;EX123</f>
        <v xml:space="preserve">
INSERT INTO rezultat(id,stazakategorija_id,imeprezime_id,vrijeme_sec,status_id,registracija,uparivanje_id,originalstatus_id,imeprezimealias_id,klubalias_id,kategorijaalias_id) VALUES (291,29,1233,4991,1,1,3,0,Null,1,Null);
UPDATE
	registar
SET
	potvrda = 1
WHERE
	imeprezime_id=1233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3" s="47" t="s">
        <v>0</v>
      </c>
    </row>
    <row r="124" spans="1:157" x14ac:dyDescent="0.25">
      <c r="A124" t="s">
        <v>0</v>
      </c>
      <c r="B124" s="52" t="str">
        <f>IF(csv!F114="","",csv!T114)</f>
        <v>M35</v>
      </c>
      <c r="C124" s="31" t="s">
        <v>0</v>
      </c>
      <c r="D124" s="31" t="str">
        <f>IF(csv!F114="","",csv!F114)</f>
        <v>Dragutin</v>
      </c>
      <c r="E124" s="31" t="str">
        <f>IF(csv!E114="","",csv!E114)</f>
        <v>Mulig</v>
      </c>
      <c r="F124" s="31" t="s">
        <v>0</v>
      </c>
      <c r="G124" s="73" t="str">
        <f>IF(csv!M114="","",csv!M114)</f>
        <v>88:20</v>
      </c>
      <c r="H124" s="73" t="str">
        <f>IF(csv!N114="","",csv!N114)</f>
        <v>0</v>
      </c>
      <c r="I124" s="31" t="s">
        <v>0</v>
      </c>
      <c r="J124" s="31" t="str">
        <f>IF(csv!P114="","",csv!P114)</f>
        <v>OK Jelen</v>
      </c>
      <c r="K124" s="31" t="str">
        <f>IF(csv!Q114="","",csv!Q114)</f>
        <v>OK Jelen</v>
      </c>
      <c r="L124" s="31" t="s">
        <v>0</v>
      </c>
      <c r="M124" s="66" t="str">
        <f>IF(csv!R114="","",csv!R114)</f>
        <v>CRO</v>
      </c>
      <c r="N124" s="47" t="s">
        <v>0</v>
      </c>
      <c r="O124" s="243" t="str">
        <f t="shared" si="95"/>
        <v>ok</v>
      </c>
      <c r="P124" s="47"/>
      <c r="Q124" s="52" t="str">
        <f t="shared" si="96"/>
        <v>M35</v>
      </c>
      <c r="R124" s="73">
        <f>IF(Q124="","",IF(COUNTIF(Q$12:Q123,Q124)=0,R123+1,R123))</f>
        <v>7</v>
      </c>
      <c r="S124" s="73">
        <f t="shared" si="97"/>
        <v>107</v>
      </c>
      <c r="T124" s="73">
        <f t="shared" si="72"/>
        <v>18</v>
      </c>
      <c r="U124" s="66" t="str">
        <f t="shared" si="73"/>
        <v>M35</v>
      </c>
      <c r="V124" s="47" t="s">
        <v>0</v>
      </c>
      <c r="W124" s="222" t="str">
        <f t="shared" si="74"/>
        <v>M35</v>
      </c>
      <c r="X124" s="223">
        <f t="shared" si="75"/>
        <v>29</v>
      </c>
      <c r="Y124" s="47" t="s">
        <v>0</v>
      </c>
      <c r="Z124" s="52" t="str">
        <f t="shared" si="98"/>
        <v>CRO</v>
      </c>
      <c r="AA124" s="73">
        <f t="shared" si="76"/>
        <v>1</v>
      </c>
      <c r="AB124" s="31" t="str">
        <f t="shared" si="99"/>
        <v/>
      </c>
      <c r="AC124" s="66" t="str">
        <f>IF(AB124="","",MAX(AC$12:AC123)+1)</f>
        <v/>
      </c>
      <c r="AD124" s="47" t="s">
        <v>0</v>
      </c>
      <c r="AE124" s="125"/>
      <c r="AF124" s="47" t="s">
        <v>0</v>
      </c>
      <c r="AG124" s="19" t="str">
        <f t="shared" si="100"/>
        <v/>
      </c>
      <c r="AH124" s="47" t="s">
        <v>0</v>
      </c>
      <c r="AI124" s="143" t="str">
        <f t="shared" si="101"/>
        <v>CRO</v>
      </c>
      <c r="AJ124" s="47"/>
      <c r="AK124" s="52" t="str">
        <f t="shared" si="102"/>
        <v>Dragutin</v>
      </c>
      <c r="AL124" s="31" t="str">
        <f t="shared" si="103"/>
        <v>Mulig</v>
      </c>
      <c r="AM124" s="73">
        <f t="shared" si="104"/>
        <v>1416</v>
      </c>
      <c r="AN124" s="73" t="str">
        <f t="shared" si="105"/>
        <v/>
      </c>
      <c r="AO124" s="31" t="str">
        <f t="shared" si="77"/>
        <v>Dragutin</v>
      </c>
      <c r="AP124" s="66" t="str">
        <f t="shared" si="78"/>
        <v>Mulig</v>
      </c>
      <c r="AQ124" s="47" t="s">
        <v>0</v>
      </c>
      <c r="AR124" s="82" t="str">
        <f t="shared" si="106"/>
        <v/>
      </c>
      <c r="AS124" s="47" t="s">
        <v>0</v>
      </c>
      <c r="AT124" s="19" t="str">
        <f t="shared" si="107"/>
        <v/>
      </c>
      <c r="AU124" s="47" t="s">
        <v>0</v>
      </c>
      <c r="AV124" s="103"/>
      <c r="AW124" s="105"/>
      <c r="AX124" s="47" t="s">
        <v>0</v>
      </c>
      <c r="AY124" s="256" t="str">
        <f t="shared" si="125"/>
        <v/>
      </c>
      <c r="AZ124" s="47" t="s">
        <v>0</v>
      </c>
      <c r="BA124" s="52" t="str">
        <f t="shared" si="79"/>
        <v/>
      </c>
      <c r="BB124" s="73" t="str">
        <f>IF(AV124&amp;AW124="","",MAX(BB$12:BB123)+1)</f>
        <v/>
      </c>
      <c r="BC124" s="268" t="str">
        <f t="shared" si="80"/>
        <v/>
      </c>
      <c r="BD124" s="53" t="str">
        <f>IF(AND(AM124="NEMA",AN124="NEMA",OR(AV124&amp;AW124="",BC124="NEMA")),MAX(BD$12:BD123)+1,"")</f>
        <v/>
      </c>
      <c r="BE124" s="47" t="s">
        <v>0</v>
      </c>
      <c r="BF124" s="52" t="str">
        <f t="shared" si="81"/>
        <v>Dragutin</v>
      </c>
      <c r="BG124" s="31" t="str">
        <f t="shared" si="82"/>
        <v>Mulig</v>
      </c>
      <c r="BH124" s="73" t="str">
        <f t="shared" si="108"/>
        <v/>
      </c>
      <c r="BI124" s="53">
        <f t="shared" si="109"/>
        <v>1416</v>
      </c>
      <c r="BJ124" s="47" t="s">
        <v>0</v>
      </c>
      <c r="BK124" s="52" t="str">
        <f t="shared" si="83"/>
        <v>OK Jelen</v>
      </c>
      <c r="BL124" s="31" t="str">
        <f t="shared" si="84"/>
        <v>OK Jelen</v>
      </c>
      <c r="BM124" s="73">
        <f t="shared" si="85"/>
        <v>4</v>
      </c>
      <c r="BN124" s="73" t="str">
        <f t="shared" si="86"/>
        <v/>
      </c>
      <c r="BO124" s="31" t="str" cm="1">
        <f t="array" ref="BO124">IF(BN124="",""&amp;BL124,IF(BN124="NEMA",BL124,INDEX(regKlub_naziv,MATCH(INDEX(regKlub_alias_klubId,BN124),regKlub_id,0))))</f>
        <v>OK Jelen</v>
      </c>
      <c r="BP124" s="31" t="str" cm="1">
        <f t="array" ref="BP124">IFERROR(""&amp;INDEX(regNatjecatelj_klub,DY124),"")</f>
        <v>OK Jelen</v>
      </c>
      <c r="BQ124" s="88" t="str">
        <f t="shared" si="110"/>
        <v/>
      </c>
      <c r="BR124" s="66" t="str">
        <f t="shared" si="111"/>
        <v>OK Jelen</v>
      </c>
      <c r="BS124" s="47" t="s">
        <v>0</v>
      </c>
      <c r="BT124" s="82" t="str">
        <f>IF(BN124&lt;&gt;"NEMA","",IF(IFERROR(MATCH(BL124,BL$12:BL123,0),0)&lt;&gt;0,"",BL124))</f>
        <v/>
      </c>
      <c r="BU124" s="47" t="s">
        <v>0</v>
      </c>
      <c r="BV124" s="125"/>
      <c r="BW124" s="47" t="s">
        <v>0</v>
      </c>
      <c r="BX124" s="58" t="str">
        <f t="shared" si="112"/>
        <v/>
      </c>
      <c r="BY124" s="31" t="str">
        <f t="shared" si="113"/>
        <v/>
      </c>
      <c r="BZ124" s="31" t="str">
        <f>IF(BY124="","",MAX(BZ$12:BZ123)+1)</f>
        <v/>
      </c>
      <c r="CA124" s="31" t="str">
        <f>IF(BY124="","",IF(AA124="","",IF(AA124="NEMA",AC124,AA124)))</f>
        <v/>
      </c>
      <c r="CB124" s="31" t="str">
        <f t="shared" si="114"/>
        <v/>
      </c>
      <c r="CC124" s="31" t="str">
        <f>IF(BV124="","",MAX(CC$12:CC123)+1)</f>
        <v/>
      </c>
      <c r="CD124" s="31" t="str">
        <f t="shared" si="115"/>
        <v/>
      </c>
      <c r="CE124" s="66" t="str">
        <f t="shared" si="116"/>
        <v/>
      </c>
      <c r="CF124" s="47" t="s">
        <v>0</v>
      </c>
      <c r="CG124" s="73" t="str">
        <f>IF(BN124="","",IF(BN124&lt;&gt;"NEMA","",IFERROR(INDEX(nat_klubAliasId,MATCH(BL124,nat_noviKluboviAliasi,0)),"")))</f>
        <v/>
      </c>
      <c r="CH124" s="47"/>
      <c r="CI124" s="19" t="str">
        <f t="shared" si="117"/>
        <v/>
      </c>
      <c r="CJ124" s="47" t="s">
        <v>0</v>
      </c>
      <c r="CK124" s="52" t="str">
        <f>IF(X124&lt;&gt;"NEMA","",IF(IFERROR(MATCH(W124,W$12:W123,0),0)&lt;&gt;0,"",W124))</f>
        <v/>
      </c>
      <c r="CL124" s="73" t="str">
        <f>IF(CK124="","",IFERROR(INDEX(regKlub_alias_id,MATCH(CK124,regKlub_alias_alias,0)),"NEMA"))</f>
        <v/>
      </c>
      <c r="CM124" s="31" t="str">
        <f>IF(OR(CL124="",CL124&lt;&gt;"NEMA"),"",MAX(CM$12:CM123)+1)</f>
        <v/>
      </c>
      <c r="CN124" s="66" t="str">
        <f>IF(OR(CL124="",CL124&lt;&gt;"NEMA"),"",INDEX(regKlub_id,MATCH(CK124,regKlub_naziv,0)))</f>
        <v/>
      </c>
      <c r="CO124" s="47" t="s">
        <v>0</v>
      </c>
      <c r="CP124" s="19" t="str">
        <f>IF(OR(CL124="",CL124&lt;&gt;"NEMA"),"","INSERT INTO klub_alias(id,alias,klub_id) VALUES ("&amp;CM124&amp;",'"&amp;CK124&amp;"',"&amp;CN124&amp;");")</f>
        <v/>
      </c>
      <c r="CQ124" s="47" t="s">
        <v>0</v>
      </c>
      <c r="CR124" s="143" t="str">
        <f>IF(BR124="","",IF(BV124="",IF(IFERROR(MATCH(BR124,nat_noviKluboviAliasi,0),0)&gt;0,INDEX(nat_kluboviAliasi,MATCH(BR124,nat_noviKluboviAliasi,0)),BR124),BV124))</f>
        <v>OK Jelen</v>
      </c>
      <c r="CS124" s="47" t="s">
        <v>0</v>
      </c>
      <c r="CT124" s="58" t="str">
        <f>IF(G124="","",G124)</f>
        <v>88:20</v>
      </c>
      <c r="CU124" s="73" t="str">
        <f>IF(H124="","",H124)</f>
        <v>0</v>
      </c>
      <c r="CV124" s="229" t="str">
        <f>IF(CT124="",IF(OR(AL124="",CU124&lt;&gt;"0"),"","GREŠKA"),IF(AND(65535&gt;=VALUE(LEFT(CT124,SEARCH(":",CT124)-1))*60+VALUE(RIGHT(CT124,2)),OR(CU124="0",CU124="1",CU124="2",CU124="3",CU124="4")),"","GREŠKA"))</f>
        <v/>
      </c>
      <c r="CW124" s="230">
        <f t="shared" si="71"/>
        <v>5300</v>
      </c>
      <c r="CX124" s="163">
        <f t="shared" si="87"/>
        <v>1</v>
      </c>
      <c r="CY124" s="47" t="s">
        <v>0</v>
      </c>
      <c r="CZ124" s="222" t="str">
        <f>IF(CV124&lt;&gt;"GREŠKA","",AK124&amp;" "&amp;AL124&amp;" – Molim u OEventu provjeriti i ispraviti rezultat – vrijeme ("&amp;IF(CT124="","nije upisano",CT124)&amp;") i classifier ("&amp;CU124&amp;").")&amp;IF(OR(CV124&lt;&gt;"GREŠKA",CX124&lt;&gt;5),"
","")&amp;IF(CX124&lt;&gt;5,"",AK124&amp;" "&amp;AL124&amp;" – Molim u provjeriti je li natjecatelj zaista diskvalificiran. Ako je koje je obrazloženje, ako nije molim u OEventu ispraviti rezultat")</f>
        <v xml:space="preserve">
</v>
      </c>
      <c r="DA124" s="223">
        <f t="shared" si="118"/>
        <v>6</v>
      </c>
      <c r="DB124" s="47" t="s">
        <v>0</v>
      </c>
      <c r="DC124" s="47"/>
      <c r="DD124" s="47"/>
      <c r="DE124" s="47"/>
      <c r="DF124" s="47" t="s">
        <v>0</v>
      </c>
      <c r="DG124" s="53" t="str">
        <f>IF(BD124="","",IF(DI124="O",1,""))</f>
        <v/>
      </c>
      <c r="DH124" t="s">
        <v>0</v>
      </c>
      <c r="DI124" s="128" t="str">
        <f>IF(Q124="","",LEFT(INDEX(regKategorija_oznaka,MATCH(S124,regKategorija_id,0)),1))</f>
        <v>M</v>
      </c>
      <c r="DJ124" t="s">
        <v>0</v>
      </c>
      <c r="DK124" s="52" t="str">
        <f>IF(BD124="","",IF(M124&lt;&gt;"CRO","","INSERT INTO osoba (id,reg_broj,oib,spol_id,dat_rodjenja) VALUES ("&amp;BD124&amp;",(SELECT max(os.reg_broj)+1 FROM osoba AS os),Null,'"&amp;DI124&amp;"',Null); INSERT INTO osoba_log (id,reg_broj,oib,spol_id,dat_rodjenja,dnevnik_id) SELECT id,reg_broj,oib,spol_id,dat_rodjenja,"&amp;data_dnevnik_id&amp;" FROM osoba WHERE id = "&amp;BD124&amp;";"))</f>
        <v/>
      </c>
      <c r="DL124" s="66" t="str">
        <f>IF(BD124="","","INSERT INTO imeprezime (id,osoba_id,rbr,ime,prezime,klub_id,identitet_id,sintaksa_id,info,aktivno,dnevnik_id) VALUES ("&amp;BD124&amp;","&amp;IF(DK124="","Null",BD124)&amp;",1,'"&amp;IF(AV124&lt;&gt;"",AV124,AK124)&amp;"','"&amp;IF(AW124&lt;&gt;"",AW124,AL124)&amp;"',(SELECT id FROM klub WHERE naziv = '"&amp;CR124&amp;"'),Null,1,'',1,"&amp;data_dnevnik_id&amp;");")</f>
        <v/>
      </c>
      <c r="DM124" t="s">
        <v>0</v>
      </c>
      <c r="DN124" s="19" t="str">
        <f t="shared" si="126"/>
        <v/>
      </c>
      <c r="DO124" s="47" t="s">
        <v>0</v>
      </c>
      <c r="DP124" s="19" t="str">
        <f>IF(BA124="","","INSERT INTO imeprezime_alias(id,alias,imeprezime_id) VALUES ("&amp;BB124&amp;",'"&amp;BA124&amp;"',"&amp;IF(BC124="NEMA",BD124,BC124)&amp;");")</f>
        <v/>
      </c>
      <c r="DQ124" s="47" t="s">
        <v>0</v>
      </c>
      <c r="DR124" s="52" t="str">
        <f>IF(AL124="","",DU124 &amp; IF(Q124="",""," – " &amp; Q124))</f>
        <v>Dragutin – Mulig – OK Jelen – M35</v>
      </c>
      <c r="DS124" s="53">
        <f t="shared" si="88"/>
        <v>177</v>
      </c>
      <c r="DT124" s="47" t="s">
        <v>0</v>
      </c>
      <c r="DU124" s="52" t="str">
        <f>IF(AL124="","",DX124 &amp; IF(CR124="",""," – " &amp; CR124))</f>
        <v>Dragutin – Mulig – OK Jelen</v>
      </c>
      <c r="DV124" s="53">
        <f t="shared" si="89"/>
        <v>177</v>
      </c>
      <c r="DW124" s="47" t="s">
        <v>0</v>
      </c>
      <c r="DX124" s="52" t="str">
        <f>IF(BG124="","",BF124&amp;" – "&amp;BG124)</f>
        <v>Dragutin – Mulig</v>
      </c>
      <c r="DY124" s="53">
        <f t="shared" si="90"/>
        <v>177</v>
      </c>
      <c r="DZ124" s="47" t="s">
        <v>0</v>
      </c>
      <c r="EA124" s="58">
        <f t="shared" si="119"/>
        <v>177</v>
      </c>
      <c r="EB124" s="53" cm="1">
        <f t="array" ref="EB124">IF(EA124&lt;&gt;"",INDEX(regNatjecatelj_id,EA124,0),IF(BD124&lt;&gt;"",BD124,""))</f>
        <v>1416</v>
      </c>
      <c r="EC124" s="47" t="s">
        <v>0</v>
      </c>
      <c r="ED124" s="58" t="str">
        <f>IF(AL124="","",IF(BD124&lt;&gt;"","novo",IF(AN124="","imepre","imepre(ali)")))</f>
        <v>imepre</v>
      </c>
      <c r="EE124" s="73" t="str">
        <f>IF(AL124="","",IF(BL124="",IF(IFERROR(INDEX(regNatjecatelj_klub,MATCH(EB124,regNatjecatelj_id,0)),"NEMA")="","klu",""),IF(OR(AND(BN124&lt;&gt;"",BN124&lt;&gt;"NEMA"),CD124&lt;&gt;""),"klu(ali)",IF(AND(BP124&lt;&gt;"",BP124&lt;&gt;BO124),"(raz-klu)","klu"))))</f>
        <v>klu</v>
      </c>
      <c r="EF124" s="73" t="str">
        <f>IF(AL124="","","kat"&amp;IF(AND(W124&lt;&gt;Q124,Q124&lt;&gt;"Open"),"(ali)",""))</f>
        <v>kat</v>
      </c>
      <c r="EG124" s="73" t="str">
        <f t="shared" si="91"/>
        <v/>
      </c>
      <c r="EH124" s="66" t="str">
        <f>IF(AL124="","",ED124&amp;IF(ED124="novo","","-"&amp;EE124&amp;"-"&amp;EF124)&amp;IF(EG124="","","-"&amp;EG124))</f>
        <v>imepre-klu-kat</v>
      </c>
      <c r="EI124" s="47" t="s">
        <v>0</v>
      </c>
      <c r="EJ124" s="58">
        <f>IF(AL124="","",MAX(EJ$12:EJ123)+1)</f>
        <v>292</v>
      </c>
      <c r="EK124" s="73">
        <f>IF(AO124="","",X124)</f>
        <v>29</v>
      </c>
      <c r="EL124" s="73">
        <f t="shared" si="120"/>
        <v>1416</v>
      </c>
      <c r="EM124" s="73">
        <f t="shared" si="92"/>
        <v>5300</v>
      </c>
      <c r="EN124" s="73">
        <f t="shared" si="93"/>
        <v>1</v>
      </c>
      <c r="EO124" s="73">
        <f t="shared" si="121"/>
        <v>1</v>
      </c>
      <c r="EP124" s="73">
        <f t="shared" si="122"/>
        <v>1</v>
      </c>
      <c r="EQ124" s="73" t="str">
        <f t="shared" si="94"/>
        <v>0</v>
      </c>
      <c r="ER124" s="73" t="str">
        <f>IF(OR(AN124="",AN124="NEMA"),BB124,AN124)</f>
        <v/>
      </c>
      <c r="ES124" s="73" t="str">
        <f>IF(AND(BN124&lt;&gt;"",BN124&lt;&gt;"NEMA"),BN124,IF(CG124&lt;&gt;"",CG124,IF(AND(CL124&lt;&gt;"",CL124&lt;&gt;"NEMA"),CL124,IF(CM124&lt;&gt;"",CM124,""))))</f>
        <v/>
      </c>
      <c r="ET124" s="53" t="str">
        <f>IF(INDEX(natKategorija_alias_Id,MATCH(S124,natKategorija_katRegId,0))="","",INDEX(natKategorija_alias_Id,MATCH(S124,natKategorija_katRegId,0)))</f>
        <v/>
      </c>
      <c r="EU124" s="47" t="s">
        <v>0</v>
      </c>
      <c r="EV124" s="19" t="str">
        <f t="shared" si="123"/>
        <v>INSERT INTO rezultat(id,stazakategorija_id,imeprezime_id,vrijeme_sec,status_id,registracija,uparivanje_id,originalstatus_id,imeprezimealias_id,klubalias_id,kategorijaalias_id) VALUES (292,29,1416,5300,1,1,1,0,Null,Null,Null);</v>
      </c>
      <c r="EW124" s="47" t="s">
        <v>0</v>
      </c>
      <c r="EX124" s="19" t="str">
        <f t="shared" si="124"/>
        <v>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4" s="47" t="s">
        <v>0</v>
      </c>
      <c r="EZ124" s="180" t="str">
        <f>AG124&amp;IF(CP124="","","
")&amp;CP124&amp;IF(CI124="","","
")&amp;CI124&amp;IF(DN124="","","
")&amp;DN124&amp;IF(DP124="","","
")&amp;DP124&amp;IF(EV124="","","
")&amp;EV124&amp;IF(EX124="","","
")&amp;EX124</f>
        <v xml:space="preserve">
INSERT INTO rezultat(id,stazakategorija_id,imeprezime_id,vrijeme_sec,status_id,registracija,uparivanje_id,originalstatus_id,imeprezimealias_id,klubalias_id,kategorijaalias_id) VALUES (292,29,1416,5300,1,1,1,0,Null,Null,Null);
UPDATE
	registar
SET
	potvrda = 1
WHERE
	imeprezime_id=1416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4" s="47" t="s">
        <v>0</v>
      </c>
    </row>
    <row r="125" spans="1:157" x14ac:dyDescent="0.25">
      <c r="A125" t="s">
        <v>0</v>
      </c>
      <c r="B125" s="52" t="str">
        <f>IF(csv!F115="","",csv!T115)</f>
        <v>M35</v>
      </c>
      <c r="C125" s="31" t="s">
        <v>0</v>
      </c>
      <c r="D125" s="31" t="str">
        <f>IF(csv!F115="","",csv!F115)</f>
        <v>Fausto</v>
      </c>
      <c r="E125" s="31" t="str">
        <f>IF(csv!E115="","",csv!E115)</f>
        <v>Ferreira</v>
      </c>
      <c r="F125" s="31" t="s">
        <v>0</v>
      </c>
      <c r="G125" s="73" t="str">
        <f>IF(csv!M115="","",csv!M115)</f>
        <v>90:38</v>
      </c>
      <c r="H125" s="73" t="str">
        <f>IF(csv!N115="","",csv!N115)</f>
        <v>0</v>
      </c>
      <c r="I125" s="31" t="s">
        <v>0</v>
      </c>
      <c r="J125" s="31" t="str">
        <f>IF(csv!P115="","",csv!P115)</f>
        <v>KAP</v>
      </c>
      <c r="K125" s="31" t="str">
        <f>IF(csv!Q115="","",csv!Q115)</f>
        <v>OK Kapela</v>
      </c>
      <c r="L125" s="31" t="s">
        <v>0</v>
      </c>
      <c r="M125" s="66" t="str">
        <f>IF(csv!R115="","",csv!R115)</f>
        <v>CRO</v>
      </c>
      <c r="N125" s="47" t="s">
        <v>0</v>
      </c>
      <c r="O125" s="243" t="str">
        <f t="shared" si="95"/>
        <v>ok</v>
      </c>
      <c r="P125" s="47"/>
      <c r="Q125" s="52" t="str">
        <f t="shared" si="96"/>
        <v>M35</v>
      </c>
      <c r="R125" s="73">
        <f>IF(Q125="","",IF(COUNTIF(Q$12:Q124,Q125)=0,R124+1,R124))</f>
        <v>7</v>
      </c>
      <c r="S125" s="73">
        <f t="shared" si="97"/>
        <v>107</v>
      </c>
      <c r="T125" s="73">
        <f t="shared" si="72"/>
        <v>18</v>
      </c>
      <c r="U125" s="66" t="str">
        <f t="shared" si="73"/>
        <v>M35</v>
      </c>
      <c r="V125" s="47" t="s">
        <v>0</v>
      </c>
      <c r="W125" s="222" t="str">
        <f t="shared" si="74"/>
        <v>M35</v>
      </c>
      <c r="X125" s="223">
        <f t="shared" si="75"/>
        <v>29</v>
      </c>
      <c r="Y125" s="47" t="s">
        <v>0</v>
      </c>
      <c r="Z125" s="52" t="str">
        <f t="shared" si="98"/>
        <v>CRO</v>
      </c>
      <c r="AA125" s="73">
        <f t="shared" si="76"/>
        <v>1</v>
      </c>
      <c r="AB125" s="31" t="str">
        <f t="shared" si="99"/>
        <v/>
      </c>
      <c r="AC125" s="66" t="str">
        <f>IF(AB125="","",MAX(AC$12:AC124)+1)</f>
        <v/>
      </c>
      <c r="AD125" s="47" t="s">
        <v>0</v>
      </c>
      <c r="AE125" s="125"/>
      <c r="AF125" s="47" t="s">
        <v>0</v>
      </c>
      <c r="AG125" s="19" t="str">
        <f t="shared" si="100"/>
        <v/>
      </c>
      <c r="AH125" s="47" t="s">
        <v>0</v>
      </c>
      <c r="AI125" s="143" t="str">
        <f t="shared" si="101"/>
        <v>CRO</v>
      </c>
      <c r="AJ125" s="47"/>
      <c r="AK125" s="52" t="str">
        <f t="shared" si="102"/>
        <v>Fausto</v>
      </c>
      <c r="AL125" s="31" t="str">
        <f t="shared" si="103"/>
        <v>Ferreira</v>
      </c>
      <c r="AM125" s="73">
        <f t="shared" si="104"/>
        <v>1852</v>
      </c>
      <c r="AN125" s="73" t="str">
        <f t="shared" si="105"/>
        <v/>
      </c>
      <c r="AO125" s="31" t="str">
        <f t="shared" si="77"/>
        <v>Fausto</v>
      </c>
      <c r="AP125" s="66" t="str">
        <f t="shared" si="78"/>
        <v>Ferreira</v>
      </c>
      <c r="AQ125" s="47" t="s">
        <v>0</v>
      </c>
      <c r="AR125" s="82" t="str">
        <f t="shared" si="106"/>
        <v/>
      </c>
      <c r="AS125" s="47" t="s">
        <v>0</v>
      </c>
      <c r="AT125" s="19" t="str">
        <f t="shared" si="107"/>
        <v/>
      </c>
      <c r="AU125" s="47" t="s">
        <v>0</v>
      </c>
      <c r="AV125" s="103"/>
      <c r="AW125" s="105"/>
      <c r="AX125" s="47" t="s">
        <v>0</v>
      </c>
      <c r="AY125" s="256" t="str">
        <f t="shared" si="125"/>
        <v/>
      </c>
      <c r="AZ125" s="47" t="s">
        <v>0</v>
      </c>
      <c r="BA125" s="52" t="str">
        <f t="shared" si="79"/>
        <v/>
      </c>
      <c r="BB125" s="73" t="str">
        <f>IF(AV125&amp;AW125="","",MAX(BB$12:BB124)+1)</f>
        <v/>
      </c>
      <c r="BC125" s="268" t="str">
        <f t="shared" si="80"/>
        <v/>
      </c>
      <c r="BD125" s="53" t="str">
        <f>IF(AND(AM125="NEMA",AN125="NEMA",OR(AV125&amp;AW125="",BC125="NEMA")),MAX(BD$12:BD124)+1,"")</f>
        <v/>
      </c>
      <c r="BE125" s="47" t="s">
        <v>0</v>
      </c>
      <c r="BF125" s="52" t="str">
        <f t="shared" si="81"/>
        <v>Fausto</v>
      </c>
      <c r="BG125" s="31" t="str">
        <f t="shared" si="82"/>
        <v>Ferreira</v>
      </c>
      <c r="BH125" s="73" t="str">
        <f t="shared" si="108"/>
        <v/>
      </c>
      <c r="BI125" s="53">
        <f t="shared" si="109"/>
        <v>1852</v>
      </c>
      <c r="BJ125" s="47" t="s">
        <v>0</v>
      </c>
      <c r="BK125" s="52" t="str">
        <f t="shared" si="83"/>
        <v>KAP</v>
      </c>
      <c r="BL125" s="31" t="str">
        <f t="shared" si="84"/>
        <v>OK Kapela</v>
      </c>
      <c r="BM125" s="73">
        <f t="shared" si="85"/>
        <v>5</v>
      </c>
      <c r="BN125" s="73" t="str">
        <f t="shared" si="86"/>
        <v/>
      </c>
      <c r="BO125" s="31" t="str" cm="1">
        <f t="array" ref="BO125">IF(BN125="",""&amp;BL125,IF(BN125="NEMA",BL125,INDEX(regKlub_naziv,MATCH(INDEX(regKlub_alias_klubId,BN125),regKlub_id,0))))</f>
        <v>OK Kapela</v>
      </c>
      <c r="BP125" s="31" t="str" cm="1">
        <f t="array" ref="BP125">IFERROR(""&amp;INDEX(regNatjecatelj_klub,DY125),"")</f>
        <v>OK Kapela</v>
      </c>
      <c r="BQ125" s="88" t="str">
        <f t="shared" si="110"/>
        <v/>
      </c>
      <c r="BR125" s="66" t="str">
        <f t="shared" si="111"/>
        <v>OK Kapela</v>
      </c>
      <c r="BS125" s="47" t="s">
        <v>0</v>
      </c>
      <c r="BT125" s="82" t="str">
        <f>IF(BN125&lt;&gt;"NEMA","",IF(IFERROR(MATCH(BL125,BL$12:BL124,0),0)&lt;&gt;0,"",BL125))</f>
        <v/>
      </c>
      <c r="BU125" s="47" t="s">
        <v>0</v>
      </c>
      <c r="BV125" s="125"/>
      <c r="BW125" s="47" t="s">
        <v>0</v>
      </c>
      <c r="BX125" s="58" t="str">
        <f t="shared" si="112"/>
        <v/>
      </c>
      <c r="BY125" s="31" t="str">
        <f t="shared" si="113"/>
        <v/>
      </c>
      <c r="BZ125" s="31" t="str">
        <f>IF(BY125="","",MAX(BZ$12:BZ124)+1)</f>
        <v/>
      </c>
      <c r="CA125" s="31" t="str">
        <f>IF(BY125="","",IF(AA125="","",IF(AA125="NEMA",AC125,AA125)))</f>
        <v/>
      </c>
      <c r="CB125" s="31" t="str">
        <f t="shared" si="114"/>
        <v/>
      </c>
      <c r="CC125" s="31" t="str">
        <f>IF(BV125="","",MAX(CC$12:CC124)+1)</f>
        <v/>
      </c>
      <c r="CD125" s="31" t="str">
        <f t="shared" si="115"/>
        <v/>
      </c>
      <c r="CE125" s="66" t="str">
        <f t="shared" si="116"/>
        <v/>
      </c>
      <c r="CF125" s="47" t="s">
        <v>0</v>
      </c>
      <c r="CG125" s="73" t="str">
        <f>IF(BN125="","",IF(BN125&lt;&gt;"NEMA","",IFERROR(INDEX(nat_klubAliasId,MATCH(BL125,nat_noviKluboviAliasi,0)),"")))</f>
        <v/>
      </c>
      <c r="CH125" s="47"/>
      <c r="CI125" s="19" t="str">
        <f t="shared" si="117"/>
        <v/>
      </c>
      <c r="CJ125" s="47" t="s">
        <v>0</v>
      </c>
      <c r="CK125" s="52" t="str">
        <f>IF(X125&lt;&gt;"NEMA","",IF(IFERROR(MATCH(W125,W$12:W124,0),0)&lt;&gt;0,"",W125))</f>
        <v/>
      </c>
      <c r="CL125" s="73" t="str">
        <f>IF(CK125="","",IFERROR(INDEX(regKlub_alias_id,MATCH(CK125,regKlub_alias_alias,0)),"NEMA"))</f>
        <v/>
      </c>
      <c r="CM125" s="31" t="str">
        <f>IF(OR(CL125="",CL125&lt;&gt;"NEMA"),"",MAX(CM$12:CM124)+1)</f>
        <v/>
      </c>
      <c r="CN125" s="66" t="str">
        <f>IF(OR(CL125="",CL125&lt;&gt;"NEMA"),"",INDEX(regKlub_id,MATCH(CK125,regKlub_naziv,0)))</f>
        <v/>
      </c>
      <c r="CO125" s="47" t="s">
        <v>0</v>
      </c>
      <c r="CP125" s="19" t="str">
        <f>IF(OR(CL125="",CL125&lt;&gt;"NEMA"),"","INSERT INTO klub_alias(id,alias,klub_id) VALUES ("&amp;CM125&amp;",'"&amp;CK125&amp;"',"&amp;CN125&amp;");")</f>
        <v/>
      </c>
      <c r="CQ125" s="47" t="s">
        <v>0</v>
      </c>
      <c r="CR125" s="143" t="str">
        <f>IF(BR125="","",IF(BV125="",IF(IFERROR(MATCH(BR125,nat_noviKluboviAliasi,0),0)&gt;0,INDEX(nat_kluboviAliasi,MATCH(BR125,nat_noviKluboviAliasi,0)),BR125),BV125))</f>
        <v>OK Kapela</v>
      </c>
      <c r="CS125" s="47" t="s">
        <v>0</v>
      </c>
      <c r="CT125" s="58" t="str">
        <f>IF(G125="","",G125)</f>
        <v>90:38</v>
      </c>
      <c r="CU125" s="73" t="str">
        <f>IF(H125="","",H125)</f>
        <v>0</v>
      </c>
      <c r="CV125" s="229" t="str">
        <f>IF(CT125="",IF(OR(AL125="",CU125&lt;&gt;"0"),"","GREŠKA"),IF(AND(65535&gt;=VALUE(LEFT(CT125,SEARCH(":",CT125)-1))*60+VALUE(RIGHT(CT125,2)),OR(CU125="0",CU125="1",CU125="2",CU125="3",CU125="4")),"","GREŠKA"))</f>
        <v/>
      </c>
      <c r="CW125" s="230">
        <f t="shared" ref="CW125:CW188" si="127">IF(CT125="","",VALUE(LEFT(CT125,SEARCH(":",CT125)-1))*60+VALUE(RIGHT(CT125,2)))</f>
        <v>5438</v>
      </c>
      <c r="CX125" s="163">
        <f t="shared" si="87"/>
        <v>1</v>
      </c>
      <c r="CY125" s="47" t="s">
        <v>0</v>
      </c>
      <c r="CZ125" s="222" t="str">
        <f>IF(CV125&lt;&gt;"GREŠKA","",AK125&amp;" "&amp;AL125&amp;" – Molim u OEventu provjeriti i ispraviti rezultat – vrijeme ("&amp;IF(CT125="","nije upisano",CT125)&amp;") i classifier ("&amp;CU125&amp;").")&amp;IF(OR(CV125&lt;&gt;"GREŠKA",CX125&lt;&gt;5),"
","")&amp;IF(CX125&lt;&gt;5,"",AK125&amp;" "&amp;AL125&amp;" – Molim u provjeriti je li natjecatelj zaista diskvalificiran. Ako je koje je obrazloženje, ako nije molim u OEventu ispraviti rezultat")</f>
        <v xml:space="preserve">
</v>
      </c>
      <c r="DA125" s="223">
        <f t="shared" si="118"/>
        <v>6</v>
      </c>
      <c r="DB125" s="47" t="s">
        <v>0</v>
      </c>
      <c r="DC125" s="47"/>
      <c r="DD125" s="47"/>
      <c r="DE125" s="47"/>
      <c r="DF125" s="47" t="s">
        <v>0</v>
      </c>
      <c r="DG125" s="53" t="str">
        <f>IF(BD125="","",IF(DI125="O",1,""))</f>
        <v/>
      </c>
      <c r="DH125" t="s">
        <v>0</v>
      </c>
      <c r="DI125" s="128" t="str">
        <f>IF(Q125="","",LEFT(INDEX(regKategorija_oznaka,MATCH(S125,regKategorija_id,0)),1))</f>
        <v>M</v>
      </c>
      <c r="DJ125" t="s">
        <v>0</v>
      </c>
      <c r="DK125" s="52" t="str">
        <f>IF(BD125="","",IF(M125&lt;&gt;"CRO","","INSERT INTO osoba (id,reg_broj,oib,spol_id,dat_rodjenja) VALUES ("&amp;BD125&amp;",(SELECT max(os.reg_broj)+1 FROM osoba AS os),Null,'"&amp;DI125&amp;"',Null); INSERT INTO osoba_log (id,reg_broj,oib,spol_id,dat_rodjenja,dnevnik_id) SELECT id,reg_broj,oib,spol_id,dat_rodjenja,"&amp;data_dnevnik_id&amp;" FROM osoba WHERE id = "&amp;BD125&amp;";"))</f>
        <v/>
      </c>
      <c r="DL125" s="66" t="str">
        <f>IF(BD125="","","INSERT INTO imeprezime (id,osoba_id,rbr,ime,prezime,klub_id,identitet_id,sintaksa_id,info,aktivno,dnevnik_id) VALUES ("&amp;BD125&amp;","&amp;IF(DK125="","Null",BD125)&amp;",1,'"&amp;IF(AV125&lt;&gt;"",AV125,AK125)&amp;"','"&amp;IF(AW125&lt;&gt;"",AW125,AL125)&amp;"',(SELECT id FROM klub WHERE naziv = '"&amp;CR125&amp;"'),Null,1,'',1,"&amp;data_dnevnik_id&amp;");")</f>
        <v/>
      </c>
      <c r="DM125" t="s">
        <v>0</v>
      </c>
      <c r="DN125" s="19" t="str">
        <f t="shared" si="126"/>
        <v/>
      </c>
      <c r="DO125" s="47" t="s">
        <v>0</v>
      </c>
      <c r="DP125" s="19" t="str">
        <f>IF(BA125="","","INSERT INTO imeprezime_alias(id,alias,imeprezime_id) VALUES ("&amp;BB125&amp;",'"&amp;BA125&amp;"',"&amp;IF(BC125="NEMA",BD125,BC125)&amp;");")</f>
        <v/>
      </c>
      <c r="DQ125" s="47" t="s">
        <v>0</v>
      </c>
      <c r="DR125" s="52" t="str">
        <f>IF(AL125="","",DU125 &amp; IF(Q125="",""," – " &amp; Q125))</f>
        <v>Fausto – Ferreira – OK Kapela – M35</v>
      </c>
      <c r="DS125" s="53">
        <f t="shared" si="88"/>
        <v>235</v>
      </c>
      <c r="DT125" s="47" t="s">
        <v>0</v>
      </c>
      <c r="DU125" s="52" t="str">
        <f>IF(AL125="","",DX125 &amp; IF(CR125="",""," – " &amp; CR125))</f>
        <v>Fausto – Ferreira – OK Kapela</v>
      </c>
      <c r="DV125" s="53">
        <f t="shared" si="89"/>
        <v>235</v>
      </c>
      <c r="DW125" s="47" t="s">
        <v>0</v>
      </c>
      <c r="DX125" s="52" t="str">
        <f>IF(BG125="","",BF125&amp;" – "&amp;BG125)</f>
        <v>Fausto – Ferreira</v>
      </c>
      <c r="DY125" s="53">
        <f t="shared" si="90"/>
        <v>235</v>
      </c>
      <c r="DZ125" s="47" t="s">
        <v>0</v>
      </c>
      <c r="EA125" s="58">
        <f t="shared" si="119"/>
        <v>235</v>
      </c>
      <c r="EB125" s="53" cm="1">
        <f t="array" ref="EB125">IF(EA125&lt;&gt;"",INDEX(regNatjecatelj_id,EA125,0),IF(BD125&lt;&gt;"",BD125,""))</f>
        <v>1852</v>
      </c>
      <c r="EC125" s="47" t="s">
        <v>0</v>
      </c>
      <c r="ED125" s="58" t="str">
        <f>IF(AL125="","",IF(BD125&lt;&gt;"","novo",IF(AN125="","imepre","imepre(ali)")))</f>
        <v>imepre</v>
      </c>
      <c r="EE125" s="73" t="str">
        <f>IF(AL125="","",IF(BL125="",IF(IFERROR(INDEX(regNatjecatelj_klub,MATCH(EB125,regNatjecatelj_id,0)),"NEMA")="","klu",""),IF(OR(AND(BN125&lt;&gt;"",BN125&lt;&gt;"NEMA"),CD125&lt;&gt;""),"klu(ali)",IF(AND(BP125&lt;&gt;"",BP125&lt;&gt;BO125),"(raz-klu)","klu"))))</f>
        <v>klu</v>
      </c>
      <c r="EF125" s="73" t="str">
        <f>IF(AL125="","","kat"&amp;IF(AND(W125&lt;&gt;Q125,Q125&lt;&gt;"Open"),"(ali)",""))</f>
        <v>kat</v>
      </c>
      <c r="EG125" s="73" t="str">
        <f t="shared" si="91"/>
        <v/>
      </c>
      <c r="EH125" s="66" t="str">
        <f>IF(AL125="","",ED125&amp;IF(ED125="novo","","-"&amp;EE125&amp;"-"&amp;EF125)&amp;IF(EG125="","","-"&amp;EG125))</f>
        <v>imepre-klu-kat</v>
      </c>
      <c r="EI125" s="47" t="s">
        <v>0</v>
      </c>
      <c r="EJ125" s="58">
        <f>IF(AL125="","",MAX(EJ$12:EJ124)+1)</f>
        <v>293</v>
      </c>
      <c r="EK125" s="73">
        <f>IF(AO125="","",X125)</f>
        <v>29</v>
      </c>
      <c r="EL125" s="73">
        <f t="shared" si="120"/>
        <v>1852</v>
      </c>
      <c r="EM125" s="73">
        <f t="shared" si="92"/>
        <v>5438</v>
      </c>
      <c r="EN125" s="73">
        <f t="shared" si="93"/>
        <v>1</v>
      </c>
      <c r="EO125" s="73">
        <f t="shared" si="121"/>
        <v>1</v>
      </c>
      <c r="EP125" s="73">
        <f t="shared" si="122"/>
        <v>1</v>
      </c>
      <c r="EQ125" s="73" t="str">
        <f t="shared" si="94"/>
        <v>0</v>
      </c>
      <c r="ER125" s="73" t="str">
        <f>IF(OR(AN125="",AN125="NEMA"),BB125,AN125)</f>
        <v/>
      </c>
      <c r="ES125" s="73" t="str">
        <f>IF(AND(BN125&lt;&gt;"",BN125&lt;&gt;"NEMA"),BN125,IF(CG125&lt;&gt;"",CG125,IF(AND(CL125&lt;&gt;"",CL125&lt;&gt;"NEMA"),CL125,IF(CM125&lt;&gt;"",CM125,""))))</f>
        <v/>
      </c>
      <c r="ET125" s="53" t="str">
        <f>IF(INDEX(natKategorija_alias_Id,MATCH(S125,natKategorija_katRegId,0))="","",INDEX(natKategorija_alias_Id,MATCH(S125,natKategorija_katRegId,0)))</f>
        <v/>
      </c>
      <c r="EU125" s="47" t="s">
        <v>0</v>
      </c>
      <c r="EV125" s="19" t="str">
        <f t="shared" si="123"/>
        <v>INSERT INTO rezultat(id,stazakategorija_id,imeprezime_id,vrijeme_sec,status_id,registracija,uparivanje_id,originalstatus_id,imeprezimealias_id,klubalias_id,kategorijaalias_id) VALUES (293,29,1852,5438,1,1,1,0,Null,Null,Null);</v>
      </c>
      <c r="EW125" s="47" t="s">
        <v>0</v>
      </c>
      <c r="EX125" s="19" t="str">
        <f t="shared" si="124"/>
        <v>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5" s="47" t="s">
        <v>0</v>
      </c>
      <c r="EZ125" s="180" t="str">
        <f>AG125&amp;IF(CP125="","","
")&amp;CP125&amp;IF(CI125="","","
")&amp;CI125&amp;IF(DN125="","","
")&amp;DN125&amp;IF(DP125="","","
")&amp;DP125&amp;IF(EV125="","","
")&amp;EV125&amp;IF(EX125="","","
")&amp;EX125</f>
        <v xml:space="preserve">
INSERT INTO rezultat(id,stazakategorija_id,imeprezime_id,vrijeme_sec,status_id,registracija,uparivanje_id,originalstatus_id,imeprezimealias_id,klubalias_id,kategorijaalias_id) VALUES (293,29,1852,5438,1,1,1,0,Null,Null,Null);
UPDATE
	registar
SET
	potvrda = 1
WHERE
	imeprezime_id=1852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5" s="47" t="s">
        <v>0</v>
      </c>
    </row>
    <row r="126" spans="1:157" x14ac:dyDescent="0.25">
      <c r="A126" t="s">
        <v>0</v>
      </c>
      <c r="B126" s="52" t="str">
        <f>IF(csv!F116="","",csv!T116)</f>
        <v>M35</v>
      </c>
      <c r="C126" s="31" t="s">
        <v>0</v>
      </c>
      <c r="D126" s="31" t="str">
        <f>IF(csv!F116="","",csv!F116)</f>
        <v>Damir</v>
      </c>
      <c r="E126" s="31" t="str">
        <f>IF(csv!E116="","",csv!E116)</f>
        <v>Tubin</v>
      </c>
      <c r="F126" s="31" t="s">
        <v>0</v>
      </c>
      <c r="G126" s="73" t="str">
        <f>IF(csv!M116="","",csv!M116)</f>
        <v>109:27</v>
      </c>
      <c r="H126" s="73" t="str">
        <f>IF(csv!N116="","",csv!N116)</f>
        <v>0</v>
      </c>
      <c r="I126" s="31" t="s">
        <v>0</v>
      </c>
      <c r="J126" s="31" t="str">
        <f>IF(csv!P116="","",csv!P116)</f>
        <v>OK Jelen</v>
      </c>
      <c r="K126" s="31" t="str">
        <f>IF(csv!Q116="","",csv!Q116)</f>
        <v>OK Jelen</v>
      </c>
      <c r="L126" s="31" t="s">
        <v>0</v>
      </c>
      <c r="M126" s="66" t="str">
        <f>IF(csv!R116="","",csv!R116)</f>
        <v>CRO</v>
      </c>
      <c r="N126" s="47" t="s">
        <v>0</v>
      </c>
      <c r="O126" s="243" t="str">
        <f t="shared" si="95"/>
        <v>ok</v>
      </c>
      <c r="P126" s="47"/>
      <c r="Q126" s="52" t="str">
        <f t="shared" si="96"/>
        <v>M35</v>
      </c>
      <c r="R126" s="73">
        <f>IF(Q126="","",IF(COUNTIF(Q$12:Q125,Q126)=0,R125+1,R125))</f>
        <v>7</v>
      </c>
      <c r="S126" s="73">
        <f t="shared" si="97"/>
        <v>107</v>
      </c>
      <c r="T126" s="73">
        <f t="shared" si="72"/>
        <v>18</v>
      </c>
      <c r="U126" s="66" t="str">
        <f t="shared" si="73"/>
        <v>M35</v>
      </c>
      <c r="V126" s="47" t="s">
        <v>0</v>
      </c>
      <c r="W126" s="222" t="str">
        <f t="shared" si="74"/>
        <v>M35</v>
      </c>
      <c r="X126" s="223">
        <f t="shared" si="75"/>
        <v>29</v>
      </c>
      <c r="Y126" s="47" t="s">
        <v>0</v>
      </c>
      <c r="Z126" s="52" t="str">
        <f t="shared" si="98"/>
        <v>CRO</v>
      </c>
      <c r="AA126" s="73">
        <f t="shared" si="76"/>
        <v>1</v>
      </c>
      <c r="AB126" s="31" t="str">
        <f t="shared" si="99"/>
        <v/>
      </c>
      <c r="AC126" s="66" t="str">
        <f>IF(AB126="","",MAX(AC$12:AC125)+1)</f>
        <v/>
      </c>
      <c r="AD126" s="47" t="s">
        <v>0</v>
      </c>
      <c r="AE126" s="125"/>
      <c r="AF126" s="47" t="s">
        <v>0</v>
      </c>
      <c r="AG126" s="19" t="str">
        <f t="shared" si="100"/>
        <v/>
      </c>
      <c r="AH126" s="47" t="s">
        <v>0</v>
      </c>
      <c r="AI126" s="143" t="str">
        <f t="shared" si="101"/>
        <v>CRO</v>
      </c>
      <c r="AJ126" s="47"/>
      <c r="AK126" s="52" t="str">
        <f t="shared" si="102"/>
        <v>Damir</v>
      </c>
      <c r="AL126" s="31" t="str">
        <f t="shared" si="103"/>
        <v>Tubin</v>
      </c>
      <c r="AM126" s="73">
        <f t="shared" si="104"/>
        <v>1355</v>
      </c>
      <c r="AN126" s="73" t="str">
        <f t="shared" si="105"/>
        <v/>
      </c>
      <c r="AO126" s="31" t="str">
        <f t="shared" si="77"/>
        <v>Damir</v>
      </c>
      <c r="AP126" s="66" t="str">
        <f t="shared" si="78"/>
        <v>Tubin</v>
      </c>
      <c r="AQ126" s="47" t="s">
        <v>0</v>
      </c>
      <c r="AR126" s="82" t="str">
        <f t="shared" si="106"/>
        <v/>
      </c>
      <c r="AS126" s="47" t="s">
        <v>0</v>
      </c>
      <c r="AT126" s="19" t="str">
        <f t="shared" si="107"/>
        <v/>
      </c>
      <c r="AU126" s="47" t="s">
        <v>0</v>
      </c>
      <c r="AV126" s="103"/>
      <c r="AW126" s="105"/>
      <c r="AX126" s="47" t="s">
        <v>0</v>
      </c>
      <c r="AY126" s="256" t="str">
        <f t="shared" si="125"/>
        <v/>
      </c>
      <c r="AZ126" s="47" t="s">
        <v>0</v>
      </c>
      <c r="BA126" s="52" t="str">
        <f t="shared" si="79"/>
        <v/>
      </c>
      <c r="BB126" s="73" t="str">
        <f>IF(AV126&amp;AW126="","",MAX(BB$12:BB125)+1)</f>
        <v/>
      </c>
      <c r="BC126" s="268" t="str">
        <f t="shared" si="80"/>
        <v/>
      </c>
      <c r="BD126" s="53" t="str">
        <f>IF(AND(AM126="NEMA",AN126="NEMA",OR(AV126&amp;AW126="",BC126="NEMA")),MAX(BD$12:BD125)+1,"")</f>
        <v/>
      </c>
      <c r="BE126" s="47" t="s">
        <v>0</v>
      </c>
      <c r="BF126" s="52" t="str">
        <f t="shared" si="81"/>
        <v>Damir</v>
      </c>
      <c r="BG126" s="31" t="str">
        <f t="shared" si="82"/>
        <v>Tubin</v>
      </c>
      <c r="BH126" s="73" t="str">
        <f t="shared" si="108"/>
        <v/>
      </c>
      <c r="BI126" s="53">
        <f t="shared" si="109"/>
        <v>1355</v>
      </c>
      <c r="BJ126" s="47" t="s">
        <v>0</v>
      </c>
      <c r="BK126" s="52" t="str">
        <f t="shared" si="83"/>
        <v>OK Jelen</v>
      </c>
      <c r="BL126" s="31" t="str">
        <f t="shared" si="84"/>
        <v>OK Jelen</v>
      </c>
      <c r="BM126" s="73">
        <f t="shared" si="85"/>
        <v>4</v>
      </c>
      <c r="BN126" s="73" t="str">
        <f t="shared" si="86"/>
        <v/>
      </c>
      <c r="BO126" s="31" t="str" cm="1">
        <f t="array" ref="BO126">IF(BN126="",""&amp;BL126,IF(BN126="NEMA",BL126,INDEX(regKlub_naziv,MATCH(INDEX(regKlub_alias_klubId,BN126),regKlub_id,0))))</f>
        <v>OK Jelen</v>
      </c>
      <c r="BP126" s="31" t="str" cm="1">
        <f t="array" ref="BP126">IFERROR(""&amp;INDEX(regNatjecatelj_klub,DY126),"")</f>
        <v>OK Jelen</v>
      </c>
      <c r="BQ126" s="88" t="str">
        <f t="shared" si="110"/>
        <v/>
      </c>
      <c r="BR126" s="66" t="str">
        <f t="shared" si="111"/>
        <v>OK Jelen</v>
      </c>
      <c r="BS126" s="47" t="s">
        <v>0</v>
      </c>
      <c r="BT126" s="82" t="str">
        <f>IF(BN126&lt;&gt;"NEMA","",IF(IFERROR(MATCH(BL126,BL$12:BL125,0),0)&lt;&gt;0,"",BL126))</f>
        <v/>
      </c>
      <c r="BU126" s="47" t="s">
        <v>0</v>
      </c>
      <c r="BV126" s="125"/>
      <c r="BW126" s="47" t="s">
        <v>0</v>
      </c>
      <c r="BX126" s="58" t="str">
        <f t="shared" si="112"/>
        <v/>
      </c>
      <c r="BY126" s="31" t="str">
        <f t="shared" si="113"/>
        <v/>
      </c>
      <c r="BZ126" s="31" t="str">
        <f>IF(BY126="","",MAX(BZ$12:BZ125)+1)</f>
        <v/>
      </c>
      <c r="CA126" s="31" t="str">
        <f>IF(BY126="","",IF(AA126="","",IF(AA126="NEMA",AC126,AA126)))</f>
        <v/>
      </c>
      <c r="CB126" s="31" t="str">
        <f t="shared" si="114"/>
        <v/>
      </c>
      <c r="CC126" s="31" t="str">
        <f>IF(BV126="","",MAX(CC$12:CC125)+1)</f>
        <v/>
      </c>
      <c r="CD126" s="31" t="str">
        <f t="shared" si="115"/>
        <v/>
      </c>
      <c r="CE126" s="66" t="str">
        <f t="shared" si="116"/>
        <v/>
      </c>
      <c r="CF126" s="47" t="s">
        <v>0</v>
      </c>
      <c r="CG126" s="73" t="str">
        <f>IF(BN126="","",IF(BN126&lt;&gt;"NEMA","",IFERROR(INDEX(nat_klubAliasId,MATCH(BL126,nat_noviKluboviAliasi,0)),"")))</f>
        <v/>
      </c>
      <c r="CH126" s="47"/>
      <c r="CI126" s="19" t="str">
        <f t="shared" si="117"/>
        <v/>
      </c>
      <c r="CJ126" s="47" t="s">
        <v>0</v>
      </c>
      <c r="CK126" s="52" t="str">
        <f>IF(X126&lt;&gt;"NEMA","",IF(IFERROR(MATCH(W126,W$12:W125,0),0)&lt;&gt;0,"",W126))</f>
        <v/>
      </c>
      <c r="CL126" s="73" t="str">
        <f>IF(CK126="","",IFERROR(INDEX(regKlub_alias_id,MATCH(CK126,regKlub_alias_alias,0)),"NEMA"))</f>
        <v/>
      </c>
      <c r="CM126" s="31" t="str">
        <f>IF(OR(CL126="",CL126&lt;&gt;"NEMA"),"",MAX(CM$12:CM125)+1)</f>
        <v/>
      </c>
      <c r="CN126" s="66" t="str">
        <f>IF(OR(CL126="",CL126&lt;&gt;"NEMA"),"",INDEX(regKlub_id,MATCH(CK126,regKlub_naziv,0)))</f>
        <v/>
      </c>
      <c r="CO126" s="47" t="s">
        <v>0</v>
      </c>
      <c r="CP126" s="19" t="str">
        <f>IF(OR(CL126="",CL126&lt;&gt;"NEMA"),"","INSERT INTO klub_alias(id,alias,klub_id) VALUES ("&amp;CM126&amp;",'"&amp;CK126&amp;"',"&amp;CN126&amp;");")</f>
        <v/>
      </c>
      <c r="CQ126" s="47" t="s">
        <v>0</v>
      </c>
      <c r="CR126" s="143" t="str">
        <f>IF(BR126="","",IF(BV126="",IF(IFERROR(MATCH(BR126,nat_noviKluboviAliasi,0),0)&gt;0,INDEX(nat_kluboviAliasi,MATCH(BR126,nat_noviKluboviAliasi,0)),BR126),BV126))</f>
        <v>OK Jelen</v>
      </c>
      <c r="CS126" s="47" t="s">
        <v>0</v>
      </c>
      <c r="CT126" s="58" t="str">
        <f>IF(G126="","",G126)</f>
        <v>109:27</v>
      </c>
      <c r="CU126" s="73" t="str">
        <f>IF(H126="","",H126)</f>
        <v>0</v>
      </c>
      <c r="CV126" s="229" t="str">
        <f>IF(CT126="",IF(OR(AL126="",CU126&lt;&gt;"0"),"","GREŠKA"),IF(AND(65535&gt;=VALUE(LEFT(CT126,SEARCH(":",CT126)-1))*60+VALUE(RIGHT(CT126,2)),OR(CU126="0",CU126="1",CU126="2",CU126="3",CU126="4")),"","GREŠKA"))</f>
        <v/>
      </c>
      <c r="CW126" s="230">
        <f t="shared" si="127"/>
        <v>6567</v>
      </c>
      <c r="CX126" s="163">
        <f t="shared" si="87"/>
        <v>1</v>
      </c>
      <c r="CY126" s="47" t="s">
        <v>0</v>
      </c>
      <c r="CZ126" s="222" t="str">
        <f>IF(CV126&lt;&gt;"GREŠKA","",AK126&amp;" "&amp;AL126&amp;" – Molim u OEventu provjeriti i ispraviti rezultat – vrijeme ("&amp;IF(CT126="","nije upisano",CT126)&amp;") i classifier ("&amp;CU126&amp;").")&amp;IF(OR(CV126&lt;&gt;"GREŠKA",CX126&lt;&gt;5),"
","")&amp;IF(CX126&lt;&gt;5,"",AK126&amp;" "&amp;AL126&amp;" – Molim u provjeriti je li natjecatelj zaista diskvalificiran. Ako je koje je obrazloženje, ako nije molim u OEventu ispraviti rezultat")</f>
        <v xml:space="preserve">
</v>
      </c>
      <c r="DA126" s="223">
        <f t="shared" si="118"/>
        <v>6</v>
      </c>
      <c r="DB126" s="47" t="s">
        <v>0</v>
      </c>
      <c r="DC126" s="47"/>
      <c r="DD126" s="47"/>
      <c r="DE126" s="47"/>
      <c r="DF126" s="47" t="s">
        <v>0</v>
      </c>
      <c r="DG126" s="53" t="str">
        <f>IF(BD126="","",IF(DI126="O",1,""))</f>
        <v/>
      </c>
      <c r="DH126" t="s">
        <v>0</v>
      </c>
      <c r="DI126" s="128" t="str">
        <f>IF(Q126="","",LEFT(INDEX(regKategorija_oznaka,MATCH(S126,regKategorija_id,0)),1))</f>
        <v>M</v>
      </c>
      <c r="DJ126" t="s">
        <v>0</v>
      </c>
      <c r="DK126" s="52" t="str">
        <f>IF(BD126="","",IF(M126&lt;&gt;"CRO","","INSERT INTO osoba (id,reg_broj,oib,spol_id,dat_rodjenja) VALUES ("&amp;BD126&amp;",(SELECT max(os.reg_broj)+1 FROM osoba AS os),Null,'"&amp;DI126&amp;"',Null); INSERT INTO osoba_log (id,reg_broj,oib,spol_id,dat_rodjenja,dnevnik_id) SELECT id,reg_broj,oib,spol_id,dat_rodjenja,"&amp;data_dnevnik_id&amp;" FROM osoba WHERE id = "&amp;BD126&amp;";"))</f>
        <v/>
      </c>
      <c r="DL126" s="66" t="str">
        <f>IF(BD126="","","INSERT INTO imeprezime (id,osoba_id,rbr,ime,prezime,klub_id,identitet_id,sintaksa_id,info,aktivno,dnevnik_id) VALUES ("&amp;BD126&amp;","&amp;IF(DK126="","Null",BD126)&amp;",1,'"&amp;IF(AV126&lt;&gt;"",AV126,AK126)&amp;"','"&amp;IF(AW126&lt;&gt;"",AW126,AL126)&amp;"',(SELECT id FROM klub WHERE naziv = '"&amp;CR126&amp;"'),Null,1,'',1,"&amp;data_dnevnik_id&amp;");")</f>
        <v/>
      </c>
      <c r="DM126" t="s">
        <v>0</v>
      </c>
      <c r="DN126" s="19" t="str">
        <f t="shared" si="126"/>
        <v/>
      </c>
      <c r="DO126" s="47" t="s">
        <v>0</v>
      </c>
      <c r="DP126" s="19" t="str">
        <f>IF(BA126="","","INSERT INTO imeprezime_alias(id,alias,imeprezime_id) VALUES ("&amp;BB126&amp;",'"&amp;BA126&amp;"',"&amp;IF(BC126="NEMA",BD126,BC126)&amp;");")</f>
        <v/>
      </c>
      <c r="DQ126" s="47" t="s">
        <v>0</v>
      </c>
      <c r="DR126" s="52" t="str">
        <f>IF(AL126="","",DU126 &amp; IF(Q126="",""," – " &amp; Q126))</f>
        <v>Damir – Tubin – OK Jelen – M35</v>
      </c>
      <c r="DS126" s="53">
        <f t="shared" si="88"/>
        <v>199</v>
      </c>
      <c r="DT126" s="47" t="s">
        <v>0</v>
      </c>
      <c r="DU126" s="52" t="str">
        <f>IF(AL126="","",DX126 &amp; IF(CR126="",""," – " &amp; CR126))</f>
        <v>Damir – Tubin – OK Jelen</v>
      </c>
      <c r="DV126" s="53">
        <f t="shared" si="89"/>
        <v>199</v>
      </c>
      <c r="DW126" s="47" t="s">
        <v>0</v>
      </c>
      <c r="DX126" s="52" t="str">
        <f>IF(BG126="","",BF126&amp;" – "&amp;BG126)</f>
        <v>Damir – Tubin</v>
      </c>
      <c r="DY126" s="53">
        <f t="shared" si="90"/>
        <v>199</v>
      </c>
      <c r="DZ126" s="47" t="s">
        <v>0</v>
      </c>
      <c r="EA126" s="58">
        <f t="shared" si="119"/>
        <v>199</v>
      </c>
      <c r="EB126" s="53" cm="1">
        <f t="array" ref="EB126">IF(EA126&lt;&gt;"",INDEX(regNatjecatelj_id,EA126,0),IF(BD126&lt;&gt;"",BD126,""))</f>
        <v>1355</v>
      </c>
      <c r="EC126" s="47" t="s">
        <v>0</v>
      </c>
      <c r="ED126" s="58" t="str">
        <f>IF(AL126="","",IF(BD126&lt;&gt;"","novo",IF(AN126="","imepre","imepre(ali)")))</f>
        <v>imepre</v>
      </c>
      <c r="EE126" s="73" t="str">
        <f>IF(AL126="","",IF(BL126="",IF(IFERROR(INDEX(regNatjecatelj_klub,MATCH(EB126,regNatjecatelj_id,0)),"NEMA")="","klu",""),IF(OR(AND(BN126&lt;&gt;"",BN126&lt;&gt;"NEMA"),CD126&lt;&gt;""),"klu(ali)",IF(AND(BP126&lt;&gt;"",BP126&lt;&gt;BO126),"(raz-klu)","klu"))))</f>
        <v>klu</v>
      </c>
      <c r="EF126" s="73" t="str">
        <f>IF(AL126="","","kat"&amp;IF(AND(W126&lt;&gt;Q126,Q126&lt;&gt;"Open"),"(ali)",""))</f>
        <v>kat</v>
      </c>
      <c r="EG126" s="73" t="str">
        <f t="shared" si="91"/>
        <v/>
      </c>
      <c r="EH126" s="66" t="str">
        <f>IF(AL126="","",ED126&amp;IF(ED126="novo","","-"&amp;EE126&amp;"-"&amp;EF126)&amp;IF(EG126="","","-"&amp;EG126))</f>
        <v>imepre-klu-kat</v>
      </c>
      <c r="EI126" s="47" t="s">
        <v>0</v>
      </c>
      <c r="EJ126" s="58">
        <f>IF(AL126="","",MAX(EJ$12:EJ125)+1)</f>
        <v>294</v>
      </c>
      <c r="EK126" s="73">
        <f>IF(AO126="","",X126)</f>
        <v>29</v>
      </c>
      <c r="EL126" s="73">
        <f t="shared" si="120"/>
        <v>1355</v>
      </c>
      <c r="EM126" s="73">
        <f t="shared" si="92"/>
        <v>6567</v>
      </c>
      <c r="EN126" s="73">
        <f t="shared" si="93"/>
        <v>1</v>
      </c>
      <c r="EO126" s="73">
        <f t="shared" si="121"/>
        <v>1</v>
      </c>
      <c r="EP126" s="73">
        <f t="shared" si="122"/>
        <v>1</v>
      </c>
      <c r="EQ126" s="73" t="str">
        <f t="shared" si="94"/>
        <v>0</v>
      </c>
      <c r="ER126" s="73" t="str">
        <f>IF(OR(AN126="",AN126="NEMA"),BB126,AN126)</f>
        <v/>
      </c>
      <c r="ES126" s="73" t="str">
        <f>IF(AND(BN126&lt;&gt;"",BN126&lt;&gt;"NEMA"),BN126,IF(CG126&lt;&gt;"",CG126,IF(AND(CL126&lt;&gt;"",CL126&lt;&gt;"NEMA"),CL126,IF(CM126&lt;&gt;"",CM126,""))))</f>
        <v/>
      </c>
      <c r="ET126" s="53" t="str">
        <f>IF(INDEX(natKategorija_alias_Id,MATCH(S126,natKategorija_katRegId,0))="","",INDEX(natKategorija_alias_Id,MATCH(S126,natKategorija_katRegId,0)))</f>
        <v/>
      </c>
      <c r="EU126" s="47" t="s">
        <v>0</v>
      </c>
      <c r="EV126" s="19" t="str">
        <f t="shared" si="123"/>
        <v>INSERT INTO rezultat(id,stazakategorija_id,imeprezime_id,vrijeme_sec,status_id,registracija,uparivanje_id,originalstatus_id,imeprezimealias_id,klubalias_id,kategorijaalias_id) VALUES (294,29,1355,6567,1,1,1,0,Null,Null,Null);</v>
      </c>
      <c r="EW126" s="47" t="s">
        <v>0</v>
      </c>
      <c r="EX126" s="19" t="str">
        <f t="shared" si="124"/>
        <v>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6" s="47" t="s">
        <v>0</v>
      </c>
      <c r="EZ126" s="180" t="str">
        <f>AG126&amp;IF(CP126="","","
")&amp;CP126&amp;IF(CI126="","","
")&amp;CI126&amp;IF(DN126="","","
")&amp;DN126&amp;IF(DP126="","","
")&amp;DP126&amp;IF(EV126="","","
")&amp;EV126&amp;IF(EX126="","","
")&amp;EX126</f>
        <v xml:space="preserve">
INSERT INTO rezultat(id,stazakategorija_id,imeprezime_id,vrijeme_sec,status_id,registracija,uparivanje_id,originalstatus_id,imeprezimealias_id,klubalias_id,kategorijaalias_id) VALUES (294,29,1355,6567,1,1,1,0,Null,Null,Null);
UPDATE
	registar
SET
	potvrda = 1
WHERE
	imeprezime_id=1355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6" s="47" t="s">
        <v>0</v>
      </c>
    </row>
    <row r="127" spans="1:157" x14ac:dyDescent="0.25">
      <c r="A127" t="s">
        <v>0</v>
      </c>
      <c r="B127" s="52" t="str">
        <f>IF(csv!F117="","",csv!T117)</f>
        <v>M35</v>
      </c>
      <c r="C127" s="31" t="s">
        <v>0</v>
      </c>
      <c r="D127" s="31" t="str">
        <f>IF(csv!F117="","",csv!F117)</f>
        <v>Zdravko</v>
      </c>
      <c r="E127" s="31" t="str">
        <f>IF(csv!E117="","",csv!E117)</f>
        <v>Novosel</v>
      </c>
      <c r="F127" s="31" t="s">
        <v>0</v>
      </c>
      <c r="G127" s="73" t="str">
        <f>IF(csv!M117="","",csv!M117)</f>
        <v>112:39</v>
      </c>
      <c r="H127" s="73" t="str">
        <f>IF(csv!N117="","",csv!N117)</f>
        <v>0</v>
      </c>
      <c r="I127" s="31" t="s">
        <v>0</v>
      </c>
      <c r="J127" s="31" t="str">
        <f>IF(csv!P117="","",csv!P117)</f>
        <v>OK Jelen</v>
      </c>
      <c r="K127" s="31" t="str">
        <f>IF(csv!Q117="","",csv!Q117)</f>
        <v>OK Jelen</v>
      </c>
      <c r="L127" s="31" t="s">
        <v>0</v>
      </c>
      <c r="M127" s="66" t="str">
        <f>IF(csv!R117="","",csv!R117)</f>
        <v>CRO</v>
      </c>
      <c r="N127" s="47" t="s">
        <v>0</v>
      </c>
      <c r="O127" s="243" t="str">
        <f t="shared" si="95"/>
        <v>ok</v>
      </c>
      <c r="P127" s="47"/>
      <c r="Q127" s="52" t="str">
        <f t="shared" si="96"/>
        <v>M35</v>
      </c>
      <c r="R127" s="73">
        <f>IF(Q127="","",IF(COUNTIF(Q$12:Q126,Q127)=0,R126+1,R126))</f>
        <v>7</v>
      </c>
      <c r="S127" s="73">
        <f t="shared" si="97"/>
        <v>107</v>
      </c>
      <c r="T127" s="73">
        <f t="shared" si="72"/>
        <v>18</v>
      </c>
      <c r="U127" s="66" t="str">
        <f t="shared" si="73"/>
        <v>M35</v>
      </c>
      <c r="V127" s="47" t="s">
        <v>0</v>
      </c>
      <c r="W127" s="222" t="str">
        <f t="shared" si="74"/>
        <v>M35</v>
      </c>
      <c r="X127" s="223">
        <f t="shared" si="75"/>
        <v>29</v>
      </c>
      <c r="Y127" s="47" t="s">
        <v>0</v>
      </c>
      <c r="Z127" s="52" t="str">
        <f t="shared" si="98"/>
        <v>CRO</v>
      </c>
      <c r="AA127" s="73">
        <f t="shared" si="76"/>
        <v>1</v>
      </c>
      <c r="AB127" s="31" t="str">
        <f t="shared" si="99"/>
        <v/>
      </c>
      <c r="AC127" s="66" t="str">
        <f>IF(AB127="","",MAX(AC$12:AC126)+1)</f>
        <v/>
      </c>
      <c r="AD127" s="47" t="s">
        <v>0</v>
      </c>
      <c r="AE127" s="125"/>
      <c r="AF127" s="47" t="s">
        <v>0</v>
      </c>
      <c r="AG127" s="19" t="str">
        <f t="shared" si="100"/>
        <v/>
      </c>
      <c r="AH127" s="47" t="s">
        <v>0</v>
      </c>
      <c r="AI127" s="143" t="str">
        <f t="shared" si="101"/>
        <v>CRO</v>
      </c>
      <c r="AJ127" s="47"/>
      <c r="AK127" s="52" t="str">
        <f t="shared" si="102"/>
        <v>Zdravko</v>
      </c>
      <c r="AL127" s="31" t="str">
        <f t="shared" si="103"/>
        <v>Novosel</v>
      </c>
      <c r="AM127" s="73">
        <f t="shared" si="104"/>
        <v>1115</v>
      </c>
      <c r="AN127" s="73" t="str">
        <f t="shared" si="105"/>
        <v/>
      </c>
      <c r="AO127" s="31" t="str">
        <f t="shared" si="77"/>
        <v>Zdravko</v>
      </c>
      <c r="AP127" s="66" t="str">
        <f t="shared" si="78"/>
        <v>Novosel</v>
      </c>
      <c r="AQ127" s="47" t="s">
        <v>0</v>
      </c>
      <c r="AR127" s="82" t="str">
        <f t="shared" si="106"/>
        <v/>
      </c>
      <c r="AS127" s="47" t="s">
        <v>0</v>
      </c>
      <c r="AT127" s="19" t="str">
        <f t="shared" si="107"/>
        <v/>
      </c>
      <c r="AU127" s="47" t="s">
        <v>0</v>
      </c>
      <c r="AV127" s="103"/>
      <c r="AW127" s="105"/>
      <c r="AX127" s="47" t="s">
        <v>0</v>
      </c>
      <c r="AY127" s="256" t="str">
        <f t="shared" si="125"/>
        <v/>
      </c>
      <c r="AZ127" s="47" t="s">
        <v>0</v>
      </c>
      <c r="BA127" s="52" t="str">
        <f t="shared" si="79"/>
        <v/>
      </c>
      <c r="BB127" s="73" t="str">
        <f>IF(AV127&amp;AW127="","",MAX(BB$12:BB126)+1)</f>
        <v/>
      </c>
      <c r="BC127" s="268" t="str">
        <f t="shared" si="80"/>
        <v/>
      </c>
      <c r="BD127" s="53" t="str">
        <f>IF(AND(AM127="NEMA",AN127="NEMA",OR(AV127&amp;AW127="",BC127="NEMA")),MAX(BD$12:BD126)+1,"")</f>
        <v/>
      </c>
      <c r="BE127" s="47" t="s">
        <v>0</v>
      </c>
      <c r="BF127" s="52" t="str">
        <f t="shared" si="81"/>
        <v>Zdravko</v>
      </c>
      <c r="BG127" s="31" t="str">
        <f t="shared" si="82"/>
        <v>Novosel</v>
      </c>
      <c r="BH127" s="73" t="str">
        <f t="shared" si="108"/>
        <v/>
      </c>
      <c r="BI127" s="53">
        <f t="shared" si="109"/>
        <v>1115</v>
      </c>
      <c r="BJ127" s="47" t="s">
        <v>0</v>
      </c>
      <c r="BK127" s="52" t="str">
        <f t="shared" si="83"/>
        <v>OK Jelen</v>
      </c>
      <c r="BL127" s="31" t="str">
        <f t="shared" si="84"/>
        <v>OK Jelen</v>
      </c>
      <c r="BM127" s="73">
        <f t="shared" si="85"/>
        <v>4</v>
      </c>
      <c r="BN127" s="73" t="str">
        <f t="shared" si="86"/>
        <v/>
      </c>
      <c r="BO127" s="31" t="str" cm="1">
        <f t="array" ref="BO127">IF(BN127="",""&amp;BL127,IF(BN127="NEMA",BL127,INDEX(regKlub_naziv,MATCH(INDEX(regKlub_alias_klubId,BN127),regKlub_id,0))))</f>
        <v>OK Jelen</v>
      </c>
      <c r="BP127" s="31" t="str" cm="1">
        <f t="array" ref="BP127">IFERROR(""&amp;INDEX(regNatjecatelj_klub,DY127),"")</f>
        <v>OK Jelen</v>
      </c>
      <c r="BQ127" s="88" t="str">
        <f t="shared" si="110"/>
        <v/>
      </c>
      <c r="BR127" s="66" t="str">
        <f t="shared" si="111"/>
        <v>OK Jelen</v>
      </c>
      <c r="BS127" s="47" t="s">
        <v>0</v>
      </c>
      <c r="BT127" s="82" t="str">
        <f>IF(BN127&lt;&gt;"NEMA","",IF(IFERROR(MATCH(BL127,BL$12:BL126,0),0)&lt;&gt;0,"",BL127))</f>
        <v/>
      </c>
      <c r="BU127" s="47" t="s">
        <v>0</v>
      </c>
      <c r="BV127" s="125"/>
      <c r="BW127" s="47" t="s">
        <v>0</v>
      </c>
      <c r="BX127" s="58" t="str">
        <f t="shared" si="112"/>
        <v/>
      </c>
      <c r="BY127" s="31" t="str">
        <f t="shared" si="113"/>
        <v/>
      </c>
      <c r="BZ127" s="31" t="str">
        <f>IF(BY127="","",MAX(BZ$12:BZ126)+1)</f>
        <v/>
      </c>
      <c r="CA127" s="31" t="str">
        <f>IF(BY127="","",IF(AA127="","",IF(AA127="NEMA",AC127,AA127)))</f>
        <v/>
      </c>
      <c r="CB127" s="31" t="str">
        <f t="shared" si="114"/>
        <v/>
      </c>
      <c r="CC127" s="31" t="str">
        <f>IF(BV127="","",MAX(CC$12:CC126)+1)</f>
        <v/>
      </c>
      <c r="CD127" s="31" t="str">
        <f t="shared" si="115"/>
        <v/>
      </c>
      <c r="CE127" s="66" t="str">
        <f t="shared" si="116"/>
        <v/>
      </c>
      <c r="CF127" s="47" t="s">
        <v>0</v>
      </c>
      <c r="CG127" s="73" t="str">
        <f>IF(BN127="","",IF(BN127&lt;&gt;"NEMA","",IFERROR(INDEX(nat_klubAliasId,MATCH(BL127,nat_noviKluboviAliasi,0)),"")))</f>
        <v/>
      </c>
      <c r="CH127" s="47"/>
      <c r="CI127" s="19" t="str">
        <f t="shared" si="117"/>
        <v/>
      </c>
      <c r="CJ127" s="47" t="s">
        <v>0</v>
      </c>
      <c r="CK127" s="52" t="str">
        <f>IF(X127&lt;&gt;"NEMA","",IF(IFERROR(MATCH(W127,W$12:W126,0),0)&lt;&gt;0,"",W127))</f>
        <v/>
      </c>
      <c r="CL127" s="73" t="str">
        <f>IF(CK127="","",IFERROR(INDEX(regKlub_alias_id,MATCH(CK127,regKlub_alias_alias,0)),"NEMA"))</f>
        <v/>
      </c>
      <c r="CM127" s="31" t="str">
        <f>IF(OR(CL127="",CL127&lt;&gt;"NEMA"),"",MAX(CM$12:CM126)+1)</f>
        <v/>
      </c>
      <c r="CN127" s="66" t="str">
        <f>IF(OR(CL127="",CL127&lt;&gt;"NEMA"),"",INDEX(regKlub_id,MATCH(CK127,regKlub_naziv,0)))</f>
        <v/>
      </c>
      <c r="CO127" s="47" t="s">
        <v>0</v>
      </c>
      <c r="CP127" s="19" t="str">
        <f>IF(OR(CL127="",CL127&lt;&gt;"NEMA"),"","INSERT INTO klub_alias(id,alias,klub_id) VALUES ("&amp;CM127&amp;",'"&amp;CK127&amp;"',"&amp;CN127&amp;");")</f>
        <v/>
      </c>
      <c r="CQ127" s="47" t="s">
        <v>0</v>
      </c>
      <c r="CR127" s="143" t="str">
        <f>IF(BR127="","",IF(BV127="",IF(IFERROR(MATCH(BR127,nat_noviKluboviAliasi,0),0)&gt;0,INDEX(nat_kluboviAliasi,MATCH(BR127,nat_noviKluboviAliasi,0)),BR127),BV127))</f>
        <v>OK Jelen</v>
      </c>
      <c r="CS127" s="47" t="s">
        <v>0</v>
      </c>
      <c r="CT127" s="58" t="str">
        <f>IF(G127="","",G127)</f>
        <v>112:39</v>
      </c>
      <c r="CU127" s="73" t="str">
        <f>IF(H127="","",H127)</f>
        <v>0</v>
      </c>
      <c r="CV127" s="229" t="str">
        <f>IF(CT127="",IF(OR(AL127="",CU127&lt;&gt;"0"),"","GREŠKA"),IF(AND(65535&gt;=VALUE(LEFT(CT127,SEARCH(":",CT127)-1))*60+VALUE(RIGHT(CT127,2)),OR(CU127="0",CU127="1",CU127="2",CU127="3",CU127="4")),"","GREŠKA"))</f>
        <v/>
      </c>
      <c r="CW127" s="230">
        <f t="shared" si="127"/>
        <v>6759</v>
      </c>
      <c r="CX127" s="163">
        <f t="shared" si="87"/>
        <v>1</v>
      </c>
      <c r="CY127" s="47" t="s">
        <v>0</v>
      </c>
      <c r="CZ127" s="222" t="str">
        <f>IF(CV127&lt;&gt;"GREŠKA","",AK127&amp;" "&amp;AL127&amp;" – Molim u OEventu provjeriti i ispraviti rezultat – vrijeme ("&amp;IF(CT127="","nije upisano",CT127)&amp;") i classifier ("&amp;CU127&amp;").")&amp;IF(OR(CV127&lt;&gt;"GREŠKA",CX127&lt;&gt;5),"
","")&amp;IF(CX127&lt;&gt;5,"",AK127&amp;" "&amp;AL127&amp;" – Molim u provjeriti je li natjecatelj zaista diskvalificiran. Ako je koje je obrazloženje, ako nije molim u OEventu ispraviti rezultat")</f>
        <v xml:space="preserve">
</v>
      </c>
      <c r="DA127" s="223">
        <f t="shared" si="118"/>
        <v>6</v>
      </c>
      <c r="DB127" s="47" t="s">
        <v>0</v>
      </c>
      <c r="DC127" s="47"/>
      <c r="DD127" s="47"/>
      <c r="DE127" s="47"/>
      <c r="DF127" s="47" t="s">
        <v>0</v>
      </c>
      <c r="DG127" s="53" t="str">
        <f>IF(BD127="","",IF(DI127="O",1,""))</f>
        <v/>
      </c>
      <c r="DH127" t="s">
        <v>0</v>
      </c>
      <c r="DI127" s="128" t="str">
        <f>IF(Q127="","",LEFT(INDEX(regKategorija_oznaka,MATCH(S127,regKategorija_id,0)),1))</f>
        <v>M</v>
      </c>
      <c r="DJ127" t="s">
        <v>0</v>
      </c>
      <c r="DK127" s="52" t="str">
        <f>IF(BD127="","",IF(M127&lt;&gt;"CRO","","INSERT INTO osoba (id,reg_broj,oib,spol_id,dat_rodjenja) VALUES ("&amp;BD127&amp;",(SELECT max(os.reg_broj)+1 FROM osoba AS os),Null,'"&amp;DI127&amp;"',Null); INSERT INTO osoba_log (id,reg_broj,oib,spol_id,dat_rodjenja,dnevnik_id) SELECT id,reg_broj,oib,spol_id,dat_rodjenja,"&amp;data_dnevnik_id&amp;" FROM osoba WHERE id = "&amp;BD127&amp;";"))</f>
        <v/>
      </c>
      <c r="DL127" s="66" t="str">
        <f>IF(BD127="","","INSERT INTO imeprezime (id,osoba_id,rbr,ime,prezime,klub_id,identitet_id,sintaksa_id,info,aktivno,dnevnik_id) VALUES ("&amp;BD127&amp;","&amp;IF(DK127="","Null",BD127)&amp;",1,'"&amp;IF(AV127&lt;&gt;"",AV127,AK127)&amp;"','"&amp;IF(AW127&lt;&gt;"",AW127,AL127)&amp;"',(SELECT id FROM klub WHERE naziv = '"&amp;CR127&amp;"'),Null,1,'',1,"&amp;data_dnevnik_id&amp;");")</f>
        <v/>
      </c>
      <c r="DM127" t="s">
        <v>0</v>
      </c>
      <c r="DN127" s="19" t="str">
        <f t="shared" si="126"/>
        <v/>
      </c>
      <c r="DO127" s="47" t="s">
        <v>0</v>
      </c>
      <c r="DP127" s="19" t="str">
        <f>IF(BA127="","","INSERT INTO imeprezime_alias(id,alias,imeprezime_id) VALUES ("&amp;BB127&amp;",'"&amp;BA127&amp;"',"&amp;IF(BC127="NEMA",BD127,BC127)&amp;");")</f>
        <v/>
      </c>
      <c r="DQ127" s="47" t="s">
        <v>0</v>
      </c>
      <c r="DR127" s="52" t="str">
        <f>IF(AL127="","",DU127 &amp; IF(Q127="",""," – " &amp; Q127))</f>
        <v>Zdravko – Novosel – OK Jelen – M35</v>
      </c>
      <c r="DS127" s="53">
        <f t="shared" si="88"/>
        <v>180</v>
      </c>
      <c r="DT127" s="47" t="s">
        <v>0</v>
      </c>
      <c r="DU127" s="52" t="str">
        <f>IF(AL127="","",DX127 &amp; IF(CR127="",""," – " &amp; CR127))</f>
        <v>Zdravko – Novosel – OK Jelen</v>
      </c>
      <c r="DV127" s="53">
        <f t="shared" si="89"/>
        <v>180</v>
      </c>
      <c r="DW127" s="47" t="s">
        <v>0</v>
      </c>
      <c r="DX127" s="52" t="str">
        <f>IF(BG127="","",BF127&amp;" – "&amp;BG127)</f>
        <v>Zdravko – Novosel</v>
      </c>
      <c r="DY127" s="53">
        <f t="shared" si="90"/>
        <v>180</v>
      </c>
      <c r="DZ127" s="47" t="s">
        <v>0</v>
      </c>
      <c r="EA127" s="58">
        <f t="shared" si="119"/>
        <v>180</v>
      </c>
      <c r="EB127" s="53" cm="1">
        <f t="array" ref="EB127">IF(EA127&lt;&gt;"",INDEX(regNatjecatelj_id,EA127,0),IF(BD127&lt;&gt;"",BD127,""))</f>
        <v>1115</v>
      </c>
      <c r="EC127" s="47" t="s">
        <v>0</v>
      </c>
      <c r="ED127" s="58" t="str">
        <f>IF(AL127="","",IF(BD127&lt;&gt;"","novo",IF(AN127="","imepre","imepre(ali)")))</f>
        <v>imepre</v>
      </c>
      <c r="EE127" s="73" t="str">
        <f>IF(AL127="","",IF(BL127="",IF(IFERROR(INDEX(regNatjecatelj_klub,MATCH(EB127,regNatjecatelj_id,0)),"NEMA")="","klu",""),IF(OR(AND(BN127&lt;&gt;"",BN127&lt;&gt;"NEMA"),CD127&lt;&gt;""),"klu(ali)",IF(AND(BP127&lt;&gt;"",BP127&lt;&gt;BO127),"(raz-klu)","klu"))))</f>
        <v>klu</v>
      </c>
      <c r="EF127" s="73" t="str">
        <f>IF(AL127="","","kat"&amp;IF(AND(W127&lt;&gt;Q127,Q127&lt;&gt;"Open"),"(ali)",""))</f>
        <v>kat</v>
      </c>
      <c r="EG127" s="73" t="str">
        <f t="shared" si="91"/>
        <v/>
      </c>
      <c r="EH127" s="66" t="str">
        <f>IF(AL127="","",ED127&amp;IF(ED127="novo","","-"&amp;EE127&amp;"-"&amp;EF127)&amp;IF(EG127="","","-"&amp;EG127))</f>
        <v>imepre-klu-kat</v>
      </c>
      <c r="EI127" s="47" t="s">
        <v>0</v>
      </c>
      <c r="EJ127" s="58">
        <f>IF(AL127="","",MAX(EJ$12:EJ126)+1)</f>
        <v>295</v>
      </c>
      <c r="EK127" s="73">
        <f>IF(AO127="","",X127)</f>
        <v>29</v>
      </c>
      <c r="EL127" s="73">
        <f t="shared" si="120"/>
        <v>1115</v>
      </c>
      <c r="EM127" s="73">
        <f t="shared" si="92"/>
        <v>6759</v>
      </c>
      <c r="EN127" s="73">
        <f t="shared" si="93"/>
        <v>1</v>
      </c>
      <c r="EO127" s="73">
        <f t="shared" si="121"/>
        <v>1</v>
      </c>
      <c r="EP127" s="73">
        <f t="shared" si="122"/>
        <v>1</v>
      </c>
      <c r="EQ127" s="73" t="str">
        <f t="shared" si="94"/>
        <v>0</v>
      </c>
      <c r="ER127" s="73" t="str">
        <f>IF(OR(AN127="",AN127="NEMA"),BB127,AN127)</f>
        <v/>
      </c>
      <c r="ES127" s="73" t="str">
        <f>IF(AND(BN127&lt;&gt;"",BN127&lt;&gt;"NEMA"),BN127,IF(CG127&lt;&gt;"",CG127,IF(AND(CL127&lt;&gt;"",CL127&lt;&gt;"NEMA"),CL127,IF(CM127&lt;&gt;"",CM127,""))))</f>
        <v/>
      </c>
      <c r="ET127" s="53" t="str">
        <f>IF(INDEX(natKategorija_alias_Id,MATCH(S127,natKategorija_katRegId,0))="","",INDEX(natKategorija_alias_Id,MATCH(S127,natKategorija_katRegId,0)))</f>
        <v/>
      </c>
      <c r="EU127" s="47" t="s">
        <v>0</v>
      </c>
      <c r="EV127" s="19" t="str">
        <f t="shared" si="123"/>
        <v>INSERT INTO rezultat(id,stazakategorija_id,imeprezime_id,vrijeme_sec,status_id,registracija,uparivanje_id,originalstatus_id,imeprezimealias_id,klubalias_id,kategorijaalias_id) VALUES (295,29,1115,6759,1,1,1,0,Null,Null,Null);</v>
      </c>
      <c r="EW127" s="47" t="s">
        <v>0</v>
      </c>
      <c r="EX127" s="19" t="str">
        <f t="shared" si="124"/>
        <v>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7" s="47" t="s">
        <v>0</v>
      </c>
      <c r="EZ127" s="180" t="str">
        <f>AG127&amp;IF(CP127="","","
")&amp;CP127&amp;IF(CI127="","","
")&amp;CI127&amp;IF(DN127="","","
")&amp;DN127&amp;IF(DP127="","","
")&amp;DP127&amp;IF(EV127="","","
")&amp;EV127&amp;IF(EX127="","","
")&amp;EX127</f>
        <v xml:space="preserve">
INSERT INTO rezultat(id,stazakategorija_id,imeprezime_id,vrijeme_sec,status_id,registracija,uparivanje_id,originalstatus_id,imeprezimealias_id,klubalias_id,kategorijaalias_id) VALUES (295,29,1115,6759,1,1,1,0,Null,Null,Null);
UPDATE
	registar
SET
	potvrda = 1
WHERE
	imeprezime_id=1115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7" s="47" t="s">
        <v>0</v>
      </c>
    </row>
    <row r="128" spans="1:157" x14ac:dyDescent="0.25">
      <c r="A128" t="s">
        <v>0</v>
      </c>
      <c r="B128" s="52" t="str">
        <f>IF(csv!F118="","",csv!T118)</f>
        <v>M35</v>
      </c>
      <c r="C128" s="31" t="s">
        <v>0</v>
      </c>
      <c r="D128" s="31" t="str">
        <f>IF(csv!F118="","",csv!F118)</f>
        <v>Vacant</v>
      </c>
      <c r="E128" s="31" t="str">
        <f>IF(csv!E118="","",csv!E118)</f>
        <v/>
      </c>
      <c r="F128" s="31" t="s">
        <v>0</v>
      </c>
      <c r="G128" s="73" t="str">
        <f>IF(csv!M118="","",csv!M118)</f>
        <v/>
      </c>
      <c r="H128" s="73" t="str">
        <f>IF(csv!N118="","",csv!N118)</f>
        <v>0</v>
      </c>
      <c r="I128" s="31" t="s">
        <v>0</v>
      </c>
      <c r="J128" s="31" t="str">
        <f>IF(csv!P118="","",csv!P118)</f>
        <v/>
      </c>
      <c r="K128" s="31" t="str">
        <f>IF(csv!Q118="","",csv!Q118)</f>
        <v/>
      </c>
      <c r="L128" s="31" t="s">
        <v>0</v>
      </c>
      <c r="M128" s="66" t="str">
        <f>IF(csv!R118="","",csv!R118)</f>
        <v/>
      </c>
      <c r="N128" s="47" t="s">
        <v>0</v>
      </c>
      <c r="O128" s="243" t="str">
        <f t="shared" si="95"/>
        <v/>
      </c>
      <c r="P128" s="47"/>
      <c r="Q128" s="52" t="str">
        <f t="shared" si="96"/>
        <v>M35</v>
      </c>
      <c r="R128" s="73">
        <f>IF(Q128="","",IF(COUNTIF(Q$12:Q127,Q128)=0,R127+1,R127))</f>
        <v>7</v>
      </c>
      <c r="S128" s="73">
        <f t="shared" si="97"/>
        <v>107</v>
      </c>
      <c r="T128" s="73">
        <f t="shared" si="72"/>
        <v>18</v>
      </c>
      <c r="U128" s="66" t="str">
        <f t="shared" si="73"/>
        <v>M35</v>
      </c>
      <c r="V128" s="47" t="s">
        <v>0</v>
      </c>
      <c r="W128" s="222" t="str">
        <f t="shared" si="74"/>
        <v/>
      </c>
      <c r="X128" s="223" t="str">
        <f t="shared" si="75"/>
        <v/>
      </c>
      <c r="Y128" s="47" t="s">
        <v>0</v>
      </c>
      <c r="Z128" s="52" t="str">
        <f t="shared" si="98"/>
        <v/>
      </c>
      <c r="AA128" s="73" t="str">
        <f t="shared" si="76"/>
        <v/>
      </c>
      <c r="AB128" s="31" t="str">
        <f t="shared" si="99"/>
        <v/>
      </c>
      <c r="AC128" s="66" t="str">
        <f>IF(AB128="","",MAX(AC$12:AC127)+1)</f>
        <v/>
      </c>
      <c r="AD128" s="47" t="s">
        <v>0</v>
      </c>
      <c r="AE128" s="125"/>
      <c r="AF128" s="47" t="s">
        <v>0</v>
      </c>
      <c r="AG128" s="19" t="str">
        <f t="shared" si="100"/>
        <v/>
      </c>
      <c r="AH128" s="47" t="s">
        <v>0</v>
      </c>
      <c r="AI128" s="143" t="str">
        <f t="shared" si="101"/>
        <v/>
      </c>
      <c r="AJ128" s="47"/>
      <c r="AK128" s="52" t="str">
        <f t="shared" si="102"/>
        <v/>
      </c>
      <c r="AL128" s="31" t="str">
        <f t="shared" si="103"/>
        <v/>
      </c>
      <c r="AM128" s="73" t="str">
        <f t="shared" si="104"/>
        <v/>
      </c>
      <c r="AN128" s="73" t="str">
        <f t="shared" si="105"/>
        <v/>
      </c>
      <c r="AO128" s="31" t="str">
        <f t="shared" si="77"/>
        <v/>
      </c>
      <c r="AP128" s="66" t="str">
        <f t="shared" si="78"/>
        <v/>
      </c>
      <c r="AQ128" s="47" t="s">
        <v>0</v>
      </c>
      <c r="AR128" s="82" t="str">
        <f t="shared" si="106"/>
        <v/>
      </c>
      <c r="AS128" s="47" t="s">
        <v>0</v>
      </c>
      <c r="AT128" s="19" t="str">
        <f t="shared" si="107"/>
        <v/>
      </c>
      <c r="AU128" s="47" t="s">
        <v>0</v>
      </c>
      <c r="AV128" s="103"/>
      <c r="AW128" s="105"/>
      <c r="AX128" s="47" t="s">
        <v>0</v>
      </c>
      <c r="AY128" s="256" t="str">
        <f t="shared" si="125"/>
        <v/>
      </c>
      <c r="AZ128" s="47" t="s">
        <v>0</v>
      </c>
      <c r="BA128" s="52" t="str">
        <f t="shared" si="79"/>
        <v/>
      </c>
      <c r="BB128" s="73" t="str">
        <f>IF(AV128&amp;AW128="","",MAX(BB$12:BB127)+1)</f>
        <v/>
      </c>
      <c r="BC128" s="268" t="str">
        <f t="shared" si="80"/>
        <v/>
      </c>
      <c r="BD128" s="53" t="str">
        <f>IF(AND(AM128="NEMA",AN128="NEMA",OR(AV128&amp;AW128="",BC128="NEMA")),MAX(BD$12:BD127)+1,"")</f>
        <v/>
      </c>
      <c r="BE128" s="47" t="s">
        <v>0</v>
      </c>
      <c r="BF128" s="52" t="str">
        <f t="shared" si="81"/>
        <v/>
      </c>
      <c r="BG128" s="31" t="str">
        <f t="shared" si="82"/>
        <v/>
      </c>
      <c r="BH128" s="73" t="str">
        <f t="shared" si="108"/>
        <v/>
      </c>
      <c r="BI128" s="53" t="str">
        <f t="shared" si="109"/>
        <v/>
      </c>
      <c r="BJ128" s="47" t="s">
        <v>0</v>
      </c>
      <c r="BK128" s="52" t="str">
        <f t="shared" si="83"/>
        <v/>
      </c>
      <c r="BL128" s="31" t="str">
        <f t="shared" si="84"/>
        <v/>
      </c>
      <c r="BM128" s="73" t="str">
        <f t="shared" si="85"/>
        <v/>
      </c>
      <c r="BN128" s="73" t="str">
        <f t="shared" si="86"/>
        <v/>
      </c>
      <c r="BO128" s="31" t="str" cm="1">
        <f t="array" ref="BO128">IF(BN128="",""&amp;BL128,IF(BN128="NEMA",BL128,INDEX(regKlub_naziv,MATCH(INDEX(regKlub_alias_klubId,BN128),regKlub_id,0))))</f>
        <v/>
      </c>
      <c r="BP128" s="31" t="str" cm="1">
        <f t="array" ref="BP128">IFERROR(""&amp;INDEX(regNatjecatelj_klub,DY128),"")</f>
        <v/>
      </c>
      <c r="BQ128" s="88" t="str">
        <f t="shared" si="110"/>
        <v/>
      </c>
      <c r="BR128" s="66" t="str">
        <f t="shared" si="111"/>
        <v/>
      </c>
      <c r="BS128" s="47" t="s">
        <v>0</v>
      </c>
      <c r="BT128" s="82" t="str">
        <f>IF(BN128&lt;&gt;"NEMA","",IF(IFERROR(MATCH(BL128,BL$12:BL127,0),0)&lt;&gt;0,"",BL128))</f>
        <v/>
      </c>
      <c r="BU128" s="47" t="s">
        <v>0</v>
      </c>
      <c r="BV128" s="125"/>
      <c r="BW128" s="47" t="s">
        <v>0</v>
      </c>
      <c r="BX128" s="58" t="str">
        <f t="shared" si="112"/>
        <v/>
      </c>
      <c r="BY128" s="31" t="str">
        <f t="shared" si="113"/>
        <v/>
      </c>
      <c r="BZ128" s="31" t="str">
        <f>IF(BY128="","",MAX(BZ$12:BZ127)+1)</f>
        <v/>
      </c>
      <c r="CA128" s="31" t="str">
        <f>IF(BY128="","",IF(AA128="","",IF(AA128="NEMA",AC128,AA128)))</f>
        <v/>
      </c>
      <c r="CB128" s="31" t="str">
        <f t="shared" si="114"/>
        <v/>
      </c>
      <c r="CC128" s="31" t="str">
        <f>IF(BV128="","",MAX(CC$12:CC127)+1)</f>
        <v/>
      </c>
      <c r="CD128" s="31" t="str">
        <f t="shared" si="115"/>
        <v/>
      </c>
      <c r="CE128" s="66" t="str">
        <f t="shared" si="116"/>
        <v/>
      </c>
      <c r="CF128" s="47" t="s">
        <v>0</v>
      </c>
      <c r="CG128" s="73" t="str">
        <f>IF(BN128="","",IF(BN128&lt;&gt;"NEMA","",IFERROR(INDEX(nat_klubAliasId,MATCH(BL128,nat_noviKluboviAliasi,0)),"")))</f>
        <v/>
      </c>
      <c r="CH128" s="47"/>
      <c r="CI128" s="19" t="str">
        <f t="shared" si="117"/>
        <v/>
      </c>
      <c r="CJ128" s="47" t="s">
        <v>0</v>
      </c>
      <c r="CK128" s="52" t="str">
        <f>IF(X128&lt;&gt;"NEMA","",IF(IFERROR(MATCH(W128,W$12:W127,0),0)&lt;&gt;0,"",W128))</f>
        <v/>
      </c>
      <c r="CL128" s="73" t="str">
        <f>IF(CK128="","",IFERROR(INDEX(regKlub_alias_id,MATCH(CK128,regKlub_alias_alias,0)),"NEMA"))</f>
        <v/>
      </c>
      <c r="CM128" s="31" t="str">
        <f>IF(OR(CL128="",CL128&lt;&gt;"NEMA"),"",MAX(CM$12:CM127)+1)</f>
        <v/>
      </c>
      <c r="CN128" s="66" t="str">
        <f>IF(OR(CL128="",CL128&lt;&gt;"NEMA"),"",INDEX(regKlub_id,MATCH(CK128,regKlub_naziv,0)))</f>
        <v/>
      </c>
      <c r="CO128" s="47" t="s">
        <v>0</v>
      </c>
      <c r="CP128" s="19" t="str">
        <f>IF(OR(CL128="",CL128&lt;&gt;"NEMA"),"","INSERT INTO klub_alias(id,alias,klub_id) VALUES ("&amp;CM128&amp;",'"&amp;CK128&amp;"',"&amp;CN128&amp;");")</f>
        <v/>
      </c>
      <c r="CQ128" s="47" t="s">
        <v>0</v>
      </c>
      <c r="CR128" s="143" t="str">
        <f>IF(BR128="","",IF(BV128="",IF(IFERROR(MATCH(BR128,nat_noviKluboviAliasi,0),0)&gt;0,INDEX(nat_kluboviAliasi,MATCH(BR128,nat_noviKluboviAliasi,0)),BR128),BV128))</f>
        <v/>
      </c>
      <c r="CS128" s="47" t="s">
        <v>0</v>
      </c>
      <c r="CT128" s="58" t="str">
        <f>IF(G128="","",G128)</f>
        <v/>
      </c>
      <c r="CU128" s="73" t="str">
        <f>IF(H128="","",H128)</f>
        <v>0</v>
      </c>
      <c r="CV128" s="229" t="str">
        <f>IF(CT128="",IF(OR(AL128="",CU128&lt;&gt;"0"),"","GREŠKA"),IF(AND(65535&gt;=VALUE(LEFT(CT128,SEARCH(":",CT128)-1))*60+VALUE(RIGHT(CT128,2)),OR(CU128="0",CU128="1",CU128="2",CU128="3",CU128="4")),"","GREŠKA"))</f>
        <v/>
      </c>
      <c r="CW128" s="230" t="str">
        <f t="shared" si="127"/>
        <v/>
      </c>
      <c r="CX128" s="163" t="str">
        <f t="shared" si="87"/>
        <v/>
      </c>
      <c r="CY128" s="47" t="s">
        <v>0</v>
      </c>
      <c r="CZ128" s="222" t="str">
        <f>IF(CV128&lt;&gt;"GREŠKA","",AK128&amp;" "&amp;AL128&amp;" – Molim u OEventu provjeriti i ispraviti rezultat – vrijeme ("&amp;IF(CT128="","nije upisano",CT128)&amp;") i classifier ("&amp;CU128&amp;").")&amp;IF(OR(CV128&lt;&gt;"GREŠKA",CX128&lt;&gt;5),"
","")&amp;IF(CX128&lt;&gt;5,"",AK128&amp;" "&amp;AL128&amp;" – Molim u provjeriti je li natjecatelj zaista diskvalificiran. Ako je koje je obrazloženje, ako nije molim u OEventu ispraviti rezultat")</f>
        <v xml:space="preserve">
</v>
      </c>
      <c r="DA128" s="223" t="str">
        <f t="shared" si="118"/>
        <v/>
      </c>
      <c r="DB128" s="47" t="s">
        <v>0</v>
      </c>
      <c r="DC128" s="47"/>
      <c r="DD128" s="47"/>
      <c r="DE128" s="47"/>
      <c r="DF128" s="47" t="s">
        <v>0</v>
      </c>
      <c r="DG128" s="53" t="str">
        <f>IF(BD128="","",IF(DI128="O",1,""))</f>
        <v/>
      </c>
      <c r="DH128" t="s">
        <v>0</v>
      </c>
      <c r="DI128" s="128" t="str">
        <f>IF(Q128="","",LEFT(INDEX(regKategorija_oznaka,MATCH(S128,regKategorija_id,0)),1))</f>
        <v>M</v>
      </c>
      <c r="DJ128" t="s">
        <v>0</v>
      </c>
      <c r="DK128" s="52" t="str">
        <f>IF(BD128="","",IF(M128&lt;&gt;"CRO","","INSERT INTO osoba (id,reg_broj,oib,spol_id,dat_rodjenja) VALUES ("&amp;BD128&amp;",(SELECT max(os.reg_broj)+1 FROM osoba AS os),Null,'"&amp;DI128&amp;"',Null); INSERT INTO osoba_log (id,reg_broj,oib,spol_id,dat_rodjenja,dnevnik_id) SELECT id,reg_broj,oib,spol_id,dat_rodjenja,"&amp;data_dnevnik_id&amp;" FROM osoba WHERE id = "&amp;BD128&amp;";"))</f>
        <v/>
      </c>
      <c r="DL128" s="66" t="str">
        <f>IF(BD128="","","INSERT INTO imeprezime (id,osoba_id,rbr,ime,prezime,klub_id,identitet_id,sintaksa_id,info,aktivno,dnevnik_id) VALUES ("&amp;BD128&amp;","&amp;IF(DK128="","Null",BD128)&amp;",1,'"&amp;IF(AV128&lt;&gt;"",AV128,AK128)&amp;"','"&amp;IF(AW128&lt;&gt;"",AW128,AL128)&amp;"',(SELECT id FROM klub WHERE naziv = '"&amp;CR128&amp;"'),Null,1,'',1,"&amp;data_dnevnik_id&amp;");")</f>
        <v/>
      </c>
      <c r="DM128" t="s">
        <v>0</v>
      </c>
      <c r="DN128" s="19" t="str">
        <f t="shared" si="126"/>
        <v/>
      </c>
      <c r="DO128" s="47" t="s">
        <v>0</v>
      </c>
      <c r="DP128" s="19" t="str">
        <f>IF(BA128="","","INSERT INTO imeprezime_alias(id,alias,imeprezime_id) VALUES ("&amp;BB128&amp;",'"&amp;BA128&amp;"',"&amp;IF(BC128="NEMA",BD128,BC128)&amp;");")</f>
        <v/>
      </c>
      <c r="DQ128" s="47" t="s">
        <v>0</v>
      </c>
      <c r="DR128" s="52" t="str">
        <f>IF(AL128="","",DU128 &amp; IF(Q128="",""," – " &amp; Q128))</f>
        <v/>
      </c>
      <c r="DS128" s="53" t="str">
        <f t="shared" si="88"/>
        <v/>
      </c>
      <c r="DT128" s="47" t="s">
        <v>0</v>
      </c>
      <c r="DU128" s="52" t="str">
        <f>IF(AL128="","",DX128 &amp; IF(CR128="",""," – " &amp; CR128))</f>
        <v/>
      </c>
      <c r="DV128" s="53" t="str">
        <f t="shared" si="89"/>
        <v/>
      </c>
      <c r="DW128" s="47" t="s">
        <v>0</v>
      </c>
      <c r="DX128" s="52" t="str">
        <f>IF(BG128="","",BF128&amp;" – "&amp;BG128)</f>
        <v/>
      </c>
      <c r="DY128" s="53" t="str">
        <f t="shared" si="90"/>
        <v/>
      </c>
      <c r="DZ128" s="47" t="s">
        <v>0</v>
      </c>
      <c r="EA128" s="58" t="str">
        <f t="shared" si="119"/>
        <v/>
      </c>
      <c r="EB128" s="53" t="str" cm="1">
        <f t="array" ref="EB128">IF(EA128&lt;&gt;"",INDEX(regNatjecatelj_id,EA128,0),IF(BD128&lt;&gt;"",BD128,""))</f>
        <v/>
      </c>
      <c r="EC128" s="47" t="s">
        <v>0</v>
      </c>
      <c r="ED128" s="58" t="str">
        <f>IF(AL128="","",IF(BD128&lt;&gt;"","novo",IF(AN128="","imepre","imepre(ali)")))</f>
        <v/>
      </c>
      <c r="EE128" s="73" t="str">
        <f>IF(AL128="","",IF(BL128="",IF(IFERROR(INDEX(regNatjecatelj_klub,MATCH(EB128,regNatjecatelj_id,0)),"NEMA")="","klu",""),IF(OR(AND(BN128&lt;&gt;"",BN128&lt;&gt;"NEMA"),CD128&lt;&gt;""),"klu(ali)",IF(AND(BP128&lt;&gt;"",BP128&lt;&gt;BO128),"(raz-klu)","klu"))))</f>
        <v/>
      </c>
      <c r="EF128" s="73" t="str">
        <f>IF(AL128="","","kat"&amp;IF(AND(W128&lt;&gt;Q128,Q128&lt;&gt;"Open"),"(ali)",""))</f>
        <v/>
      </c>
      <c r="EG128" s="73" t="str">
        <f t="shared" si="91"/>
        <v/>
      </c>
      <c r="EH128" s="66" t="str">
        <f>IF(AL128="","",ED128&amp;IF(ED128="novo","","-"&amp;EE128&amp;"-"&amp;EF128)&amp;IF(EG128="","","-"&amp;EG128))</f>
        <v/>
      </c>
      <c r="EI128" s="47" t="s">
        <v>0</v>
      </c>
      <c r="EJ128" s="58" t="str">
        <f>IF(AL128="","",MAX(EJ$12:EJ127)+1)</f>
        <v/>
      </c>
      <c r="EK128" s="73" t="str">
        <f>IF(AO128="","",X128)</f>
        <v/>
      </c>
      <c r="EL128" s="73" t="str">
        <f t="shared" si="120"/>
        <v/>
      </c>
      <c r="EM128" s="73" t="str">
        <f t="shared" si="92"/>
        <v/>
      </c>
      <c r="EN128" s="73" t="str">
        <f t="shared" si="93"/>
        <v/>
      </c>
      <c r="EO128" s="73" t="str">
        <f t="shared" si="121"/>
        <v/>
      </c>
      <c r="EP128" s="73" t="str">
        <f t="shared" si="122"/>
        <v/>
      </c>
      <c r="EQ128" s="73" t="str">
        <f t="shared" si="94"/>
        <v/>
      </c>
      <c r="ER128" s="73" t="str">
        <f>IF(OR(AN128="",AN128="NEMA"),BB128,AN128)</f>
        <v/>
      </c>
      <c r="ES128" s="73" t="str">
        <f>IF(AND(BN128&lt;&gt;"",BN128&lt;&gt;"NEMA"),BN128,IF(CG128&lt;&gt;"",CG128,IF(AND(CL128&lt;&gt;"",CL128&lt;&gt;"NEMA"),CL128,IF(CM128&lt;&gt;"",CM128,""))))</f>
        <v/>
      </c>
      <c r="ET128" s="53" t="str">
        <f>IF(INDEX(natKategorija_alias_Id,MATCH(S128,natKategorija_katRegId,0))="","",INDEX(natKategorija_alias_Id,MATCH(S128,natKategorija_katRegId,0)))</f>
        <v/>
      </c>
      <c r="EU128" s="47" t="s">
        <v>0</v>
      </c>
      <c r="EV128" s="19" t="str">
        <f t="shared" si="123"/>
        <v/>
      </c>
      <c r="EW128" s="47" t="s">
        <v>0</v>
      </c>
      <c r="EX128" s="19" t="str">
        <f t="shared" si="124"/>
        <v/>
      </c>
      <c r="EY128" s="47" t="s">
        <v>0</v>
      </c>
      <c r="EZ128" s="180" t="str">
        <f>AG128&amp;IF(CP128="","","
")&amp;CP128&amp;IF(CI128="","","
")&amp;CI128&amp;IF(DN128="","","
")&amp;DN128&amp;IF(DP128="","","
")&amp;DP128&amp;IF(EV128="","","
")&amp;EV128&amp;IF(EX128="","","
")&amp;EX128</f>
        <v/>
      </c>
      <c r="FA128" s="47" t="s">
        <v>0</v>
      </c>
    </row>
    <row r="129" spans="1:157" x14ac:dyDescent="0.25">
      <c r="A129" t="s">
        <v>0</v>
      </c>
      <c r="B129" s="52" t="str">
        <f>IF(csv!F119="","",csv!T119)</f>
        <v>M35</v>
      </c>
      <c r="C129" s="31" t="s">
        <v>0</v>
      </c>
      <c r="D129" s="31" t="str">
        <f>IF(csv!F119="","",csv!F119)</f>
        <v>Dalibor</v>
      </c>
      <c r="E129" s="31" t="str">
        <f>IF(csv!E119="","",csv!E119)</f>
        <v>Stankovski</v>
      </c>
      <c r="F129" s="31" t="s">
        <v>0</v>
      </c>
      <c r="G129" s="73" t="str">
        <f>IF(csv!M119="","",csv!M119)</f>
        <v/>
      </c>
      <c r="H129" s="73" t="str">
        <f>IF(csv!N119="","",csv!N119)</f>
        <v>1</v>
      </c>
      <c r="I129" s="31" t="s">
        <v>0</v>
      </c>
      <c r="J129" s="31" t="str">
        <f>IF(csv!P119="","",csv!P119)</f>
        <v>OK Jelen</v>
      </c>
      <c r="K129" s="31" t="str">
        <f>IF(csv!Q119="","",csv!Q119)</f>
        <v>OK Jelen</v>
      </c>
      <c r="L129" s="31" t="s">
        <v>0</v>
      </c>
      <c r="M129" s="66" t="str">
        <f>IF(csv!R119="","",csv!R119)</f>
        <v>CRO</v>
      </c>
      <c r="N129" s="47" t="s">
        <v>0</v>
      </c>
      <c r="O129" s="243" t="str">
        <f t="shared" si="95"/>
        <v>ok</v>
      </c>
      <c r="P129" s="47"/>
      <c r="Q129" s="52" t="str">
        <f t="shared" si="96"/>
        <v>M35</v>
      </c>
      <c r="R129" s="73">
        <f>IF(Q129="","",IF(COUNTIF(Q$12:Q128,Q129)=0,R128+1,R128))</f>
        <v>7</v>
      </c>
      <c r="S129" s="73">
        <f t="shared" si="97"/>
        <v>107</v>
      </c>
      <c r="T129" s="73">
        <f t="shared" si="72"/>
        <v>18</v>
      </c>
      <c r="U129" s="66" t="str">
        <f t="shared" si="73"/>
        <v>M35</v>
      </c>
      <c r="V129" s="47" t="s">
        <v>0</v>
      </c>
      <c r="W129" s="222" t="str">
        <f t="shared" si="74"/>
        <v>M35</v>
      </c>
      <c r="X129" s="223">
        <f t="shared" si="75"/>
        <v>29</v>
      </c>
      <c r="Y129" s="47" t="s">
        <v>0</v>
      </c>
      <c r="Z129" s="52" t="str">
        <f t="shared" si="98"/>
        <v>CRO</v>
      </c>
      <c r="AA129" s="73">
        <f t="shared" si="76"/>
        <v>1</v>
      </c>
      <c r="AB129" s="31" t="str">
        <f t="shared" si="99"/>
        <v/>
      </c>
      <c r="AC129" s="66" t="str">
        <f>IF(AB129="","",MAX(AC$12:AC128)+1)</f>
        <v/>
      </c>
      <c r="AD129" s="47" t="s">
        <v>0</v>
      </c>
      <c r="AE129" s="125"/>
      <c r="AF129" s="47" t="s">
        <v>0</v>
      </c>
      <c r="AG129" s="19" t="str">
        <f t="shared" si="100"/>
        <v/>
      </c>
      <c r="AH129" s="47" t="s">
        <v>0</v>
      </c>
      <c r="AI129" s="143" t="str">
        <f t="shared" si="101"/>
        <v>CRO</v>
      </c>
      <c r="AJ129" s="47"/>
      <c r="AK129" s="52" t="str">
        <f t="shared" si="102"/>
        <v>Dalibor</v>
      </c>
      <c r="AL129" s="31" t="str">
        <f t="shared" si="103"/>
        <v>Stankovski</v>
      </c>
      <c r="AM129" s="73">
        <f t="shared" si="104"/>
        <v>1164</v>
      </c>
      <c r="AN129" s="73" t="str">
        <f t="shared" si="105"/>
        <v/>
      </c>
      <c r="AO129" s="31" t="str">
        <f t="shared" si="77"/>
        <v>Dalibor</v>
      </c>
      <c r="AP129" s="66" t="str">
        <f t="shared" si="78"/>
        <v>Stankovski</v>
      </c>
      <c r="AQ129" s="47" t="s">
        <v>0</v>
      </c>
      <c r="AR129" s="82" t="str">
        <f t="shared" si="106"/>
        <v/>
      </c>
      <c r="AS129" s="47" t="s">
        <v>0</v>
      </c>
      <c r="AT129" s="19" t="str">
        <f t="shared" si="107"/>
        <v/>
      </c>
      <c r="AU129" s="47" t="s">
        <v>0</v>
      </c>
      <c r="AV129" s="103"/>
      <c r="AW129" s="105"/>
      <c r="AX129" s="47" t="s">
        <v>0</v>
      </c>
      <c r="AY129" s="256" t="str">
        <f t="shared" si="125"/>
        <v/>
      </c>
      <c r="AZ129" s="47" t="s">
        <v>0</v>
      </c>
      <c r="BA129" s="52" t="str">
        <f t="shared" si="79"/>
        <v/>
      </c>
      <c r="BB129" s="73" t="str">
        <f>IF(AV129&amp;AW129="","",MAX(BB$12:BB128)+1)</f>
        <v/>
      </c>
      <c r="BC129" s="268" t="str">
        <f t="shared" si="80"/>
        <v/>
      </c>
      <c r="BD129" s="53" t="str">
        <f>IF(AND(AM129="NEMA",AN129="NEMA",OR(AV129&amp;AW129="",BC129="NEMA")),MAX(BD$12:BD128)+1,"")</f>
        <v/>
      </c>
      <c r="BE129" s="47" t="s">
        <v>0</v>
      </c>
      <c r="BF129" s="52" t="str">
        <f t="shared" si="81"/>
        <v>Dalibor</v>
      </c>
      <c r="BG129" s="31" t="str">
        <f t="shared" si="82"/>
        <v>Stankovski</v>
      </c>
      <c r="BH129" s="73" t="str">
        <f t="shared" si="108"/>
        <v/>
      </c>
      <c r="BI129" s="53">
        <f t="shared" si="109"/>
        <v>1164</v>
      </c>
      <c r="BJ129" s="47" t="s">
        <v>0</v>
      </c>
      <c r="BK129" s="52" t="str">
        <f t="shared" si="83"/>
        <v>OK Jelen</v>
      </c>
      <c r="BL129" s="31" t="str">
        <f t="shared" si="84"/>
        <v>OK Jelen</v>
      </c>
      <c r="BM129" s="73">
        <f t="shared" si="85"/>
        <v>4</v>
      </c>
      <c r="BN129" s="73" t="str">
        <f t="shared" si="86"/>
        <v/>
      </c>
      <c r="BO129" s="31" t="str" cm="1">
        <f t="array" ref="BO129">IF(BN129="",""&amp;BL129,IF(BN129="NEMA",BL129,INDEX(regKlub_naziv,MATCH(INDEX(regKlub_alias_klubId,BN129),regKlub_id,0))))</f>
        <v>OK Jelen</v>
      </c>
      <c r="BP129" s="31" t="str" cm="1">
        <f t="array" ref="BP129">IFERROR(""&amp;INDEX(regNatjecatelj_klub,DY129),"")</f>
        <v>OK Jelen</v>
      </c>
      <c r="BQ129" s="88" t="str">
        <f t="shared" si="110"/>
        <v/>
      </c>
      <c r="BR129" s="66" t="str">
        <f t="shared" si="111"/>
        <v>OK Jelen</v>
      </c>
      <c r="BS129" s="47" t="s">
        <v>0</v>
      </c>
      <c r="BT129" s="82" t="str">
        <f>IF(BN129&lt;&gt;"NEMA","",IF(IFERROR(MATCH(BL129,BL$12:BL128,0),0)&lt;&gt;0,"",BL129))</f>
        <v/>
      </c>
      <c r="BU129" s="47" t="s">
        <v>0</v>
      </c>
      <c r="BV129" s="125"/>
      <c r="BW129" s="47" t="s">
        <v>0</v>
      </c>
      <c r="BX129" s="58" t="str">
        <f t="shared" si="112"/>
        <v/>
      </c>
      <c r="BY129" s="31" t="str">
        <f t="shared" si="113"/>
        <v/>
      </c>
      <c r="BZ129" s="31" t="str">
        <f>IF(BY129="","",MAX(BZ$12:BZ128)+1)</f>
        <v/>
      </c>
      <c r="CA129" s="31" t="str">
        <f>IF(BY129="","",IF(AA129="","",IF(AA129="NEMA",AC129,AA129)))</f>
        <v/>
      </c>
      <c r="CB129" s="31" t="str">
        <f t="shared" si="114"/>
        <v/>
      </c>
      <c r="CC129" s="31" t="str">
        <f>IF(BV129="","",MAX(CC$12:CC128)+1)</f>
        <v/>
      </c>
      <c r="CD129" s="31" t="str">
        <f t="shared" si="115"/>
        <v/>
      </c>
      <c r="CE129" s="66" t="str">
        <f t="shared" si="116"/>
        <v/>
      </c>
      <c r="CF129" s="47" t="s">
        <v>0</v>
      </c>
      <c r="CG129" s="73" t="str">
        <f>IF(BN129="","",IF(BN129&lt;&gt;"NEMA","",IFERROR(INDEX(nat_klubAliasId,MATCH(BL129,nat_noviKluboviAliasi,0)),"")))</f>
        <v/>
      </c>
      <c r="CH129" s="47"/>
      <c r="CI129" s="19" t="str">
        <f t="shared" si="117"/>
        <v/>
      </c>
      <c r="CJ129" s="47" t="s">
        <v>0</v>
      </c>
      <c r="CK129" s="52" t="str">
        <f>IF(X129&lt;&gt;"NEMA","",IF(IFERROR(MATCH(W129,W$12:W128,0),0)&lt;&gt;0,"",W129))</f>
        <v/>
      </c>
      <c r="CL129" s="73" t="str">
        <f>IF(CK129="","",IFERROR(INDEX(regKlub_alias_id,MATCH(CK129,regKlub_alias_alias,0)),"NEMA"))</f>
        <v/>
      </c>
      <c r="CM129" s="31" t="str">
        <f>IF(OR(CL129="",CL129&lt;&gt;"NEMA"),"",MAX(CM$12:CM128)+1)</f>
        <v/>
      </c>
      <c r="CN129" s="66" t="str">
        <f>IF(OR(CL129="",CL129&lt;&gt;"NEMA"),"",INDEX(regKlub_id,MATCH(CK129,regKlub_naziv,0)))</f>
        <v/>
      </c>
      <c r="CO129" s="47" t="s">
        <v>0</v>
      </c>
      <c r="CP129" s="19" t="str">
        <f>IF(OR(CL129="",CL129&lt;&gt;"NEMA"),"","INSERT INTO klub_alias(id,alias,klub_id) VALUES ("&amp;CM129&amp;",'"&amp;CK129&amp;"',"&amp;CN129&amp;");")</f>
        <v/>
      </c>
      <c r="CQ129" s="47" t="s">
        <v>0</v>
      </c>
      <c r="CR129" s="143" t="str">
        <f>IF(BR129="","",IF(BV129="",IF(IFERROR(MATCH(BR129,nat_noviKluboviAliasi,0),0)&gt;0,INDEX(nat_kluboviAliasi,MATCH(BR129,nat_noviKluboviAliasi,0)),BR129),BV129))</f>
        <v>OK Jelen</v>
      </c>
      <c r="CS129" s="47" t="s">
        <v>0</v>
      </c>
      <c r="CT129" s="58" t="str">
        <f>IF(G129="","",G129)</f>
        <v/>
      </c>
      <c r="CU129" s="73" t="str">
        <f>IF(H129="","",H129)</f>
        <v>1</v>
      </c>
      <c r="CV129" s="229" t="str">
        <f>IF(CT129="",IF(OR(AL129="",CU129&lt;&gt;"0"),"","GREŠKA"),IF(AND(65535&gt;=VALUE(LEFT(CT129,SEARCH(":",CT129)-1))*60+VALUE(RIGHT(CT129,2)),OR(CU129="0",CU129="1",CU129="2",CU129="3",CU129="4")),"","GREŠKA"))</f>
        <v/>
      </c>
      <c r="CW129" s="230" t="str">
        <f t="shared" si="127"/>
        <v/>
      </c>
      <c r="CX129" s="163">
        <f t="shared" si="87"/>
        <v>6</v>
      </c>
      <c r="CY129" s="47" t="s">
        <v>0</v>
      </c>
      <c r="CZ129" s="222" t="str">
        <f>IF(CV129&lt;&gt;"GREŠKA","",AK129&amp;" "&amp;AL129&amp;" – Molim u OEventu provjeriti i ispraviti rezultat – vrijeme ("&amp;IF(CT129="","nije upisano",CT129)&amp;") i classifier ("&amp;CU129&amp;").")&amp;IF(OR(CV129&lt;&gt;"GREŠKA",CX129&lt;&gt;5),"
","")&amp;IF(CX129&lt;&gt;5,"",AK129&amp;" "&amp;AL129&amp;" – Molim u provjeriti je li natjecatelj zaista diskvalificiran. Ako je koje je obrazloženje, ako nije molim u OEventu ispraviti rezultat")</f>
        <v xml:space="preserve">
</v>
      </c>
      <c r="DA129" s="223" t="e">
        <f t="shared" si="118"/>
        <v>#N/A</v>
      </c>
      <c r="DB129" s="47" t="s">
        <v>0</v>
      </c>
      <c r="DC129" s="47"/>
      <c r="DD129" s="47"/>
      <c r="DE129" s="47"/>
      <c r="DF129" s="47" t="s">
        <v>0</v>
      </c>
      <c r="DG129" s="53" t="str">
        <f>IF(BD129="","",IF(DI129="O",1,""))</f>
        <v/>
      </c>
      <c r="DH129" t="s">
        <v>0</v>
      </c>
      <c r="DI129" s="128" t="str">
        <f>IF(Q129="","",LEFT(INDEX(regKategorija_oznaka,MATCH(S129,regKategorija_id,0)),1))</f>
        <v>M</v>
      </c>
      <c r="DJ129" t="s">
        <v>0</v>
      </c>
      <c r="DK129" s="52" t="str">
        <f>IF(BD129="","",IF(M129&lt;&gt;"CRO","","INSERT INTO osoba (id,reg_broj,oib,spol_id,dat_rodjenja) VALUES ("&amp;BD129&amp;",(SELECT max(os.reg_broj)+1 FROM osoba AS os),Null,'"&amp;DI129&amp;"',Null); INSERT INTO osoba_log (id,reg_broj,oib,spol_id,dat_rodjenja,dnevnik_id) SELECT id,reg_broj,oib,spol_id,dat_rodjenja,"&amp;data_dnevnik_id&amp;" FROM osoba WHERE id = "&amp;BD129&amp;";"))</f>
        <v/>
      </c>
      <c r="DL129" s="66" t="str">
        <f>IF(BD129="","","INSERT INTO imeprezime (id,osoba_id,rbr,ime,prezime,klub_id,identitet_id,sintaksa_id,info,aktivno,dnevnik_id) VALUES ("&amp;BD129&amp;","&amp;IF(DK129="","Null",BD129)&amp;",1,'"&amp;IF(AV129&lt;&gt;"",AV129,AK129)&amp;"','"&amp;IF(AW129&lt;&gt;"",AW129,AL129)&amp;"',(SELECT id FROM klub WHERE naziv = '"&amp;CR129&amp;"'),Null,1,'',1,"&amp;data_dnevnik_id&amp;");")</f>
        <v/>
      </c>
      <c r="DM129" t="s">
        <v>0</v>
      </c>
      <c r="DN129" s="19" t="str">
        <f t="shared" si="126"/>
        <v/>
      </c>
      <c r="DO129" s="47" t="s">
        <v>0</v>
      </c>
      <c r="DP129" s="19" t="str">
        <f>IF(BA129="","","INSERT INTO imeprezime_alias(id,alias,imeprezime_id) VALUES ("&amp;BB129&amp;",'"&amp;BA129&amp;"',"&amp;IF(BC129="NEMA",BD129,BC129)&amp;");")</f>
        <v/>
      </c>
      <c r="DQ129" s="47" t="s">
        <v>0</v>
      </c>
      <c r="DR129" s="52" t="str">
        <f>IF(AL129="","",DU129 &amp; IF(Q129="",""," – " &amp; Q129))</f>
        <v>Dalibor – Stankovski – OK Jelen – M35</v>
      </c>
      <c r="DS129" s="53">
        <f t="shared" si="88"/>
        <v>195</v>
      </c>
      <c r="DT129" s="47" t="s">
        <v>0</v>
      </c>
      <c r="DU129" s="52" t="str">
        <f>IF(AL129="","",DX129 &amp; IF(CR129="",""," – " &amp; CR129))</f>
        <v>Dalibor – Stankovski – OK Jelen</v>
      </c>
      <c r="DV129" s="53">
        <f t="shared" si="89"/>
        <v>195</v>
      </c>
      <c r="DW129" s="47" t="s">
        <v>0</v>
      </c>
      <c r="DX129" s="52" t="str">
        <f>IF(BG129="","",BF129&amp;" – "&amp;BG129)</f>
        <v>Dalibor – Stankovski</v>
      </c>
      <c r="DY129" s="53">
        <f t="shared" si="90"/>
        <v>195</v>
      </c>
      <c r="DZ129" s="47" t="s">
        <v>0</v>
      </c>
      <c r="EA129" s="58">
        <f t="shared" si="119"/>
        <v>195</v>
      </c>
      <c r="EB129" s="53" cm="1">
        <f t="array" ref="EB129">IF(EA129&lt;&gt;"",INDEX(regNatjecatelj_id,EA129,0),IF(BD129&lt;&gt;"",BD129,""))</f>
        <v>1164</v>
      </c>
      <c r="EC129" s="47" t="s">
        <v>0</v>
      </c>
      <c r="ED129" s="58" t="str">
        <f>IF(AL129="","",IF(BD129&lt;&gt;"","novo",IF(AN129="","imepre","imepre(ali)")))</f>
        <v>imepre</v>
      </c>
      <c r="EE129" s="73" t="str">
        <f>IF(AL129="","",IF(BL129="",IF(IFERROR(INDEX(regNatjecatelj_klub,MATCH(EB129,regNatjecatelj_id,0)),"NEMA")="","klu",""),IF(OR(AND(BN129&lt;&gt;"",BN129&lt;&gt;"NEMA"),CD129&lt;&gt;""),"klu(ali)",IF(AND(BP129&lt;&gt;"",BP129&lt;&gt;BO129),"(raz-klu)","klu"))))</f>
        <v>klu</v>
      </c>
      <c r="EF129" s="73" t="str">
        <f>IF(AL129="","","kat"&amp;IF(AND(W129&lt;&gt;Q129,Q129&lt;&gt;"Open"),"(ali)",""))</f>
        <v>kat</v>
      </c>
      <c r="EG129" s="73" t="str">
        <f t="shared" si="91"/>
        <v/>
      </c>
      <c r="EH129" s="66" t="str">
        <f>IF(AL129="","",ED129&amp;IF(ED129="novo","","-"&amp;EE129&amp;"-"&amp;EF129)&amp;IF(EG129="","","-"&amp;EG129))</f>
        <v>imepre-klu-kat</v>
      </c>
      <c r="EI129" s="47" t="s">
        <v>0</v>
      </c>
      <c r="EJ129" s="58">
        <f>IF(AL129="","",MAX(EJ$12:EJ128)+1)</f>
        <v>296</v>
      </c>
      <c r="EK129" s="73">
        <f>IF(AO129="","",X129)</f>
        <v>29</v>
      </c>
      <c r="EL129" s="73">
        <f t="shared" si="120"/>
        <v>1164</v>
      </c>
      <c r="EM129" s="73" t="str">
        <f t="shared" si="92"/>
        <v/>
      </c>
      <c r="EN129" s="73">
        <f t="shared" si="93"/>
        <v>6</v>
      </c>
      <c r="EO129" s="73">
        <f t="shared" si="121"/>
        <v>1</v>
      </c>
      <c r="EP129" s="73">
        <f t="shared" si="122"/>
        <v>1</v>
      </c>
      <c r="EQ129" s="73" t="str">
        <f t="shared" si="94"/>
        <v>1</v>
      </c>
      <c r="ER129" s="73" t="str">
        <f>IF(OR(AN129="",AN129="NEMA"),BB129,AN129)</f>
        <v/>
      </c>
      <c r="ES129" s="73" t="str">
        <f>IF(AND(BN129&lt;&gt;"",BN129&lt;&gt;"NEMA"),BN129,IF(CG129&lt;&gt;"",CG129,IF(AND(CL129&lt;&gt;"",CL129&lt;&gt;"NEMA"),CL129,IF(CM129&lt;&gt;"",CM129,""))))</f>
        <v/>
      </c>
      <c r="ET129" s="53" t="str">
        <f>IF(INDEX(natKategorija_alias_Id,MATCH(S129,natKategorija_katRegId,0))="","",INDEX(natKategorija_alias_Id,MATCH(S129,natKategorija_katRegId,0)))</f>
        <v/>
      </c>
      <c r="EU129" s="47" t="s">
        <v>0</v>
      </c>
      <c r="EV129" s="19" t="str">
        <f t="shared" si="123"/>
        <v>INSERT INTO rezultat(id,stazakategorija_id,imeprezime_id,vrijeme_sec,status_id,registracija,uparivanje_id,originalstatus_id,imeprezimealias_id,klubalias_id,kategorijaalias_id) VALUES (296,29,1164,Null,6,1,1,1,Null,Null,Null);</v>
      </c>
      <c r="EW129" s="47" t="s">
        <v>0</v>
      </c>
      <c r="EX129" s="19" t="str">
        <f t="shared" si="124"/>
        <v>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EY129" s="47" t="s">
        <v>0</v>
      </c>
      <c r="EZ129" s="180" t="str">
        <f>AG129&amp;IF(CP129="","","
")&amp;CP129&amp;IF(CI129="","","
")&amp;CI129&amp;IF(DN129="","","
")&amp;DN129&amp;IF(DP129="","","
")&amp;DP129&amp;IF(EV129="","","
")&amp;EV129&amp;IF(EX129="","","
")&amp;EX129</f>
        <v xml:space="preserve">
INSERT INTO rezultat(id,stazakategorija_id,imeprezime_id,vrijeme_sec,status_id,registracija,uparivanje_id,originalstatus_id,imeprezimealias_id,klubalias_id,kategorijaalias_id) VALUES (296,29,1164,Null,6,1,1,1,Null,Null,Null);
UPDATE
	registar
SET
	potvrda = 1
WHERE
	imeprezime_id=1164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29)
                         		AND
                         	kategorija_liga.liga_id = 101)
		AND
	datum_od &lt;= '2021-04-18'
    	AND
    datum_do is Null;</v>
      </c>
      <c r="FA129" s="47" t="s">
        <v>0</v>
      </c>
    </row>
    <row r="130" spans="1:157" x14ac:dyDescent="0.25">
      <c r="A130" t="s">
        <v>0</v>
      </c>
      <c r="B130" s="52" t="str">
        <f>IF(csv!F120="","",csv!T120)</f>
        <v>M45</v>
      </c>
      <c r="C130" s="31" t="s">
        <v>0</v>
      </c>
      <c r="D130" s="31" t="str">
        <f>IF(csv!F120="","",csv!F120)</f>
        <v>Damir</v>
      </c>
      <c r="E130" s="31" t="str">
        <f>IF(csv!E120="","",csv!E120)</f>
        <v>Gobec</v>
      </c>
      <c r="F130" s="31" t="s">
        <v>0</v>
      </c>
      <c r="G130" s="73" t="str">
        <f>IF(csv!M120="","",csv!M120)</f>
        <v>40:43</v>
      </c>
      <c r="H130" s="73" t="str">
        <f>IF(csv!N120="","",csv!N120)</f>
        <v>0</v>
      </c>
      <c r="I130" s="31" t="s">
        <v>0</v>
      </c>
      <c r="J130" s="31" t="str">
        <f>IF(csv!P120="","",csv!P120)</f>
        <v>Vihor</v>
      </c>
      <c r="K130" s="31" t="str">
        <f>IF(csv!Q120="","",csv!Q120)</f>
        <v>OK Vihor</v>
      </c>
      <c r="L130" s="31" t="s">
        <v>0</v>
      </c>
      <c r="M130" s="66" t="str">
        <f>IF(csv!R120="","",csv!R120)</f>
        <v>CRO</v>
      </c>
      <c r="N130" s="47" t="s">
        <v>0</v>
      </c>
      <c r="O130" s="243" t="str">
        <f t="shared" si="95"/>
        <v>ok</v>
      </c>
      <c r="P130" s="47"/>
      <c r="Q130" s="52" t="str">
        <f t="shared" si="96"/>
        <v>M45</v>
      </c>
      <c r="R130" s="73">
        <f>IF(Q130="","",IF(COUNTIF(Q$12:Q129,Q130)=0,R129+1,R129))</f>
        <v>8</v>
      </c>
      <c r="S130" s="73">
        <f t="shared" si="97"/>
        <v>106</v>
      </c>
      <c r="T130" s="73">
        <f t="shared" si="72"/>
        <v>17</v>
      </c>
      <c r="U130" s="66" t="str">
        <f t="shared" si="73"/>
        <v>M45</v>
      </c>
      <c r="V130" s="47" t="s">
        <v>0</v>
      </c>
      <c r="W130" s="222" t="str">
        <f t="shared" si="74"/>
        <v>M45</v>
      </c>
      <c r="X130" s="223">
        <f t="shared" si="75"/>
        <v>30</v>
      </c>
      <c r="Y130" s="47" t="s">
        <v>0</v>
      </c>
      <c r="Z130" s="52" t="str">
        <f t="shared" si="98"/>
        <v>CRO</v>
      </c>
      <c r="AA130" s="73">
        <f t="shared" si="76"/>
        <v>1</v>
      </c>
      <c r="AB130" s="31" t="str">
        <f t="shared" si="99"/>
        <v/>
      </c>
      <c r="AC130" s="66" t="str">
        <f>IF(AB130="","",MAX(AC$12:AC129)+1)</f>
        <v/>
      </c>
      <c r="AD130" s="47" t="s">
        <v>0</v>
      </c>
      <c r="AE130" s="125"/>
      <c r="AF130" s="47" t="s">
        <v>0</v>
      </c>
      <c r="AG130" s="19" t="str">
        <f t="shared" si="100"/>
        <v/>
      </c>
      <c r="AH130" s="47" t="s">
        <v>0</v>
      </c>
      <c r="AI130" s="143" t="str">
        <f t="shared" si="101"/>
        <v>CRO</v>
      </c>
      <c r="AJ130" s="47"/>
      <c r="AK130" s="52" t="str">
        <f t="shared" si="102"/>
        <v>Damir</v>
      </c>
      <c r="AL130" s="31" t="str">
        <f t="shared" si="103"/>
        <v>Gobec</v>
      </c>
      <c r="AM130" s="73">
        <f t="shared" si="104"/>
        <v>1209</v>
      </c>
      <c r="AN130" s="73" t="str">
        <f t="shared" si="105"/>
        <v/>
      </c>
      <c r="AO130" s="31" t="str">
        <f t="shared" si="77"/>
        <v>Damir</v>
      </c>
      <c r="AP130" s="66" t="str">
        <f t="shared" si="78"/>
        <v>Gobec</v>
      </c>
      <c r="AQ130" s="47" t="s">
        <v>0</v>
      </c>
      <c r="AR130" s="82" t="str">
        <f t="shared" si="106"/>
        <v/>
      </c>
      <c r="AS130" s="47" t="s">
        <v>0</v>
      </c>
      <c r="AT130" s="19" t="str">
        <f t="shared" si="107"/>
        <v/>
      </c>
      <c r="AU130" s="47" t="s">
        <v>0</v>
      </c>
      <c r="AV130" s="103"/>
      <c r="AW130" s="105"/>
      <c r="AX130" s="47" t="s">
        <v>0</v>
      </c>
      <c r="AY130" s="256" t="str">
        <f t="shared" si="125"/>
        <v/>
      </c>
      <c r="AZ130" s="47" t="s">
        <v>0</v>
      </c>
      <c r="BA130" s="52" t="str">
        <f t="shared" si="79"/>
        <v/>
      </c>
      <c r="BB130" s="73" t="str">
        <f>IF(AV130&amp;AW130="","",MAX(BB$12:BB129)+1)</f>
        <v/>
      </c>
      <c r="BC130" s="268" t="str">
        <f t="shared" si="80"/>
        <v/>
      </c>
      <c r="BD130" s="53" t="str">
        <f>IF(AND(AM130="NEMA",AN130="NEMA",OR(AV130&amp;AW130="",BC130="NEMA")),MAX(BD$12:BD129)+1,"")</f>
        <v/>
      </c>
      <c r="BE130" s="47" t="s">
        <v>0</v>
      </c>
      <c r="BF130" s="52" t="str">
        <f t="shared" si="81"/>
        <v>Damir</v>
      </c>
      <c r="BG130" s="31" t="str">
        <f t="shared" si="82"/>
        <v>Gobec</v>
      </c>
      <c r="BH130" s="73" t="str">
        <f t="shared" si="108"/>
        <v/>
      </c>
      <c r="BI130" s="53">
        <f t="shared" si="109"/>
        <v>1209</v>
      </c>
      <c r="BJ130" s="47" t="s">
        <v>0</v>
      </c>
      <c r="BK130" s="52" t="str">
        <f t="shared" si="83"/>
        <v>Vihor</v>
      </c>
      <c r="BL130" s="31" t="str">
        <f t="shared" si="84"/>
        <v>OK Vihor</v>
      </c>
      <c r="BM130" s="73">
        <f t="shared" si="85"/>
        <v>12</v>
      </c>
      <c r="BN130" s="73" t="str">
        <f t="shared" si="86"/>
        <v/>
      </c>
      <c r="BO130" s="31" t="str" cm="1">
        <f t="array" ref="BO130">IF(BN130="",""&amp;BL130,IF(BN130="NEMA",BL130,INDEX(regKlub_naziv,MATCH(INDEX(regKlub_alias_klubId,BN130),regKlub_id,0))))</f>
        <v>OK Vihor</v>
      </c>
      <c r="BP130" s="31" t="str" cm="1">
        <f t="array" ref="BP130">IFERROR(""&amp;INDEX(regNatjecatelj_klub,DY130),"")</f>
        <v>OK Vihor</v>
      </c>
      <c r="BQ130" s="88" t="str">
        <f t="shared" si="110"/>
        <v/>
      </c>
      <c r="BR130" s="66" t="str">
        <f t="shared" si="111"/>
        <v>OK Vihor</v>
      </c>
      <c r="BS130" s="47" t="s">
        <v>0</v>
      </c>
      <c r="BT130" s="82" t="str">
        <f>IF(BN130&lt;&gt;"NEMA","",IF(IFERROR(MATCH(BL130,BL$12:BL129,0),0)&lt;&gt;0,"",BL130))</f>
        <v/>
      </c>
      <c r="BU130" s="47" t="s">
        <v>0</v>
      </c>
      <c r="BV130" s="125"/>
      <c r="BW130" s="47" t="s">
        <v>0</v>
      </c>
      <c r="BX130" s="58" t="str">
        <f t="shared" si="112"/>
        <v/>
      </c>
      <c r="BY130" s="31" t="str">
        <f t="shared" si="113"/>
        <v/>
      </c>
      <c r="BZ130" s="31" t="str">
        <f>IF(BY130="","",MAX(BZ$12:BZ129)+1)</f>
        <v/>
      </c>
      <c r="CA130" s="31" t="str">
        <f>IF(BY130="","",IF(AA130="","",IF(AA130="NEMA",AC130,AA130)))</f>
        <v/>
      </c>
      <c r="CB130" s="31" t="str">
        <f t="shared" si="114"/>
        <v/>
      </c>
      <c r="CC130" s="31" t="str">
        <f>IF(BV130="","",MAX(CC$12:CC129)+1)</f>
        <v/>
      </c>
      <c r="CD130" s="31" t="str">
        <f t="shared" si="115"/>
        <v/>
      </c>
      <c r="CE130" s="66" t="str">
        <f t="shared" si="116"/>
        <v/>
      </c>
      <c r="CF130" s="47" t="s">
        <v>0</v>
      </c>
      <c r="CG130" s="73" t="str">
        <f>IF(BN130="","",IF(BN130&lt;&gt;"NEMA","",IFERROR(INDEX(nat_klubAliasId,MATCH(BL130,nat_noviKluboviAliasi,0)),"")))</f>
        <v/>
      </c>
      <c r="CH130" s="47"/>
      <c r="CI130" s="19" t="str">
        <f t="shared" si="117"/>
        <v/>
      </c>
      <c r="CJ130" s="47" t="s">
        <v>0</v>
      </c>
      <c r="CK130" s="52" t="str">
        <f>IF(X130&lt;&gt;"NEMA","",IF(IFERROR(MATCH(W130,W$12:W129,0),0)&lt;&gt;0,"",W130))</f>
        <v/>
      </c>
      <c r="CL130" s="73" t="str">
        <f>IF(CK130="","",IFERROR(INDEX(regKlub_alias_id,MATCH(CK130,regKlub_alias_alias,0)),"NEMA"))</f>
        <v/>
      </c>
      <c r="CM130" s="31" t="str">
        <f>IF(OR(CL130="",CL130&lt;&gt;"NEMA"),"",MAX(CM$12:CM129)+1)</f>
        <v/>
      </c>
      <c r="CN130" s="66" t="str">
        <f>IF(OR(CL130="",CL130&lt;&gt;"NEMA"),"",INDEX(regKlub_id,MATCH(CK130,regKlub_naziv,0)))</f>
        <v/>
      </c>
      <c r="CO130" s="47" t="s">
        <v>0</v>
      </c>
      <c r="CP130" s="19" t="str">
        <f>IF(OR(CL130="",CL130&lt;&gt;"NEMA"),"","INSERT INTO klub_alias(id,alias,klub_id) VALUES ("&amp;CM130&amp;",'"&amp;CK130&amp;"',"&amp;CN130&amp;");")</f>
        <v/>
      </c>
      <c r="CQ130" s="47" t="s">
        <v>0</v>
      </c>
      <c r="CR130" s="143" t="str">
        <f>IF(BR130="","",IF(BV130="",IF(IFERROR(MATCH(BR130,nat_noviKluboviAliasi,0),0)&gt;0,INDEX(nat_kluboviAliasi,MATCH(BR130,nat_noviKluboviAliasi,0)),BR130),BV130))</f>
        <v>OK Vihor</v>
      </c>
      <c r="CS130" s="47" t="s">
        <v>0</v>
      </c>
      <c r="CT130" s="58" t="str">
        <f>IF(G130="","",G130)</f>
        <v>40:43</v>
      </c>
      <c r="CU130" s="73" t="str">
        <f>IF(H130="","",H130)</f>
        <v>0</v>
      </c>
      <c r="CV130" s="229" t="str">
        <f>IF(CT130="",IF(OR(AL130="",CU130&lt;&gt;"0"),"","GREŠKA"),IF(AND(65535&gt;=VALUE(LEFT(CT130,SEARCH(":",CT130)-1))*60+VALUE(RIGHT(CT130,2)),OR(CU130="0",CU130="1",CU130="2",CU130="3",CU130="4")),"","GREŠKA"))</f>
        <v/>
      </c>
      <c r="CW130" s="230">
        <f t="shared" si="127"/>
        <v>2443</v>
      </c>
      <c r="CX130" s="163">
        <f t="shared" si="87"/>
        <v>1</v>
      </c>
      <c r="CY130" s="47" t="s">
        <v>0</v>
      </c>
      <c r="CZ130" s="222" t="str">
        <f>IF(CV130&lt;&gt;"GREŠKA","",AK130&amp;" "&amp;AL130&amp;" – Molim u OEventu provjeriti i ispraviti rezultat – vrijeme ("&amp;IF(CT130="","nije upisano",CT130)&amp;") i classifier ("&amp;CU130&amp;").")&amp;IF(OR(CV130&lt;&gt;"GREŠKA",CX130&lt;&gt;5),"
","")&amp;IF(CX130&lt;&gt;5,"",AK130&amp;" "&amp;AL130&amp;" – Molim u provjeriti je li natjecatelj zaista diskvalificiran. Ako je koje je obrazloženje, ako nije molim u OEventu ispraviti rezultat")</f>
        <v xml:space="preserve">
</v>
      </c>
      <c r="DA130" s="223">
        <f t="shared" si="118"/>
        <v>6</v>
      </c>
      <c r="DB130" s="47" t="s">
        <v>0</v>
      </c>
      <c r="DC130" s="47"/>
      <c r="DD130" s="47"/>
      <c r="DE130" s="47"/>
      <c r="DF130" s="47" t="s">
        <v>0</v>
      </c>
      <c r="DG130" s="53" t="str">
        <f>IF(BD130="","",IF(DI130="O",1,""))</f>
        <v/>
      </c>
      <c r="DH130" t="s">
        <v>0</v>
      </c>
      <c r="DI130" s="128" t="str">
        <f>IF(Q130="","",LEFT(INDEX(regKategorija_oznaka,MATCH(S130,regKategorija_id,0)),1))</f>
        <v>M</v>
      </c>
      <c r="DJ130" t="s">
        <v>0</v>
      </c>
      <c r="DK130" s="52" t="str">
        <f>IF(BD130="","",IF(M130&lt;&gt;"CRO","","INSERT INTO osoba (id,reg_broj,oib,spol_id,dat_rodjenja) VALUES ("&amp;BD130&amp;",(SELECT max(os.reg_broj)+1 FROM osoba AS os),Null,'"&amp;DI130&amp;"',Null); INSERT INTO osoba_log (id,reg_broj,oib,spol_id,dat_rodjenja,dnevnik_id) SELECT id,reg_broj,oib,spol_id,dat_rodjenja,"&amp;data_dnevnik_id&amp;" FROM osoba WHERE id = "&amp;BD130&amp;";"))</f>
        <v/>
      </c>
      <c r="DL130" s="66" t="str">
        <f>IF(BD130="","","INSERT INTO imeprezime (id,osoba_id,rbr,ime,prezime,klub_id,identitet_id,sintaksa_id,info,aktivno,dnevnik_id) VALUES ("&amp;BD130&amp;","&amp;IF(DK130="","Null",BD130)&amp;",1,'"&amp;IF(AV130&lt;&gt;"",AV130,AK130)&amp;"','"&amp;IF(AW130&lt;&gt;"",AW130,AL130)&amp;"',(SELECT id FROM klub WHERE naziv = '"&amp;CR130&amp;"'),Null,1,'',1,"&amp;data_dnevnik_id&amp;");")</f>
        <v/>
      </c>
      <c r="DM130" t="s">
        <v>0</v>
      </c>
      <c r="DN130" s="19" t="str">
        <f t="shared" si="126"/>
        <v/>
      </c>
      <c r="DO130" s="47" t="s">
        <v>0</v>
      </c>
      <c r="DP130" s="19" t="str">
        <f>IF(BA130="","","INSERT INTO imeprezime_alias(id,alias,imeprezime_id) VALUES ("&amp;BB130&amp;",'"&amp;BA130&amp;"',"&amp;IF(BC130="NEMA",BD130,BC130)&amp;");")</f>
        <v/>
      </c>
      <c r="DQ130" s="47" t="s">
        <v>0</v>
      </c>
      <c r="DR130" s="52" t="str">
        <f>IF(AL130="","",DU130 &amp; IF(Q130="",""," – " &amp; Q130))</f>
        <v>Damir – Gobec – OK Vihor – M45</v>
      </c>
      <c r="DS130" s="53">
        <f t="shared" si="88"/>
        <v>672</v>
      </c>
      <c r="DT130" s="47" t="s">
        <v>0</v>
      </c>
      <c r="DU130" s="52" t="str">
        <f>IF(AL130="","",DX130 &amp; IF(CR130="",""," – " &amp; CR130))</f>
        <v>Damir – Gobec – OK Vihor</v>
      </c>
      <c r="DV130" s="53">
        <f t="shared" si="89"/>
        <v>672</v>
      </c>
      <c r="DW130" s="47" t="s">
        <v>0</v>
      </c>
      <c r="DX130" s="52" t="str">
        <f>IF(BG130="","",BF130&amp;" – "&amp;BG130)</f>
        <v>Damir – Gobec</v>
      </c>
      <c r="DY130" s="53">
        <f t="shared" si="90"/>
        <v>672</v>
      </c>
      <c r="DZ130" s="47" t="s">
        <v>0</v>
      </c>
      <c r="EA130" s="58">
        <f t="shared" si="119"/>
        <v>672</v>
      </c>
      <c r="EB130" s="53" cm="1">
        <f t="array" ref="EB130">IF(EA130&lt;&gt;"",INDEX(regNatjecatelj_id,EA130,0),IF(BD130&lt;&gt;"",BD130,""))</f>
        <v>1209</v>
      </c>
      <c r="EC130" s="47" t="s">
        <v>0</v>
      </c>
      <c r="ED130" s="58" t="str">
        <f>IF(AL130="","",IF(BD130&lt;&gt;"","novo",IF(AN130="","imepre","imepre(ali)")))</f>
        <v>imepre</v>
      </c>
      <c r="EE130" s="73" t="str">
        <f>IF(AL130="","",IF(BL130="",IF(IFERROR(INDEX(regNatjecatelj_klub,MATCH(EB130,regNatjecatelj_id,0)),"NEMA")="","klu",""),IF(OR(AND(BN130&lt;&gt;"",BN130&lt;&gt;"NEMA"),CD130&lt;&gt;""),"klu(ali)",IF(AND(BP130&lt;&gt;"",BP130&lt;&gt;BO130),"(raz-klu)","klu"))))</f>
        <v>klu</v>
      </c>
      <c r="EF130" s="73" t="str">
        <f>IF(AL130="","","kat"&amp;IF(AND(W130&lt;&gt;Q130,Q130&lt;&gt;"Open"),"(ali)",""))</f>
        <v>kat</v>
      </c>
      <c r="EG130" s="73" t="str">
        <f t="shared" si="91"/>
        <v/>
      </c>
      <c r="EH130" s="66" t="str">
        <f>IF(AL130="","",ED130&amp;IF(ED130="novo","","-"&amp;EE130&amp;"-"&amp;EF130)&amp;IF(EG130="","","-"&amp;EG130))</f>
        <v>imepre-klu-kat</v>
      </c>
      <c r="EI130" s="47" t="s">
        <v>0</v>
      </c>
      <c r="EJ130" s="58">
        <f>IF(AL130="","",MAX(EJ$12:EJ129)+1)</f>
        <v>297</v>
      </c>
      <c r="EK130" s="73">
        <f>IF(AO130="","",X130)</f>
        <v>30</v>
      </c>
      <c r="EL130" s="73">
        <f t="shared" si="120"/>
        <v>1209</v>
      </c>
      <c r="EM130" s="73">
        <f t="shared" si="92"/>
        <v>2443</v>
      </c>
      <c r="EN130" s="73">
        <f t="shared" si="93"/>
        <v>1</v>
      </c>
      <c r="EO130" s="73">
        <f t="shared" si="121"/>
        <v>1</v>
      </c>
      <c r="EP130" s="73">
        <f t="shared" si="122"/>
        <v>1</v>
      </c>
      <c r="EQ130" s="73" t="str">
        <f t="shared" si="94"/>
        <v>0</v>
      </c>
      <c r="ER130" s="73" t="str">
        <f>IF(OR(AN130="",AN130="NEMA"),BB130,AN130)</f>
        <v/>
      </c>
      <c r="ES130" s="73" t="str">
        <f>IF(AND(BN130&lt;&gt;"",BN130&lt;&gt;"NEMA"),BN130,IF(CG130&lt;&gt;"",CG130,IF(AND(CL130&lt;&gt;"",CL130&lt;&gt;"NEMA"),CL130,IF(CM130&lt;&gt;"",CM130,""))))</f>
        <v/>
      </c>
      <c r="ET130" s="53" t="str">
        <f>IF(INDEX(natKategorija_alias_Id,MATCH(S130,natKategorija_katRegId,0))="","",INDEX(natKategorija_alias_Id,MATCH(S130,natKategorija_katRegId,0)))</f>
        <v/>
      </c>
      <c r="EU130" s="47" t="s">
        <v>0</v>
      </c>
      <c r="EV130" s="19" t="str">
        <f t="shared" si="123"/>
        <v>INSERT INTO rezultat(id,stazakategorija_id,imeprezime_id,vrijeme_sec,status_id,registracija,uparivanje_id,originalstatus_id,imeprezimealias_id,klubalias_id,kategorijaalias_id) VALUES (297,30,1209,2443,1,1,1,0,Null,Null,Null);</v>
      </c>
      <c r="EW130" s="47" t="s">
        <v>0</v>
      </c>
      <c r="EX130" s="19" t="str">
        <f t="shared" si="124"/>
        <v>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30" s="47" t="s">
        <v>0</v>
      </c>
      <c r="EZ130" s="180" t="str">
        <f>AG130&amp;IF(CP130="","","
")&amp;CP130&amp;IF(CI130="","","
")&amp;CI130&amp;IF(DN130="","","
")&amp;DN130&amp;IF(DP130="","","
")&amp;DP130&amp;IF(EV130="","","
")&amp;EV130&amp;IF(EX130="","","
")&amp;EX130</f>
        <v xml:space="preserve">
INSERT INTO rezultat(id,stazakategorija_id,imeprezime_id,vrijeme_sec,status_id,registracija,uparivanje_id,originalstatus_id,imeprezimealias_id,klubalias_id,kategorijaalias_id) VALUES (297,30,1209,2443,1,1,1,0,Null,Null,Null);
UPDATE
	registar
SET
	potvrda = 1
WHERE
	imeprezime_id=1209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30" s="47" t="s">
        <v>0</v>
      </c>
    </row>
    <row r="131" spans="1:157" x14ac:dyDescent="0.25">
      <c r="A131" t="s">
        <v>0</v>
      </c>
      <c r="B131" s="52" t="str">
        <f>IF(csv!F121="","",csv!T121)</f>
        <v>M45</v>
      </c>
      <c r="C131" s="31" t="s">
        <v>0</v>
      </c>
      <c r="D131" s="31" t="str">
        <f>IF(csv!F121="","",csv!F121)</f>
        <v>Tihomir</v>
      </c>
      <c r="E131" s="31" t="str">
        <f>IF(csv!E121="","",csv!E121)</f>
        <v>Salopek</v>
      </c>
      <c r="F131" s="31" t="s">
        <v>0</v>
      </c>
      <c r="G131" s="73" t="str">
        <f>IF(csv!M121="","",csv!M121)</f>
        <v>41:08</v>
      </c>
      <c r="H131" s="73" t="str">
        <f>IF(csv!N121="","",csv!N121)</f>
        <v>0</v>
      </c>
      <c r="I131" s="31" t="s">
        <v>0</v>
      </c>
      <c r="J131" s="31" t="str">
        <f>IF(csv!P121="","",csv!P121)</f>
        <v>RIS</v>
      </c>
      <c r="K131" s="31" t="str">
        <f>IF(csv!Q121="","",csv!Q121)</f>
        <v>OK Ris</v>
      </c>
      <c r="L131" s="31" t="s">
        <v>0</v>
      </c>
      <c r="M131" s="66" t="str">
        <f>IF(csv!R121="","",csv!R121)</f>
        <v>CRO</v>
      </c>
      <c r="N131" s="47" t="s">
        <v>0</v>
      </c>
      <c r="O131" s="243" t="str">
        <f t="shared" si="95"/>
        <v>ok</v>
      </c>
      <c r="P131" s="47"/>
      <c r="Q131" s="52" t="str">
        <f t="shared" si="96"/>
        <v>M45</v>
      </c>
      <c r="R131" s="73">
        <f>IF(Q131="","",IF(COUNTIF(Q$12:Q130,Q131)=0,R130+1,R130))</f>
        <v>8</v>
      </c>
      <c r="S131" s="73">
        <f t="shared" si="97"/>
        <v>106</v>
      </c>
      <c r="T131" s="73">
        <f t="shared" si="72"/>
        <v>17</v>
      </c>
      <c r="U131" s="66" t="str">
        <f t="shared" si="73"/>
        <v>M45</v>
      </c>
      <c r="V131" s="47" t="s">
        <v>0</v>
      </c>
      <c r="W131" s="222" t="str">
        <f t="shared" si="74"/>
        <v>M45</v>
      </c>
      <c r="X131" s="223">
        <f t="shared" si="75"/>
        <v>30</v>
      </c>
      <c r="Y131" s="47" t="s">
        <v>0</v>
      </c>
      <c r="Z131" s="52" t="str">
        <f t="shared" si="98"/>
        <v>CRO</v>
      </c>
      <c r="AA131" s="73">
        <f t="shared" si="76"/>
        <v>1</v>
      </c>
      <c r="AB131" s="31" t="str">
        <f t="shared" si="99"/>
        <v/>
      </c>
      <c r="AC131" s="66" t="str">
        <f>IF(AB131="","",MAX(AC$12:AC130)+1)</f>
        <v/>
      </c>
      <c r="AD131" s="47" t="s">
        <v>0</v>
      </c>
      <c r="AE131" s="125"/>
      <c r="AF131" s="47" t="s">
        <v>0</v>
      </c>
      <c r="AG131" s="19" t="str">
        <f t="shared" si="100"/>
        <v/>
      </c>
      <c r="AH131" s="47" t="s">
        <v>0</v>
      </c>
      <c r="AI131" s="143" t="str">
        <f t="shared" si="101"/>
        <v>CRO</v>
      </c>
      <c r="AJ131" s="47"/>
      <c r="AK131" s="52" t="str">
        <f t="shared" si="102"/>
        <v>Tihomir</v>
      </c>
      <c r="AL131" s="31" t="str">
        <f t="shared" si="103"/>
        <v>Salopek</v>
      </c>
      <c r="AM131" s="73">
        <f t="shared" si="104"/>
        <v>1835</v>
      </c>
      <c r="AN131" s="73" t="str">
        <f t="shared" si="105"/>
        <v/>
      </c>
      <c r="AO131" s="31" t="str">
        <f t="shared" si="77"/>
        <v>Tihomir</v>
      </c>
      <c r="AP131" s="66" t="str">
        <f t="shared" si="78"/>
        <v>Salopek</v>
      </c>
      <c r="AQ131" s="47" t="s">
        <v>0</v>
      </c>
      <c r="AR131" s="82" t="str">
        <f t="shared" si="106"/>
        <v/>
      </c>
      <c r="AS131" s="47" t="s">
        <v>0</v>
      </c>
      <c r="AT131" s="19" t="str">
        <f t="shared" si="107"/>
        <v/>
      </c>
      <c r="AU131" s="47" t="s">
        <v>0</v>
      </c>
      <c r="AV131" s="103"/>
      <c r="AW131" s="105"/>
      <c r="AX131" s="47" t="s">
        <v>0</v>
      </c>
      <c r="AY131" s="256" t="str">
        <f t="shared" si="125"/>
        <v/>
      </c>
      <c r="AZ131" s="47" t="s">
        <v>0</v>
      </c>
      <c r="BA131" s="52" t="str">
        <f t="shared" si="79"/>
        <v/>
      </c>
      <c r="BB131" s="73" t="str">
        <f>IF(AV131&amp;AW131="","",MAX(BB$12:BB130)+1)</f>
        <v/>
      </c>
      <c r="BC131" s="268" t="str">
        <f t="shared" si="80"/>
        <v/>
      </c>
      <c r="BD131" s="53" t="str">
        <f>IF(AND(AM131="NEMA",AN131="NEMA",OR(AV131&amp;AW131="",BC131="NEMA")),MAX(BD$12:BD130)+1,"")</f>
        <v/>
      </c>
      <c r="BE131" s="47" t="s">
        <v>0</v>
      </c>
      <c r="BF131" s="52" t="str">
        <f t="shared" si="81"/>
        <v>Tihomir</v>
      </c>
      <c r="BG131" s="31" t="str">
        <f t="shared" si="82"/>
        <v>Salopek</v>
      </c>
      <c r="BH131" s="73" t="str">
        <f t="shared" si="108"/>
        <v/>
      </c>
      <c r="BI131" s="53">
        <f t="shared" si="109"/>
        <v>1835</v>
      </c>
      <c r="BJ131" s="47" t="s">
        <v>0</v>
      </c>
      <c r="BK131" s="52" t="str">
        <f t="shared" si="83"/>
        <v>RIS</v>
      </c>
      <c r="BL131" s="31" t="str">
        <f t="shared" si="84"/>
        <v>OK Ris</v>
      </c>
      <c r="BM131" s="73">
        <f t="shared" si="85"/>
        <v>9</v>
      </c>
      <c r="BN131" s="73" t="str">
        <f t="shared" si="86"/>
        <v/>
      </c>
      <c r="BO131" s="31" t="str" cm="1">
        <f t="array" ref="BO131">IF(BN131="",""&amp;BL131,IF(BN131="NEMA",BL131,INDEX(regKlub_naziv,MATCH(INDEX(regKlub_alias_klubId,BN131),regKlub_id,0))))</f>
        <v>OK Ris</v>
      </c>
      <c r="BP131" s="31" t="str" cm="1">
        <f t="array" ref="BP131">IFERROR(""&amp;INDEX(regNatjecatelj_klub,DY131),"")</f>
        <v>OK Ris</v>
      </c>
      <c r="BQ131" s="88" t="str">
        <f t="shared" si="110"/>
        <v/>
      </c>
      <c r="BR131" s="66" t="str">
        <f t="shared" si="111"/>
        <v>OK Ris</v>
      </c>
      <c r="BS131" s="47" t="s">
        <v>0</v>
      </c>
      <c r="BT131" s="82" t="str">
        <f>IF(BN131&lt;&gt;"NEMA","",IF(IFERROR(MATCH(BL131,BL$12:BL130,0),0)&lt;&gt;0,"",BL131))</f>
        <v/>
      </c>
      <c r="BU131" s="47" t="s">
        <v>0</v>
      </c>
      <c r="BV131" s="125"/>
      <c r="BW131" s="47" t="s">
        <v>0</v>
      </c>
      <c r="BX131" s="58" t="str">
        <f t="shared" si="112"/>
        <v/>
      </c>
      <c r="BY131" s="31" t="str">
        <f t="shared" si="113"/>
        <v/>
      </c>
      <c r="BZ131" s="31" t="str">
        <f>IF(BY131="","",MAX(BZ$12:BZ130)+1)</f>
        <v/>
      </c>
      <c r="CA131" s="31" t="str">
        <f>IF(BY131="","",IF(AA131="","",IF(AA131="NEMA",AC131,AA131)))</f>
        <v/>
      </c>
      <c r="CB131" s="31" t="str">
        <f t="shared" si="114"/>
        <v/>
      </c>
      <c r="CC131" s="31" t="str">
        <f>IF(BV131="","",MAX(CC$12:CC130)+1)</f>
        <v/>
      </c>
      <c r="CD131" s="31" t="str">
        <f t="shared" si="115"/>
        <v/>
      </c>
      <c r="CE131" s="66" t="str">
        <f t="shared" si="116"/>
        <v/>
      </c>
      <c r="CF131" s="47" t="s">
        <v>0</v>
      </c>
      <c r="CG131" s="73" t="str">
        <f>IF(BN131="","",IF(BN131&lt;&gt;"NEMA","",IFERROR(INDEX(nat_klubAliasId,MATCH(BL131,nat_noviKluboviAliasi,0)),"")))</f>
        <v/>
      </c>
      <c r="CH131" s="47"/>
      <c r="CI131" s="19" t="str">
        <f t="shared" si="117"/>
        <v/>
      </c>
      <c r="CJ131" s="47" t="s">
        <v>0</v>
      </c>
      <c r="CK131" s="52" t="str">
        <f>IF(X131&lt;&gt;"NEMA","",IF(IFERROR(MATCH(W131,W$12:W130,0),0)&lt;&gt;0,"",W131))</f>
        <v/>
      </c>
      <c r="CL131" s="73" t="str">
        <f>IF(CK131="","",IFERROR(INDEX(regKlub_alias_id,MATCH(CK131,regKlub_alias_alias,0)),"NEMA"))</f>
        <v/>
      </c>
      <c r="CM131" s="31" t="str">
        <f>IF(OR(CL131="",CL131&lt;&gt;"NEMA"),"",MAX(CM$12:CM130)+1)</f>
        <v/>
      </c>
      <c r="CN131" s="66" t="str">
        <f>IF(OR(CL131="",CL131&lt;&gt;"NEMA"),"",INDEX(regKlub_id,MATCH(CK131,regKlub_naziv,0)))</f>
        <v/>
      </c>
      <c r="CO131" s="47" t="s">
        <v>0</v>
      </c>
      <c r="CP131" s="19" t="str">
        <f>IF(OR(CL131="",CL131&lt;&gt;"NEMA"),"","INSERT INTO klub_alias(id,alias,klub_id) VALUES ("&amp;CM131&amp;",'"&amp;CK131&amp;"',"&amp;CN131&amp;");")</f>
        <v/>
      </c>
      <c r="CQ131" s="47" t="s">
        <v>0</v>
      </c>
      <c r="CR131" s="143" t="str">
        <f>IF(BR131="","",IF(BV131="",IF(IFERROR(MATCH(BR131,nat_noviKluboviAliasi,0),0)&gt;0,INDEX(nat_kluboviAliasi,MATCH(BR131,nat_noviKluboviAliasi,0)),BR131),BV131))</f>
        <v>OK Ris</v>
      </c>
      <c r="CS131" s="47" t="s">
        <v>0</v>
      </c>
      <c r="CT131" s="58" t="str">
        <f>IF(G131="","",G131)</f>
        <v>41:08</v>
      </c>
      <c r="CU131" s="73" t="str">
        <f>IF(H131="","",H131)</f>
        <v>0</v>
      </c>
      <c r="CV131" s="229" t="str">
        <f>IF(CT131="",IF(OR(AL131="",CU131&lt;&gt;"0"),"","GREŠKA"),IF(AND(65535&gt;=VALUE(LEFT(CT131,SEARCH(":",CT131)-1))*60+VALUE(RIGHT(CT131,2)),OR(CU131="0",CU131="1",CU131="2",CU131="3",CU131="4")),"","GREŠKA"))</f>
        <v/>
      </c>
      <c r="CW131" s="230">
        <f t="shared" si="127"/>
        <v>2468</v>
      </c>
      <c r="CX131" s="163">
        <f t="shared" si="87"/>
        <v>1</v>
      </c>
      <c r="CY131" s="47" t="s">
        <v>0</v>
      </c>
      <c r="CZ131" s="222" t="str">
        <f>IF(CV131&lt;&gt;"GREŠKA","",AK131&amp;" "&amp;AL131&amp;" – Molim u OEventu provjeriti i ispraviti rezultat – vrijeme ("&amp;IF(CT131="","nije upisano",CT131)&amp;") i classifier ("&amp;CU131&amp;").")&amp;IF(OR(CV131&lt;&gt;"GREŠKA",CX131&lt;&gt;5),"
","")&amp;IF(CX131&lt;&gt;5,"",AK131&amp;" "&amp;AL131&amp;" – Molim u provjeriti je li natjecatelj zaista diskvalificiran. Ako je koje je obrazloženje, ako nije molim u OEventu ispraviti rezultat")</f>
        <v xml:space="preserve">
</v>
      </c>
      <c r="DA131" s="223">
        <f t="shared" si="118"/>
        <v>6</v>
      </c>
      <c r="DB131" s="47" t="s">
        <v>0</v>
      </c>
      <c r="DC131" s="47"/>
      <c r="DD131" s="47"/>
      <c r="DE131" s="47"/>
      <c r="DF131" s="47" t="s">
        <v>0</v>
      </c>
      <c r="DG131" s="53" t="str">
        <f>IF(BD131="","",IF(DI131="O",1,""))</f>
        <v/>
      </c>
      <c r="DH131" t="s">
        <v>0</v>
      </c>
      <c r="DI131" s="128" t="str">
        <f>IF(Q131="","",LEFT(INDEX(regKategorija_oznaka,MATCH(S131,regKategorija_id,0)),1))</f>
        <v>M</v>
      </c>
      <c r="DJ131" t="s">
        <v>0</v>
      </c>
      <c r="DK131" s="52" t="str">
        <f>IF(BD131="","",IF(M131&lt;&gt;"CRO","","INSERT INTO osoba (id,reg_broj,oib,spol_id,dat_rodjenja) VALUES ("&amp;BD131&amp;",(SELECT max(os.reg_broj)+1 FROM osoba AS os),Null,'"&amp;DI131&amp;"',Null); INSERT INTO osoba_log (id,reg_broj,oib,spol_id,dat_rodjenja,dnevnik_id) SELECT id,reg_broj,oib,spol_id,dat_rodjenja,"&amp;data_dnevnik_id&amp;" FROM osoba WHERE id = "&amp;BD131&amp;";"))</f>
        <v/>
      </c>
      <c r="DL131" s="66" t="str">
        <f>IF(BD131="","","INSERT INTO imeprezime (id,osoba_id,rbr,ime,prezime,klub_id,identitet_id,sintaksa_id,info,aktivno,dnevnik_id) VALUES ("&amp;BD131&amp;","&amp;IF(DK131="","Null",BD131)&amp;",1,'"&amp;IF(AV131&lt;&gt;"",AV131,AK131)&amp;"','"&amp;IF(AW131&lt;&gt;"",AW131,AL131)&amp;"',(SELECT id FROM klub WHERE naziv = '"&amp;CR131&amp;"'),Null,1,'',1,"&amp;data_dnevnik_id&amp;");")</f>
        <v/>
      </c>
      <c r="DM131" t="s">
        <v>0</v>
      </c>
      <c r="DN131" s="19" t="str">
        <f t="shared" si="126"/>
        <v/>
      </c>
      <c r="DO131" s="47" t="s">
        <v>0</v>
      </c>
      <c r="DP131" s="19" t="str">
        <f>IF(BA131="","","INSERT INTO imeprezime_alias(id,alias,imeprezime_id) VALUES ("&amp;BB131&amp;",'"&amp;BA131&amp;"',"&amp;IF(BC131="NEMA",BD131,BC131)&amp;");")</f>
        <v/>
      </c>
      <c r="DQ131" s="47" t="s">
        <v>0</v>
      </c>
      <c r="DR131" s="52" t="str">
        <f>IF(AL131="","",DU131 &amp; IF(Q131="",""," – " &amp; Q131))</f>
        <v>Tihomir – Salopek – OK Ris – M45</v>
      </c>
      <c r="DS131" s="53" t="str">
        <f t="shared" si="88"/>
        <v>NEMA</v>
      </c>
      <c r="DT131" s="47" t="s">
        <v>0</v>
      </c>
      <c r="DU131" s="52" t="str">
        <f>IF(AL131="","",DX131 &amp; IF(CR131="",""," – " &amp; CR131))</f>
        <v>Tihomir – Salopek – OK Ris</v>
      </c>
      <c r="DV131" s="53">
        <f t="shared" si="89"/>
        <v>452</v>
      </c>
      <c r="DW131" s="47" t="s">
        <v>0</v>
      </c>
      <c r="DX131" s="52" t="str">
        <f>IF(BG131="","",BF131&amp;" – "&amp;BG131)</f>
        <v>Tihomir – Salopek</v>
      </c>
      <c r="DY131" s="53">
        <f t="shared" si="90"/>
        <v>452</v>
      </c>
      <c r="DZ131" s="47" t="s">
        <v>0</v>
      </c>
      <c r="EA131" s="58">
        <f t="shared" si="119"/>
        <v>452</v>
      </c>
      <c r="EB131" s="53" cm="1">
        <f t="array" ref="EB131">IF(EA131&lt;&gt;"",INDEX(regNatjecatelj_id,EA131,0),IF(BD131&lt;&gt;"",BD131,""))</f>
        <v>1835</v>
      </c>
      <c r="EC131" s="47" t="s">
        <v>0</v>
      </c>
      <c r="ED131" s="58" t="str">
        <f>IF(AL131="","",IF(BD131&lt;&gt;"","novo",IF(AN131="","imepre","imepre(ali)")))</f>
        <v>imepre</v>
      </c>
      <c r="EE131" s="73" t="str">
        <f>IF(AL131="","",IF(BL131="",IF(IFERROR(INDEX(regNatjecatelj_klub,MATCH(EB131,regNatjecatelj_id,0)),"NEMA")="","klu",""),IF(OR(AND(BN131&lt;&gt;"",BN131&lt;&gt;"NEMA"),CD131&lt;&gt;""),"klu(ali)",IF(AND(BP131&lt;&gt;"",BP131&lt;&gt;BO131),"(raz-klu)","klu"))))</f>
        <v>klu</v>
      </c>
      <c r="EF131" s="73" t="str">
        <f>IF(AL131="","","kat"&amp;IF(AND(W131&lt;&gt;Q131,Q131&lt;&gt;"Open"),"(ali)",""))</f>
        <v>kat</v>
      </c>
      <c r="EG131" s="73" t="str">
        <f t="shared" si="91"/>
        <v/>
      </c>
      <c r="EH131" s="66" t="str">
        <f>IF(AL131="","",ED131&amp;IF(ED131="novo","","-"&amp;EE131&amp;"-"&amp;EF131)&amp;IF(EG131="","","-"&amp;EG131))</f>
        <v>imepre-klu-kat</v>
      </c>
      <c r="EI131" s="47" t="s">
        <v>0</v>
      </c>
      <c r="EJ131" s="58">
        <f>IF(AL131="","",MAX(EJ$12:EJ130)+1)</f>
        <v>298</v>
      </c>
      <c r="EK131" s="73">
        <f>IF(AO131="","",X131)</f>
        <v>30</v>
      </c>
      <c r="EL131" s="73">
        <f t="shared" si="120"/>
        <v>1835</v>
      </c>
      <c r="EM131" s="73">
        <f t="shared" si="92"/>
        <v>2468</v>
      </c>
      <c r="EN131" s="73">
        <f t="shared" si="93"/>
        <v>1</v>
      </c>
      <c r="EO131" s="73">
        <f t="shared" si="121"/>
        <v>0</v>
      </c>
      <c r="EP131" s="73">
        <f t="shared" si="122"/>
        <v>1</v>
      </c>
      <c r="EQ131" s="73" t="str">
        <f t="shared" si="94"/>
        <v>0</v>
      </c>
      <c r="ER131" s="73" t="str">
        <f>IF(OR(AN131="",AN131="NEMA"),BB131,AN131)</f>
        <v/>
      </c>
      <c r="ES131" s="73" t="str">
        <f>IF(AND(BN131&lt;&gt;"",BN131&lt;&gt;"NEMA"),BN131,IF(CG131&lt;&gt;"",CG131,IF(AND(CL131&lt;&gt;"",CL131&lt;&gt;"NEMA"),CL131,IF(CM131&lt;&gt;"",CM131,""))))</f>
        <v/>
      </c>
      <c r="ET131" s="53" t="str">
        <f>IF(INDEX(natKategorija_alias_Id,MATCH(S131,natKategorija_katRegId,0))="","",INDEX(natKategorija_alias_Id,MATCH(S131,natKategorija_katRegId,0)))</f>
        <v/>
      </c>
      <c r="EU131" s="47" t="s">
        <v>0</v>
      </c>
      <c r="EV131" s="19" t="str">
        <f t="shared" si="123"/>
        <v>INSERT INTO rezultat(id,stazakategorija_id,imeprezime_id,vrijeme_sec,status_id,registracija,uparivanje_id,originalstatus_id,imeprezimealias_id,klubalias_id,kategorijaalias_id) VALUES (298,30,1835,2468,1,0,1,0,Null,Null,Null);</v>
      </c>
      <c r="EW131" s="47" t="s">
        <v>0</v>
      </c>
      <c r="EX131" s="19" t="str">
        <f t="shared" si="124"/>
        <v/>
      </c>
      <c r="EY131" s="47" t="s">
        <v>0</v>
      </c>
      <c r="EZ131" s="180" t="str">
        <f>AG131&amp;IF(CP131="","","
")&amp;CP131&amp;IF(CI131="","","
")&amp;CI131&amp;IF(DN131="","","
")&amp;DN131&amp;IF(DP131="","","
")&amp;DP131&amp;IF(EV131="","","
")&amp;EV131&amp;IF(EX131="","","
")&amp;EX131</f>
        <v xml:space="preserve">
INSERT INTO rezultat(id,stazakategorija_id,imeprezime_id,vrijeme_sec,status_id,registracija,uparivanje_id,originalstatus_id,imeprezimealias_id,klubalias_id,kategorijaalias_id) VALUES (298,30,1835,2468,1,0,1,0,Null,Null,Null);</v>
      </c>
      <c r="FA131" s="47" t="s">
        <v>0</v>
      </c>
    </row>
    <row r="132" spans="1:157" x14ac:dyDescent="0.25">
      <c r="A132" t="s">
        <v>0</v>
      </c>
      <c r="B132" s="52" t="str">
        <f>IF(csv!F122="","",csv!T122)</f>
        <v>M45</v>
      </c>
      <c r="C132" s="31" t="s">
        <v>0</v>
      </c>
      <c r="D132" s="31" t="str">
        <f>IF(csv!F122="","",csv!F122)</f>
        <v>Predrag</v>
      </c>
      <c r="E132" s="31" t="str">
        <f>IF(csv!E122="","",csv!E122)</f>
        <v>Markulinčić</v>
      </c>
      <c r="F132" s="31" t="s">
        <v>0</v>
      </c>
      <c r="G132" s="73" t="str">
        <f>IF(csv!M122="","",csv!M122)</f>
        <v>48:39</v>
      </c>
      <c r="H132" s="73" t="str">
        <f>IF(csv!N122="","",csv!N122)</f>
        <v>0</v>
      </c>
      <c r="I132" s="31" t="s">
        <v>0</v>
      </c>
      <c r="J132" s="31" t="str">
        <f>IF(csv!P122="","",csv!P122)</f>
        <v>OKM</v>
      </c>
      <c r="K132" s="31" t="str">
        <f>IF(csv!Q122="","",csv!Q122)</f>
        <v>OK Medjimurje</v>
      </c>
      <c r="L132" s="31" t="s">
        <v>0</v>
      </c>
      <c r="M132" s="66" t="str">
        <f>IF(csv!R122="","",csv!R122)</f>
        <v>CRO</v>
      </c>
      <c r="N132" s="47" t="s">
        <v>0</v>
      </c>
      <c r="O132" s="243" t="str">
        <f t="shared" si="95"/>
        <v>ok</v>
      </c>
      <c r="P132" s="47"/>
      <c r="Q132" s="52" t="str">
        <f t="shared" si="96"/>
        <v>M45</v>
      </c>
      <c r="R132" s="73">
        <f>IF(Q132="","",IF(COUNTIF(Q$12:Q131,Q132)=0,R131+1,R131))</f>
        <v>8</v>
      </c>
      <c r="S132" s="73">
        <f t="shared" si="97"/>
        <v>106</v>
      </c>
      <c r="T132" s="73">
        <f t="shared" si="72"/>
        <v>17</v>
      </c>
      <c r="U132" s="66" t="str">
        <f t="shared" si="73"/>
        <v>M45</v>
      </c>
      <c r="V132" s="47" t="s">
        <v>0</v>
      </c>
      <c r="W132" s="222" t="str">
        <f t="shared" si="74"/>
        <v>M45</v>
      </c>
      <c r="X132" s="223">
        <f t="shared" si="75"/>
        <v>30</v>
      </c>
      <c r="Y132" s="47" t="s">
        <v>0</v>
      </c>
      <c r="Z132" s="52" t="str">
        <f t="shared" si="98"/>
        <v>CRO</v>
      </c>
      <c r="AA132" s="73">
        <f t="shared" si="76"/>
        <v>1</v>
      </c>
      <c r="AB132" s="31" t="str">
        <f t="shared" si="99"/>
        <v/>
      </c>
      <c r="AC132" s="66" t="str">
        <f>IF(AB132="","",MAX(AC$12:AC131)+1)</f>
        <v/>
      </c>
      <c r="AD132" s="47" t="s">
        <v>0</v>
      </c>
      <c r="AE132" s="125"/>
      <c r="AF132" s="47" t="s">
        <v>0</v>
      </c>
      <c r="AG132" s="19" t="str">
        <f t="shared" si="100"/>
        <v/>
      </c>
      <c r="AH132" s="47" t="s">
        <v>0</v>
      </c>
      <c r="AI132" s="143" t="str">
        <f t="shared" si="101"/>
        <v>CRO</v>
      </c>
      <c r="AJ132" s="47"/>
      <c r="AK132" s="52" t="str">
        <f t="shared" si="102"/>
        <v>Predrag</v>
      </c>
      <c r="AL132" s="31" t="str">
        <f t="shared" si="103"/>
        <v>Markulinčić</v>
      </c>
      <c r="AM132" s="73">
        <f t="shared" si="104"/>
        <v>1064</v>
      </c>
      <c r="AN132" s="73" t="str">
        <f t="shared" si="105"/>
        <v/>
      </c>
      <c r="AO132" s="31" t="str">
        <f t="shared" si="77"/>
        <v>Predrag</v>
      </c>
      <c r="AP132" s="66" t="str">
        <f t="shared" si="78"/>
        <v>Markulinčić</v>
      </c>
      <c r="AQ132" s="47" t="s">
        <v>0</v>
      </c>
      <c r="AR132" s="82" t="str">
        <f t="shared" si="106"/>
        <v/>
      </c>
      <c r="AS132" s="47" t="s">
        <v>0</v>
      </c>
      <c r="AT132" s="19" t="str">
        <f t="shared" si="107"/>
        <v/>
      </c>
      <c r="AU132" s="47" t="s">
        <v>0</v>
      </c>
      <c r="AV132" s="103"/>
      <c r="AW132" s="105"/>
      <c r="AX132" s="47" t="s">
        <v>0</v>
      </c>
      <c r="AY132" s="256" t="str">
        <f t="shared" si="125"/>
        <v/>
      </c>
      <c r="AZ132" s="47" t="s">
        <v>0</v>
      </c>
      <c r="BA132" s="52" t="str">
        <f t="shared" si="79"/>
        <v/>
      </c>
      <c r="BB132" s="73" t="str">
        <f>IF(AV132&amp;AW132="","",MAX(BB$12:BB131)+1)</f>
        <v/>
      </c>
      <c r="BC132" s="268" t="str">
        <f t="shared" si="80"/>
        <v/>
      </c>
      <c r="BD132" s="53" t="str">
        <f>IF(AND(AM132="NEMA",AN132="NEMA",OR(AV132&amp;AW132="",BC132="NEMA")),MAX(BD$12:BD131)+1,"")</f>
        <v/>
      </c>
      <c r="BE132" s="47" t="s">
        <v>0</v>
      </c>
      <c r="BF132" s="52" t="str">
        <f t="shared" si="81"/>
        <v>Predrag</v>
      </c>
      <c r="BG132" s="31" t="str">
        <f t="shared" si="82"/>
        <v>Markulinčić</v>
      </c>
      <c r="BH132" s="73" t="str">
        <f t="shared" si="108"/>
        <v/>
      </c>
      <c r="BI132" s="53">
        <f t="shared" si="109"/>
        <v>1064</v>
      </c>
      <c r="BJ132" s="47" t="s">
        <v>0</v>
      </c>
      <c r="BK132" s="52" t="str">
        <f t="shared" si="83"/>
        <v>OKM</v>
      </c>
      <c r="BL132" s="31" t="str">
        <f t="shared" si="84"/>
        <v>OK Medjimurje</v>
      </c>
      <c r="BM132" s="73" t="str">
        <f t="shared" si="85"/>
        <v>NEMA</v>
      </c>
      <c r="BN132" s="73" t="str">
        <f t="shared" si="86"/>
        <v>NEMA</v>
      </c>
      <c r="BO132" s="31" t="str" cm="1">
        <f t="array" ref="BO132">IF(BN132="",""&amp;BL132,IF(BN132="NEMA",BL132,INDEX(regKlub_naziv,MATCH(INDEX(regKlub_alias_klubId,BN132),regKlub_id,0))))</f>
        <v>OK Medjimurje</v>
      </c>
      <c r="BP132" s="31" t="str" cm="1">
        <f t="array" ref="BP132">IFERROR(""&amp;INDEX(regNatjecatelj_klub,DY132),"")</f>
        <v>OK Međimurje</v>
      </c>
      <c r="BQ132" s="88">
        <f t="shared" si="110"/>
        <v>1</v>
      </c>
      <c r="BR132" s="66" t="str">
        <f t="shared" si="111"/>
        <v>OK Međimurje</v>
      </c>
      <c r="BS132" s="47" t="s">
        <v>0</v>
      </c>
      <c r="BT132" s="82" t="str">
        <f>IF(BN132&lt;&gt;"NEMA","",IF(IFERROR(MATCH(BL132,BL$12:BL131,0),0)&lt;&gt;0,"",BL132))</f>
        <v/>
      </c>
      <c r="BU132" s="47" t="s">
        <v>0</v>
      </c>
      <c r="BV132" s="125"/>
      <c r="BW132" s="47" t="s">
        <v>0</v>
      </c>
      <c r="BX132" s="58" t="str">
        <f t="shared" si="112"/>
        <v/>
      </c>
      <c r="BY132" s="31" t="str">
        <f t="shared" si="113"/>
        <v/>
      </c>
      <c r="BZ132" s="31" t="str">
        <f>IF(BY132="","",MAX(BZ$12:BZ131)+1)</f>
        <v/>
      </c>
      <c r="CA132" s="31" t="str">
        <f>IF(BY132="","",IF(AA132="","",IF(AA132="NEMA",AC132,AA132)))</f>
        <v/>
      </c>
      <c r="CB132" s="31" t="str">
        <f t="shared" si="114"/>
        <v/>
      </c>
      <c r="CC132" s="31" t="str">
        <f>IF(BV132="","",MAX(CC$12:CC131)+1)</f>
        <v/>
      </c>
      <c r="CD132" s="31" t="str">
        <f t="shared" si="115"/>
        <v/>
      </c>
      <c r="CE132" s="66" t="str">
        <f t="shared" si="116"/>
        <v/>
      </c>
      <c r="CF132" s="47" t="s">
        <v>0</v>
      </c>
      <c r="CG132" s="73" t="str">
        <f>IF(BN132="","",IF(BN132&lt;&gt;"NEMA","",IFERROR(INDEX(nat_klubAliasId,MATCH(BL132,nat_noviKluboviAliasi,0)),"")))</f>
        <v/>
      </c>
      <c r="CH132" s="47"/>
      <c r="CI132" s="19" t="str">
        <f t="shared" si="117"/>
        <v/>
      </c>
      <c r="CJ132" s="47" t="s">
        <v>0</v>
      </c>
      <c r="CK132" s="52" t="str">
        <f>IF(X132&lt;&gt;"NEMA","",IF(IFERROR(MATCH(W132,W$12:W131,0),0)&lt;&gt;0,"",W132))</f>
        <v/>
      </c>
      <c r="CL132" s="73" t="str">
        <f>IF(CK132="","",IFERROR(INDEX(regKlub_alias_id,MATCH(CK132,regKlub_alias_alias,0)),"NEMA"))</f>
        <v/>
      </c>
      <c r="CM132" s="31" t="str">
        <f>IF(OR(CL132="",CL132&lt;&gt;"NEMA"),"",MAX(CM$12:CM131)+1)</f>
        <v/>
      </c>
      <c r="CN132" s="66" t="str">
        <f>IF(OR(CL132="",CL132&lt;&gt;"NEMA"),"",INDEX(regKlub_id,MATCH(CK132,regKlub_naziv,0)))</f>
        <v/>
      </c>
      <c r="CO132" s="47" t="s">
        <v>0</v>
      </c>
      <c r="CP132" s="19" t="str">
        <f>IF(OR(CL132="",CL132&lt;&gt;"NEMA"),"","INSERT INTO klub_alias(id,alias,klub_id) VALUES ("&amp;CM132&amp;",'"&amp;CK132&amp;"',"&amp;CN132&amp;");")</f>
        <v/>
      </c>
      <c r="CQ132" s="47" t="s">
        <v>0</v>
      </c>
      <c r="CR132" s="143" t="str">
        <f>IF(BR132="","",IF(BV132="",IF(IFERROR(MATCH(BR132,nat_noviKluboviAliasi,0),0)&gt;0,INDEX(nat_kluboviAliasi,MATCH(BR132,nat_noviKluboviAliasi,0)),BR132),BV132))</f>
        <v>OK Međimurje</v>
      </c>
      <c r="CS132" s="47" t="s">
        <v>0</v>
      </c>
      <c r="CT132" s="58" t="str">
        <f>IF(G132="","",G132)</f>
        <v>48:39</v>
      </c>
      <c r="CU132" s="73" t="str">
        <f>IF(H132="","",H132)</f>
        <v>0</v>
      </c>
      <c r="CV132" s="229" t="str">
        <f>IF(CT132="",IF(OR(AL132="",CU132&lt;&gt;"0"),"","GREŠKA"),IF(AND(65535&gt;=VALUE(LEFT(CT132,SEARCH(":",CT132)-1))*60+VALUE(RIGHT(CT132,2)),OR(CU132="0",CU132="1",CU132="2",CU132="3",CU132="4")),"","GREŠKA"))</f>
        <v/>
      </c>
      <c r="CW132" s="230">
        <f t="shared" si="127"/>
        <v>2919</v>
      </c>
      <c r="CX132" s="163">
        <f t="shared" si="87"/>
        <v>1</v>
      </c>
      <c r="CY132" s="47" t="s">
        <v>0</v>
      </c>
      <c r="CZ132" s="222" t="str">
        <f>IF(CV132&lt;&gt;"GREŠKA","",AK132&amp;" "&amp;AL132&amp;" – Molim u OEventu provjeriti i ispraviti rezultat – vrijeme ("&amp;IF(CT132="","nije upisano",CT132)&amp;") i classifier ("&amp;CU132&amp;").")&amp;IF(OR(CV132&lt;&gt;"GREŠKA",CX132&lt;&gt;5),"
","")&amp;IF(CX132&lt;&gt;5,"",AK132&amp;" "&amp;AL132&amp;" – Molim u provjeriti je li natjecatelj zaista diskvalificiran. Ako je koje je obrazloženje, ako nije molim u OEventu ispraviti rezultat")</f>
        <v xml:space="preserve">
</v>
      </c>
      <c r="DA132" s="223">
        <f t="shared" si="118"/>
        <v>6</v>
      </c>
      <c r="DB132" s="47" t="s">
        <v>0</v>
      </c>
      <c r="DC132" s="47"/>
      <c r="DD132" s="47"/>
      <c r="DE132" s="47"/>
      <c r="DF132" s="47" t="s">
        <v>0</v>
      </c>
      <c r="DG132" s="53" t="str">
        <f>IF(BD132="","",IF(DI132="O",1,""))</f>
        <v/>
      </c>
      <c r="DH132" t="s">
        <v>0</v>
      </c>
      <c r="DI132" s="128" t="str">
        <f>IF(Q132="","",LEFT(INDEX(regKategorija_oznaka,MATCH(S132,regKategorija_id,0)),1))</f>
        <v>M</v>
      </c>
      <c r="DJ132" t="s">
        <v>0</v>
      </c>
      <c r="DK132" s="52" t="str">
        <f>IF(BD132="","",IF(M132&lt;&gt;"CRO","","INSERT INTO osoba (id,reg_broj,oib,spol_id,dat_rodjenja) VALUES ("&amp;BD132&amp;",(SELECT max(os.reg_broj)+1 FROM osoba AS os),Null,'"&amp;DI132&amp;"',Null); INSERT INTO osoba_log (id,reg_broj,oib,spol_id,dat_rodjenja,dnevnik_id) SELECT id,reg_broj,oib,spol_id,dat_rodjenja,"&amp;data_dnevnik_id&amp;" FROM osoba WHERE id = "&amp;BD132&amp;";"))</f>
        <v/>
      </c>
      <c r="DL132" s="66" t="str">
        <f>IF(BD132="","","INSERT INTO imeprezime (id,osoba_id,rbr,ime,prezime,klub_id,identitet_id,sintaksa_id,info,aktivno,dnevnik_id) VALUES ("&amp;BD132&amp;","&amp;IF(DK132="","Null",BD132)&amp;",1,'"&amp;IF(AV132&lt;&gt;"",AV132,AK132)&amp;"','"&amp;IF(AW132&lt;&gt;"",AW132,AL132)&amp;"',(SELECT id FROM klub WHERE naziv = '"&amp;CR132&amp;"'),Null,1,'',1,"&amp;data_dnevnik_id&amp;");")</f>
        <v/>
      </c>
      <c r="DM132" t="s">
        <v>0</v>
      </c>
      <c r="DN132" s="19" t="str">
        <f t="shared" si="126"/>
        <v/>
      </c>
      <c r="DO132" s="47" t="s">
        <v>0</v>
      </c>
      <c r="DP132" s="19" t="str">
        <f>IF(BA132="","","INSERT INTO imeprezime_alias(id,alias,imeprezime_id) VALUES ("&amp;BB132&amp;",'"&amp;BA132&amp;"',"&amp;IF(BC132="NEMA",BD132,BC132)&amp;");")</f>
        <v/>
      </c>
      <c r="DQ132" s="47" t="s">
        <v>0</v>
      </c>
      <c r="DR132" s="52" t="str">
        <f>IF(AL132="","",DU132 &amp; IF(Q132="",""," – " &amp; Q132))</f>
        <v>Predrag – Markulinčić – OK Međimurje – M45</v>
      </c>
      <c r="DS132" s="53" t="str">
        <f t="shared" si="88"/>
        <v>NEMA</v>
      </c>
      <c r="DT132" s="47" t="s">
        <v>0</v>
      </c>
      <c r="DU132" s="52" t="str">
        <f>IF(AL132="","",DX132 &amp; IF(CR132="",""," – " &amp; CR132))</f>
        <v>Predrag – Markulinčić – OK Međimurje</v>
      </c>
      <c r="DV132" s="53">
        <f t="shared" si="89"/>
        <v>415</v>
      </c>
      <c r="DW132" s="47" t="s">
        <v>0</v>
      </c>
      <c r="DX132" s="52" t="str">
        <f>IF(BG132="","",BF132&amp;" – "&amp;BG132)</f>
        <v>Predrag – Markulinčić</v>
      </c>
      <c r="DY132" s="53">
        <f t="shared" si="90"/>
        <v>415</v>
      </c>
      <c r="DZ132" s="47" t="s">
        <v>0</v>
      </c>
      <c r="EA132" s="58">
        <f t="shared" si="119"/>
        <v>415</v>
      </c>
      <c r="EB132" s="53" cm="1">
        <f t="array" ref="EB132">IF(EA132&lt;&gt;"",INDEX(regNatjecatelj_id,EA132,0),IF(BD132&lt;&gt;"",BD132,""))</f>
        <v>1064</v>
      </c>
      <c r="EC132" s="47" t="s">
        <v>0</v>
      </c>
      <c r="ED132" s="58" t="str">
        <f>IF(AL132="","",IF(BD132&lt;&gt;"","novo",IF(AN132="","imepre","imepre(ali)")))</f>
        <v>imepre</v>
      </c>
      <c r="EE132" s="73" t="str">
        <f>IF(AL132="","",IF(BL132="",IF(IFERROR(INDEX(regNatjecatelj_klub,MATCH(EB132,regNatjecatelj_id,0)),"NEMA")="","klu",""),IF(OR(AND(BN132&lt;&gt;"",BN132&lt;&gt;"NEMA"),CD132&lt;&gt;""),"klu(ali)",IF(AND(BP132&lt;&gt;"",BP132&lt;&gt;BO132),"(raz-klu)","klu"))))</f>
        <v>(raz-klu)</v>
      </c>
      <c r="EF132" s="73" t="str">
        <f>IF(AL132="","","kat"&amp;IF(AND(W132&lt;&gt;Q132,Q132&lt;&gt;"Open"),"(ali)",""))</f>
        <v>kat</v>
      </c>
      <c r="EG132" s="73" t="str">
        <f t="shared" si="91"/>
        <v/>
      </c>
      <c r="EH132" s="66" t="str">
        <f>IF(AL132="","",ED132&amp;IF(ED132="novo","","-"&amp;EE132&amp;"-"&amp;EF132)&amp;IF(EG132="","","-"&amp;EG132))</f>
        <v>imepre-(raz-klu)-kat</v>
      </c>
      <c r="EI132" s="47" t="s">
        <v>0</v>
      </c>
      <c r="EJ132" s="58">
        <f>IF(AL132="","",MAX(EJ$12:EJ131)+1)</f>
        <v>299</v>
      </c>
      <c r="EK132" s="73">
        <f>IF(AO132="","",X132)</f>
        <v>30</v>
      </c>
      <c r="EL132" s="73">
        <f t="shared" si="120"/>
        <v>1064</v>
      </c>
      <c r="EM132" s="73">
        <f t="shared" si="92"/>
        <v>2919</v>
      </c>
      <c r="EN132" s="73">
        <f t="shared" si="93"/>
        <v>1</v>
      </c>
      <c r="EO132" s="73">
        <f t="shared" si="121"/>
        <v>0</v>
      </c>
      <c r="EP132" s="73">
        <f t="shared" si="122"/>
        <v>5</v>
      </c>
      <c r="EQ132" s="73" t="str">
        <f t="shared" si="94"/>
        <v>0</v>
      </c>
      <c r="ER132" s="73" t="str">
        <f>IF(OR(AN132="",AN132="NEMA"),BB132,AN132)</f>
        <v/>
      </c>
      <c r="ES132" s="73" t="str">
        <f>IF(AND(BN132&lt;&gt;"",BN132&lt;&gt;"NEMA"),BN132,IF(CG132&lt;&gt;"",CG132,IF(AND(CL132&lt;&gt;"",CL132&lt;&gt;"NEMA"),CL132,IF(CM132&lt;&gt;"",CM132,""))))</f>
        <v/>
      </c>
      <c r="ET132" s="53" t="str">
        <f>IF(INDEX(natKategorija_alias_Id,MATCH(S132,natKategorija_katRegId,0))="","",INDEX(natKategorija_alias_Id,MATCH(S132,natKategorija_katRegId,0)))</f>
        <v/>
      </c>
      <c r="EU132" s="47" t="s">
        <v>0</v>
      </c>
      <c r="EV132" s="19" t="str">
        <f t="shared" si="123"/>
        <v>INSERT INTO rezultat(id,stazakategorija_id,imeprezime_id,vrijeme_sec,status_id,registracija,uparivanje_id,originalstatus_id,imeprezimealias_id,klubalias_id,kategorijaalias_id) VALUES (299,30,1064,2919,1,0,5,0,Null,Null,Null);</v>
      </c>
      <c r="EW132" s="47" t="s">
        <v>0</v>
      </c>
      <c r="EX132" s="19" t="str">
        <f t="shared" si="124"/>
        <v/>
      </c>
      <c r="EY132" s="47" t="s">
        <v>0</v>
      </c>
      <c r="EZ132" s="180" t="str">
        <f>AG132&amp;IF(CP132="","","
")&amp;CP132&amp;IF(CI132="","","
")&amp;CI132&amp;IF(DN132="","","
")&amp;DN132&amp;IF(DP132="","","
")&amp;DP132&amp;IF(EV132="","","
")&amp;EV132&amp;IF(EX132="","","
")&amp;EX132</f>
        <v xml:space="preserve">
INSERT INTO rezultat(id,stazakategorija_id,imeprezime_id,vrijeme_sec,status_id,registracija,uparivanje_id,originalstatus_id,imeprezimealias_id,klubalias_id,kategorijaalias_id) VALUES (299,30,1064,2919,1,0,5,0,Null,Null,Null);</v>
      </c>
      <c r="FA132" s="47" t="s">
        <v>0</v>
      </c>
    </row>
    <row r="133" spans="1:157" x14ac:dyDescent="0.25">
      <c r="A133" t="s">
        <v>0</v>
      </c>
      <c r="B133" s="52" t="str">
        <f>IF(csv!F123="","",csv!T123)</f>
        <v>M45</v>
      </c>
      <c r="C133" s="31" t="s">
        <v>0</v>
      </c>
      <c r="D133" s="31" t="str">
        <f>IF(csv!F123="","",csv!F123)</f>
        <v>Robert</v>
      </c>
      <c r="E133" s="31" t="str">
        <f>IF(csv!E123="","",csv!E123)</f>
        <v>Orehoci</v>
      </c>
      <c r="F133" s="31" t="s">
        <v>0</v>
      </c>
      <c r="G133" s="73" t="str">
        <f>IF(csv!M123="","",csv!M123)</f>
        <v>50:14</v>
      </c>
      <c r="H133" s="73" t="str">
        <f>IF(csv!N123="","",csv!N123)</f>
        <v>0</v>
      </c>
      <c r="I133" s="31" t="s">
        <v>0</v>
      </c>
      <c r="J133" s="31" t="str">
        <f>IF(csv!P123="","",csv!P123)</f>
        <v>BJE</v>
      </c>
      <c r="K133" s="31" t="str">
        <f>IF(csv!Q123="","",csv!Q123)</f>
        <v>OK Bjelovar</v>
      </c>
      <c r="L133" s="31" t="s">
        <v>0</v>
      </c>
      <c r="M133" s="66" t="str">
        <f>IF(csv!R123="","",csv!R123)</f>
        <v>CRO</v>
      </c>
      <c r="N133" s="47" t="s">
        <v>0</v>
      </c>
      <c r="O133" s="243" t="str">
        <f t="shared" si="95"/>
        <v>ok</v>
      </c>
      <c r="P133" s="47"/>
      <c r="Q133" s="52" t="str">
        <f t="shared" si="96"/>
        <v>M45</v>
      </c>
      <c r="R133" s="73">
        <f>IF(Q133="","",IF(COUNTIF(Q$12:Q132,Q133)=0,R132+1,R132))</f>
        <v>8</v>
      </c>
      <c r="S133" s="73">
        <f t="shared" si="97"/>
        <v>106</v>
      </c>
      <c r="T133" s="73">
        <f t="shared" si="72"/>
        <v>17</v>
      </c>
      <c r="U133" s="66" t="str">
        <f t="shared" si="73"/>
        <v>M45</v>
      </c>
      <c r="V133" s="47" t="s">
        <v>0</v>
      </c>
      <c r="W133" s="222" t="str">
        <f t="shared" si="74"/>
        <v>M45</v>
      </c>
      <c r="X133" s="223">
        <f t="shared" si="75"/>
        <v>30</v>
      </c>
      <c r="Y133" s="47" t="s">
        <v>0</v>
      </c>
      <c r="Z133" s="52" t="str">
        <f t="shared" si="98"/>
        <v>CRO</v>
      </c>
      <c r="AA133" s="73">
        <f t="shared" si="76"/>
        <v>1</v>
      </c>
      <c r="AB133" s="31" t="str">
        <f t="shared" si="99"/>
        <v/>
      </c>
      <c r="AC133" s="66" t="str">
        <f>IF(AB133="","",MAX(AC$12:AC132)+1)</f>
        <v/>
      </c>
      <c r="AD133" s="47" t="s">
        <v>0</v>
      </c>
      <c r="AE133" s="125"/>
      <c r="AF133" s="47" t="s">
        <v>0</v>
      </c>
      <c r="AG133" s="19" t="str">
        <f t="shared" si="100"/>
        <v/>
      </c>
      <c r="AH133" s="47" t="s">
        <v>0</v>
      </c>
      <c r="AI133" s="143" t="str">
        <f t="shared" si="101"/>
        <v>CRO</v>
      </c>
      <c r="AJ133" s="47"/>
      <c r="AK133" s="52" t="str">
        <f t="shared" si="102"/>
        <v>Robert</v>
      </c>
      <c r="AL133" s="31" t="str">
        <f t="shared" si="103"/>
        <v>Orehoci</v>
      </c>
      <c r="AM133" s="73">
        <f t="shared" si="104"/>
        <v>1453</v>
      </c>
      <c r="AN133" s="73" t="str">
        <f t="shared" si="105"/>
        <v/>
      </c>
      <c r="AO133" s="31" t="str">
        <f t="shared" si="77"/>
        <v>Robert</v>
      </c>
      <c r="AP133" s="66" t="str">
        <f t="shared" si="78"/>
        <v>Orehoci</v>
      </c>
      <c r="AQ133" s="47" t="s">
        <v>0</v>
      </c>
      <c r="AR133" s="82" t="str">
        <f t="shared" si="106"/>
        <v/>
      </c>
      <c r="AS133" s="47" t="s">
        <v>0</v>
      </c>
      <c r="AT133" s="19" t="str">
        <f t="shared" si="107"/>
        <v/>
      </c>
      <c r="AU133" s="47" t="s">
        <v>0</v>
      </c>
      <c r="AV133" s="103"/>
      <c r="AW133" s="105"/>
      <c r="AX133" s="47" t="s">
        <v>0</v>
      </c>
      <c r="AY133" s="256" t="str">
        <f t="shared" si="125"/>
        <v/>
      </c>
      <c r="AZ133" s="47" t="s">
        <v>0</v>
      </c>
      <c r="BA133" s="52" t="str">
        <f t="shared" si="79"/>
        <v/>
      </c>
      <c r="BB133" s="73" t="str">
        <f>IF(AV133&amp;AW133="","",MAX(BB$12:BB132)+1)</f>
        <v/>
      </c>
      <c r="BC133" s="268" t="str">
        <f t="shared" si="80"/>
        <v/>
      </c>
      <c r="BD133" s="53" t="str">
        <f>IF(AND(AM133="NEMA",AN133="NEMA",OR(AV133&amp;AW133="",BC133="NEMA")),MAX(BD$12:BD132)+1,"")</f>
        <v/>
      </c>
      <c r="BE133" s="47" t="s">
        <v>0</v>
      </c>
      <c r="BF133" s="52" t="str">
        <f t="shared" si="81"/>
        <v>Robert</v>
      </c>
      <c r="BG133" s="31" t="str">
        <f t="shared" si="82"/>
        <v>Orehoci</v>
      </c>
      <c r="BH133" s="73" t="str">
        <f t="shared" si="108"/>
        <v/>
      </c>
      <c r="BI133" s="53">
        <f t="shared" si="109"/>
        <v>1453</v>
      </c>
      <c r="BJ133" s="47" t="s">
        <v>0</v>
      </c>
      <c r="BK133" s="52" t="str">
        <f t="shared" si="83"/>
        <v>BJE</v>
      </c>
      <c r="BL133" s="31" t="str">
        <f t="shared" si="84"/>
        <v>OK Bjelovar</v>
      </c>
      <c r="BM133" s="73">
        <f t="shared" si="85"/>
        <v>1</v>
      </c>
      <c r="BN133" s="73" t="str">
        <f t="shared" si="86"/>
        <v/>
      </c>
      <c r="BO133" s="31" t="str" cm="1">
        <f t="array" ref="BO133">IF(BN133="",""&amp;BL133,IF(BN133="NEMA",BL133,INDEX(regKlub_naziv,MATCH(INDEX(regKlub_alias_klubId,BN133),regKlub_id,0))))</f>
        <v>OK Bjelovar</v>
      </c>
      <c r="BP133" s="31" t="str" cm="1">
        <f t="array" ref="BP133">IFERROR(""&amp;INDEX(regNatjecatelj_klub,DY133),"")</f>
        <v>OK Bjelovar</v>
      </c>
      <c r="BQ133" s="88" t="str">
        <f t="shared" si="110"/>
        <v/>
      </c>
      <c r="BR133" s="66" t="str">
        <f t="shared" si="111"/>
        <v>OK Bjelovar</v>
      </c>
      <c r="BS133" s="47" t="s">
        <v>0</v>
      </c>
      <c r="BT133" s="82" t="str">
        <f>IF(BN133&lt;&gt;"NEMA","",IF(IFERROR(MATCH(BL133,BL$12:BL132,0),0)&lt;&gt;0,"",BL133))</f>
        <v/>
      </c>
      <c r="BU133" s="47" t="s">
        <v>0</v>
      </c>
      <c r="BV133" s="125"/>
      <c r="BW133" s="47" t="s">
        <v>0</v>
      </c>
      <c r="BX133" s="58" t="str">
        <f t="shared" si="112"/>
        <v/>
      </c>
      <c r="BY133" s="31" t="str">
        <f t="shared" si="113"/>
        <v/>
      </c>
      <c r="BZ133" s="31" t="str">
        <f>IF(BY133="","",MAX(BZ$12:BZ132)+1)</f>
        <v/>
      </c>
      <c r="CA133" s="31" t="str">
        <f>IF(BY133="","",IF(AA133="","",IF(AA133="NEMA",AC133,AA133)))</f>
        <v/>
      </c>
      <c r="CB133" s="31" t="str">
        <f t="shared" si="114"/>
        <v/>
      </c>
      <c r="CC133" s="31" t="str">
        <f>IF(BV133="","",MAX(CC$12:CC132)+1)</f>
        <v/>
      </c>
      <c r="CD133" s="31" t="str">
        <f t="shared" si="115"/>
        <v/>
      </c>
      <c r="CE133" s="66" t="str">
        <f t="shared" si="116"/>
        <v/>
      </c>
      <c r="CF133" s="47" t="s">
        <v>0</v>
      </c>
      <c r="CG133" s="73" t="str">
        <f>IF(BN133="","",IF(BN133&lt;&gt;"NEMA","",IFERROR(INDEX(nat_klubAliasId,MATCH(BL133,nat_noviKluboviAliasi,0)),"")))</f>
        <v/>
      </c>
      <c r="CH133" s="47"/>
      <c r="CI133" s="19" t="str">
        <f t="shared" si="117"/>
        <v/>
      </c>
      <c r="CJ133" s="47" t="s">
        <v>0</v>
      </c>
      <c r="CK133" s="52" t="str">
        <f>IF(X133&lt;&gt;"NEMA","",IF(IFERROR(MATCH(W133,W$12:W132,0),0)&lt;&gt;0,"",W133))</f>
        <v/>
      </c>
      <c r="CL133" s="73" t="str">
        <f>IF(CK133="","",IFERROR(INDEX(regKlub_alias_id,MATCH(CK133,regKlub_alias_alias,0)),"NEMA"))</f>
        <v/>
      </c>
      <c r="CM133" s="31" t="str">
        <f>IF(OR(CL133="",CL133&lt;&gt;"NEMA"),"",MAX(CM$12:CM132)+1)</f>
        <v/>
      </c>
      <c r="CN133" s="66" t="str">
        <f>IF(OR(CL133="",CL133&lt;&gt;"NEMA"),"",INDEX(regKlub_id,MATCH(CK133,regKlub_naziv,0)))</f>
        <v/>
      </c>
      <c r="CO133" s="47" t="s">
        <v>0</v>
      </c>
      <c r="CP133" s="19" t="str">
        <f>IF(OR(CL133="",CL133&lt;&gt;"NEMA"),"","INSERT INTO klub_alias(id,alias,klub_id) VALUES ("&amp;CM133&amp;",'"&amp;CK133&amp;"',"&amp;CN133&amp;");")</f>
        <v/>
      </c>
      <c r="CQ133" s="47" t="s">
        <v>0</v>
      </c>
      <c r="CR133" s="143" t="str">
        <f>IF(BR133="","",IF(BV133="",IF(IFERROR(MATCH(BR133,nat_noviKluboviAliasi,0),0)&gt;0,INDEX(nat_kluboviAliasi,MATCH(BR133,nat_noviKluboviAliasi,0)),BR133),BV133))</f>
        <v>OK Bjelovar</v>
      </c>
      <c r="CS133" s="47" t="s">
        <v>0</v>
      </c>
      <c r="CT133" s="58" t="str">
        <f>IF(G133="","",G133)</f>
        <v>50:14</v>
      </c>
      <c r="CU133" s="73" t="str">
        <f>IF(H133="","",H133)</f>
        <v>0</v>
      </c>
      <c r="CV133" s="229" t="str">
        <f>IF(CT133="",IF(OR(AL133="",CU133&lt;&gt;"0"),"","GREŠKA"),IF(AND(65535&gt;=VALUE(LEFT(CT133,SEARCH(":",CT133)-1))*60+VALUE(RIGHT(CT133,2)),OR(CU133="0",CU133="1",CU133="2",CU133="3",CU133="4")),"","GREŠKA"))</f>
        <v/>
      </c>
      <c r="CW133" s="230">
        <f t="shared" si="127"/>
        <v>3014</v>
      </c>
      <c r="CX133" s="163">
        <f t="shared" si="87"/>
        <v>1</v>
      </c>
      <c r="CY133" s="47" t="s">
        <v>0</v>
      </c>
      <c r="CZ133" s="222" t="str">
        <f>IF(CV133&lt;&gt;"GREŠKA","",AK133&amp;" "&amp;AL133&amp;" – Molim u OEventu provjeriti i ispraviti rezultat – vrijeme ("&amp;IF(CT133="","nije upisano",CT133)&amp;") i classifier ("&amp;CU133&amp;").")&amp;IF(OR(CV133&lt;&gt;"GREŠKA",CX133&lt;&gt;5),"
","")&amp;IF(CX133&lt;&gt;5,"",AK133&amp;" "&amp;AL133&amp;" – Molim u provjeriti je li natjecatelj zaista diskvalificiran. Ako je koje je obrazloženje, ako nije molim u OEventu ispraviti rezultat")</f>
        <v xml:space="preserve">
</v>
      </c>
      <c r="DA133" s="223">
        <f t="shared" si="118"/>
        <v>6</v>
      </c>
      <c r="DB133" s="47" t="s">
        <v>0</v>
      </c>
      <c r="DC133" s="47"/>
      <c r="DD133" s="47"/>
      <c r="DE133" s="47"/>
      <c r="DF133" s="47" t="s">
        <v>0</v>
      </c>
      <c r="DG133" s="53" t="str">
        <f>IF(BD133="","",IF(DI133="O",1,""))</f>
        <v/>
      </c>
      <c r="DH133" t="s">
        <v>0</v>
      </c>
      <c r="DI133" s="128" t="str">
        <f>IF(Q133="","",LEFT(INDEX(regKategorija_oznaka,MATCH(S133,regKategorija_id,0)),1))</f>
        <v>M</v>
      </c>
      <c r="DJ133" t="s">
        <v>0</v>
      </c>
      <c r="DK133" s="52" t="str">
        <f>IF(BD133="","",IF(M133&lt;&gt;"CRO","","INSERT INTO osoba (id,reg_broj,oib,spol_id,dat_rodjenja) VALUES ("&amp;BD133&amp;",(SELECT max(os.reg_broj)+1 FROM osoba AS os),Null,'"&amp;DI133&amp;"',Null); INSERT INTO osoba_log (id,reg_broj,oib,spol_id,dat_rodjenja,dnevnik_id) SELECT id,reg_broj,oib,spol_id,dat_rodjenja,"&amp;data_dnevnik_id&amp;" FROM osoba WHERE id = "&amp;BD133&amp;";"))</f>
        <v/>
      </c>
      <c r="DL133" s="66" t="str">
        <f>IF(BD133="","","INSERT INTO imeprezime (id,osoba_id,rbr,ime,prezime,klub_id,identitet_id,sintaksa_id,info,aktivno,dnevnik_id) VALUES ("&amp;BD133&amp;","&amp;IF(DK133="","Null",BD133)&amp;",1,'"&amp;IF(AV133&lt;&gt;"",AV133,AK133)&amp;"','"&amp;IF(AW133&lt;&gt;"",AW133,AL133)&amp;"',(SELECT id FROM klub WHERE naziv = '"&amp;CR133&amp;"'),Null,1,'',1,"&amp;data_dnevnik_id&amp;");")</f>
        <v/>
      </c>
      <c r="DM133" t="s">
        <v>0</v>
      </c>
      <c r="DN133" s="19" t="str">
        <f t="shared" si="126"/>
        <v/>
      </c>
      <c r="DO133" s="47" t="s">
        <v>0</v>
      </c>
      <c r="DP133" s="19" t="str">
        <f>IF(BA133="","","INSERT INTO imeprezime_alias(id,alias,imeprezime_id) VALUES ("&amp;BB133&amp;",'"&amp;BA133&amp;"',"&amp;IF(BC133="NEMA",BD133,BC133)&amp;");")</f>
        <v/>
      </c>
      <c r="DQ133" s="47" t="s">
        <v>0</v>
      </c>
      <c r="DR133" s="52" t="str">
        <f>IF(AL133="","",DU133 &amp; IF(Q133="",""," – " &amp; Q133))</f>
        <v>Robert – Orehoci – OK Bjelovar – M45</v>
      </c>
      <c r="DS133" s="53">
        <f t="shared" si="88"/>
        <v>15</v>
      </c>
      <c r="DT133" s="47" t="s">
        <v>0</v>
      </c>
      <c r="DU133" s="52" t="str">
        <f>IF(AL133="","",DX133 &amp; IF(CR133="",""," – " &amp; CR133))</f>
        <v>Robert – Orehoci – OK Bjelovar</v>
      </c>
      <c r="DV133" s="53">
        <f t="shared" si="89"/>
        <v>15</v>
      </c>
      <c r="DW133" s="47" t="s">
        <v>0</v>
      </c>
      <c r="DX133" s="52" t="str">
        <f>IF(BG133="","",BF133&amp;" – "&amp;BG133)</f>
        <v>Robert – Orehoci</v>
      </c>
      <c r="DY133" s="53">
        <f t="shared" si="90"/>
        <v>15</v>
      </c>
      <c r="DZ133" s="47" t="s">
        <v>0</v>
      </c>
      <c r="EA133" s="58">
        <f t="shared" si="119"/>
        <v>15</v>
      </c>
      <c r="EB133" s="53" cm="1">
        <f t="array" ref="EB133">IF(EA133&lt;&gt;"",INDEX(regNatjecatelj_id,EA133,0),IF(BD133&lt;&gt;"",BD133,""))</f>
        <v>1453</v>
      </c>
      <c r="EC133" s="47" t="s">
        <v>0</v>
      </c>
      <c r="ED133" s="58" t="str">
        <f>IF(AL133="","",IF(BD133&lt;&gt;"","novo",IF(AN133="","imepre","imepre(ali)")))</f>
        <v>imepre</v>
      </c>
      <c r="EE133" s="73" t="str">
        <f>IF(AL133="","",IF(BL133="",IF(IFERROR(INDEX(regNatjecatelj_klub,MATCH(EB133,regNatjecatelj_id,0)),"NEMA")="","klu",""),IF(OR(AND(BN133&lt;&gt;"",BN133&lt;&gt;"NEMA"),CD133&lt;&gt;""),"klu(ali)",IF(AND(BP133&lt;&gt;"",BP133&lt;&gt;BO133),"(raz-klu)","klu"))))</f>
        <v>klu</v>
      </c>
      <c r="EF133" s="73" t="str">
        <f>IF(AL133="","","kat"&amp;IF(AND(W133&lt;&gt;Q133,Q133&lt;&gt;"Open"),"(ali)",""))</f>
        <v>kat</v>
      </c>
      <c r="EG133" s="73" t="str">
        <f t="shared" si="91"/>
        <v/>
      </c>
      <c r="EH133" s="66" t="str">
        <f>IF(AL133="","",ED133&amp;IF(ED133="novo","","-"&amp;EE133&amp;"-"&amp;EF133)&amp;IF(EG133="","","-"&amp;EG133))</f>
        <v>imepre-klu-kat</v>
      </c>
      <c r="EI133" s="47" t="s">
        <v>0</v>
      </c>
      <c r="EJ133" s="58">
        <f>IF(AL133="","",MAX(EJ$12:EJ132)+1)</f>
        <v>300</v>
      </c>
      <c r="EK133" s="73">
        <f>IF(AO133="","",X133)</f>
        <v>30</v>
      </c>
      <c r="EL133" s="73">
        <f t="shared" si="120"/>
        <v>1453</v>
      </c>
      <c r="EM133" s="73">
        <f t="shared" si="92"/>
        <v>3014</v>
      </c>
      <c r="EN133" s="73">
        <f t="shared" si="93"/>
        <v>1</v>
      </c>
      <c r="EO133" s="73">
        <f t="shared" si="121"/>
        <v>1</v>
      </c>
      <c r="EP133" s="73">
        <f t="shared" si="122"/>
        <v>1</v>
      </c>
      <c r="EQ133" s="73" t="str">
        <f t="shared" si="94"/>
        <v>0</v>
      </c>
      <c r="ER133" s="73" t="str">
        <f>IF(OR(AN133="",AN133="NEMA"),BB133,AN133)</f>
        <v/>
      </c>
      <c r="ES133" s="73" t="str">
        <f>IF(AND(BN133&lt;&gt;"",BN133&lt;&gt;"NEMA"),BN133,IF(CG133&lt;&gt;"",CG133,IF(AND(CL133&lt;&gt;"",CL133&lt;&gt;"NEMA"),CL133,IF(CM133&lt;&gt;"",CM133,""))))</f>
        <v/>
      </c>
      <c r="ET133" s="53" t="str">
        <f>IF(INDEX(natKategorija_alias_Id,MATCH(S133,natKategorija_katRegId,0))="","",INDEX(natKategorija_alias_Id,MATCH(S133,natKategorija_katRegId,0)))</f>
        <v/>
      </c>
      <c r="EU133" s="47" t="s">
        <v>0</v>
      </c>
      <c r="EV133" s="19" t="str">
        <f t="shared" si="123"/>
        <v>INSERT INTO rezultat(id,stazakategorija_id,imeprezime_id,vrijeme_sec,status_id,registracija,uparivanje_id,originalstatus_id,imeprezimealias_id,klubalias_id,kategorijaalias_id) VALUES (300,30,1453,3014,1,1,1,0,Null,Null,Null);</v>
      </c>
      <c r="EW133" s="47" t="s">
        <v>0</v>
      </c>
      <c r="EX133" s="19" t="str">
        <f t="shared" si="124"/>
        <v>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33" s="47" t="s">
        <v>0</v>
      </c>
      <c r="EZ133" s="180" t="str">
        <f>AG133&amp;IF(CP133="","","
")&amp;CP133&amp;IF(CI133="","","
")&amp;CI133&amp;IF(DN133="","","
")&amp;DN133&amp;IF(DP133="","","
")&amp;DP133&amp;IF(EV133="","","
")&amp;EV133&amp;IF(EX133="","","
")&amp;EX133</f>
        <v xml:space="preserve">
INSERT INTO rezultat(id,stazakategorija_id,imeprezime_id,vrijeme_sec,status_id,registracija,uparivanje_id,originalstatus_id,imeprezimealias_id,klubalias_id,kategorijaalias_id) VALUES (300,30,1453,3014,1,1,1,0,Null,Null,Null);
UPDATE
	registar
SET
	potvrda = 1
WHERE
	imeprezime_id=1453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33" s="47" t="s">
        <v>0</v>
      </c>
    </row>
    <row r="134" spans="1:157" x14ac:dyDescent="0.25">
      <c r="A134" t="s">
        <v>0</v>
      </c>
      <c r="B134" s="52" t="str">
        <f>IF(csv!F124="","",csv!T124)</f>
        <v>M45</v>
      </c>
      <c r="C134" s="31" t="s">
        <v>0</v>
      </c>
      <c r="D134" s="31" t="str">
        <f>IF(csv!F124="","",csv!F124)</f>
        <v>Vladimir</v>
      </c>
      <c r="E134" s="31" t="str">
        <f>IF(csv!E124="","",csv!E124)</f>
        <v>Trivunović</v>
      </c>
      <c r="F134" s="31" t="s">
        <v>0</v>
      </c>
      <c r="G134" s="73" t="str">
        <f>IF(csv!M124="","",csv!M124)</f>
        <v>51:39</v>
      </c>
      <c r="H134" s="73" t="str">
        <f>IF(csv!N124="","",csv!N124)</f>
        <v>0</v>
      </c>
      <c r="I134" s="31" t="s">
        <v>0</v>
      </c>
      <c r="J134" s="31" t="str">
        <f>IF(csv!P124="","",csv!P124)</f>
        <v>KAP</v>
      </c>
      <c r="K134" s="31" t="str">
        <f>IF(csv!Q124="","",csv!Q124)</f>
        <v>OK Kapela</v>
      </c>
      <c r="L134" s="31" t="s">
        <v>0</v>
      </c>
      <c r="M134" s="66" t="str">
        <f>IF(csv!R124="","",csv!R124)</f>
        <v>CRO</v>
      </c>
      <c r="N134" s="47" t="s">
        <v>0</v>
      </c>
      <c r="O134" s="243" t="str">
        <f t="shared" si="95"/>
        <v>ok</v>
      </c>
      <c r="P134" s="47"/>
      <c r="Q134" s="52" t="str">
        <f t="shared" si="96"/>
        <v>M45</v>
      </c>
      <c r="R134" s="73">
        <f>IF(Q134="","",IF(COUNTIF(Q$12:Q133,Q134)=0,R133+1,R133))</f>
        <v>8</v>
      </c>
      <c r="S134" s="73">
        <f t="shared" si="97"/>
        <v>106</v>
      </c>
      <c r="T134" s="73">
        <f t="shared" si="72"/>
        <v>17</v>
      </c>
      <c r="U134" s="66" t="str">
        <f t="shared" si="73"/>
        <v>M45</v>
      </c>
      <c r="V134" s="47" t="s">
        <v>0</v>
      </c>
      <c r="W134" s="222" t="str">
        <f t="shared" si="74"/>
        <v>M45</v>
      </c>
      <c r="X134" s="223">
        <f t="shared" si="75"/>
        <v>30</v>
      </c>
      <c r="Y134" s="47" t="s">
        <v>0</v>
      </c>
      <c r="Z134" s="52" t="str">
        <f t="shared" si="98"/>
        <v>CRO</v>
      </c>
      <c r="AA134" s="73">
        <f t="shared" si="76"/>
        <v>1</v>
      </c>
      <c r="AB134" s="31" t="str">
        <f t="shared" si="99"/>
        <v/>
      </c>
      <c r="AC134" s="66" t="str">
        <f>IF(AB134="","",MAX(AC$12:AC133)+1)</f>
        <v/>
      </c>
      <c r="AD134" s="47" t="s">
        <v>0</v>
      </c>
      <c r="AE134" s="125"/>
      <c r="AF134" s="47" t="s">
        <v>0</v>
      </c>
      <c r="AG134" s="19" t="str">
        <f t="shared" si="100"/>
        <v/>
      </c>
      <c r="AH134" s="47" t="s">
        <v>0</v>
      </c>
      <c r="AI134" s="143" t="str">
        <f t="shared" si="101"/>
        <v>CRO</v>
      </c>
      <c r="AJ134" s="47"/>
      <c r="AK134" s="52" t="str">
        <f t="shared" si="102"/>
        <v>Vladimir</v>
      </c>
      <c r="AL134" s="31" t="str">
        <f t="shared" si="103"/>
        <v>Trivunović</v>
      </c>
      <c r="AM134" s="73">
        <f t="shared" si="104"/>
        <v>1126</v>
      </c>
      <c r="AN134" s="73" t="str">
        <f t="shared" si="105"/>
        <v/>
      </c>
      <c r="AO134" s="31" t="str">
        <f t="shared" si="77"/>
        <v>Vladimir</v>
      </c>
      <c r="AP134" s="66" t="str">
        <f t="shared" si="78"/>
        <v>Trivunović</v>
      </c>
      <c r="AQ134" s="47" t="s">
        <v>0</v>
      </c>
      <c r="AR134" s="82" t="str">
        <f t="shared" si="106"/>
        <v/>
      </c>
      <c r="AS134" s="47" t="s">
        <v>0</v>
      </c>
      <c r="AT134" s="19" t="str">
        <f t="shared" si="107"/>
        <v/>
      </c>
      <c r="AU134" s="47" t="s">
        <v>0</v>
      </c>
      <c r="AV134" s="103"/>
      <c r="AW134" s="105"/>
      <c r="AX134" s="47" t="s">
        <v>0</v>
      </c>
      <c r="AY134" s="256" t="str">
        <f t="shared" si="125"/>
        <v/>
      </c>
      <c r="AZ134" s="47" t="s">
        <v>0</v>
      </c>
      <c r="BA134" s="52" t="str">
        <f t="shared" si="79"/>
        <v/>
      </c>
      <c r="BB134" s="73" t="str">
        <f>IF(AV134&amp;AW134="","",MAX(BB$12:BB133)+1)</f>
        <v/>
      </c>
      <c r="BC134" s="268" t="str">
        <f t="shared" si="80"/>
        <v/>
      </c>
      <c r="BD134" s="53" t="str">
        <f>IF(AND(AM134="NEMA",AN134="NEMA",OR(AV134&amp;AW134="",BC134="NEMA")),MAX(BD$12:BD133)+1,"")</f>
        <v/>
      </c>
      <c r="BE134" s="47" t="s">
        <v>0</v>
      </c>
      <c r="BF134" s="52" t="str">
        <f t="shared" si="81"/>
        <v>Vladimir</v>
      </c>
      <c r="BG134" s="31" t="str">
        <f t="shared" si="82"/>
        <v>Trivunović</v>
      </c>
      <c r="BH134" s="73" t="str">
        <f t="shared" si="108"/>
        <v/>
      </c>
      <c r="BI134" s="53">
        <f t="shared" si="109"/>
        <v>1126</v>
      </c>
      <c r="BJ134" s="47" t="s">
        <v>0</v>
      </c>
      <c r="BK134" s="52" t="str">
        <f t="shared" si="83"/>
        <v>KAP</v>
      </c>
      <c r="BL134" s="31" t="str">
        <f t="shared" si="84"/>
        <v>OK Kapela</v>
      </c>
      <c r="BM134" s="73">
        <f t="shared" si="85"/>
        <v>5</v>
      </c>
      <c r="BN134" s="73" t="str">
        <f t="shared" si="86"/>
        <v/>
      </c>
      <c r="BO134" s="31" t="str" cm="1">
        <f t="array" ref="BO134">IF(BN134="",""&amp;BL134,IF(BN134="NEMA",BL134,INDEX(regKlub_naziv,MATCH(INDEX(regKlub_alias_klubId,BN134),regKlub_id,0))))</f>
        <v>OK Kapela</v>
      </c>
      <c r="BP134" s="31" t="str" cm="1">
        <f t="array" ref="BP134">IFERROR(""&amp;INDEX(regNatjecatelj_klub,DY134),"")</f>
        <v>OK Kapela</v>
      </c>
      <c r="BQ134" s="88" t="str">
        <f t="shared" si="110"/>
        <v/>
      </c>
      <c r="BR134" s="66" t="str">
        <f t="shared" si="111"/>
        <v>OK Kapela</v>
      </c>
      <c r="BS134" s="47" t="s">
        <v>0</v>
      </c>
      <c r="BT134" s="82" t="str">
        <f>IF(BN134&lt;&gt;"NEMA","",IF(IFERROR(MATCH(BL134,BL$12:BL133,0),0)&lt;&gt;0,"",BL134))</f>
        <v/>
      </c>
      <c r="BU134" s="47" t="s">
        <v>0</v>
      </c>
      <c r="BV134" s="125"/>
      <c r="BW134" s="47" t="s">
        <v>0</v>
      </c>
      <c r="BX134" s="58" t="str">
        <f t="shared" si="112"/>
        <v/>
      </c>
      <c r="BY134" s="31" t="str">
        <f t="shared" si="113"/>
        <v/>
      </c>
      <c r="BZ134" s="31" t="str">
        <f>IF(BY134="","",MAX(BZ$12:BZ133)+1)</f>
        <v/>
      </c>
      <c r="CA134" s="31" t="str">
        <f>IF(BY134="","",IF(AA134="","",IF(AA134="NEMA",AC134,AA134)))</f>
        <v/>
      </c>
      <c r="CB134" s="31" t="str">
        <f t="shared" si="114"/>
        <v/>
      </c>
      <c r="CC134" s="31" t="str">
        <f>IF(BV134="","",MAX(CC$12:CC133)+1)</f>
        <v/>
      </c>
      <c r="CD134" s="31" t="str">
        <f t="shared" si="115"/>
        <v/>
      </c>
      <c r="CE134" s="66" t="str">
        <f t="shared" si="116"/>
        <v/>
      </c>
      <c r="CF134" s="47" t="s">
        <v>0</v>
      </c>
      <c r="CG134" s="73" t="str">
        <f>IF(BN134="","",IF(BN134&lt;&gt;"NEMA","",IFERROR(INDEX(nat_klubAliasId,MATCH(BL134,nat_noviKluboviAliasi,0)),"")))</f>
        <v/>
      </c>
      <c r="CH134" s="47"/>
      <c r="CI134" s="19" t="str">
        <f t="shared" si="117"/>
        <v/>
      </c>
      <c r="CJ134" s="47" t="s">
        <v>0</v>
      </c>
      <c r="CK134" s="52" t="str">
        <f>IF(X134&lt;&gt;"NEMA","",IF(IFERROR(MATCH(W134,W$12:W133,0),0)&lt;&gt;0,"",W134))</f>
        <v/>
      </c>
      <c r="CL134" s="73" t="str">
        <f>IF(CK134="","",IFERROR(INDEX(regKlub_alias_id,MATCH(CK134,regKlub_alias_alias,0)),"NEMA"))</f>
        <v/>
      </c>
      <c r="CM134" s="31" t="str">
        <f>IF(OR(CL134="",CL134&lt;&gt;"NEMA"),"",MAX(CM$12:CM133)+1)</f>
        <v/>
      </c>
      <c r="CN134" s="66" t="str">
        <f>IF(OR(CL134="",CL134&lt;&gt;"NEMA"),"",INDEX(regKlub_id,MATCH(CK134,regKlub_naziv,0)))</f>
        <v/>
      </c>
      <c r="CO134" s="47" t="s">
        <v>0</v>
      </c>
      <c r="CP134" s="19" t="str">
        <f>IF(OR(CL134="",CL134&lt;&gt;"NEMA"),"","INSERT INTO klub_alias(id,alias,klub_id) VALUES ("&amp;CM134&amp;",'"&amp;CK134&amp;"',"&amp;CN134&amp;");")</f>
        <v/>
      </c>
      <c r="CQ134" s="47" t="s">
        <v>0</v>
      </c>
      <c r="CR134" s="143" t="str">
        <f>IF(BR134="","",IF(BV134="",IF(IFERROR(MATCH(BR134,nat_noviKluboviAliasi,0),0)&gt;0,INDEX(nat_kluboviAliasi,MATCH(BR134,nat_noviKluboviAliasi,0)),BR134),BV134))</f>
        <v>OK Kapela</v>
      </c>
      <c r="CS134" s="47" t="s">
        <v>0</v>
      </c>
      <c r="CT134" s="58" t="str">
        <f>IF(G134="","",G134)</f>
        <v>51:39</v>
      </c>
      <c r="CU134" s="73" t="str">
        <f>IF(H134="","",H134)</f>
        <v>0</v>
      </c>
      <c r="CV134" s="229" t="str">
        <f>IF(CT134="",IF(OR(AL134="",CU134&lt;&gt;"0"),"","GREŠKA"),IF(AND(65535&gt;=VALUE(LEFT(CT134,SEARCH(":",CT134)-1))*60+VALUE(RIGHT(CT134,2)),OR(CU134="0",CU134="1",CU134="2",CU134="3",CU134="4")),"","GREŠKA"))</f>
        <v/>
      </c>
      <c r="CW134" s="230">
        <f t="shared" si="127"/>
        <v>3099</v>
      </c>
      <c r="CX134" s="163">
        <f t="shared" si="87"/>
        <v>1</v>
      </c>
      <c r="CY134" s="47" t="s">
        <v>0</v>
      </c>
      <c r="CZ134" s="222" t="str">
        <f>IF(CV134&lt;&gt;"GREŠKA","",AK134&amp;" "&amp;AL134&amp;" – Molim u OEventu provjeriti i ispraviti rezultat – vrijeme ("&amp;IF(CT134="","nije upisano",CT134)&amp;") i classifier ("&amp;CU134&amp;").")&amp;IF(OR(CV134&lt;&gt;"GREŠKA",CX134&lt;&gt;5),"
","")&amp;IF(CX134&lt;&gt;5,"",AK134&amp;" "&amp;AL134&amp;" – Molim u provjeriti je li natjecatelj zaista diskvalificiran. Ako je koje je obrazloženje, ako nije molim u OEventu ispraviti rezultat")</f>
        <v xml:space="preserve">
</v>
      </c>
      <c r="DA134" s="223">
        <f t="shared" si="118"/>
        <v>6</v>
      </c>
      <c r="DB134" s="47" t="s">
        <v>0</v>
      </c>
      <c r="DC134" s="47"/>
      <c r="DD134" s="47"/>
      <c r="DE134" s="47"/>
      <c r="DF134" s="47" t="s">
        <v>0</v>
      </c>
      <c r="DG134" s="53" t="str">
        <f>IF(BD134="","",IF(DI134="O",1,""))</f>
        <v/>
      </c>
      <c r="DH134" t="s">
        <v>0</v>
      </c>
      <c r="DI134" s="128" t="str">
        <f>IF(Q134="","",LEFT(INDEX(regKategorija_oznaka,MATCH(S134,regKategorija_id,0)),1))</f>
        <v>M</v>
      </c>
      <c r="DJ134" t="s">
        <v>0</v>
      </c>
      <c r="DK134" s="52" t="str">
        <f>IF(BD134="","",IF(M134&lt;&gt;"CRO","","INSERT INTO osoba (id,reg_broj,oib,spol_id,dat_rodjenja) VALUES ("&amp;BD134&amp;",(SELECT max(os.reg_broj)+1 FROM osoba AS os),Null,'"&amp;DI134&amp;"',Null); INSERT INTO osoba_log (id,reg_broj,oib,spol_id,dat_rodjenja,dnevnik_id) SELECT id,reg_broj,oib,spol_id,dat_rodjenja,"&amp;data_dnevnik_id&amp;" FROM osoba WHERE id = "&amp;BD134&amp;";"))</f>
        <v/>
      </c>
      <c r="DL134" s="66" t="str">
        <f>IF(BD134="","","INSERT INTO imeprezime (id,osoba_id,rbr,ime,prezime,klub_id,identitet_id,sintaksa_id,info,aktivno,dnevnik_id) VALUES ("&amp;BD134&amp;","&amp;IF(DK134="","Null",BD134)&amp;",1,'"&amp;IF(AV134&lt;&gt;"",AV134,AK134)&amp;"','"&amp;IF(AW134&lt;&gt;"",AW134,AL134)&amp;"',(SELECT id FROM klub WHERE naziv = '"&amp;CR134&amp;"'),Null,1,'',1,"&amp;data_dnevnik_id&amp;");")</f>
        <v/>
      </c>
      <c r="DM134" t="s">
        <v>0</v>
      </c>
      <c r="DN134" s="19" t="str">
        <f t="shared" si="126"/>
        <v/>
      </c>
      <c r="DO134" s="47" t="s">
        <v>0</v>
      </c>
      <c r="DP134" s="19" t="str">
        <f>IF(BA134="","","INSERT INTO imeprezime_alias(id,alias,imeprezime_id) VALUES ("&amp;BB134&amp;",'"&amp;BA134&amp;"',"&amp;IF(BC134="NEMA",BD134,BC134)&amp;");")</f>
        <v/>
      </c>
      <c r="DQ134" s="47" t="s">
        <v>0</v>
      </c>
      <c r="DR134" s="52" t="str">
        <f>IF(AL134="","",DU134 &amp; IF(Q134="",""," – " &amp; Q134))</f>
        <v>Vladimir – Trivunović – OK Kapela – M45</v>
      </c>
      <c r="DS134" s="53">
        <f t="shared" si="88"/>
        <v>321</v>
      </c>
      <c r="DT134" s="47" t="s">
        <v>0</v>
      </c>
      <c r="DU134" s="52" t="str">
        <f>IF(AL134="","",DX134 &amp; IF(CR134="",""," – " &amp; CR134))</f>
        <v>Vladimir – Trivunović – OK Kapela</v>
      </c>
      <c r="DV134" s="53">
        <f t="shared" si="89"/>
        <v>321</v>
      </c>
      <c r="DW134" s="47" t="s">
        <v>0</v>
      </c>
      <c r="DX134" s="52" t="str">
        <f>IF(BG134="","",BF134&amp;" – "&amp;BG134)</f>
        <v>Vladimir – Trivunović</v>
      </c>
      <c r="DY134" s="53">
        <f t="shared" si="90"/>
        <v>321</v>
      </c>
      <c r="DZ134" s="47" t="s">
        <v>0</v>
      </c>
      <c r="EA134" s="58">
        <f t="shared" si="119"/>
        <v>321</v>
      </c>
      <c r="EB134" s="53" cm="1">
        <f t="array" ref="EB134">IF(EA134&lt;&gt;"",INDEX(regNatjecatelj_id,EA134,0),IF(BD134&lt;&gt;"",BD134,""))</f>
        <v>1126</v>
      </c>
      <c r="EC134" s="47" t="s">
        <v>0</v>
      </c>
      <c r="ED134" s="58" t="str">
        <f>IF(AL134="","",IF(BD134&lt;&gt;"","novo",IF(AN134="","imepre","imepre(ali)")))</f>
        <v>imepre</v>
      </c>
      <c r="EE134" s="73" t="str">
        <f>IF(AL134="","",IF(BL134="",IF(IFERROR(INDEX(regNatjecatelj_klub,MATCH(EB134,regNatjecatelj_id,0)),"NEMA")="","klu",""),IF(OR(AND(BN134&lt;&gt;"",BN134&lt;&gt;"NEMA"),CD134&lt;&gt;""),"klu(ali)",IF(AND(BP134&lt;&gt;"",BP134&lt;&gt;BO134),"(raz-klu)","klu"))))</f>
        <v>klu</v>
      </c>
      <c r="EF134" s="73" t="str">
        <f>IF(AL134="","","kat"&amp;IF(AND(W134&lt;&gt;Q134,Q134&lt;&gt;"Open"),"(ali)",""))</f>
        <v>kat</v>
      </c>
      <c r="EG134" s="73" t="str">
        <f t="shared" si="91"/>
        <v/>
      </c>
      <c r="EH134" s="66" t="str">
        <f>IF(AL134="","",ED134&amp;IF(ED134="novo","","-"&amp;EE134&amp;"-"&amp;EF134)&amp;IF(EG134="","","-"&amp;EG134))</f>
        <v>imepre-klu-kat</v>
      </c>
      <c r="EI134" s="47" t="s">
        <v>0</v>
      </c>
      <c r="EJ134" s="58">
        <f>IF(AL134="","",MAX(EJ$12:EJ133)+1)</f>
        <v>301</v>
      </c>
      <c r="EK134" s="73">
        <f>IF(AO134="","",X134)</f>
        <v>30</v>
      </c>
      <c r="EL134" s="73">
        <f t="shared" si="120"/>
        <v>1126</v>
      </c>
      <c r="EM134" s="73">
        <f t="shared" si="92"/>
        <v>3099</v>
      </c>
      <c r="EN134" s="73">
        <f t="shared" si="93"/>
        <v>1</v>
      </c>
      <c r="EO134" s="73">
        <f t="shared" si="121"/>
        <v>1</v>
      </c>
      <c r="EP134" s="73">
        <f t="shared" si="122"/>
        <v>1</v>
      </c>
      <c r="EQ134" s="73" t="str">
        <f t="shared" si="94"/>
        <v>0</v>
      </c>
      <c r="ER134" s="73" t="str">
        <f>IF(OR(AN134="",AN134="NEMA"),BB134,AN134)</f>
        <v/>
      </c>
      <c r="ES134" s="73" t="str">
        <f>IF(AND(BN134&lt;&gt;"",BN134&lt;&gt;"NEMA"),BN134,IF(CG134&lt;&gt;"",CG134,IF(AND(CL134&lt;&gt;"",CL134&lt;&gt;"NEMA"),CL134,IF(CM134&lt;&gt;"",CM134,""))))</f>
        <v/>
      </c>
      <c r="ET134" s="53" t="str">
        <f>IF(INDEX(natKategorija_alias_Id,MATCH(S134,natKategorija_katRegId,0))="","",INDEX(natKategorija_alias_Id,MATCH(S134,natKategorija_katRegId,0)))</f>
        <v/>
      </c>
      <c r="EU134" s="47" t="s">
        <v>0</v>
      </c>
      <c r="EV134" s="19" t="str">
        <f t="shared" si="123"/>
        <v>INSERT INTO rezultat(id,stazakategorija_id,imeprezime_id,vrijeme_sec,status_id,registracija,uparivanje_id,originalstatus_id,imeprezimealias_id,klubalias_id,kategorijaalias_id) VALUES (301,30,1126,3099,1,1,1,0,Null,Null,Null);</v>
      </c>
      <c r="EW134" s="47" t="s">
        <v>0</v>
      </c>
      <c r="EX134" s="19" t="str">
        <f t="shared" si="124"/>
        <v>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34" s="47" t="s">
        <v>0</v>
      </c>
      <c r="EZ134" s="180" t="str">
        <f>AG134&amp;IF(CP134="","","
")&amp;CP134&amp;IF(CI134="","","
")&amp;CI134&amp;IF(DN134="","","
")&amp;DN134&amp;IF(DP134="","","
")&amp;DP134&amp;IF(EV134="","","
")&amp;EV134&amp;IF(EX134="","","
")&amp;EX134</f>
        <v xml:space="preserve">
INSERT INTO rezultat(id,stazakategorija_id,imeprezime_id,vrijeme_sec,status_id,registracija,uparivanje_id,originalstatus_id,imeprezimealias_id,klubalias_id,kategorijaalias_id) VALUES (301,30,1126,3099,1,1,1,0,Null,Null,Null);
UPDATE
	registar
SET
	potvrda = 1
WHERE
	imeprezime_id=1126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34" s="47" t="s">
        <v>0</v>
      </c>
    </row>
    <row r="135" spans="1:157" x14ac:dyDescent="0.25">
      <c r="A135" t="s">
        <v>0</v>
      </c>
      <c r="B135" s="52" t="str">
        <f>IF(csv!F125="","",csv!T125)</f>
        <v>M45</v>
      </c>
      <c r="C135" s="31" t="s">
        <v>0</v>
      </c>
      <c r="D135" s="31" t="str">
        <f>IF(csv!F125="","",csv!F125)</f>
        <v>Bojan</v>
      </c>
      <c r="E135" s="31" t="str">
        <f>IF(csv!E125="","",csv!E125)</f>
        <v>Vukelić</v>
      </c>
      <c r="F135" s="31" t="s">
        <v>0</v>
      </c>
      <c r="G135" s="73" t="str">
        <f>IF(csv!M125="","",csv!M125)</f>
        <v>54:16</v>
      </c>
      <c r="H135" s="73" t="str">
        <f>IF(csv!N125="","",csv!N125)</f>
        <v>0</v>
      </c>
      <c r="I135" s="31" t="s">
        <v>0</v>
      </c>
      <c r="J135" s="31" t="str">
        <f>IF(csv!P125="","",csv!P125)</f>
        <v>Maksimir</v>
      </c>
      <c r="K135" s="31" t="str">
        <f>IF(csv!Q125="","",csv!Q125)</f>
        <v>OK Maksimir</v>
      </c>
      <c r="L135" s="31" t="s">
        <v>0</v>
      </c>
      <c r="M135" s="66" t="str">
        <f>IF(csv!R125="","",csv!R125)</f>
        <v>CRO</v>
      </c>
      <c r="N135" s="47" t="s">
        <v>0</v>
      </c>
      <c r="O135" s="243" t="str">
        <f t="shared" si="95"/>
        <v>ok</v>
      </c>
      <c r="P135" s="47"/>
      <c r="Q135" s="52" t="str">
        <f t="shared" si="96"/>
        <v>M45</v>
      </c>
      <c r="R135" s="73">
        <f>IF(Q135="","",IF(COUNTIF(Q$12:Q134,Q135)=0,R134+1,R134))</f>
        <v>8</v>
      </c>
      <c r="S135" s="73">
        <f t="shared" si="97"/>
        <v>106</v>
      </c>
      <c r="T135" s="73">
        <f t="shared" si="72"/>
        <v>17</v>
      </c>
      <c r="U135" s="66" t="str">
        <f t="shared" si="73"/>
        <v>M45</v>
      </c>
      <c r="V135" s="47" t="s">
        <v>0</v>
      </c>
      <c r="W135" s="222" t="str">
        <f t="shared" si="74"/>
        <v>M45</v>
      </c>
      <c r="X135" s="223">
        <f t="shared" si="75"/>
        <v>30</v>
      </c>
      <c r="Y135" s="47" t="s">
        <v>0</v>
      </c>
      <c r="Z135" s="52" t="str">
        <f t="shared" si="98"/>
        <v>CRO</v>
      </c>
      <c r="AA135" s="73">
        <f t="shared" si="76"/>
        <v>1</v>
      </c>
      <c r="AB135" s="31" t="str">
        <f t="shared" si="99"/>
        <v/>
      </c>
      <c r="AC135" s="66" t="str">
        <f>IF(AB135="","",MAX(AC$12:AC134)+1)</f>
        <v/>
      </c>
      <c r="AD135" s="47" t="s">
        <v>0</v>
      </c>
      <c r="AE135" s="125"/>
      <c r="AF135" s="47" t="s">
        <v>0</v>
      </c>
      <c r="AG135" s="19" t="str">
        <f t="shared" si="100"/>
        <v/>
      </c>
      <c r="AH135" s="47" t="s">
        <v>0</v>
      </c>
      <c r="AI135" s="143" t="str">
        <f t="shared" si="101"/>
        <v>CRO</v>
      </c>
      <c r="AJ135" s="47"/>
      <c r="AK135" s="52" t="str">
        <f t="shared" si="102"/>
        <v>Bojan</v>
      </c>
      <c r="AL135" s="31" t="str">
        <f t="shared" si="103"/>
        <v>Vukelić</v>
      </c>
      <c r="AM135" s="73">
        <f t="shared" si="104"/>
        <v>1313</v>
      </c>
      <c r="AN135" s="73" t="str">
        <f t="shared" si="105"/>
        <v/>
      </c>
      <c r="AO135" s="31" t="str">
        <f t="shared" si="77"/>
        <v>Bojan</v>
      </c>
      <c r="AP135" s="66" t="str">
        <f t="shared" si="78"/>
        <v>Vukelić</v>
      </c>
      <c r="AQ135" s="47" t="s">
        <v>0</v>
      </c>
      <c r="AR135" s="82" t="str">
        <f t="shared" si="106"/>
        <v/>
      </c>
      <c r="AS135" s="47" t="s">
        <v>0</v>
      </c>
      <c r="AT135" s="19" t="str">
        <f t="shared" si="107"/>
        <v/>
      </c>
      <c r="AU135" s="47" t="s">
        <v>0</v>
      </c>
      <c r="AV135" s="103"/>
      <c r="AW135" s="105"/>
      <c r="AX135" s="47" t="s">
        <v>0</v>
      </c>
      <c r="AY135" s="256" t="str">
        <f t="shared" si="125"/>
        <v/>
      </c>
      <c r="AZ135" s="47" t="s">
        <v>0</v>
      </c>
      <c r="BA135" s="52" t="str">
        <f t="shared" si="79"/>
        <v/>
      </c>
      <c r="BB135" s="73" t="str">
        <f>IF(AV135&amp;AW135="","",MAX(BB$12:BB134)+1)</f>
        <v/>
      </c>
      <c r="BC135" s="268" t="str">
        <f t="shared" si="80"/>
        <v/>
      </c>
      <c r="BD135" s="53" t="str">
        <f>IF(AND(AM135="NEMA",AN135="NEMA",OR(AV135&amp;AW135="",BC135="NEMA")),MAX(BD$12:BD134)+1,"")</f>
        <v/>
      </c>
      <c r="BE135" s="47" t="s">
        <v>0</v>
      </c>
      <c r="BF135" s="52" t="str">
        <f t="shared" si="81"/>
        <v>Bojan</v>
      </c>
      <c r="BG135" s="31" t="str">
        <f t="shared" si="82"/>
        <v>Vukelić</v>
      </c>
      <c r="BH135" s="73" t="str">
        <f t="shared" si="108"/>
        <v/>
      </c>
      <c r="BI135" s="53">
        <f t="shared" si="109"/>
        <v>1313</v>
      </c>
      <c r="BJ135" s="47" t="s">
        <v>0</v>
      </c>
      <c r="BK135" s="52" t="str">
        <f t="shared" si="83"/>
        <v>Maksimir</v>
      </c>
      <c r="BL135" s="31" t="str">
        <f t="shared" si="84"/>
        <v>OK Maksimir</v>
      </c>
      <c r="BM135" s="73">
        <f t="shared" si="85"/>
        <v>6</v>
      </c>
      <c r="BN135" s="73" t="str">
        <f t="shared" si="86"/>
        <v/>
      </c>
      <c r="BO135" s="31" t="str" cm="1">
        <f t="array" ref="BO135">IF(BN135="",""&amp;BL135,IF(BN135="NEMA",BL135,INDEX(regKlub_naziv,MATCH(INDEX(regKlub_alias_klubId,BN135),regKlub_id,0))))</f>
        <v>OK Maksimir</v>
      </c>
      <c r="BP135" s="31" t="str" cm="1">
        <f t="array" ref="BP135">IFERROR(""&amp;INDEX(regNatjecatelj_klub,DY135),"")</f>
        <v>OK Maksimir</v>
      </c>
      <c r="BQ135" s="88" t="str">
        <f t="shared" si="110"/>
        <v/>
      </c>
      <c r="BR135" s="66" t="str">
        <f t="shared" si="111"/>
        <v>OK Maksimir</v>
      </c>
      <c r="BS135" s="47" t="s">
        <v>0</v>
      </c>
      <c r="BT135" s="82" t="str">
        <f>IF(BN135&lt;&gt;"NEMA","",IF(IFERROR(MATCH(BL135,BL$12:BL134,0),0)&lt;&gt;0,"",BL135))</f>
        <v/>
      </c>
      <c r="BU135" s="47" t="s">
        <v>0</v>
      </c>
      <c r="BV135" s="125"/>
      <c r="BW135" s="47" t="s">
        <v>0</v>
      </c>
      <c r="BX135" s="58" t="str">
        <f t="shared" si="112"/>
        <v/>
      </c>
      <c r="BY135" s="31" t="str">
        <f t="shared" si="113"/>
        <v/>
      </c>
      <c r="BZ135" s="31" t="str">
        <f>IF(BY135="","",MAX(BZ$12:BZ134)+1)</f>
        <v/>
      </c>
      <c r="CA135" s="31" t="str">
        <f>IF(BY135="","",IF(AA135="","",IF(AA135="NEMA",AC135,AA135)))</f>
        <v/>
      </c>
      <c r="CB135" s="31" t="str">
        <f t="shared" si="114"/>
        <v/>
      </c>
      <c r="CC135" s="31" t="str">
        <f>IF(BV135="","",MAX(CC$12:CC134)+1)</f>
        <v/>
      </c>
      <c r="CD135" s="31" t="str">
        <f t="shared" si="115"/>
        <v/>
      </c>
      <c r="CE135" s="66" t="str">
        <f t="shared" si="116"/>
        <v/>
      </c>
      <c r="CF135" s="47" t="s">
        <v>0</v>
      </c>
      <c r="CG135" s="73" t="str">
        <f>IF(BN135="","",IF(BN135&lt;&gt;"NEMA","",IFERROR(INDEX(nat_klubAliasId,MATCH(BL135,nat_noviKluboviAliasi,0)),"")))</f>
        <v/>
      </c>
      <c r="CH135" s="47"/>
      <c r="CI135" s="19" t="str">
        <f t="shared" si="117"/>
        <v/>
      </c>
      <c r="CJ135" s="47" t="s">
        <v>0</v>
      </c>
      <c r="CK135" s="52" t="str">
        <f>IF(X135&lt;&gt;"NEMA","",IF(IFERROR(MATCH(W135,W$12:W134,0),0)&lt;&gt;0,"",W135))</f>
        <v/>
      </c>
      <c r="CL135" s="73" t="str">
        <f>IF(CK135="","",IFERROR(INDEX(regKlub_alias_id,MATCH(CK135,regKlub_alias_alias,0)),"NEMA"))</f>
        <v/>
      </c>
      <c r="CM135" s="31" t="str">
        <f>IF(OR(CL135="",CL135&lt;&gt;"NEMA"),"",MAX(CM$12:CM134)+1)</f>
        <v/>
      </c>
      <c r="CN135" s="66" t="str">
        <f>IF(OR(CL135="",CL135&lt;&gt;"NEMA"),"",INDEX(regKlub_id,MATCH(CK135,regKlub_naziv,0)))</f>
        <v/>
      </c>
      <c r="CO135" s="47" t="s">
        <v>0</v>
      </c>
      <c r="CP135" s="19" t="str">
        <f>IF(OR(CL135="",CL135&lt;&gt;"NEMA"),"","INSERT INTO klub_alias(id,alias,klub_id) VALUES ("&amp;CM135&amp;",'"&amp;CK135&amp;"',"&amp;CN135&amp;");")</f>
        <v/>
      </c>
      <c r="CQ135" s="47" t="s">
        <v>0</v>
      </c>
      <c r="CR135" s="143" t="str">
        <f>IF(BR135="","",IF(BV135="",IF(IFERROR(MATCH(BR135,nat_noviKluboviAliasi,0),0)&gt;0,INDEX(nat_kluboviAliasi,MATCH(BR135,nat_noviKluboviAliasi,0)),BR135),BV135))</f>
        <v>OK Maksimir</v>
      </c>
      <c r="CS135" s="47" t="s">
        <v>0</v>
      </c>
      <c r="CT135" s="58" t="str">
        <f>IF(G135="","",G135)</f>
        <v>54:16</v>
      </c>
      <c r="CU135" s="73" t="str">
        <f>IF(H135="","",H135)</f>
        <v>0</v>
      </c>
      <c r="CV135" s="229" t="str">
        <f>IF(CT135="",IF(OR(AL135="",CU135&lt;&gt;"0"),"","GREŠKA"),IF(AND(65535&gt;=VALUE(LEFT(CT135,SEARCH(":",CT135)-1))*60+VALUE(RIGHT(CT135,2)),OR(CU135="0",CU135="1",CU135="2",CU135="3",CU135="4")),"","GREŠKA"))</f>
        <v/>
      </c>
      <c r="CW135" s="230">
        <f t="shared" si="127"/>
        <v>3256</v>
      </c>
      <c r="CX135" s="163">
        <f t="shared" si="87"/>
        <v>1</v>
      </c>
      <c r="CY135" s="47" t="s">
        <v>0</v>
      </c>
      <c r="CZ135" s="222" t="str">
        <f>IF(CV135&lt;&gt;"GREŠKA","",AK135&amp;" "&amp;AL135&amp;" – Molim u OEventu provjeriti i ispraviti rezultat – vrijeme ("&amp;IF(CT135="","nije upisano",CT135)&amp;") i classifier ("&amp;CU135&amp;").")&amp;IF(OR(CV135&lt;&gt;"GREŠKA",CX135&lt;&gt;5),"
","")&amp;IF(CX135&lt;&gt;5,"",AK135&amp;" "&amp;AL135&amp;" – Molim u provjeriti je li natjecatelj zaista diskvalificiran. Ako je koje je obrazloženje, ako nije molim u OEventu ispraviti rezultat")</f>
        <v xml:space="preserve">
</v>
      </c>
      <c r="DA135" s="223">
        <f t="shared" si="118"/>
        <v>6</v>
      </c>
      <c r="DB135" s="47" t="s">
        <v>0</v>
      </c>
      <c r="DC135" s="47"/>
      <c r="DD135" s="47"/>
      <c r="DE135" s="47"/>
      <c r="DF135" s="47" t="s">
        <v>0</v>
      </c>
      <c r="DG135" s="53" t="str">
        <f>IF(BD135="","",IF(DI135="O",1,""))</f>
        <v/>
      </c>
      <c r="DH135" t="s">
        <v>0</v>
      </c>
      <c r="DI135" s="128" t="str">
        <f>IF(Q135="","",LEFT(INDEX(regKategorija_oznaka,MATCH(S135,regKategorija_id,0)),1))</f>
        <v>M</v>
      </c>
      <c r="DJ135" t="s">
        <v>0</v>
      </c>
      <c r="DK135" s="52" t="str">
        <f>IF(BD135="","",IF(M135&lt;&gt;"CRO","","INSERT INTO osoba (id,reg_broj,oib,spol_id,dat_rodjenja) VALUES ("&amp;BD135&amp;",(SELECT max(os.reg_broj)+1 FROM osoba AS os),Null,'"&amp;DI135&amp;"',Null); INSERT INTO osoba_log (id,reg_broj,oib,spol_id,dat_rodjenja,dnevnik_id) SELECT id,reg_broj,oib,spol_id,dat_rodjenja,"&amp;data_dnevnik_id&amp;" FROM osoba WHERE id = "&amp;BD135&amp;";"))</f>
        <v/>
      </c>
      <c r="DL135" s="66" t="str">
        <f>IF(BD135="","","INSERT INTO imeprezime (id,osoba_id,rbr,ime,prezime,klub_id,identitet_id,sintaksa_id,info,aktivno,dnevnik_id) VALUES ("&amp;BD135&amp;","&amp;IF(DK135="","Null",BD135)&amp;",1,'"&amp;IF(AV135&lt;&gt;"",AV135,AK135)&amp;"','"&amp;IF(AW135&lt;&gt;"",AW135,AL135)&amp;"',(SELECT id FROM klub WHERE naziv = '"&amp;CR135&amp;"'),Null,1,'',1,"&amp;data_dnevnik_id&amp;");")</f>
        <v/>
      </c>
      <c r="DM135" t="s">
        <v>0</v>
      </c>
      <c r="DN135" s="19" t="str">
        <f t="shared" si="126"/>
        <v/>
      </c>
      <c r="DO135" s="47" t="s">
        <v>0</v>
      </c>
      <c r="DP135" s="19" t="str">
        <f>IF(BA135="","","INSERT INTO imeprezime_alias(id,alias,imeprezime_id) VALUES ("&amp;BB135&amp;",'"&amp;BA135&amp;"',"&amp;IF(BC135="NEMA",BD135,BC135)&amp;");")</f>
        <v/>
      </c>
      <c r="DQ135" s="47" t="s">
        <v>0</v>
      </c>
      <c r="DR135" s="52" t="str">
        <f>IF(AL135="","",DU135 &amp; IF(Q135="",""," – " &amp; Q135))</f>
        <v>Bojan – Vukelić – OK Maksimir – M45</v>
      </c>
      <c r="DS135" s="53">
        <f t="shared" si="88"/>
        <v>391</v>
      </c>
      <c r="DT135" s="47" t="s">
        <v>0</v>
      </c>
      <c r="DU135" s="52" t="str">
        <f>IF(AL135="","",DX135 &amp; IF(CR135="",""," – " &amp; CR135))</f>
        <v>Bojan – Vukelić – OK Maksimir</v>
      </c>
      <c r="DV135" s="53">
        <f t="shared" si="89"/>
        <v>391</v>
      </c>
      <c r="DW135" s="47" t="s">
        <v>0</v>
      </c>
      <c r="DX135" s="52" t="str">
        <f>IF(BG135="","",BF135&amp;" – "&amp;BG135)</f>
        <v>Bojan – Vukelić</v>
      </c>
      <c r="DY135" s="53">
        <f t="shared" si="90"/>
        <v>391</v>
      </c>
      <c r="DZ135" s="47" t="s">
        <v>0</v>
      </c>
      <c r="EA135" s="58">
        <f t="shared" si="119"/>
        <v>391</v>
      </c>
      <c r="EB135" s="53" cm="1">
        <f t="array" ref="EB135">IF(EA135&lt;&gt;"",INDEX(regNatjecatelj_id,EA135,0),IF(BD135&lt;&gt;"",BD135,""))</f>
        <v>1313</v>
      </c>
      <c r="EC135" s="47" t="s">
        <v>0</v>
      </c>
      <c r="ED135" s="58" t="str">
        <f>IF(AL135="","",IF(BD135&lt;&gt;"","novo",IF(AN135="","imepre","imepre(ali)")))</f>
        <v>imepre</v>
      </c>
      <c r="EE135" s="73" t="str">
        <f>IF(AL135="","",IF(BL135="",IF(IFERROR(INDEX(regNatjecatelj_klub,MATCH(EB135,regNatjecatelj_id,0)),"NEMA")="","klu",""),IF(OR(AND(BN135&lt;&gt;"",BN135&lt;&gt;"NEMA"),CD135&lt;&gt;""),"klu(ali)",IF(AND(BP135&lt;&gt;"",BP135&lt;&gt;BO135),"(raz-klu)","klu"))))</f>
        <v>klu</v>
      </c>
      <c r="EF135" s="73" t="str">
        <f>IF(AL135="","","kat"&amp;IF(AND(W135&lt;&gt;Q135,Q135&lt;&gt;"Open"),"(ali)",""))</f>
        <v>kat</v>
      </c>
      <c r="EG135" s="73" t="str">
        <f t="shared" si="91"/>
        <v/>
      </c>
      <c r="EH135" s="66" t="str">
        <f>IF(AL135="","",ED135&amp;IF(ED135="novo","","-"&amp;EE135&amp;"-"&amp;EF135)&amp;IF(EG135="","","-"&amp;EG135))</f>
        <v>imepre-klu-kat</v>
      </c>
      <c r="EI135" s="47" t="s">
        <v>0</v>
      </c>
      <c r="EJ135" s="58">
        <f>IF(AL135="","",MAX(EJ$12:EJ134)+1)</f>
        <v>302</v>
      </c>
      <c r="EK135" s="73">
        <f>IF(AO135="","",X135)</f>
        <v>30</v>
      </c>
      <c r="EL135" s="73">
        <f t="shared" si="120"/>
        <v>1313</v>
      </c>
      <c r="EM135" s="73">
        <f t="shared" si="92"/>
        <v>3256</v>
      </c>
      <c r="EN135" s="73">
        <f t="shared" si="93"/>
        <v>1</v>
      </c>
      <c r="EO135" s="73">
        <f t="shared" si="121"/>
        <v>1</v>
      </c>
      <c r="EP135" s="73">
        <f t="shared" si="122"/>
        <v>1</v>
      </c>
      <c r="EQ135" s="73" t="str">
        <f t="shared" si="94"/>
        <v>0</v>
      </c>
      <c r="ER135" s="73" t="str">
        <f>IF(OR(AN135="",AN135="NEMA"),BB135,AN135)</f>
        <v/>
      </c>
      <c r="ES135" s="73" t="str">
        <f>IF(AND(BN135&lt;&gt;"",BN135&lt;&gt;"NEMA"),BN135,IF(CG135&lt;&gt;"",CG135,IF(AND(CL135&lt;&gt;"",CL135&lt;&gt;"NEMA"),CL135,IF(CM135&lt;&gt;"",CM135,""))))</f>
        <v/>
      </c>
      <c r="ET135" s="53" t="str">
        <f>IF(INDEX(natKategorija_alias_Id,MATCH(S135,natKategorija_katRegId,0))="","",INDEX(natKategorija_alias_Id,MATCH(S135,natKategorija_katRegId,0)))</f>
        <v/>
      </c>
      <c r="EU135" s="47" t="s">
        <v>0</v>
      </c>
      <c r="EV135" s="19" t="str">
        <f t="shared" si="123"/>
        <v>INSERT INTO rezultat(id,stazakategorija_id,imeprezime_id,vrijeme_sec,status_id,registracija,uparivanje_id,originalstatus_id,imeprezimealias_id,klubalias_id,kategorijaalias_id) VALUES (302,30,1313,3256,1,1,1,0,Null,Null,Null);</v>
      </c>
      <c r="EW135" s="47" t="s">
        <v>0</v>
      </c>
      <c r="EX135" s="19" t="str">
        <f t="shared" si="124"/>
        <v>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35" s="47" t="s">
        <v>0</v>
      </c>
      <c r="EZ135" s="180" t="str">
        <f>AG135&amp;IF(CP135="","","
")&amp;CP135&amp;IF(CI135="","","
")&amp;CI135&amp;IF(DN135="","","
")&amp;DN135&amp;IF(DP135="","","
")&amp;DP135&amp;IF(EV135="","","
")&amp;EV135&amp;IF(EX135="","","
")&amp;EX135</f>
        <v xml:space="preserve">
INSERT INTO rezultat(id,stazakategorija_id,imeprezime_id,vrijeme_sec,status_id,registracija,uparivanje_id,originalstatus_id,imeprezimealias_id,klubalias_id,kategorijaalias_id) VALUES (302,30,1313,3256,1,1,1,0,Null,Null,Null);
UPDATE
	registar
SET
	potvrda = 1
WHERE
	imeprezime_id=1313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35" s="47" t="s">
        <v>0</v>
      </c>
    </row>
    <row r="136" spans="1:157" x14ac:dyDescent="0.25">
      <c r="A136" t="s">
        <v>0</v>
      </c>
      <c r="B136" s="52" t="str">
        <f>IF(csv!F126="","",csv!T126)</f>
        <v>M45</v>
      </c>
      <c r="C136" s="31" t="s">
        <v>0</v>
      </c>
      <c r="D136" s="31" t="str">
        <f>IF(csv!F126="","",csv!F126)</f>
        <v>Marijan</v>
      </c>
      <c r="E136" s="31" t="str">
        <f>IF(csv!E126="","",csv!E126)</f>
        <v>Bogović</v>
      </c>
      <c r="F136" s="31" t="s">
        <v>0</v>
      </c>
      <c r="G136" s="73" t="str">
        <f>IF(csv!M126="","",csv!M126)</f>
        <v>54:33</v>
      </c>
      <c r="H136" s="73" t="str">
        <f>IF(csv!N126="","",csv!N126)</f>
        <v>0</v>
      </c>
      <c r="I136" s="31" t="s">
        <v>0</v>
      </c>
      <c r="J136" s="31" t="str">
        <f>IF(csv!P126="","",csv!P126)</f>
        <v>OK Jelen</v>
      </c>
      <c r="K136" s="31" t="str">
        <f>IF(csv!Q126="","",csv!Q126)</f>
        <v>OK Jelen</v>
      </c>
      <c r="L136" s="31" t="s">
        <v>0</v>
      </c>
      <c r="M136" s="66" t="str">
        <f>IF(csv!R126="","",csv!R126)</f>
        <v>CRO</v>
      </c>
      <c r="N136" s="47" t="s">
        <v>0</v>
      </c>
      <c r="O136" s="243" t="str">
        <f t="shared" si="95"/>
        <v>ok</v>
      </c>
      <c r="P136" s="47"/>
      <c r="Q136" s="52" t="str">
        <f t="shared" si="96"/>
        <v>M45</v>
      </c>
      <c r="R136" s="73">
        <f>IF(Q136="","",IF(COUNTIF(Q$12:Q135,Q136)=0,R135+1,R135))</f>
        <v>8</v>
      </c>
      <c r="S136" s="73">
        <f t="shared" si="97"/>
        <v>106</v>
      </c>
      <c r="T136" s="73">
        <f t="shared" si="72"/>
        <v>17</v>
      </c>
      <c r="U136" s="66" t="str">
        <f t="shared" si="73"/>
        <v>M45</v>
      </c>
      <c r="V136" s="47" t="s">
        <v>0</v>
      </c>
      <c r="W136" s="222" t="str">
        <f t="shared" si="74"/>
        <v>M45</v>
      </c>
      <c r="X136" s="223">
        <f t="shared" si="75"/>
        <v>30</v>
      </c>
      <c r="Y136" s="47" t="s">
        <v>0</v>
      </c>
      <c r="Z136" s="52" t="str">
        <f t="shared" si="98"/>
        <v>CRO</v>
      </c>
      <c r="AA136" s="73">
        <f t="shared" si="76"/>
        <v>1</v>
      </c>
      <c r="AB136" s="31" t="str">
        <f t="shared" si="99"/>
        <v/>
      </c>
      <c r="AC136" s="66" t="str">
        <f>IF(AB136="","",MAX(AC$12:AC135)+1)</f>
        <v/>
      </c>
      <c r="AD136" s="47" t="s">
        <v>0</v>
      </c>
      <c r="AE136" s="125"/>
      <c r="AF136" s="47" t="s">
        <v>0</v>
      </c>
      <c r="AG136" s="19" t="str">
        <f t="shared" si="100"/>
        <v/>
      </c>
      <c r="AH136" s="47" t="s">
        <v>0</v>
      </c>
      <c r="AI136" s="143" t="str">
        <f t="shared" si="101"/>
        <v>CRO</v>
      </c>
      <c r="AJ136" s="47"/>
      <c r="AK136" s="52" t="str">
        <f t="shared" si="102"/>
        <v>Marijan</v>
      </c>
      <c r="AL136" s="31" t="str">
        <f t="shared" si="103"/>
        <v>Bogović</v>
      </c>
      <c r="AM136" s="73">
        <f t="shared" si="104"/>
        <v>1559</v>
      </c>
      <c r="AN136" s="73" t="str">
        <f t="shared" si="105"/>
        <v/>
      </c>
      <c r="AO136" s="31" t="str">
        <f t="shared" si="77"/>
        <v>Marijan</v>
      </c>
      <c r="AP136" s="66" t="str">
        <f t="shared" si="78"/>
        <v>Bogović</v>
      </c>
      <c r="AQ136" s="47" t="s">
        <v>0</v>
      </c>
      <c r="AR136" s="82" t="str">
        <f t="shared" si="106"/>
        <v/>
      </c>
      <c r="AS136" s="47" t="s">
        <v>0</v>
      </c>
      <c r="AT136" s="19" t="str">
        <f t="shared" si="107"/>
        <v/>
      </c>
      <c r="AU136" s="47" t="s">
        <v>0</v>
      </c>
      <c r="AV136" s="103"/>
      <c r="AW136" s="105"/>
      <c r="AX136" s="47" t="s">
        <v>0</v>
      </c>
      <c r="AY136" s="256" t="str">
        <f t="shared" si="125"/>
        <v/>
      </c>
      <c r="AZ136" s="47" t="s">
        <v>0</v>
      </c>
      <c r="BA136" s="52" t="str">
        <f t="shared" si="79"/>
        <v/>
      </c>
      <c r="BB136" s="73" t="str">
        <f>IF(AV136&amp;AW136="","",MAX(BB$12:BB135)+1)</f>
        <v/>
      </c>
      <c r="BC136" s="268" t="str">
        <f t="shared" si="80"/>
        <v/>
      </c>
      <c r="BD136" s="53" t="str">
        <f>IF(AND(AM136="NEMA",AN136="NEMA",OR(AV136&amp;AW136="",BC136="NEMA")),MAX(BD$12:BD135)+1,"")</f>
        <v/>
      </c>
      <c r="BE136" s="47" t="s">
        <v>0</v>
      </c>
      <c r="BF136" s="52" t="str">
        <f t="shared" si="81"/>
        <v>Marijan</v>
      </c>
      <c r="BG136" s="31" t="str">
        <f t="shared" si="82"/>
        <v>Bogović</v>
      </c>
      <c r="BH136" s="73" t="str">
        <f t="shared" si="108"/>
        <v/>
      </c>
      <c r="BI136" s="53">
        <f t="shared" si="109"/>
        <v>1559</v>
      </c>
      <c r="BJ136" s="47" t="s">
        <v>0</v>
      </c>
      <c r="BK136" s="52" t="str">
        <f t="shared" si="83"/>
        <v>OK Jelen</v>
      </c>
      <c r="BL136" s="31" t="str">
        <f t="shared" si="84"/>
        <v>OK Jelen</v>
      </c>
      <c r="BM136" s="73">
        <f t="shared" si="85"/>
        <v>4</v>
      </c>
      <c r="BN136" s="73" t="str">
        <f t="shared" si="86"/>
        <v/>
      </c>
      <c r="BO136" s="31" t="str" cm="1">
        <f t="array" ref="BO136">IF(BN136="",""&amp;BL136,IF(BN136="NEMA",BL136,INDEX(regKlub_naziv,MATCH(INDEX(regKlub_alias_klubId,BN136),regKlub_id,0))))</f>
        <v>OK Jelen</v>
      </c>
      <c r="BP136" s="31" t="str" cm="1">
        <f t="array" ref="BP136">IFERROR(""&amp;INDEX(regNatjecatelj_klub,DY136),"")</f>
        <v>OK Jelen</v>
      </c>
      <c r="BQ136" s="88" t="str">
        <f t="shared" si="110"/>
        <v/>
      </c>
      <c r="BR136" s="66" t="str">
        <f t="shared" si="111"/>
        <v>OK Jelen</v>
      </c>
      <c r="BS136" s="47" t="s">
        <v>0</v>
      </c>
      <c r="BT136" s="82" t="str">
        <f>IF(BN136&lt;&gt;"NEMA","",IF(IFERROR(MATCH(BL136,BL$12:BL135,0),0)&lt;&gt;0,"",BL136))</f>
        <v/>
      </c>
      <c r="BU136" s="47" t="s">
        <v>0</v>
      </c>
      <c r="BV136" s="125"/>
      <c r="BW136" s="47" t="s">
        <v>0</v>
      </c>
      <c r="BX136" s="58" t="str">
        <f t="shared" si="112"/>
        <v/>
      </c>
      <c r="BY136" s="31" t="str">
        <f t="shared" si="113"/>
        <v/>
      </c>
      <c r="BZ136" s="31" t="str">
        <f>IF(BY136="","",MAX(BZ$12:BZ135)+1)</f>
        <v/>
      </c>
      <c r="CA136" s="31" t="str">
        <f>IF(BY136="","",IF(AA136="","",IF(AA136="NEMA",AC136,AA136)))</f>
        <v/>
      </c>
      <c r="CB136" s="31" t="str">
        <f t="shared" si="114"/>
        <v/>
      </c>
      <c r="CC136" s="31" t="str">
        <f>IF(BV136="","",MAX(CC$12:CC135)+1)</f>
        <v/>
      </c>
      <c r="CD136" s="31" t="str">
        <f t="shared" si="115"/>
        <v/>
      </c>
      <c r="CE136" s="66" t="str">
        <f t="shared" si="116"/>
        <v/>
      </c>
      <c r="CF136" s="47" t="s">
        <v>0</v>
      </c>
      <c r="CG136" s="73" t="str">
        <f>IF(BN136="","",IF(BN136&lt;&gt;"NEMA","",IFERROR(INDEX(nat_klubAliasId,MATCH(BL136,nat_noviKluboviAliasi,0)),"")))</f>
        <v/>
      </c>
      <c r="CH136" s="47"/>
      <c r="CI136" s="19" t="str">
        <f t="shared" si="117"/>
        <v/>
      </c>
      <c r="CJ136" s="47" t="s">
        <v>0</v>
      </c>
      <c r="CK136" s="52" t="str">
        <f>IF(X136&lt;&gt;"NEMA","",IF(IFERROR(MATCH(W136,W$12:W135,0),0)&lt;&gt;0,"",W136))</f>
        <v/>
      </c>
      <c r="CL136" s="73" t="str">
        <f>IF(CK136="","",IFERROR(INDEX(regKlub_alias_id,MATCH(CK136,regKlub_alias_alias,0)),"NEMA"))</f>
        <v/>
      </c>
      <c r="CM136" s="31" t="str">
        <f>IF(OR(CL136="",CL136&lt;&gt;"NEMA"),"",MAX(CM$12:CM135)+1)</f>
        <v/>
      </c>
      <c r="CN136" s="66" t="str">
        <f>IF(OR(CL136="",CL136&lt;&gt;"NEMA"),"",INDEX(regKlub_id,MATCH(CK136,regKlub_naziv,0)))</f>
        <v/>
      </c>
      <c r="CO136" s="47" t="s">
        <v>0</v>
      </c>
      <c r="CP136" s="19" t="str">
        <f>IF(OR(CL136="",CL136&lt;&gt;"NEMA"),"","INSERT INTO klub_alias(id,alias,klub_id) VALUES ("&amp;CM136&amp;",'"&amp;CK136&amp;"',"&amp;CN136&amp;");")</f>
        <v/>
      </c>
      <c r="CQ136" s="47" t="s">
        <v>0</v>
      </c>
      <c r="CR136" s="143" t="str">
        <f>IF(BR136="","",IF(BV136="",IF(IFERROR(MATCH(BR136,nat_noviKluboviAliasi,0),0)&gt;0,INDEX(nat_kluboviAliasi,MATCH(BR136,nat_noviKluboviAliasi,0)),BR136),BV136))</f>
        <v>OK Jelen</v>
      </c>
      <c r="CS136" s="47" t="s">
        <v>0</v>
      </c>
      <c r="CT136" s="58" t="str">
        <f>IF(G136="","",G136)</f>
        <v>54:33</v>
      </c>
      <c r="CU136" s="73" t="str">
        <f>IF(H136="","",H136)</f>
        <v>0</v>
      </c>
      <c r="CV136" s="229" t="str">
        <f>IF(CT136="",IF(OR(AL136="",CU136&lt;&gt;"0"),"","GREŠKA"),IF(AND(65535&gt;=VALUE(LEFT(CT136,SEARCH(":",CT136)-1))*60+VALUE(RIGHT(CT136,2)),OR(CU136="0",CU136="1",CU136="2",CU136="3",CU136="4")),"","GREŠKA"))</f>
        <v/>
      </c>
      <c r="CW136" s="230">
        <f t="shared" si="127"/>
        <v>3273</v>
      </c>
      <c r="CX136" s="163">
        <f t="shared" si="87"/>
        <v>1</v>
      </c>
      <c r="CY136" s="47" t="s">
        <v>0</v>
      </c>
      <c r="CZ136" s="222" t="str">
        <f>IF(CV136&lt;&gt;"GREŠKA","",AK136&amp;" "&amp;AL136&amp;" – Molim u OEventu provjeriti i ispraviti rezultat – vrijeme ("&amp;IF(CT136="","nije upisano",CT136)&amp;") i classifier ("&amp;CU136&amp;").")&amp;IF(OR(CV136&lt;&gt;"GREŠKA",CX136&lt;&gt;5),"
","")&amp;IF(CX136&lt;&gt;5,"",AK136&amp;" "&amp;AL136&amp;" – Molim u provjeriti je li natjecatelj zaista diskvalificiran. Ako je koje je obrazloženje, ako nije molim u OEventu ispraviti rezultat")</f>
        <v xml:space="preserve">
</v>
      </c>
      <c r="DA136" s="223">
        <f t="shared" si="118"/>
        <v>6</v>
      </c>
      <c r="DB136" s="47" t="s">
        <v>0</v>
      </c>
      <c r="DC136" s="47"/>
      <c r="DD136" s="47"/>
      <c r="DE136" s="47"/>
      <c r="DF136" s="47" t="s">
        <v>0</v>
      </c>
      <c r="DG136" s="53" t="str">
        <f>IF(BD136="","",IF(DI136="O",1,""))</f>
        <v/>
      </c>
      <c r="DH136" t="s">
        <v>0</v>
      </c>
      <c r="DI136" s="128" t="str">
        <f>IF(Q136="","",LEFT(INDEX(regKategorija_oznaka,MATCH(S136,regKategorija_id,0)),1))</f>
        <v>M</v>
      </c>
      <c r="DJ136" t="s">
        <v>0</v>
      </c>
      <c r="DK136" s="52" t="str">
        <f>IF(BD136="","",IF(M136&lt;&gt;"CRO","","INSERT INTO osoba (id,reg_broj,oib,spol_id,dat_rodjenja) VALUES ("&amp;BD136&amp;",(SELECT max(os.reg_broj)+1 FROM osoba AS os),Null,'"&amp;DI136&amp;"',Null); INSERT INTO osoba_log (id,reg_broj,oib,spol_id,dat_rodjenja,dnevnik_id) SELECT id,reg_broj,oib,spol_id,dat_rodjenja,"&amp;data_dnevnik_id&amp;" FROM osoba WHERE id = "&amp;BD136&amp;";"))</f>
        <v/>
      </c>
      <c r="DL136" s="66" t="str">
        <f>IF(BD136="","","INSERT INTO imeprezime (id,osoba_id,rbr,ime,prezime,klub_id,identitet_id,sintaksa_id,info,aktivno,dnevnik_id) VALUES ("&amp;BD136&amp;","&amp;IF(DK136="","Null",BD136)&amp;",1,'"&amp;IF(AV136&lt;&gt;"",AV136,AK136)&amp;"','"&amp;IF(AW136&lt;&gt;"",AW136,AL136)&amp;"',(SELECT id FROM klub WHERE naziv = '"&amp;CR136&amp;"'),Null,1,'',1,"&amp;data_dnevnik_id&amp;");")</f>
        <v/>
      </c>
      <c r="DM136" t="s">
        <v>0</v>
      </c>
      <c r="DN136" s="19" t="str">
        <f t="shared" si="126"/>
        <v/>
      </c>
      <c r="DO136" s="47" t="s">
        <v>0</v>
      </c>
      <c r="DP136" s="19" t="str">
        <f>IF(BA136="","","INSERT INTO imeprezime_alias(id,alias,imeprezime_id) VALUES ("&amp;BB136&amp;",'"&amp;BA136&amp;"',"&amp;IF(BC136="NEMA",BD136,BC136)&amp;");")</f>
        <v/>
      </c>
      <c r="DQ136" s="47" t="s">
        <v>0</v>
      </c>
      <c r="DR136" s="52" t="str">
        <f>IF(AL136="","",DU136 &amp; IF(Q136="",""," – " &amp; Q136))</f>
        <v>Marijan – Bogović – OK Jelen – M45</v>
      </c>
      <c r="DS136" s="53">
        <f t="shared" si="88"/>
        <v>153</v>
      </c>
      <c r="DT136" s="47" t="s">
        <v>0</v>
      </c>
      <c r="DU136" s="52" t="str">
        <f>IF(AL136="","",DX136 &amp; IF(CR136="",""," – " &amp; CR136))</f>
        <v>Marijan – Bogović – OK Jelen</v>
      </c>
      <c r="DV136" s="53">
        <f t="shared" si="89"/>
        <v>153</v>
      </c>
      <c r="DW136" s="47" t="s">
        <v>0</v>
      </c>
      <c r="DX136" s="52" t="str">
        <f>IF(BG136="","",BF136&amp;" – "&amp;BG136)</f>
        <v>Marijan – Bogović</v>
      </c>
      <c r="DY136" s="53">
        <f t="shared" si="90"/>
        <v>153</v>
      </c>
      <c r="DZ136" s="47" t="s">
        <v>0</v>
      </c>
      <c r="EA136" s="58">
        <f t="shared" si="119"/>
        <v>153</v>
      </c>
      <c r="EB136" s="53" cm="1">
        <f t="array" ref="EB136">IF(EA136&lt;&gt;"",INDEX(regNatjecatelj_id,EA136,0),IF(BD136&lt;&gt;"",BD136,""))</f>
        <v>1559</v>
      </c>
      <c r="EC136" s="47" t="s">
        <v>0</v>
      </c>
      <c r="ED136" s="58" t="str">
        <f>IF(AL136="","",IF(BD136&lt;&gt;"","novo",IF(AN136="","imepre","imepre(ali)")))</f>
        <v>imepre</v>
      </c>
      <c r="EE136" s="73" t="str">
        <f>IF(AL136="","",IF(BL136="",IF(IFERROR(INDEX(regNatjecatelj_klub,MATCH(EB136,regNatjecatelj_id,0)),"NEMA")="","klu",""),IF(OR(AND(BN136&lt;&gt;"",BN136&lt;&gt;"NEMA"),CD136&lt;&gt;""),"klu(ali)",IF(AND(BP136&lt;&gt;"",BP136&lt;&gt;BO136),"(raz-klu)","klu"))))</f>
        <v>klu</v>
      </c>
      <c r="EF136" s="73" t="str">
        <f>IF(AL136="","","kat"&amp;IF(AND(W136&lt;&gt;Q136,Q136&lt;&gt;"Open"),"(ali)",""))</f>
        <v>kat</v>
      </c>
      <c r="EG136" s="73" t="str">
        <f t="shared" si="91"/>
        <v/>
      </c>
      <c r="EH136" s="66" t="str">
        <f>IF(AL136="","",ED136&amp;IF(ED136="novo","","-"&amp;EE136&amp;"-"&amp;EF136)&amp;IF(EG136="","","-"&amp;EG136))</f>
        <v>imepre-klu-kat</v>
      </c>
      <c r="EI136" s="47" t="s">
        <v>0</v>
      </c>
      <c r="EJ136" s="58">
        <f>IF(AL136="","",MAX(EJ$12:EJ135)+1)</f>
        <v>303</v>
      </c>
      <c r="EK136" s="73">
        <f>IF(AO136="","",X136)</f>
        <v>30</v>
      </c>
      <c r="EL136" s="73">
        <f t="shared" si="120"/>
        <v>1559</v>
      </c>
      <c r="EM136" s="73">
        <f t="shared" si="92"/>
        <v>3273</v>
      </c>
      <c r="EN136" s="73">
        <f t="shared" si="93"/>
        <v>1</v>
      </c>
      <c r="EO136" s="73">
        <f t="shared" si="121"/>
        <v>1</v>
      </c>
      <c r="EP136" s="73">
        <f t="shared" si="122"/>
        <v>1</v>
      </c>
      <c r="EQ136" s="73" t="str">
        <f t="shared" si="94"/>
        <v>0</v>
      </c>
      <c r="ER136" s="73" t="str">
        <f>IF(OR(AN136="",AN136="NEMA"),BB136,AN136)</f>
        <v/>
      </c>
      <c r="ES136" s="73" t="str">
        <f>IF(AND(BN136&lt;&gt;"",BN136&lt;&gt;"NEMA"),BN136,IF(CG136&lt;&gt;"",CG136,IF(AND(CL136&lt;&gt;"",CL136&lt;&gt;"NEMA"),CL136,IF(CM136&lt;&gt;"",CM136,""))))</f>
        <v/>
      </c>
      <c r="ET136" s="53" t="str">
        <f>IF(INDEX(natKategorija_alias_Id,MATCH(S136,natKategorija_katRegId,0))="","",INDEX(natKategorija_alias_Id,MATCH(S136,natKategorija_katRegId,0)))</f>
        <v/>
      </c>
      <c r="EU136" s="47" t="s">
        <v>0</v>
      </c>
      <c r="EV136" s="19" t="str">
        <f t="shared" si="123"/>
        <v>INSERT INTO rezultat(id,stazakategorija_id,imeprezime_id,vrijeme_sec,status_id,registracija,uparivanje_id,originalstatus_id,imeprezimealias_id,klubalias_id,kategorijaalias_id) VALUES (303,30,1559,3273,1,1,1,0,Null,Null,Null);</v>
      </c>
      <c r="EW136" s="47" t="s">
        <v>0</v>
      </c>
      <c r="EX136" s="19" t="str">
        <f t="shared" si="124"/>
        <v>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36" s="47" t="s">
        <v>0</v>
      </c>
      <c r="EZ136" s="180" t="str">
        <f>AG136&amp;IF(CP136="","","
")&amp;CP136&amp;IF(CI136="","","
")&amp;CI136&amp;IF(DN136="","","
")&amp;DN136&amp;IF(DP136="","","
")&amp;DP136&amp;IF(EV136="","","
")&amp;EV136&amp;IF(EX136="","","
")&amp;EX136</f>
        <v xml:space="preserve">
INSERT INTO rezultat(id,stazakategorija_id,imeprezime_id,vrijeme_sec,status_id,registracija,uparivanje_id,originalstatus_id,imeprezimealias_id,klubalias_id,kategorijaalias_id) VALUES (303,30,1559,3273,1,1,1,0,Null,Null,Null);
UPDATE
	registar
SET
	potvrda = 1
WHERE
	imeprezime_id=1559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36" s="47" t="s">
        <v>0</v>
      </c>
    </row>
    <row r="137" spans="1:157" x14ac:dyDescent="0.25">
      <c r="A137" t="s">
        <v>0</v>
      </c>
      <c r="B137" s="52" t="str">
        <f>IF(csv!F127="","",csv!T127)</f>
        <v>M45</v>
      </c>
      <c r="C137" s="31" t="s">
        <v>0</v>
      </c>
      <c r="D137" s="31" t="str">
        <f>IF(csv!F127="","",csv!F127)</f>
        <v>Damir</v>
      </c>
      <c r="E137" s="31" t="str">
        <f>IF(csv!E127="","",csv!E127)</f>
        <v>Hercigonja</v>
      </c>
      <c r="F137" s="31" t="s">
        <v>0</v>
      </c>
      <c r="G137" s="73" t="str">
        <f>IF(csv!M127="","",csv!M127)</f>
        <v>56:25</v>
      </c>
      <c r="H137" s="73" t="str">
        <f>IF(csv!N127="","",csv!N127)</f>
        <v>0</v>
      </c>
      <c r="I137" s="31" t="s">
        <v>0</v>
      </c>
      <c r="J137" s="31" t="str">
        <f>IF(csv!P127="","",csv!P127)</f>
        <v>KAP</v>
      </c>
      <c r="K137" s="31" t="str">
        <f>IF(csv!Q127="","",csv!Q127)</f>
        <v>OK Kapela</v>
      </c>
      <c r="L137" s="31" t="s">
        <v>0</v>
      </c>
      <c r="M137" s="66" t="str">
        <f>IF(csv!R127="","",csv!R127)</f>
        <v>CRO</v>
      </c>
      <c r="N137" s="47" t="s">
        <v>0</v>
      </c>
      <c r="O137" s="243" t="str">
        <f t="shared" si="95"/>
        <v>ok</v>
      </c>
      <c r="P137" s="47"/>
      <c r="Q137" s="52" t="str">
        <f t="shared" si="96"/>
        <v>M45</v>
      </c>
      <c r="R137" s="73">
        <f>IF(Q137="","",IF(COUNTIF(Q$12:Q136,Q137)=0,R136+1,R136))</f>
        <v>8</v>
      </c>
      <c r="S137" s="73">
        <f t="shared" si="97"/>
        <v>106</v>
      </c>
      <c r="T137" s="73">
        <f t="shared" si="72"/>
        <v>17</v>
      </c>
      <c r="U137" s="66" t="str">
        <f t="shared" si="73"/>
        <v>M45</v>
      </c>
      <c r="V137" s="47" t="s">
        <v>0</v>
      </c>
      <c r="W137" s="222" t="str">
        <f t="shared" si="74"/>
        <v>M45</v>
      </c>
      <c r="X137" s="223">
        <f t="shared" si="75"/>
        <v>30</v>
      </c>
      <c r="Y137" s="47" t="s">
        <v>0</v>
      </c>
      <c r="Z137" s="52" t="str">
        <f t="shared" si="98"/>
        <v>CRO</v>
      </c>
      <c r="AA137" s="73">
        <f t="shared" si="76"/>
        <v>1</v>
      </c>
      <c r="AB137" s="31" t="str">
        <f t="shared" si="99"/>
        <v/>
      </c>
      <c r="AC137" s="66" t="str">
        <f>IF(AB137="","",MAX(AC$12:AC136)+1)</f>
        <v/>
      </c>
      <c r="AD137" s="47" t="s">
        <v>0</v>
      </c>
      <c r="AE137" s="125"/>
      <c r="AF137" s="47" t="s">
        <v>0</v>
      </c>
      <c r="AG137" s="19" t="str">
        <f t="shared" si="100"/>
        <v/>
      </c>
      <c r="AH137" s="47" t="s">
        <v>0</v>
      </c>
      <c r="AI137" s="143" t="str">
        <f t="shared" si="101"/>
        <v>CRO</v>
      </c>
      <c r="AJ137" s="47"/>
      <c r="AK137" s="52" t="str">
        <f t="shared" si="102"/>
        <v>Damir</v>
      </c>
      <c r="AL137" s="31" t="str">
        <f t="shared" si="103"/>
        <v>Hercigonja</v>
      </c>
      <c r="AM137" s="73">
        <f t="shared" si="104"/>
        <v>1554</v>
      </c>
      <c r="AN137" s="73" t="str">
        <f t="shared" si="105"/>
        <v/>
      </c>
      <c r="AO137" s="31" t="str">
        <f t="shared" si="77"/>
        <v>Damir</v>
      </c>
      <c r="AP137" s="66" t="str">
        <f t="shared" si="78"/>
        <v>Hercigonja</v>
      </c>
      <c r="AQ137" s="47" t="s">
        <v>0</v>
      </c>
      <c r="AR137" s="82" t="str">
        <f t="shared" si="106"/>
        <v/>
      </c>
      <c r="AS137" s="47" t="s">
        <v>0</v>
      </c>
      <c r="AT137" s="19" t="str">
        <f t="shared" si="107"/>
        <v/>
      </c>
      <c r="AU137" s="47" t="s">
        <v>0</v>
      </c>
      <c r="AV137" s="103"/>
      <c r="AW137" s="105"/>
      <c r="AX137" s="47" t="s">
        <v>0</v>
      </c>
      <c r="AY137" s="256" t="str">
        <f t="shared" si="125"/>
        <v/>
      </c>
      <c r="AZ137" s="47" t="s">
        <v>0</v>
      </c>
      <c r="BA137" s="52" t="str">
        <f t="shared" si="79"/>
        <v/>
      </c>
      <c r="BB137" s="73" t="str">
        <f>IF(AV137&amp;AW137="","",MAX(BB$12:BB136)+1)</f>
        <v/>
      </c>
      <c r="BC137" s="268" t="str">
        <f t="shared" si="80"/>
        <v/>
      </c>
      <c r="BD137" s="53" t="str">
        <f>IF(AND(AM137="NEMA",AN137="NEMA",OR(AV137&amp;AW137="",BC137="NEMA")),MAX(BD$12:BD136)+1,"")</f>
        <v/>
      </c>
      <c r="BE137" s="47" t="s">
        <v>0</v>
      </c>
      <c r="BF137" s="52" t="str">
        <f t="shared" si="81"/>
        <v>Damir</v>
      </c>
      <c r="BG137" s="31" t="str">
        <f t="shared" si="82"/>
        <v>Hercigonja</v>
      </c>
      <c r="BH137" s="73" t="str">
        <f t="shared" si="108"/>
        <v/>
      </c>
      <c r="BI137" s="53">
        <f t="shared" si="109"/>
        <v>1554</v>
      </c>
      <c r="BJ137" s="47" t="s">
        <v>0</v>
      </c>
      <c r="BK137" s="52" t="str">
        <f t="shared" si="83"/>
        <v>KAP</v>
      </c>
      <c r="BL137" s="31" t="str">
        <f t="shared" si="84"/>
        <v>OK Kapela</v>
      </c>
      <c r="BM137" s="73">
        <f t="shared" si="85"/>
        <v>5</v>
      </c>
      <c r="BN137" s="73" t="str">
        <f t="shared" si="86"/>
        <v/>
      </c>
      <c r="BO137" s="31" t="str" cm="1">
        <f t="array" ref="BO137">IF(BN137="",""&amp;BL137,IF(BN137="NEMA",BL137,INDEX(regKlub_naziv,MATCH(INDEX(regKlub_alias_klubId,BN137),regKlub_id,0))))</f>
        <v>OK Kapela</v>
      </c>
      <c r="BP137" s="31" t="str" cm="1">
        <f t="array" ref="BP137">IFERROR(""&amp;INDEX(regNatjecatelj_klub,DY137),"")</f>
        <v>OK Kapela</v>
      </c>
      <c r="BQ137" s="88" t="str">
        <f t="shared" si="110"/>
        <v/>
      </c>
      <c r="BR137" s="66" t="str">
        <f t="shared" si="111"/>
        <v>OK Kapela</v>
      </c>
      <c r="BS137" s="47" t="s">
        <v>0</v>
      </c>
      <c r="BT137" s="82" t="str">
        <f>IF(BN137&lt;&gt;"NEMA","",IF(IFERROR(MATCH(BL137,BL$12:BL136,0),0)&lt;&gt;0,"",BL137))</f>
        <v/>
      </c>
      <c r="BU137" s="47" t="s">
        <v>0</v>
      </c>
      <c r="BV137" s="125"/>
      <c r="BW137" s="47" t="s">
        <v>0</v>
      </c>
      <c r="BX137" s="58" t="str">
        <f t="shared" si="112"/>
        <v/>
      </c>
      <c r="BY137" s="31" t="str">
        <f t="shared" si="113"/>
        <v/>
      </c>
      <c r="BZ137" s="31" t="str">
        <f>IF(BY137="","",MAX(BZ$12:BZ136)+1)</f>
        <v/>
      </c>
      <c r="CA137" s="31" t="str">
        <f>IF(BY137="","",IF(AA137="","",IF(AA137="NEMA",AC137,AA137)))</f>
        <v/>
      </c>
      <c r="CB137" s="31" t="str">
        <f t="shared" si="114"/>
        <v/>
      </c>
      <c r="CC137" s="31" t="str">
        <f>IF(BV137="","",MAX(CC$12:CC136)+1)</f>
        <v/>
      </c>
      <c r="CD137" s="31" t="str">
        <f t="shared" si="115"/>
        <v/>
      </c>
      <c r="CE137" s="66" t="str">
        <f t="shared" si="116"/>
        <v/>
      </c>
      <c r="CF137" s="47" t="s">
        <v>0</v>
      </c>
      <c r="CG137" s="73" t="str">
        <f>IF(BN137="","",IF(BN137&lt;&gt;"NEMA","",IFERROR(INDEX(nat_klubAliasId,MATCH(BL137,nat_noviKluboviAliasi,0)),"")))</f>
        <v/>
      </c>
      <c r="CH137" s="47"/>
      <c r="CI137" s="19" t="str">
        <f t="shared" si="117"/>
        <v/>
      </c>
      <c r="CJ137" s="47" t="s">
        <v>0</v>
      </c>
      <c r="CK137" s="52" t="str">
        <f>IF(X137&lt;&gt;"NEMA","",IF(IFERROR(MATCH(W137,W$12:W136,0),0)&lt;&gt;0,"",W137))</f>
        <v/>
      </c>
      <c r="CL137" s="73" t="str">
        <f>IF(CK137="","",IFERROR(INDEX(regKlub_alias_id,MATCH(CK137,regKlub_alias_alias,0)),"NEMA"))</f>
        <v/>
      </c>
      <c r="CM137" s="31" t="str">
        <f>IF(OR(CL137="",CL137&lt;&gt;"NEMA"),"",MAX(CM$12:CM136)+1)</f>
        <v/>
      </c>
      <c r="CN137" s="66" t="str">
        <f>IF(OR(CL137="",CL137&lt;&gt;"NEMA"),"",INDEX(regKlub_id,MATCH(CK137,regKlub_naziv,0)))</f>
        <v/>
      </c>
      <c r="CO137" s="47" t="s">
        <v>0</v>
      </c>
      <c r="CP137" s="19" t="str">
        <f>IF(OR(CL137="",CL137&lt;&gt;"NEMA"),"","INSERT INTO klub_alias(id,alias,klub_id) VALUES ("&amp;CM137&amp;",'"&amp;CK137&amp;"',"&amp;CN137&amp;");")</f>
        <v/>
      </c>
      <c r="CQ137" s="47" t="s">
        <v>0</v>
      </c>
      <c r="CR137" s="143" t="str">
        <f>IF(BR137="","",IF(BV137="",IF(IFERROR(MATCH(BR137,nat_noviKluboviAliasi,0),0)&gt;0,INDEX(nat_kluboviAliasi,MATCH(BR137,nat_noviKluboviAliasi,0)),BR137),BV137))</f>
        <v>OK Kapela</v>
      </c>
      <c r="CS137" s="47" t="s">
        <v>0</v>
      </c>
      <c r="CT137" s="58" t="str">
        <f>IF(G137="","",G137)</f>
        <v>56:25</v>
      </c>
      <c r="CU137" s="73" t="str">
        <f>IF(H137="","",H137)</f>
        <v>0</v>
      </c>
      <c r="CV137" s="229" t="str">
        <f>IF(CT137="",IF(OR(AL137="",CU137&lt;&gt;"0"),"","GREŠKA"),IF(AND(65535&gt;=VALUE(LEFT(CT137,SEARCH(":",CT137)-1))*60+VALUE(RIGHT(CT137,2)),OR(CU137="0",CU137="1",CU137="2",CU137="3",CU137="4")),"","GREŠKA"))</f>
        <v/>
      </c>
      <c r="CW137" s="230">
        <f t="shared" si="127"/>
        <v>3385</v>
      </c>
      <c r="CX137" s="163">
        <f t="shared" si="87"/>
        <v>1</v>
      </c>
      <c r="CY137" s="47" t="s">
        <v>0</v>
      </c>
      <c r="CZ137" s="222" t="str">
        <f>IF(CV137&lt;&gt;"GREŠKA","",AK137&amp;" "&amp;AL137&amp;" – Molim u OEventu provjeriti i ispraviti rezultat – vrijeme ("&amp;IF(CT137="","nije upisano",CT137)&amp;") i classifier ("&amp;CU137&amp;").")&amp;IF(OR(CV137&lt;&gt;"GREŠKA",CX137&lt;&gt;5),"
","")&amp;IF(CX137&lt;&gt;5,"",AK137&amp;" "&amp;AL137&amp;" – Molim u provjeriti je li natjecatelj zaista diskvalificiran. Ako je koje je obrazloženje, ako nije molim u OEventu ispraviti rezultat")</f>
        <v xml:space="preserve">
</v>
      </c>
      <c r="DA137" s="223">
        <f t="shared" si="118"/>
        <v>6</v>
      </c>
      <c r="DB137" s="47" t="s">
        <v>0</v>
      </c>
      <c r="DC137" s="47"/>
      <c r="DD137" s="47"/>
      <c r="DE137" s="47"/>
      <c r="DF137" s="47" t="s">
        <v>0</v>
      </c>
      <c r="DG137" s="53" t="str">
        <f>IF(BD137="","",IF(DI137="O",1,""))</f>
        <v/>
      </c>
      <c r="DH137" t="s">
        <v>0</v>
      </c>
      <c r="DI137" s="128" t="str">
        <f>IF(Q137="","",LEFT(INDEX(regKategorija_oznaka,MATCH(S137,regKategorija_id,0)),1))</f>
        <v>M</v>
      </c>
      <c r="DJ137" t="s">
        <v>0</v>
      </c>
      <c r="DK137" s="52" t="str">
        <f>IF(BD137="","",IF(M137&lt;&gt;"CRO","","INSERT INTO osoba (id,reg_broj,oib,spol_id,dat_rodjenja) VALUES ("&amp;BD137&amp;",(SELECT max(os.reg_broj)+1 FROM osoba AS os),Null,'"&amp;DI137&amp;"',Null); INSERT INTO osoba_log (id,reg_broj,oib,spol_id,dat_rodjenja,dnevnik_id) SELECT id,reg_broj,oib,spol_id,dat_rodjenja,"&amp;data_dnevnik_id&amp;" FROM osoba WHERE id = "&amp;BD137&amp;";"))</f>
        <v/>
      </c>
      <c r="DL137" s="66" t="str">
        <f>IF(BD137="","","INSERT INTO imeprezime (id,osoba_id,rbr,ime,prezime,klub_id,identitet_id,sintaksa_id,info,aktivno,dnevnik_id) VALUES ("&amp;BD137&amp;","&amp;IF(DK137="","Null",BD137)&amp;",1,'"&amp;IF(AV137&lt;&gt;"",AV137,AK137)&amp;"','"&amp;IF(AW137&lt;&gt;"",AW137,AL137)&amp;"',(SELECT id FROM klub WHERE naziv = '"&amp;CR137&amp;"'),Null,1,'',1,"&amp;data_dnevnik_id&amp;");")</f>
        <v/>
      </c>
      <c r="DM137" t="s">
        <v>0</v>
      </c>
      <c r="DN137" s="19" t="str">
        <f t="shared" si="126"/>
        <v/>
      </c>
      <c r="DO137" s="47" t="s">
        <v>0</v>
      </c>
      <c r="DP137" s="19" t="str">
        <f>IF(BA137="","","INSERT INTO imeprezime_alias(id,alias,imeprezime_id) VALUES ("&amp;BB137&amp;",'"&amp;BA137&amp;"',"&amp;IF(BC137="NEMA",BD137,BC137)&amp;");")</f>
        <v/>
      </c>
      <c r="DQ137" s="47" t="s">
        <v>0</v>
      </c>
      <c r="DR137" s="52" t="str">
        <f>IF(AL137="","",DU137 &amp; IF(Q137="",""," – " &amp; Q137))</f>
        <v>Damir – Hercigonja – OK Kapela – M45</v>
      </c>
      <c r="DS137" s="53">
        <f t="shared" si="88"/>
        <v>250</v>
      </c>
      <c r="DT137" s="47" t="s">
        <v>0</v>
      </c>
      <c r="DU137" s="52" t="str">
        <f>IF(AL137="","",DX137 &amp; IF(CR137="",""," – " &amp; CR137))</f>
        <v>Damir – Hercigonja – OK Kapela</v>
      </c>
      <c r="DV137" s="53">
        <f t="shared" si="89"/>
        <v>250</v>
      </c>
      <c r="DW137" s="47" t="s">
        <v>0</v>
      </c>
      <c r="DX137" s="52" t="str">
        <f>IF(BG137="","",BF137&amp;" – "&amp;BG137)</f>
        <v>Damir – Hercigonja</v>
      </c>
      <c r="DY137" s="53">
        <f t="shared" si="90"/>
        <v>250</v>
      </c>
      <c r="DZ137" s="47" t="s">
        <v>0</v>
      </c>
      <c r="EA137" s="58">
        <f t="shared" si="119"/>
        <v>250</v>
      </c>
      <c r="EB137" s="53" cm="1">
        <f t="array" ref="EB137">IF(EA137&lt;&gt;"",INDEX(regNatjecatelj_id,EA137,0),IF(BD137&lt;&gt;"",BD137,""))</f>
        <v>1554</v>
      </c>
      <c r="EC137" s="47" t="s">
        <v>0</v>
      </c>
      <c r="ED137" s="58" t="str">
        <f>IF(AL137="","",IF(BD137&lt;&gt;"","novo",IF(AN137="","imepre","imepre(ali)")))</f>
        <v>imepre</v>
      </c>
      <c r="EE137" s="73" t="str">
        <f>IF(AL137="","",IF(BL137="",IF(IFERROR(INDEX(regNatjecatelj_klub,MATCH(EB137,regNatjecatelj_id,0)),"NEMA")="","klu",""),IF(OR(AND(BN137&lt;&gt;"",BN137&lt;&gt;"NEMA"),CD137&lt;&gt;""),"klu(ali)",IF(AND(BP137&lt;&gt;"",BP137&lt;&gt;BO137),"(raz-klu)","klu"))))</f>
        <v>klu</v>
      </c>
      <c r="EF137" s="73" t="str">
        <f>IF(AL137="","","kat"&amp;IF(AND(W137&lt;&gt;Q137,Q137&lt;&gt;"Open"),"(ali)",""))</f>
        <v>kat</v>
      </c>
      <c r="EG137" s="73" t="str">
        <f t="shared" si="91"/>
        <v/>
      </c>
      <c r="EH137" s="66" t="str">
        <f>IF(AL137="","",ED137&amp;IF(ED137="novo","","-"&amp;EE137&amp;"-"&amp;EF137)&amp;IF(EG137="","","-"&amp;EG137))</f>
        <v>imepre-klu-kat</v>
      </c>
      <c r="EI137" s="47" t="s">
        <v>0</v>
      </c>
      <c r="EJ137" s="58">
        <f>IF(AL137="","",MAX(EJ$12:EJ136)+1)</f>
        <v>304</v>
      </c>
      <c r="EK137" s="73">
        <f>IF(AO137="","",X137)</f>
        <v>30</v>
      </c>
      <c r="EL137" s="73">
        <f t="shared" si="120"/>
        <v>1554</v>
      </c>
      <c r="EM137" s="73">
        <f t="shared" si="92"/>
        <v>3385</v>
      </c>
      <c r="EN137" s="73">
        <f t="shared" si="93"/>
        <v>1</v>
      </c>
      <c r="EO137" s="73">
        <f t="shared" si="121"/>
        <v>1</v>
      </c>
      <c r="EP137" s="73">
        <f t="shared" si="122"/>
        <v>1</v>
      </c>
      <c r="EQ137" s="73" t="str">
        <f t="shared" si="94"/>
        <v>0</v>
      </c>
      <c r="ER137" s="73" t="str">
        <f>IF(OR(AN137="",AN137="NEMA"),BB137,AN137)</f>
        <v/>
      </c>
      <c r="ES137" s="73" t="str">
        <f>IF(AND(BN137&lt;&gt;"",BN137&lt;&gt;"NEMA"),BN137,IF(CG137&lt;&gt;"",CG137,IF(AND(CL137&lt;&gt;"",CL137&lt;&gt;"NEMA"),CL137,IF(CM137&lt;&gt;"",CM137,""))))</f>
        <v/>
      </c>
      <c r="ET137" s="53" t="str">
        <f>IF(INDEX(natKategorija_alias_Id,MATCH(S137,natKategorija_katRegId,0))="","",INDEX(natKategorija_alias_Id,MATCH(S137,natKategorija_katRegId,0)))</f>
        <v/>
      </c>
      <c r="EU137" s="47" t="s">
        <v>0</v>
      </c>
      <c r="EV137" s="19" t="str">
        <f t="shared" si="123"/>
        <v>INSERT INTO rezultat(id,stazakategorija_id,imeprezime_id,vrijeme_sec,status_id,registracija,uparivanje_id,originalstatus_id,imeprezimealias_id,klubalias_id,kategorijaalias_id) VALUES (304,30,1554,3385,1,1,1,0,Null,Null,Null);</v>
      </c>
      <c r="EW137" s="47" t="s">
        <v>0</v>
      </c>
      <c r="EX137" s="19" t="str">
        <f t="shared" si="124"/>
        <v>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37" s="47" t="s">
        <v>0</v>
      </c>
      <c r="EZ137" s="180" t="str">
        <f>AG137&amp;IF(CP137="","","
")&amp;CP137&amp;IF(CI137="","","
")&amp;CI137&amp;IF(DN137="","","
")&amp;DN137&amp;IF(DP137="","","
")&amp;DP137&amp;IF(EV137="","","
")&amp;EV137&amp;IF(EX137="","","
")&amp;EX137</f>
        <v xml:space="preserve">
INSERT INTO rezultat(id,stazakategorija_id,imeprezime_id,vrijeme_sec,status_id,registracija,uparivanje_id,originalstatus_id,imeprezimealias_id,klubalias_id,kategorijaalias_id) VALUES (304,30,1554,3385,1,1,1,0,Null,Null,Null);
UPDATE
	registar
SET
	potvrda = 1
WHERE
	imeprezime_id=1554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37" s="47" t="s">
        <v>0</v>
      </c>
    </row>
    <row r="138" spans="1:157" x14ac:dyDescent="0.25">
      <c r="A138" t="s">
        <v>0</v>
      </c>
      <c r="B138" s="52" t="str">
        <f>IF(csv!F128="","",csv!T128)</f>
        <v>M45</v>
      </c>
      <c r="C138" s="31" t="s">
        <v>0</v>
      </c>
      <c r="D138" s="31" t="str">
        <f>IF(csv!F128="","",csv!F128)</f>
        <v>Zdenko</v>
      </c>
      <c r="E138" s="31" t="str">
        <f>IF(csv!E128="","",csv!E128)</f>
        <v>Horjan</v>
      </c>
      <c r="F138" s="31" t="s">
        <v>0</v>
      </c>
      <c r="G138" s="73" t="str">
        <f>IF(csv!M128="","",csv!M128)</f>
        <v>58:21</v>
      </c>
      <c r="H138" s="73" t="str">
        <f>IF(csv!N128="","",csv!N128)</f>
        <v>0</v>
      </c>
      <c r="I138" s="31" t="s">
        <v>0</v>
      </c>
      <c r="J138" s="31" t="str">
        <f>IF(csv!P128="","",csv!P128)</f>
        <v>Vihor</v>
      </c>
      <c r="K138" s="31" t="str">
        <f>IF(csv!Q128="","",csv!Q128)</f>
        <v>OK Vihor</v>
      </c>
      <c r="L138" s="31" t="s">
        <v>0</v>
      </c>
      <c r="M138" s="66" t="str">
        <f>IF(csv!R128="","",csv!R128)</f>
        <v>CRO</v>
      </c>
      <c r="N138" s="47" t="s">
        <v>0</v>
      </c>
      <c r="O138" s="243" t="str">
        <f t="shared" si="95"/>
        <v>ok</v>
      </c>
      <c r="P138" s="47"/>
      <c r="Q138" s="52" t="str">
        <f t="shared" si="96"/>
        <v>M45</v>
      </c>
      <c r="R138" s="73">
        <f>IF(Q138="","",IF(COUNTIF(Q$12:Q137,Q138)=0,R137+1,R137))</f>
        <v>8</v>
      </c>
      <c r="S138" s="73">
        <f t="shared" si="97"/>
        <v>106</v>
      </c>
      <c r="T138" s="73">
        <f t="shared" si="72"/>
        <v>17</v>
      </c>
      <c r="U138" s="66" t="str">
        <f t="shared" si="73"/>
        <v>M45</v>
      </c>
      <c r="V138" s="47" t="s">
        <v>0</v>
      </c>
      <c r="W138" s="222" t="str">
        <f t="shared" si="74"/>
        <v>M45</v>
      </c>
      <c r="X138" s="223">
        <f t="shared" si="75"/>
        <v>30</v>
      </c>
      <c r="Y138" s="47" t="s">
        <v>0</v>
      </c>
      <c r="Z138" s="52" t="str">
        <f t="shared" si="98"/>
        <v>CRO</v>
      </c>
      <c r="AA138" s="73">
        <f t="shared" si="76"/>
        <v>1</v>
      </c>
      <c r="AB138" s="31" t="str">
        <f t="shared" si="99"/>
        <v/>
      </c>
      <c r="AC138" s="66" t="str">
        <f>IF(AB138="","",MAX(AC$12:AC137)+1)</f>
        <v/>
      </c>
      <c r="AD138" s="47" t="s">
        <v>0</v>
      </c>
      <c r="AE138" s="125"/>
      <c r="AF138" s="47" t="s">
        <v>0</v>
      </c>
      <c r="AG138" s="19" t="str">
        <f t="shared" si="100"/>
        <v/>
      </c>
      <c r="AH138" s="47" t="s">
        <v>0</v>
      </c>
      <c r="AI138" s="143" t="str">
        <f t="shared" si="101"/>
        <v>CRO</v>
      </c>
      <c r="AJ138" s="47"/>
      <c r="AK138" s="52" t="str">
        <f t="shared" si="102"/>
        <v>Zdenko</v>
      </c>
      <c r="AL138" s="31" t="str">
        <f t="shared" si="103"/>
        <v>Horjan</v>
      </c>
      <c r="AM138" s="73">
        <f t="shared" si="104"/>
        <v>1480</v>
      </c>
      <c r="AN138" s="73" t="str">
        <f t="shared" si="105"/>
        <v/>
      </c>
      <c r="AO138" s="31" t="str">
        <f t="shared" si="77"/>
        <v>Zdenko</v>
      </c>
      <c r="AP138" s="66" t="str">
        <f t="shared" si="78"/>
        <v>Horjan</v>
      </c>
      <c r="AQ138" s="47" t="s">
        <v>0</v>
      </c>
      <c r="AR138" s="82" t="str">
        <f t="shared" si="106"/>
        <v/>
      </c>
      <c r="AS138" s="47" t="s">
        <v>0</v>
      </c>
      <c r="AT138" s="19" t="str">
        <f t="shared" si="107"/>
        <v/>
      </c>
      <c r="AU138" s="47" t="s">
        <v>0</v>
      </c>
      <c r="AV138" s="103"/>
      <c r="AW138" s="105"/>
      <c r="AX138" s="47" t="s">
        <v>0</v>
      </c>
      <c r="AY138" s="256" t="str">
        <f t="shared" si="125"/>
        <v/>
      </c>
      <c r="AZ138" s="47" t="s">
        <v>0</v>
      </c>
      <c r="BA138" s="52" t="str">
        <f t="shared" si="79"/>
        <v/>
      </c>
      <c r="BB138" s="73" t="str">
        <f>IF(AV138&amp;AW138="","",MAX(BB$12:BB137)+1)</f>
        <v/>
      </c>
      <c r="BC138" s="268" t="str">
        <f t="shared" si="80"/>
        <v/>
      </c>
      <c r="BD138" s="53" t="str">
        <f>IF(AND(AM138="NEMA",AN138="NEMA",OR(AV138&amp;AW138="",BC138="NEMA")),MAX(BD$12:BD137)+1,"")</f>
        <v/>
      </c>
      <c r="BE138" s="47" t="s">
        <v>0</v>
      </c>
      <c r="BF138" s="52" t="str">
        <f t="shared" si="81"/>
        <v>Zdenko</v>
      </c>
      <c r="BG138" s="31" t="str">
        <f t="shared" si="82"/>
        <v>Horjan</v>
      </c>
      <c r="BH138" s="73" t="str">
        <f t="shared" si="108"/>
        <v/>
      </c>
      <c r="BI138" s="53">
        <f t="shared" si="109"/>
        <v>1480</v>
      </c>
      <c r="BJ138" s="47" t="s">
        <v>0</v>
      </c>
      <c r="BK138" s="52" t="str">
        <f t="shared" si="83"/>
        <v>Vihor</v>
      </c>
      <c r="BL138" s="31" t="str">
        <f t="shared" si="84"/>
        <v>OK Vihor</v>
      </c>
      <c r="BM138" s="73">
        <f t="shared" si="85"/>
        <v>12</v>
      </c>
      <c r="BN138" s="73" t="str">
        <f t="shared" si="86"/>
        <v/>
      </c>
      <c r="BO138" s="31" t="str" cm="1">
        <f t="array" ref="BO138">IF(BN138="",""&amp;BL138,IF(BN138="NEMA",BL138,INDEX(regKlub_naziv,MATCH(INDEX(regKlub_alias_klubId,BN138),regKlub_id,0))))</f>
        <v>OK Vihor</v>
      </c>
      <c r="BP138" s="31" t="str" cm="1">
        <f t="array" ref="BP138">IFERROR(""&amp;INDEX(regNatjecatelj_klub,DY138),"")</f>
        <v>OK Vihor</v>
      </c>
      <c r="BQ138" s="88" t="str">
        <f t="shared" si="110"/>
        <v/>
      </c>
      <c r="BR138" s="66" t="str">
        <f t="shared" si="111"/>
        <v>OK Vihor</v>
      </c>
      <c r="BS138" s="47" t="s">
        <v>0</v>
      </c>
      <c r="BT138" s="82" t="str">
        <f>IF(BN138&lt;&gt;"NEMA","",IF(IFERROR(MATCH(BL138,BL$12:BL137,0),0)&lt;&gt;0,"",BL138))</f>
        <v/>
      </c>
      <c r="BU138" s="47" t="s">
        <v>0</v>
      </c>
      <c r="BV138" s="125"/>
      <c r="BW138" s="47" t="s">
        <v>0</v>
      </c>
      <c r="BX138" s="58" t="str">
        <f t="shared" si="112"/>
        <v/>
      </c>
      <c r="BY138" s="31" t="str">
        <f t="shared" si="113"/>
        <v/>
      </c>
      <c r="BZ138" s="31" t="str">
        <f>IF(BY138="","",MAX(BZ$12:BZ137)+1)</f>
        <v/>
      </c>
      <c r="CA138" s="31" t="str">
        <f>IF(BY138="","",IF(AA138="","",IF(AA138="NEMA",AC138,AA138)))</f>
        <v/>
      </c>
      <c r="CB138" s="31" t="str">
        <f t="shared" si="114"/>
        <v/>
      </c>
      <c r="CC138" s="31" t="str">
        <f>IF(BV138="","",MAX(CC$12:CC137)+1)</f>
        <v/>
      </c>
      <c r="CD138" s="31" t="str">
        <f t="shared" si="115"/>
        <v/>
      </c>
      <c r="CE138" s="66" t="str">
        <f t="shared" si="116"/>
        <v/>
      </c>
      <c r="CF138" s="47" t="s">
        <v>0</v>
      </c>
      <c r="CG138" s="73" t="str">
        <f>IF(BN138="","",IF(BN138&lt;&gt;"NEMA","",IFERROR(INDEX(nat_klubAliasId,MATCH(BL138,nat_noviKluboviAliasi,0)),"")))</f>
        <v/>
      </c>
      <c r="CH138" s="47"/>
      <c r="CI138" s="19" t="str">
        <f t="shared" si="117"/>
        <v/>
      </c>
      <c r="CJ138" s="47" t="s">
        <v>0</v>
      </c>
      <c r="CK138" s="52" t="str">
        <f>IF(X138&lt;&gt;"NEMA","",IF(IFERROR(MATCH(W138,W$12:W137,0),0)&lt;&gt;0,"",W138))</f>
        <v/>
      </c>
      <c r="CL138" s="73" t="str">
        <f>IF(CK138="","",IFERROR(INDEX(regKlub_alias_id,MATCH(CK138,regKlub_alias_alias,0)),"NEMA"))</f>
        <v/>
      </c>
      <c r="CM138" s="31" t="str">
        <f>IF(OR(CL138="",CL138&lt;&gt;"NEMA"),"",MAX(CM$12:CM137)+1)</f>
        <v/>
      </c>
      <c r="CN138" s="66" t="str">
        <f>IF(OR(CL138="",CL138&lt;&gt;"NEMA"),"",INDEX(regKlub_id,MATCH(CK138,regKlub_naziv,0)))</f>
        <v/>
      </c>
      <c r="CO138" s="47" t="s">
        <v>0</v>
      </c>
      <c r="CP138" s="19" t="str">
        <f>IF(OR(CL138="",CL138&lt;&gt;"NEMA"),"","INSERT INTO klub_alias(id,alias,klub_id) VALUES ("&amp;CM138&amp;",'"&amp;CK138&amp;"',"&amp;CN138&amp;");")</f>
        <v/>
      </c>
      <c r="CQ138" s="47" t="s">
        <v>0</v>
      </c>
      <c r="CR138" s="143" t="str">
        <f>IF(BR138="","",IF(BV138="",IF(IFERROR(MATCH(BR138,nat_noviKluboviAliasi,0),0)&gt;0,INDEX(nat_kluboviAliasi,MATCH(BR138,nat_noviKluboviAliasi,0)),BR138),BV138))</f>
        <v>OK Vihor</v>
      </c>
      <c r="CS138" s="47" t="s">
        <v>0</v>
      </c>
      <c r="CT138" s="58" t="str">
        <f>IF(G138="","",G138)</f>
        <v>58:21</v>
      </c>
      <c r="CU138" s="73" t="str">
        <f>IF(H138="","",H138)</f>
        <v>0</v>
      </c>
      <c r="CV138" s="229" t="str">
        <f>IF(CT138="",IF(OR(AL138="",CU138&lt;&gt;"0"),"","GREŠKA"),IF(AND(65535&gt;=VALUE(LEFT(CT138,SEARCH(":",CT138)-1))*60+VALUE(RIGHT(CT138,2)),OR(CU138="0",CU138="1",CU138="2",CU138="3",CU138="4")),"","GREŠKA"))</f>
        <v/>
      </c>
      <c r="CW138" s="230">
        <f t="shared" si="127"/>
        <v>3501</v>
      </c>
      <c r="CX138" s="163">
        <f t="shared" si="87"/>
        <v>1</v>
      </c>
      <c r="CY138" s="47" t="s">
        <v>0</v>
      </c>
      <c r="CZ138" s="222" t="str">
        <f>IF(CV138&lt;&gt;"GREŠKA","",AK138&amp;" "&amp;AL138&amp;" – Molim u OEventu provjeriti i ispraviti rezultat – vrijeme ("&amp;IF(CT138="","nije upisano",CT138)&amp;") i classifier ("&amp;CU138&amp;").")&amp;IF(OR(CV138&lt;&gt;"GREŠKA",CX138&lt;&gt;5),"
","")&amp;IF(CX138&lt;&gt;5,"",AK138&amp;" "&amp;AL138&amp;" – Molim u provjeriti je li natjecatelj zaista diskvalificiran. Ako je koje je obrazloženje, ako nije molim u OEventu ispraviti rezultat")</f>
        <v xml:space="preserve">
</v>
      </c>
      <c r="DA138" s="223">
        <f t="shared" si="118"/>
        <v>6</v>
      </c>
      <c r="DB138" s="47" t="s">
        <v>0</v>
      </c>
      <c r="DC138" s="47"/>
      <c r="DD138" s="47"/>
      <c r="DE138" s="47"/>
      <c r="DF138" s="47" t="s">
        <v>0</v>
      </c>
      <c r="DG138" s="53" t="str">
        <f>IF(BD138="","",IF(DI138="O",1,""))</f>
        <v/>
      </c>
      <c r="DH138" t="s">
        <v>0</v>
      </c>
      <c r="DI138" s="128" t="str">
        <f>IF(Q138="","",LEFT(INDEX(regKategorija_oznaka,MATCH(S138,regKategorija_id,0)),1))</f>
        <v>M</v>
      </c>
      <c r="DJ138" t="s">
        <v>0</v>
      </c>
      <c r="DK138" s="52" t="str">
        <f>IF(BD138="","",IF(M138&lt;&gt;"CRO","","INSERT INTO osoba (id,reg_broj,oib,spol_id,dat_rodjenja) VALUES ("&amp;BD138&amp;",(SELECT max(os.reg_broj)+1 FROM osoba AS os),Null,'"&amp;DI138&amp;"',Null); INSERT INTO osoba_log (id,reg_broj,oib,spol_id,dat_rodjenja,dnevnik_id) SELECT id,reg_broj,oib,spol_id,dat_rodjenja,"&amp;data_dnevnik_id&amp;" FROM osoba WHERE id = "&amp;BD138&amp;";"))</f>
        <v/>
      </c>
      <c r="DL138" s="66" t="str">
        <f>IF(BD138="","","INSERT INTO imeprezime (id,osoba_id,rbr,ime,prezime,klub_id,identitet_id,sintaksa_id,info,aktivno,dnevnik_id) VALUES ("&amp;BD138&amp;","&amp;IF(DK138="","Null",BD138)&amp;",1,'"&amp;IF(AV138&lt;&gt;"",AV138,AK138)&amp;"','"&amp;IF(AW138&lt;&gt;"",AW138,AL138)&amp;"',(SELECT id FROM klub WHERE naziv = '"&amp;CR138&amp;"'),Null,1,'',1,"&amp;data_dnevnik_id&amp;");")</f>
        <v/>
      </c>
      <c r="DM138" t="s">
        <v>0</v>
      </c>
      <c r="DN138" s="19" t="str">
        <f t="shared" si="126"/>
        <v/>
      </c>
      <c r="DO138" s="47" t="s">
        <v>0</v>
      </c>
      <c r="DP138" s="19" t="str">
        <f>IF(BA138="","","INSERT INTO imeprezime_alias(id,alias,imeprezime_id) VALUES ("&amp;BB138&amp;",'"&amp;BA138&amp;"',"&amp;IF(BC138="NEMA",BD138,BC138)&amp;");")</f>
        <v/>
      </c>
      <c r="DQ138" s="47" t="s">
        <v>0</v>
      </c>
      <c r="DR138" s="52" t="str">
        <f>IF(AL138="","",DU138 &amp; IF(Q138="",""," – " &amp; Q138))</f>
        <v>Zdenko – Horjan – OK Vihor – M45</v>
      </c>
      <c r="DS138" s="53">
        <f t="shared" si="88"/>
        <v>700</v>
      </c>
      <c r="DT138" s="47" t="s">
        <v>0</v>
      </c>
      <c r="DU138" s="52" t="str">
        <f>IF(AL138="","",DX138 &amp; IF(CR138="",""," – " &amp; CR138))</f>
        <v>Zdenko – Horjan – OK Vihor</v>
      </c>
      <c r="DV138" s="53">
        <f t="shared" si="89"/>
        <v>700</v>
      </c>
      <c r="DW138" s="47" t="s">
        <v>0</v>
      </c>
      <c r="DX138" s="52" t="str">
        <f>IF(BG138="","",BF138&amp;" – "&amp;BG138)</f>
        <v>Zdenko – Horjan</v>
      </c>
      <c r="DY138" s="53">
        <f t="shared" si="90"/>
        <v>700</v>
      </c>
      <c r="DZ138" s="47" t="s">
        <v>0</v>
      </c>
      <c r="EA138" s="58">
        <f t="shared" si="119"/>
        <v>700</v>
      </c>
      <c r="EB138" s="53" cm="1">
        <f t="array" ref="EB138">IF(EA138&lt;&gt;"",INDEX(regNatjecatelj_id,EA138,0),IF(BD138&lt;&gt;"",BD138,""))</f>
        <v>1480</v>
      </c>
      <c r="EC138" s="47" t="s">
        <v>0</v>
      </c>
      <c r="ED138" s="58" t="str">
        <f>IF(AL138="","",IF(BD138&lt;&gt;"","novo",IF(AN138="","imepre","imepre(ali)")))</f>
        <v>imepre</v>
      </c>
      <c r="EE138" s="73" t="str">
        <f>IF(AL138="","",IF(BL138="",IF(IFERROR(INDEX(regNatjecatelj_klub,MATCH(EB138,regNatjecatelj_id,0)),"NEMA")="","klu",""),IF(OR(AND(BN138&lt;&gt;"",BN138&lt;&gt;"NEMA"),CD138&lt;&gt;""),"klu(ali)",IF(AND(BP138&lt;&gt;"",BP138&lt;&gt;BO138),"(raz-klu)","klu"))))</f>
        <v>klu</v>
      </c>
      <c r="EF138" s="73" t="str">
        <f>IF(AL138="","","kat"&amp;IF(AND(W138&lt;&gt;Q138,Q138&lt;&gt;"Open"),"(ali)",""))</f>
        <v>kat</v>
      </c>
      <c r="EG138" s="73" t="str">
        <f t="shared" si="91"/>
        <v/>
      </c>
      <c r="EH138" s="66" t="str">
        <f>IF(AL138="","",ED138&amp;IF(ED138="novo","","-"&amp;EE138&amp;"-"&amp;EF138)&amp;IF(EG138="","","-"&amp;EG138))</f>
        <v>imepre-klu-kat</v>
      </c>
      <c r="EI138" s="47" t="s">
        <v>0</v>
      </c>
      <c r="EJ138" s="58">
        <f>IF(AL138="","",MAX(EJ$12:EJ137)+1)</f>
        <v>305</v>
      </c>
      <c r="EK138" s="73">
        <f>IF(AO138="","",X138)</f>
        <v>30</v>
      </c>
      <c r="EL138" s="73">
        <f t="shared" si="120"/>
        <v>1480</v>
      </c>
      <c r="EM138" s="73">
        <f t="shared" si="92"/>
        <v>3501</v>
      </c>
      <c r="EN138" s="73">
        <f t="shared" si="93"/>
        <v>1</v>
      </c>
      <c r="EO138" s="73">
        <f t="shared" si="121"/>
        <v>1</v>
      </c>
      <c r="EP138" s="73">
        <f t="shared" si="122"/>
        <v>1</v>
      </c>
      <c r="EQ138" s="73" t="str">
        <f t="shared" si="94"/>
        <v>0</v>
      </c>
      <c r="ER138" s="73" t="str">
        <f>IF(OR(AN138="",AN138="NEMA"),BB138,AN138)</f>
        <v/>
      </c>
      <c r="ES138" s="73" t="str">
        <f>IF(AND(BN138&lt;&gt;"",BN138&lt;&gt;"NEMA"),BN138,IF(CG138&lt;&gt;"",CG138,IF(AND(CL138&lt;&gt;"",CL138&lt;&gt;"NEMA"),CL138,IF(CM138&lt;&gt;"",CM138,""))))</f>
        <v/>
      </c>
      <c r="ET138" s="53" t="str">
        <f>IF(INDEX(natKategorija_alias_Id,MATCH(S138,natKategorija_katRegId,0))="","",INDEX(natKategorija_alias_Id,MATCH(S138,natKategorija_katRegId,0)))</f>
        <v/>
      </c>
      <c r="EU138" s="47" t="s">
        <v>0</v>
      </c>
      <c r="EV138" s="19" t="str">
        <f t="shared" si="123"/>
        <v>INSERT INTO rezultat(id,stazakategorija_id,imeprezime_id,vrijeme_sec,status_id,registracija,uparivanje_id,originalstatus_id,imeprezimealias_id,klubalias_id,kategorijaalias_id) VALUES (305,30,1480,3501,1,1,1,0,Null,Null,Null);</v>
      </c>
      <c r="EW138" s="47" t="s">
        <v>0</v>
      </c>
      <c r="EX138" s="19" t="str">
        <f t="shared" si="124"/>
        <v>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38" s="47" t="s">
        <v>0</v>
      </c>
      <c r="EZ138" s="180" t="str">
        <f>AG138&amp;IF(CP138="","","
")&amp;CP138&amp;IF(CI138="","","
")&amp;CI138&amp;IF(DN138="","","
")&amp;DN138&amp;IF(DP138="","","
")&amp;DP138&amp;IF(EV138="","","
")&amp;EV138&amp;IF(EX138="","","
")&amp;EX138</f>
        <v xml:space="preserve">
INSERT INTO rezultat(id,stazakategorija_id,imeprezime_id,vrijeme_sec,status_id,registracija,uparivanje_id,originalstatus_id,imeprezimealias_id,klubalias_id,kategorijaalias_id) VALUES (305,30,1480,3501,1,1,1,0,Null,Null,Null);
UPDATE
	registar
SET
	potvrda = 1
WHERE
	imeprezime_id=1480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38" s="47" t="s">
        <v>0</v>
      </c>
    </row>
    <row r="139" spans="1:157" x14ac:dyDescent="0.25">
      <c r="A139" t="s">
        <v>0</v>
      </c>
      <c r="B139" s="52" t="str">
        <f>IF(csv!F129="","",csv!T129)</f>
        <v>M45</v>
      </c>
      <c r="C139" s="31" t="s">
        <v>0</v>
      </c>
      <c r="D139" s="31" t="str">
        <f>IF(csv!F129="","",csv!F129)</f>
        <v>Ivo</v>
      </c>
      <c r="E139" s="31" t="str">
        <f>IF(csv!E129="","",csv!E129)</f>
        <v>Tišljar</v>
      </c>
      <c r="F139" s="31" t="s">
        <v>0</v>
      </c>
      <c r="G139" s="73" t="str">
        <f>IF(csv!M129="","",csv!M129)</f>
        <v>61:06</v>
      </c>
      <c r="H139" s="73" t="str">
        <f>IF(csv!N129="","",csv!N129)</f>
        <v>0</v>
      </c>
      <c r="I139" s="31" t="s">
        <v>0</v>
      </c>
      <c r="J139" s="31" t="str">
        <f>IF(csv!P129="","",csv!P129)</f>
        <v>ORI</v>
      </c>
      <c r="K139" s="31" t="str">
        <f>IF(csv!Q129="","",csv!Q129)</f>
        <v>OK Orion</v>
      </c>
      <c r="L139" s="31" t="s">
        <v>0</v>
      </c>
      <c r="M139" s="66" t="str">
        <f>IF(csv!R129="","",csv!R129)</f>
        <v>CRO</v>
      </c>
      <c r="N139" s="47" t="s">
        <v>0</v>
      </c>
      <c r="O139" s="243" t="str">
        <f t="shared" si="95"/>
        <v>ok</v>
      </c>
      <c r="P139" s="47"/>
      <c r="Q139" s="52" t="str">
        <f t="shared" si="96"/>
        <v>M45</v>
      </c>
      <c r="R139" s="73">
        <f>IF(Q139="","",IF(COUNTIF(Q$12:Q138,Q139)=0,R138+1,R138))</f>
        <v>8</v>
      </c>
      <c r="S139" s="73">
        <f t="shared" si="97"/>
        <v>106</v>
      </c>
      <c r="T139" s="73">
        <f t="shared" si="72"/>
        <v>17</v>
      </c>
      <c r="U139" s="66" t="str">
        <f t="shared" si="73"/>
        <v>M45</v>
      </c>
      <c r="V139" s="47" t="s">
        <v>0</v>
      </c>
      <c r="W139" s="222" t="str">
        <f t="shared" si="74"/>
        <v>M45</v>
      </c>
      <c r="X139" s="223">
        <f t="shared" si="75"/>
        <v>30</v>
      </c>
      <c r="Y139" s="47" t="s">
        <v>0</v>
      </c>
      <c r="Z139" s="52" t="str">
        <f t="shared" si="98"/>
        <v>CRO</v>
      </c>
      <c r="AA139" s="73">
        <f t="shared" si="76"/>
        <v>1</v>
      </c>
      <c r="AB139" s="31" t="str">
        <f t="shared" si="99"/>
        <v/>
      </c>
      <c r="AC139" s="66" t="str">
        <f>IF(AB139="","",MAX(AC$12:AC138)+1)</f>
        <v/>
      </c>
      <c r="AD139" s="47" t="s">
        <v>0</v>
      </c>
      <c r="AE139" s="125"/>
      <c r="AF139" s="47" t="s">
        <v>0</v>
      </c>
      <c r="AG139" s="19" t="str">
        <f t="shared" si="100"/>
        <v/>
      </c>
      <c r="AH139" s="47" t="s">
        <v>0</v>
      </c>
      <c r="AI139" s="143" t="str">
        <f t="shared" si="101"/>
        <v>CRO</v>
      </c>
      <c r="AJ139" s="47"/>
      <c r="AK139" s="52" t="str">
        <f t="shared" si="102"/>
        <v>Ivo</v>
      </c>
      <c r="AL139" s="31" t="str">
        <f t="shared" si="103"/>
        <v>Tišljar</v>
      </c>
      <c r="AM139" s="73">
        <f t="shared" si="104"/>
        <v>1249</v>
      </c>
      <c r="AN139" s="73" t="str">
        <f t="shared" si="105"/>
        <v/>
      </c>
      <c r="AO139" s="31" t="str">
        <f t="shared" si="77"/>
        <v>Ivo</v>
      </c>
      <c r="AP139" s="66" t="str">
        <f t="shared" si="78"/>
        <v>Tišljar</v>
      </c>
      <c r="AQ139" s="47" t="s">
        <v>0</v>
      </c>
      <c r="AR139" s="82" t="str">
        <f t="shared" si="106"/>
        <v/>
      </c>
      <c r="AS139" s="47" t="s">
        <v>0</v>
      </c>
      <c r="AT139" s="19" t="str">
        <f t="shared" si="107"/>
        <v/>
      </c>
      <c r="AU139" s="47" t="s">
        <v>0</v>
      </c>
      <c r="AV139" s="103"/>
      <c r="AW139" s="105"/>
      <c r="AX139" s="47" t="s">
        <v>0</v>
      </c>
      <c r="AY139" s="256" t="str">
        <f t="shared" si="125"/>
        <v/>
      </c>
      <c r="AZ139" s="47" t="s">
        <v>0</v>
      </c>
      <c r="BA139" s="52" t="str">
        <f t="shared" si="79"/>
        <v/>
      </c>
      <c r="BB139" s="73" t="str">
        <f>IF(AV139&amp;AW139="","",MAX(BB$12:BB138)+1)</f>
        <v/>
      </c>
      <c r="BC139" s="268" t="str">
        <f t="shared" si="80"/>
        <v/>
      </c>
      <c r="BD139" s="53" t="str">
        <f>IF(AND(AM139="NEMA",AN139="NEMA",OR(AV139&amp;AW139="",BC139="NEMA")),MAX(BD$12:BD138)+1,"")</f>
        <v/>
      </c>
      <c r="BE139" s="47" t="s">
        <v>0</v>
      </c>
      <c r="BF139" s="52" t="str">
        <f t="shared" si="81"/>
        <v>Ivo</v>
      </c>
      <c r="BG139" s="31" t="str">
        <f t="shared" si="82"/>
        <v>Tišljar</v>
      </c>
      <c r="BH139" s="73" t="str">
        <f t="shared" si="108"/>
        <v/>
      </c>
      <c r="BI139" s="53">
        <f t="shared" si="109"/>
        <v>1249</v>
      </c>
      <c r="BJ139" s="47" t="s">
        <v>0</v>
      </c>
      <c r="BK139" s="52" t="str">
        <f t="shared" si="83"/>
        <v>ORI</v>
      </c>
      <c r="BL139" s="31" t="str">
        <f t="shared" si="84"/>
        <v>OK Orion</v>
      </c>
      <c r="BM139" s="73">
        <f t="shared" si="85"/>
        <v>8</v>
      </c>
      <c r="BN139" s="73" t="str">
        <f t="shared" si="86"/>
        <v/>
      </c>
      <c r="BO139" s="31" t="str" cm="1">
        <f t="array" ref="BO139">IF(BN139="",""&amp;BL139,IF(BN139="NEMA",BL139,INDEX(regKlub_naziv,MATCH(INDEX(regKlub_alias_klubId,BN139),regKlub_id,0))))</f>
        <v>OK Orion</v>
      </c>
      <c r="BP139" s="31" t="str" cm="1">
        <f t="array" ref="BP139">IFERROR(""&amp;INDEX(regNatjecatelj_klub,DY139),"")</f>
        <v>OK Orion</v>
      </c>
      <c r="BQ139" s="88" t="str">
        <f t="shared" si="110"/>
        <v/>
      </c>
      <c r="BR139" s="66" t="str">
        <f t="shared" si="111"/>
        <v>OK Orion</v>
      </c>
      <c r="BS139" s="47" t="s">
        <v>0</v>
      </c>
      <c r="BT139" s="82" t="str">
        <f>IF(BN139&lt;&gt;"NEMA","",IF(IFERROR(MATCH(BL139,BL$12:BL138,0),0)&lt;&gt;0,"",BL139))</f>
        <v/>
      </c>
      <c r="BU139" s="47" t="s">
        <v>0</v>
      </c>
      <c r="BV139" s="125"/>
      <c r="BW139" s="47" t="s">
        <v>0</v>
      </c>
      <c r="BX139" s="58" t="str">
        <f t="shared" si="112"/>
        <v/>
      </c>
      <c r="BY139" s="31" t="str">
        <f t="shared" si="113"/>
        <v/>
      </c>
      <c r="BZ139" s="31" t="str">
        <f>IF(BY139="","",MAX(BZ$12:BZ138)+1)</f>
        <v/>
      </c>
      <c r="CA139" s="31" t="str">
        <f>IF(BY139="","",IF(AA139="","",IF(AA139="NEMA",AC139,AA139)))</f>
        <v/>
      </c>
      <c r="CB139" s="31" t="str">
        <f t="shared" si="114"/>
        <v/>
      </c>
      <c r="CC139" s="31" t="str">
        <f>IF(BV139="","",MAX(CC$12:CC138)+1)</f>
        <v/>
      </c>
      <c r="CD139" s="31" t="str">
        <f t="shared" si="115"/>
        <v/>
      </c>
      <c r="CE139" s="66" t="str">
        <f t="shared" si="116"/>
        <v/>
      </c>
      <c r="CF139" s="47" t="s">
        <v>0</v>
      </c>
      <c r="CG139" s="73" t="str">
        <f>IF(BN139="","",IF(BN139&lt;&gt;"NEMA","",IFERROR(INDEX(nat_klubAliasId,MATCH(BL139,nat_noviKluboviAliasi,0)),"")))</f>
        <v/>
      </c>
      <c r="CH139" s="47"/>
      <c r="CI139" s="19" t="str">
        <f t="shared" si="117"/>
        <v/>
      </c>
      <c r="CJ139" s="47" t="s">
        <v>0</v>
      </c>
      <c r="CK139" s="52" t="str">
        <f>IF(X139&lt;&gt;"NEMA","",IF(IFERROR(MATCH(W139,W$12:W138,0),0)&lt;&gt;0,"",W139))</f>
        <v/>
      </c>
      <c r="CL139" s="73" t="str">
        <f>IF(CK139="","",IFERROR(INDEX(regKlub_alias_id,MATCH(CK139,regKlub_alias_alias,0)),"NEMA"))</f>
        <v/>
      </c>
      <c r="CM139" s="31" t="str">
        <f>IF(OR(CL139="",CL139&lt;&gt;"NEMA"),"",MAX(CM$12:CM138)+1)</f>
        <v/>
      </c>
      <c r="CN139" s="66" t="str">
        <f>IF(OR(CL139="",CL139&lt;&gt;"NEMA"),"",INDEX(regKlub_id,MATCH(CK139,regKlub_naziv,0)))</f>
        <v/>
      </c>
      <c r="CO139" s="47" t="s">
        <v>0</v>
      </c>
      <c r="CP139" s="19" t="str">
        <f>IF(OR(CL139="",CL139&lt;&gt;"NEMA"),"","INSERT INTO klub_alias(id,alias,klub_id) VALUES ("&amp;CM139&amp;",'"&amp;CK139&amp;"',"&amp;CN139&amp;");")</f>
        <v/>
      </c>
      <c r="CQ139" s="47" t="s">
        <v>0</v>
      </c>
      <c r="CR139" s="143" t="str">
        <f>IF(BR139="","",IF(BV139="",IF(IFERROR(MATCH(BR139,nat_noviKluboviAliasi,0),0)&gt;0,INDEX(nat_kluboviAliasi,MATCH(BR139,nat_noviKluboviAliasi,0)),BR139),BV139))</f>
        <v>OK Orion</v>
      </c>
      <c r="CS139" s="47" t="s">
        <v>0</v>
      </c>
      <c r="CT139" s="58" t="str">
        <f>IF(G139="","",G139)</f>
        <v>61:06</v>
      </c>
      <c r="CU139" s="73" t="str">
        <f>IF(H139="","",H139)</f>
        <v>0</v>
      </c>
      <c r="CV139" s="229" t="str">
        <f>IF(CT139="",IF(OR(AL139="",CU139&lt;&gt;"0"),"","GREŠKA"),IF(AND(65535&gt;=VALUE(LEFT(CT139,SEARCH(":",CT139)-1))*60+VALUE(RIGHT(CT139,2)),OR(CU139="0",CU139="1",CU139="2",CU139="3",CU139="4")),"","GREŠKA"))</f>
        <v/>
      </c>
      <c r="CW139" s="230">
        <f t="shared" si="127"/>
        <v>3666</v>
      </c>
      <c r="CX139" s="163">
        <f t="shared" si="87"/>
        <v>1</v>
      </c>
      <c r="CY139" s="47" t="s">
        <v>0</v>
      </c>
      <c r="CZ139" s="222" t="str">
        <f>IF(CV139&lt;&gt;"GREŠKA","",AK139&amp;" "&amp;AL139&amp;" – Molim u OEventu provjeriti i ispraviti rezultat – vrijeme ("&amp;IF(CT139="","nije upisano",CT139)&amp;") i classifier ("&amp;CU139&amp;").")&amp;IF(OR(CV139&lt;&gt;"GREŠKA",CX139&lt;&gt;5),"
","")&amp;IF(CX139&lt;&gt;5,"",AK139&amp;" "&amp;AL139&amp;" – Molim u provjeriti je li natjecatelj zaista diskvalificiran. Ako je koje je obrazloženje, ako nije molim u OEventu ispraviti rezultat")</f>
        <v xml:space="preserve">
</v>
      </c>
      <c r="DA139" s="223">
        <f t="shared" si="118"/>
        <v>6</v>
      </c>
      <c r="DB139" s="47" t="s">
        <v>0</v>
      </c>
      <c r="DC139" s="47"/>
      <c r="DD139" s="47"/>
      <c r="DE139" s="47"/>
      <c r="DF139" s="47" t="s">
        <v>0</v>
      </c>
      <c r="DG139" s="53" t="str">
        <f>IF(BD139="","",IF(DI139="O",1,""))</f>
        <v/>
      </c>
      <c r="DH139" t="s">
        <v>0</v>
      </c>
      <c r="DI139" s="128" t="str">
        <f>IF(Q139="","",LEFT(INDEX(regKategorija_oznaka,MATCH(S139,regKategorija_id,0)),1))</f>
        <v>M</v>
      </c>
      <c r="DJ139" t="s">
        <v>0</v>
      </c>
      <c r="DK139" s="52" t="str">
        <f>IF(BD139="","",IF(M139&lt;&gt;"CRO","","INSERT INTO osoba (id,reg_broj,oib,spol_id,dat_rodjenja) VALUES ("&amp;BD139&amp;",(SELECT max(os.reg_broj)+1 FROM osoba AS os),Null,'"&amp;DI139&amp;"',Null); INSERT INTO osoba_log (id,reg_broj,oib,spol_id,dat_rodjenja,dnevnik_id) SELECT id,reg_broj,oib,spol_id,dat_rodjenja,"&amp;data_dnevnik_id&amp;" FROM osoba WHERE id = "&amp;BD139&amp;";"))</f>
        <v/>
      </c>
      <c r="DL139" s="66" t="str">
        <f>IF(BD139="","","INSERT INTO imeprezime (id,osoba_id,rbr,ime,prezime,klub_id,identitet_id,sintaksa_id,info,aktivno,dnevnik_id) VALUES ("&amp;BD139&amp;","&amp;IF(DK139="","Null",BD139)&amp;",1,'"&amp;IF(AV139&lt;&gt;"",AV139,AK139)&amp;"','"&amp;IF(AW139&lt;&gt;"",AW139,AL139)&amp;"',(SELECT id FROM klub WHERE naziv = '"&amp;CR139&amp;"'),Null,1,'',1,"&amp;data_dnevnik_id&amp;");")</f>
        <v/>
      </c>
      <c r="DM139" t="s">
        <v>0</v>
      </c>
      <c r="DN139" s="19" t="str">
        <f t="shared" si="126"/>
        <v/>
      </c>
      <c r="DO139" s="47" t="s">
        <v>0</v>
      </c>
      <c r="DP139" s="19" t="str">
        <f>IF(BA139="","","INSERT INTO imeprezime_alias(id,alias,imeprezime_id) VALUES ("&amp;BB139&amp;",'"&amp;BA139&amp;"',"&amp;IF(BC139="NEMA",BD139,BC139)&amp;");")</f>
        <v/>
      </c>
      <c r="DQ139" s="47" t="s">
        <v>0</v>
      </c>
      <c r="DR139" s="52" t="str">
        <f>IF(AL139="","",DU139 &amp; IF(Q139="",""," – " &amp; Q139))</f>
        <v>Ivo – Tišljar – OK Orion – M45</v>
      </c>
      <c r="DS139" s="53">
        <f t="shared" si="88"/>
        <v>445</v>
      </c>
      <c r="DT139" s="47" t="s">
        <v>0</v>
      </c>
      <c r="DU139" s="52" t="str">
        <f>IF(AL139="","",DX139 &amp; IF(CR139="",""," – " &amp; CR139))</f>
        <v>Ivo – Tišljar – OK Orion</v>
      </c>
      <c r="DV139" s="53">
        <f t="shared" si="89"/>
        <v>445</v>
      </c>
      <c r="DW139" s="47" t="s">
        <v>0</v>
      </c>
      <c r="DX139" s="52" t="str">
        <f>IF(BG139="","",BF139&amp;" – "&amp;BG139)</f>
        <v>Ivo – Tišljar</v>
      </c>
      <c r="DY139" s="53">
        <f t="shared" si="90"/>
        <v>445</v>
      </c>
      <c r="DZ139" s="47" t="s">
        <v>0</v>
      </c>
      <c r="EA139" s="58">
        <f t="shared" si="119"/>
        <v>445</v>
      </c>
      <c r="EB139" s="53" cm="1">
        <f t="array" ref="EB139">IF(EA139&lt;&gt;"",INDEX(regNatjecatelj_id,EA139,0),IF(BD139&lt;&gt;"",BD139,""))</f>
        <v>1249</v>
      </c>
      <c r="EC139" s="47" t="s">
        <v>0</v>
      </c>
      <c r="ED139" s="58" t="str">
        <f>IF(AL139="","",IF(BD139&lt;&gt;"","novo",IF(AN139="","imepre","imepre(ali)")))</f>
        <v>imepre</v>
      </c>
      <c r="EE139" s="73" t="str">
        <f>IF(AL139="","",IF(BL139="",IF(IFERROR(INDEX(regNatjecatelj_klub,MATCH(EB139,regNatjecatelj_id,0)),"NEMA")="","klu",""),IF(OR(AND(BN139&lt;&gt;"",BN139&lt;&gt;"NEMA"),CD139&lt;&gt;""),"klu(ali)",IF(AND(BP139&lt;&gt;"",BP139&lt;&gt;BO139),"(raz-klu)","klu"))))</f>
        <v>klu</v>
      </c>
      <c r="EF139" s="73" t="str">
        <f>IF(AL139="","","kat"&amp;IF(AND(W139&lt;&gt;Q139,Q139&lt;&gt;"Open"),"(ali)",""))</f>
        <v>kat</v>
      </c>
      <c r="EG139" s="73" t="str">
        <f t="shared" si="91"/>
        <v/>
      </c>
      <c r="EH139" s="66" t="str">
        <f>IF(AL139="","",ED139&amp;IF(ED139="novo","","-"&amp;EE139&amp;"-"&amp;EF139)&amp;IF(EG139="","","-"&amp;EG139))</f>
        <v>imepre-klu-kat</v>
      </c>
      <c r="EI139" s="47" t="s">
        <v>0</v>
      </c>
      <c r="EJ139" s="58">
        <f>IF(AL139="","",MAX(EJ$12:EJ138)+1)</f>
        <v>306</v>
      </c>
      <c r="EK139" s="73">
        <f>IF(AO139="","",X139)</f>
        <v>30</v>
      </c>
      <c r="EL139" s="73">
        <f t="shared" si="120"/>
        <v>1249</v>
      </c>
      <c r="EM139" s="73">
        <f t="shared" si="92"/>
        <v>3666</v>
      </c>
      <c r="EN139" s="73">
        <f t="shared" si="93"/>
        <v>1</v>
      </c>
      <c r="EO139" s="73">
        <f t="shared" si="121"/>
        <v>1</v>
      </c>
      <c r="EP139" s="73">
        <f t="shared" si="122"/>
        <v>1</v>
      </c>
      <c r="EQ139" s="73" t="str">
        <f t="shared" si="94"/>
        <v>0</v>
      </c>
      <c r="ER139" s="73" t="str">
        <f>IF(OR(AN139="",AN139="NEMA"),BB139,AN139)</f>
        <v/>
      </c>
      <c r="ES139" s="73" t="str">
        <f>IF(AND(BN139&lt;&gt;"",BN139&lt;&gt;"NEMA"),BN139,IF(CG139&lt;&gt;"",CG139,IF(AND(CL139&lt;&gt;"",CL139&lt;&gt;"NEMA"),CL139,IF(CM139&lt;&gt;"",CM139,""))))</f>
        <v/>
      </c>
      <c r="ET139" s="53" t="str">
        <f>IF(INDEX(natKategorija_alias_Id,MATCH(S139,natKategorija_katRegId,0))="","",INDEX(natKategorija_alias_Id,MATCH(S139,natKategorija_katRegId,0)))</f>
        <v/>
      </c>
      <c r="EU139" s="47" t="s">
        <v>0</v>
      </c>
      <c r="EV139" s="19" t="str">
        <f t="shared" si="123"/>
        <v>INSERT INTO rezultat(id,stazakategorija_id,imeprezime_id,vrijeme_sec,status_id,registracija,uparivanje_id,originalstatus_id,imeprezimealias_id,klubalias_id,kategorijaalias_id) VALUES (306,30,1249,3666,1,1,1,0,Null,Null,Null);</v>
      </c>
      <c r="EW139" s="47" t="s">
        <v>0</v>
      </c>
      <c r="EX139" s="19" t="str">
        <f t="shared" si="124"/>
        <v>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39" s="47" t="s">
        <v>0</v>
      </c>
      <c r="EZ139" s="180" t="str">
        <f>AG139&amp;IF(CP139="","","
")&amp;CP139&amp;IF(CI139="","","
")&amp;CI139&amp;IF(DN139="","","
")&amp;DN139&amp;IF(DP139="","","
")&amp;DP139&amp;IF(EV139="","","
")&amp;EV139&amp;IF(EX139="","","
")&amp;EX139</f>
        <v xml:space="preserve">
INSERT INTO rezultat(id,stazakategorija_id,imeprezime_id,vrijeme_sec,status_id,registracija,uparivanje_id,originalstatus_id,imeprezimealias_id,klubalias_id,kategorijaalias_id) VALUES (306,30,1249,3666,1,1,1,0,Null,Null,Null);
UPDATE
	registar
SET
	potvrda = 1
WHERE
	imeprezime_id=1249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39" s="47" t="s">
        <v>0</v>
      </c>
    </row>
    <row r="140" spans="1:157" x14ac:dyDescent="0.25">
      <c r="A140" t="s">
        <v>0</v>
      </c>
      <c r="B140" s="52" t="str">
        <f>IF(csv!F130="","",csv!T130)</f>
        <v>M45</v>
      </c>
      <c r="C140" s="31" t="s">
        <v>0</v>
      </c>
      <c r="D140" s="31" t="str">
        <f>IF(csv!F130="","",csv!F130)</f>
        <v>Ivan</v>
      </c>
      <c r="E140" s="31" t="str">
        <f>IF(csv!E130="","",csv!E130)</f>
        <v>Posinjak</v>
      </c>
      <c r="F140" s="31" t="s">
        <v>0</v>
      </c>
      <c r="G140" s="73" t="str">
        <f>IF(csv!M130="","",csv!M130)</f>
        <v>62:11</v>
      </c>
      <c r="H140" s="73" t="str">
        <f>IF(csv!N130="","",csv!N130)</f>
        <v>0</v>
      </c>
      <c r="I140" s="31" t="s">
        <v>0</v>
      </c>
      <c r="J140" s="31" t="str">
        <f>IF(csv!P130="","",csv!P130)</f>
        <v>KAP</v>
      </c>
      <c r="K140" s="31" t="str">
        <f>IF(csv!Q130="","",csv!Q130)</f>
        <v>OK Kapela</v>
      </c>
      <c r="L140" s="31" t="s">
        <v>0</v>
      </c>
      <c r="M140" s="66" t="str">
        <f>IF(csv!R130="","",csv!R130)</f>
        <v>CRO</v>
      </c>
      <c r="N140" s="47" t="s">
        <v>0</v>
      </c>
      <c r="O140" s="243" t="str">
        <f t="shared" si="95"/>
        <v>ok</v>
      </c>
      <c r="P140" s="47"/>
      <c r="Q140" s="52" t="str">
        <f t="shared" si="96"/>
        <v>M45</v>
      </c>
      <c r="R140" s="73">
        <f>IF(Q140="","",IF(COUNTIF(Q$12:Q139,Q140)=0,R139+1,R139))</f>
        <v>8</v>
      </c>
      <c r="S140" s="73">
        <f t="shared" si="97"/>
        <v>106</v>
      </c>
      <c r="T140" s="73">
        <f t="shared" si="72"/>
        <v>17</v>
      </c>
      <c r="U140" s="66" t="str">
        <f t="shared" si="73"/>
        <v>M45</v>
      </c>
      <c r="V140" s="47" t="s">
        <v>0</v>
      </c>
      <c r="W140" s="222" t="str">
        <f t="shared" si="74"/>
        <v>M45</v>
      </c>
      <c r="X140" s="223">
        <f t="shared" si="75"/>
        <v>30</v>
      </c>
      <c r="Y140" s="47" t="s">
        <v>0</v>
      </c>
      <c r="Z140" s="52" t="str">
        <f t="shared" si="98"/>
        <v>CRO</v>
      </c>
      <c r="AA140" s="73">
        <f t="shared" si="76"/>
        <v>1</v>
      </c>
      <c r="AB140" s="31" t="str">
        <f t="shared" si="99"/>
        <v/>
      </c>
      <c r="AC140" s="66" t="str">
        <f>IF(AB140="","",MAX(AC$12:AC139)+1)</f>
        <v/>
      </c>
      <c r="AD140" s="47" t="s">
        <v>0</v>
      </c>
      <c r="AE140" s="125"/>
      <c r="AF140" s="47" t="s">
        <v>0</v>
      </c>
      <c r="AG140" s="19" t="str">
        <f t="shared" si="100"/>
        <v/>
      </c>
      <c r="AH140" s="47" t="s">
        <v>0</v>
      </c>
      <c r="AI140" s="143" t="str">
        <f t="shared" si="101"/>
        <v>CRO</v>
      </c>
      <c r="AJ140" s="47"/>
      <c r="AK140" s="52" t="str">
        <f t="shared" si="102"/>
        <v>Ivan</v>
      </c>
      <c r="AL140" s="31" t="str">
        <f t="shared" si="103"/>
        <v>Posinjak</v>
      </c>
      <c r="AM140" s="73">
        <f t="shared" si="104"/>
        <v>1500</v>
      </c>
      <c r="AN140" s="73" t="str">
        <f t="shared" si="105"/>
        <v/>
      </c>
      <c r="AO140" s="31" t="str">
        <f t="shared" si="77"/>
        <v>Ivan</v>
      </c>
      <c r="AP140" s="66" t="str">
        <f t="shared" si="78"/>
        <v>Posinjak</v>
      </c>
      <c r="AQ140" s="47" t="s">
        <v>0</v>
      </c>
      <c r="AR140" s="82" t="str">
        <f t="shared" si="106"/>
        <v/>
      </c>
      <c r="AS140" s="47" t="s">
        <v>0</v>
      </c>
      <c r="AT140" s="19" t="str">
        <f t="shared" si="107"/>
        <v/>
      </c>
      <c r="AU140" s="47" t="s">
        <v>0</v>
      </c>
      <c r="AV140" s="103"/>
      <c r="AW140" s="105"/>
      <c r="AX140" s="47" t="s">
        <v>0</v>
      </c>
      <c r="AY140" s="256" t="str">
        <f t="shared" si="125"/>
        <v/>
      </c>
      <c r="AZ140" s="47" t="s">
        <v>0</v>
      </c>
      <c r="BA140" s="52" t="str">
        <f t="shared" si="79"/>
        <v/>
      </c>
      <c r="BB140" s="73" t="str">
        <f>IF(AV140&amp;AW140="","",MAX(BB$12:BB139)+1)</f>
        <v/>
      </c>
      <c r="BC140" s="268" t="str">
        <f t="shared" si="80"/>
        <v/>
      </c>
      <c r="BD140" s="53" t="str">
        <f>IF(AND(AM140="NEMA",AN140="NEMA",OR(AV140&amp;AW140="",BC140="NEMA")),MAX(BD$12:BD139)+1,"")</f>
        <v/>
      </c>
      <c r="BE140" s="47" t="s">
        <v>0</v>
      </c>
      <c r="BF140" s="52" t="str">
        <f t="shared" si="81"/>
        <v>Ivan</v>
      </c>
      <c r="BG140" s="31" t="str">
        <f t="shared" si="82"/>
        <v>Posinjak</v>
      </c>
      <c r="BH140" s="73" t="str">
        <f t="shared" si="108"/>
        <v/>
      </c>
      <c r="BI140" s="53">
        <f t="shared" si="109"/>
        <v>1500</v>
      </c>
      <c r="BJ140" s="47" t="s">
        <v>0</v>
      </c>
      <c r="BK140" s="52" t="str">
        <f t="shared" si="83"/>
        <v>KAP</v>
      </c>
      <c r="BL140" s="31" t="str">
        <f t="shared" si="84"/>
        <v>OK Kapela</v>
      </c>
      <c r="BM140" s="73">
        <f t="shared" si="85"/>
        <v>5</v>
      </c>
      <c r="BN140" s="73" t="str">
        <f t="shared" si="86"/>
        <v/>
      </c>
      <c r="BO140" s="31" t="str" cm="1">
        <f t="array" ref="BO140">IF(BN140="",""&amp;BL140,IF(BN140="NEMA",BL140,INDEX(regKlub_naziv,MATCH(INDEX(regKlub_alias_klubId,BN140),regKlub_id,0))))</f>
        <v>OK Kapela</v>
      </c>
      <c r="BP140" s="31" t="str" cm="1">
        <f t="array" ref="BP140">IFERROR(""&amp;INDEX(regNatjecatelj_klub,DY140),"")</f>
        <v>OK Kapela</v>
      </c>
      <c r="BQ140" s="88" t="str">
        <f t="shared" si="110"/>
        <v/>
      </c>
      <c r="BR140" s="66" t="str">
        <f t="shared" si="111"/>
        <v>OK Kapela</v>
      </c>
      <c r="BS140" s="47" t="s">
        <v>0</v>
      </c>
      <c r="BT140" s="82" t="str">
        <f>IF(BN140&lt;&gt;"NEMA","",IF(IFERROR(MATCH(BL140,BL$12:BL139,0),0)&lt;&gt;0,"",BL140))</f>
        <v/>
      </c>
      <c r="BU140" s="47" t="s">
        <v>0</v>
      </c>
      <c r="BV140" s="125"/>
      <c r="BW140" s="47" t="s">
        <v>0</v>
      </c>
      <c r="BX140" s="58" t="str">
        <f t="shared" si="112"/>
        <v/>
      </c>
      <c r="BY140" s="31" t="str">
        <f t="shared" si="113"/>
        <v/>
      </c>
      <c r="BZ140" s="31" t="str">
        <f>IF(BY140="","",MAX(BZ$12:BZ139)+1)</f>
        <v/>
      </c>
      <c r="CA140" s="31" t="str">
        <f>IF(BY140="","",IF(AA140="","",IF(AA140="NEMA",AC140,AA140)))</f>
        <v/>
      </c>
      <c r="CB140" s="31" t="str">
        <f t="shared" si="114"/>
        <v/>
      </c>
      <c r="CC140" s="31" t="str">
        <f>IF(BV140="","",MAX(CC$12:CC139)+1)</f>
        <v/>
      </c>
      <c r="CD140" s="31" t="str">
        <f t="shared" si="115"/>
        <v/>
      </c>
      <c r="CE140" s="66" t="str">
        <f t="shared" si="116"/>
        <v/>
      </c>
      <c r="CF140" s="47" t="s">
        <v>0</v>
      </c>
      <c r="CG140" s="73" t="str">
        <f>IF(BN140="","",IF(BN140&lt;&gt;"NEMA","",IFERROR(INDEX(nat_klubAliasId,MATCH(BL140,nat_noviKluboviAliasi,0)),"")))</f>
        <v/>
      </c>
      <c r="CH140" s="47"/>
      <c r="CI140" s="19" t="str">
        <f t="shared" si="117"/>
        <v/>
      </c>
      <c r="CJ140" s="47" t="s">
        <v>0</v>
      </c>
      <c r="CK140" s="52" t="str">
        <f>IF(X140&lt;&gt;"NEMA","",IF(IFERROR(MATCH(W140,W$12:W139,0),0)&lt;&gt;0,"",W140))</f>
        <v/>
      </c>
      <c r="CL140" s="73" t="str">
        <f>IF(CK140="","",IFERROR(INDEX(regKlub_alias_id,MATCH(CK140,regKlub_alias_alias,0)),"NEMA"))</f>
        <v/>
      </c>
      <c r="CM140" s="31" t="str">
        <f>IF(OR(CL140="",CL140&lt;&gt;"NEMA"),"",MAX(CM$12:CM139)+1)</f>
        <v/>
      </c>
      <c r="CN140" s="66" t="str">
        <f>IF(OR(CL140="",CL140&lt;&gt;"NEMA"),"",INDEX(regKlub_id,MATCH(CK140,regKlub_naziv,0)))</f>
        <v/>
      </c>
      <c r="CO140" s="47" t="s">
        <v>0</v>
      </c>
      <c r="CP140" s="19" t="str">
        <f>IF(OR(CL140="",CL140&lt;&gt;"NEMA"),"","INSERT INTO klub_alias(id,alias,klub_id) VALUES ("&amp;CM140&amp;",'"&amp;CK140&amp;"',"&amp;CN140&amp;");")</f>
        <v/>
      </c>
      <c r="CQ140" s="47" t="s">
        <v>0</v>
      </c>
      <c r="CR140" s="143" t="str">
        <f>IF(BR140="","",IF(BV140="",IF(IFERROR(MATCH(BR140,nat_noviKluboviAliasi,0),0)&gt;0,INDEX(nat_kluboviAliasi,MATCH(BR140,nat_noviKluboviAliasi,0)),BR140),BV140))</f>
        <v>OK Kapela</v>
      </c>
      <c r="CS140" s="47" t="s">
        <v>0</v>
      </c>
      <c r="CT140" s="58" t="str">
        <f>IF(G140="","",G140)</f>
        <v>62:11</v>
      </c>
      <c r="CU140" s="73" t="str">
        <f>IF(H140="","",H140)</f>
        <v>0</v>
      </c>
      <c r="CV140" s="229" t="str">
        <f>IF(CT140="",IF(OR(AL140="",CU140&lt;&gt;"0"),"","GREŠKA"),IF(AND(65535&gt;=VALUE(LEFT(CT140,SEARCH(":",CT140)-1))*60+VALUE(RIGHT(CT140,2)),OR(CU140="0",CU140="1",CU140="2",CU140="3",CU140="4")),"","GREŠKA"))</f>
        <v/>
      </c>
      <c r="CW140" s="230">
        <f t="shared" si="127"/>
        <v>3731</v>
      </c>
      <c r="CX140" s="163">
        <f t="shared" si="87"/>
        <v>1</v>
      </c>
      <c r="CY140" s="47" t="s">
        <v>0</v>
      </c>
      <c r="CZ140" s="222" t="str">
        <f>IF(CV140&lt;&gt;"GREŠKA","",AK140&amp;" "&amp;AL140&amp;" – Molim u OEventu provjeriti i ispraviti rezultat – vrijeme ("&amp;IF(CT140="","nije upisano",CT140)&amp;") i classifier ("&amp;CU140&amp;").")&amp;IF(OR(CV140&lt;&gt;"GREŠKA",CX140&lt;&gt;5),"
","")&amp;IF(CX140&lt;&gt;5,"",AK140&amp;" "&amp;AL140&amp;" – Molim u provjeriti je li natjecatelj zaista diskvalificiran. Ako je koje je obrazloženje, ako nije molim u OEventu ispraviti rezultat")</f>
        <v xml:space="preserve">
</v>
      </c>
      <c r="DA140" s="223">
        <f t="shared" si="118"/>
        <v>6</v>
      </c>
      <c r="DB140" s="47" t="s">
        <v>0</v>
      </c>
      <c r="DC140" s="47"/>
      <c r="DD140" s="47"/>
      <c r="DE140" s="47"/>
      <c r="DF140" s="47" t="s">
        <v>0</v>
      </c>
      <c r="DG140" s="53" t="str">
        <f>IF(BD140="","",IF(DI140="O",1,""))</f>
        <v/>
      </c>
      <c r="DH140" t="s">
        <v>0</v>
      </c>
      <c r="DI140" s="128" t="str">
        <f>IF(Q140="","",LEFT(INDEX(regKategorija_oznaka,MATCH(S140,regKategorija_id,0)),1))</f>
        <v>M</v>
      </c>
      <c r="DJ140" t="s">
        <v>0</v>
      </c>
      <c r="DK140" s="52" t="str">
        <f>IF(BD140="","",IF(M140&lt;&gt;"CRO","","INSERT INTO osoba (id,reg_broj,oib,spol_id,dat_rodjenja) VALUES ("&amp;BD140&amp;",(SELECT max(os.reg_broj)+1 FROM osoba AS os),Null,'"&amp;DI140&amp;"',Null); INSERT INTO osoba_log (id,reg_broj,oib,spol_id,dat_rodjenja,dnevnik_id) SELECT id,reg_broj,oib,spol_id,dat_rodjenja,"&amp;data_dnevnik_id&amp;" FROM osoba WHERE id = "&amp;BD140&amp;";"))</f>
        <v/>
      </c>
      <c r="DL140" s="66" t="str">
        <f>IF(BD140="","","INSERT INTO imeprezime (id,osoba_id,rbr,ime,prezime,klub_id,identitet_id,sintaksa_id,info,aktivno,dnevnik_id) VALUES ("&amp;BD140&amp;","&amp;IF(DK140="","Null",BD140)&amp;",1,'"&amp;IF(AV140&lt;&gt;"",AV140,AK140)&amp;"','"&amp;IF(AW140&lt;&gt;"",AW140,AL140)&amp;"',(SELECT id FROM klub WHERE naziv = '"&amp;CR140&amp;"'),Null,1,'',1,"&amp;data_dnevnik_id&amp;");")</f>
        <v/>
      </c>
      <c r="DM140" t="s">
        <v>0</v>
      </c>
      <c r="DN140" s="19" t="str">
        <f t="shared" si="126"/>
        <v/>
      </c>
      <c r="DO140" s="47" t="s">
        <v>0</v>
      </c>
      <c r="DP140" s="19" t="str">
        <f>IF(BA140="","","INSERT INTO imeprezime_alias(id,alias,imeprezime_id) VALUES ("&amp;BB140&amp;",'"&amp;BA140&amp;"',"&amp;IF(BC140="NEMA",BD140,BC140)&amp;");")</f>
        <v/>
      </c>
      <c r="DQ140" s="47" t="s">
        <v>0</v>
      </c>
      <c r="DR140" s="52" t="str">
        <f>IF(AL140="","",DU140 &amp; IF(Q140="",""," – " &amp; Q140))</f>
        <v>Ivan – Posinjak – OK Kapela – M45</v>
      </c>
      <c r="DS140" s="53">
        <f t="shared" si="88"/>
        <v>298</v>
      </c>
      <c r="DT140" s="47" t="s">
        <v>0</v>
      </c>
      <c r="DU140" s="52" t="str">
        <f>IF(AL140="","",DX140 &amp; IF(CR140="",""," – " &amp; CR140))</f>
        <v>Ivan – Posinjak – OK Kapela</v>
      </c>
      <c r="DV140" s="53">
        <f t="shared" si="89"/>
        <v>298</v>
      </c>
      <c r="DW140" s="47" t="s">
        <v>0</v>
      </c>
      <c r="DX140" s="52" t="str">
        <f>IF(BG140="","",BF140&amp;" – "&amp;BG140)</f>
        <v>Ivan – Posinjak</v>
      </c>
      <c r="DY140" s="53">
        <f t="shared" si="90"/>
        <v>298</v>
      </c>
      <c r="DZ140" s="47" t="s">
        <v>0</v>
      </c>
      <c r="EA140" s="58">
        <f t="shared" si="119"/>
        <v>298</v>
      </c>
      <c r="EB140" s="53" cm="1">
        <f t="array" ref="EB140">IF(EA140&lt;&gt;"",INDEX(regNatjecatelj_id,EA140,0),IF(BD140&lt;&gt;"",BD140,""))</f>
        <v>1500</v>
      </c>
      <c r="EC140" s="47" t="s">
        <v>0</v>
      </c>
      <c r="ED140" s="58" t="str">
        <f>IF(AL140="","",IF(BD140&lt;&gt;"","novo",IF(AN140="","imepre","imepre(ali)")))</f>
        <v>imepre</v>
      </c>
      <c r="EE140" s="73" t="str">
        <f>IF(AL140="","",IF(BL140="",IF(IFERROR(INDEX(regNatjecatelj_klub,MATCH(EB140,regNatjecatelj_id,0)),"NEMA")="","klu",""),IF(OR(AND(BN140&lt;&gt;"",BN140&lt;&gt;"NEMA"),CD140&lt;&gt;""),"klu(ali)",IF(AND(BP140&lt;&gt;"",BP140&lt;&gt;BO140),"(raz-klu)","klu"))))</f>
        <v>klu</v>
      </c>
      <c r="EF140" s="73" t="str">
        <f>IF(AL140="","","kat"&amp;IF(AND(W140&lt;&gt;Q140,Q140&lt;&gt;"Open"),"(ali)",""))</f>
        <v>kat</v>
      </c>
      <c r="EG140" s="73" t="str">
        <f t="shared" si="91"/>
        <v/>
      </c>
      <c r="EH140" s="66" t="str">
        <f>IF(AL140="","",ED140&amp;IF(ED140="novo","","-"&amp;EE140&amp;"-"&amp;EF140)&amp;IF(EG140="","","-"&amp;EG140))</f>
        <v>imepre-klu-kat</v>
      </c>
      <c r="EI140" s="47" t="s">
        <v>0</v>
      </c>
      <c r="EJ140" s="58">
        <f>IF(AL140="","",MAX(EJ$12:EJ139)+1)</f>
        <v>307</v>
      </c>
      <c r="EK140" s="73">
        <f>IF(AO140="","",X140)</f>
        <v>30</v>
      </c>
      <c r="EL140" s="73">
        <f t="shared" si="120"/>
        <v>1500</v>
      </c>
      <c r="EM140" s="73">
        <f t="shared" si="92"/>
        <v>3731</v>
      </c>
      <c r="EN140" s="73">
        <f t="shared" si="93"/>
        <v>1</v>
      </c>
      <c r="EO140" s="73">
        <f t="shared" si="121"/>
        <v>1</v>
      </c>
      <c r="EP140" s="73">
        <f t="shared" si="122"/>
        <v>1</v>
      </c>
      <c r="EQ140" s="73" t="str">
        <f t="shared" si="94"/>
        <v>0</v>
      </c>
      <c r="ER140" s="73" t="str">
        <f>IF(OR(AN140="",AN140="NEMA"),BB140,AN140)</f>
        <v/>
      </c>
      <c r="ES140" s="73" t="str">
        <f>IF(AND(BN140&lt;&gt;"",BN140&lt;&gt;"NEMA"),BN140,IF(CG140&lt;&gt;"",CG140,IF(AND(CL140&lt;&gt;"",CL140&lt;&gt;"NEMA"),CL140,IF(CM140&lt;&gt;"",CM140,""))))</f>
        <v/>
      </c>
      <c r="ET140" s="53" t="str">
        <f>IF(INDEX(natKategorija_alias_Id,MATCH(S140,natKategorija_katRegId,0))="","",INDEX(natKategorija_alias_Id,MATCH(S140,natKategorija_katRegId,0)))</f>
        <v/>
      </c>
      <c r="EU140" s="47" t="s">
        <v>0</v>
      </c>
      <c r="EV140" s="19" t="str">
        <f t="shared" si="123"/>
        <v>INSERT INTO rezultat(id,stazakategorija_id,imeprezime_id,vrijeme_sec,status_id,registracija,uparivanje_id,originalstatus_id,imeprezimealias_id,klubalias_id,kategorijaalias_id) VALUES (307,30,1500,3731,1,1,1,0,Null,Null,Null);</v>
      </c>
      <c r="EW140" s="47" t="s">
        <v>0</v>
      </c>
      <c r="EX140" s="19" t="str">
        <f t="shared" si="124"/>
        <v>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0" s="47" t="s">
        <v>0</v>
      </c>
      <c r="EZ140" s="180" t="str">
        <f>AG140&amp;IF(CP140="","","
")&amp;CP140&amp;IF(CI140="","","
")&amp;CI140&amp;IF(DN140="","","
")&amp;DN140&amp;IF(DP140="","","
")&amp;DP140&amp;IF(EV140="","","
")&amp;EV140&amp;IF(EX140="","","
")&amp;EX140</f>
        <v xml:space="preserve">
INSERT INTO rezultat(id,stazakategorija_id,imeprezime_id,vrijeme_sec,status_id,registracija,uparivanje_id,originalstatus_id,imeprezimealias_id,klubalias_id,kategorijaalias_id) VALUES (307,30,1500,3731,1,1,1,0,Null,Null,Null);
UPDATE
	registar
SET
	potvrda = 1
WHERE
	imeprezime_id=1500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0" s="47" t="s">
        <v>0</v>
      </c>
    </row>
    <row r="141" spans="1:157" x14ac:dyDescent="0.25">
      <c r="A141" t="s">
        <v>0</v>
      </c>
      <c r="B141" s="52" t="str">
        <f>IF(csv!F131="","",csv!T131)</f>
        <v>M45</v>
      </c>
      <c r="C141" s="31" t="s">
        <v>0</v>
      </c>
      <c r="D141" s="31" t="str">
        <f>IF(csv!F131="","",csv!F131)</f>
        <v>Ivan Ivo</v>
      </c>
      <c r="E141" s="31" t="str">
        <f>IF(csv!E131="","",csv!E131)</f>
        <v>Penić</v>
      </c>
      <c r="F141" s="31" t="s">
        <v>0</v>
      </c>
      <c r="G141" s="73" t="str">
        <f>IF(csv!M131="","",csv!M131)</f>
        <v>62:29</v>
      </c>
      <c r="H141" s="73" t="str">
        <f>IF(csv!N131="","",csv!N131)</f>
        <v>0</v>
      </c>
      <c r="I141" s="31" t="s">
        <v>0</v>
      </c>
      <c r="J141" s="31" t="str">
        <f>IF(csv!P131="","",csv!P131)</f>
        <v>KAP</v>
      </c>
      <c r="K141" s="31" t="str">
        <f>IF(csv!Q131="","",csv!Q131)</f>
        <v>OK Kapela</v>
      </c>
      <c r="L141" s="31" t="s">
        <v>0</v>
      </c>
      <c r="M141" s="66" t="str">
        <f>IF(csv!R131="","",csv!R131)</f>
        <v>CRO</v>
      </c>
      <c r="N141" s="47" t="s">
        <v>0</v>
      </c>
      <c r="O141" s="243" t="str">
        <f t="shared" si="95"/>
        <v>ok</v>
      </c>
      <c r="P141" s="47"/>
      <c r="Q141" s="52" t="str">
        <f t="shared" si="96"/>
        <v>M45</v>
      </c>
      <c r="R141" s="73">
        <f>IF(Q141="","",IF(COUNTIF(Q$12:Q140,Q141)=0,R140+1,R140))</f>
        <v>8</v>
      </c>
      <c r="S141" s="73">
        <f t="shared" si="97"/>
        <v>106</v>
      </c>
      <c r="T141" s="73">
        <f t="shared" ref="T141:T204" si="128">IF(Q141="","",IFERROR(INDEX(natStaza_id,MATCH(Q141,natStaza_kategorija,0)),""))</f>
        <v>17</v>
      </c>
      <c r="U141" s="66" t="str">
        <f t="shared" ref="U141:U204" si="129">IF(T141="","",INDEX(natStaza_naziv,MATCH(T141,natStaza_id,0)))</f>
        <v>M45</v>
      </c>
      <c r="V141" s="47" t="s">
        <v>0</v>
      </c>
      <c r="W141" s="222" t="str">
        <f t="shared" ref="W141:W204" si="130">IF(O141="","",INDEX(regKategorija_oznaka,MATCH(S141,regKategorija_id,0)))</f>
        <v>M45</v>
      </c>
      <c r="X141" s="223">
        <f t="shared" ref="X141:X204" si="131">IF(W141="","",INDEX(natKategorija_stazaKatId,MATCH(S141,natKategorija_katRegId,0)))</f>
        <v>30</v>
      </c>
      <c r="Y141" s="47" t="s">
        <v>0</v>
      </c>
      <c r="Z141" s="52" t="str">
        <f t="shared" si="98"/>
        <v>CRO</v>
      </c>
      <c r="AA141" s="73">
        <f t="shared" ref="AA141:AA204" si="132">IF(Z141="","",IFERROR(INDEX(regDrzava_id,MATCH(Z141,regDrzava_oznaka,0)),"NEMA"))</f>
        <v>1</v>
      </c>
      <c r="AB141" s="31" t="str">
        <f t="shared" si="99"/>
        <v/>
      </c>
      <c r="AC141" s="66" t="str">
        <f>IF(AB141="","",MAX(AC$12:AC140)+1)</f>
        <v/>
      </c>
      <c r="AD141" s="47" t="s">
        <v>0</v>
      </c>
      <c r="AE141" s="125"/>
      <c r="AF141" s="47" t="s">
        <v>0</v>
      </c>
      <c r="AG141" s="19" t="str">
        <f t="shared" si="100"/>
        <v/>
      </c>
      <c r="AH141" s="47" t="s">
        <v>0</v>
      </c>
      <c r="AI141" s="143" t="str">
        <f t="shared" si="101"/>
        <v>CRO</v>
      </c>
      <c r="AJ141" s="47"/>
      <c r="AK141" s="52" t="str">
        <f t="shared" si="102"/>
        <v>Ivan Ivo</v>
      </c>
      <c r="AL141" s="31" t="str">
        <f t="shared" si="103"/>
        <v>Penić</v>
      </c>
      <c r="AM141" s="73">
        <f t="shared" si="104"/>
        <v>1211</v>
      </c>
      <c r="AN141" s="73" t="str">
        <f t="shared" si="105"/>
        <v/>
      </c>
      <c r="AO141" s="31" t="str">
        <f t="shared" ref="AO141:AO204" si="133">IF(O141="","",IF(OR(AN141="",AN141="NEMA"),AK141,INDEX(regNatjecatelj_ime,MATCH(AN141,regNatjecatelj_id,0))))</f>
        <v>Ivan Ivo</v>
      </c>
      <c r="AP141" s="66" t="str">
        <f t="shared" ref="AP141:AP204" si="134">IF(O141="","",IF(OR(AN141="",AN141="NEMA"),AL141,INDEX(regNatjecatelj_prezime,MATCH(AN141,regNatjecatelj_id,0))))</f>
        <v>Penić</v>
      </c>
      <c r="AQ141" s="47" t="s">
        <v>0</v>
      </c>
      <c r="AR141" s="82" t="str">
        <f t="shared" si="106"/>
        <v/>
      </c>
      <c r="AS141" s="47" t="s">
        <v>0</v>
      </c>
      <c r="AT141" s="19" t="str">
        <f t="shared" si="107"/>
        <v/>
      </c>
      <c r="AU141" s="47" t="s">
        <v>0</v>
      </c>
      <c r="AV141" s="103"/>
      <c r="AW141" s="105"/>
      <c r="AX141" s="47" t="s">
        <v>0</v>
      </c>
      <c r="AY141" s="256" t="str">
        <f t="shared" si="125"/>
        <v/>
      </c>
      <c r="AZ141" s="47" t="s">
        <v>0</v>
      </c>
      <c r="BA141" s="52" t="str">
        <f t="shared" ref="BA141:BA204" si="135">IF(AV141&amp;AW141="","",AR141)</f>
        <v/>
      </c>
      <c r="BB141" s="73" t="str">
        <f>IF(AV141&amp;AW141="","",MAX(BB$12:BB140)+1)</f>
        <v/>
      </c>
      <c r="BC141" s="268" t="str">
        <f t="shared" ref="BC141:BC204" si="136">IF(AV141&amp;AW141="","",IFERROR(INDEX(regNatjecatelj_id,MATCH(AV141&amp;" – "&amp;AW141,regNatjecatelj_imePrezime,0)),"NEMA"))</f>
        <v/>
      </c>
      <c r="BD141" s="53" t="str">
        <f>IF(AND(AM141="NEMA",AN141="NEMA",OR(AV141&amp;AW141="",BC141="NEMA")),MAX(BD$12:BD140)+1,"")</f>
        <v/>
      </c>
      <c r="BE141" s="47" t="s">
        <v>0</v>
      </c>
      <c r="BF141" s="52" t="str">
        <f t="shared" ref="BF141:BF204" si="137">IF(O141="","",IF(BC141="",AO141,IF(BC141="NEMA",AV141,INDEX(regNatjecatelj_ime,MATCH(BC141,regNatjecatelj_id,0)))))</f>
        <v>Ivan Ivo</v>
      </c>
      <c r="BG141" s="31" t="str">
        <f t="shared" ref="BG141:BG204" si="138">IF(O141="","",IF(BC141="",AP141,IF(BC141="NEMA",AW141,INDEX(regNatjecatelj_prezime,MATCH(BC141,regNatjecatelj_id,0)))))</f>
        <v>Penić</v>
      </c>
      <c r="BH141" s="73" t="str">
        <f t="shared" si="108"/>
        <v/>
      </c>
      <c r="BI141" s="53">
        <f t="shared" si="109"/>
        <v>1211</v>
      </c>
      <c r="BJ141" s="47" t="s">
        <v>0</v>
      </c>
      <c r="BK141" s="52" t="str">
        <f t="shared" ref="BK141:BK204" si="139">IF(O141="","",J141)</f>
        <v>KAP</v>
      </c>
      <c r="BL141" s="31" t="str">
        <f t="shared" ref="BL141:BL204" si="140">IF(O141="","",K141)</f>
        <v>OK Kapela</v>
      </c>
      <c r="BM141" s="73">
        <f t="shared" ref="BM141:BM204" si="141">IF(BL141="","",IFERROR(INDEX(regKlub_id,MATCH(BL141,regKlub_naziv,0)),"NEMA"))</f>
        <v>5</v>
      </c>
      <c r="BN141" s="73" t="str">
        <f t="shared" ref="BN141:BN204" si="142">IF(BL141="","",IF(IFERROR(MATCH(BL141,regKlub_naziv,0),"")&lt;&gt;"","",IFERROR(MATCH(BL141,regKlub_alias_alias,0),"NEMA")))</f>
        <v/>
      </c>
      <c r="BO141" s="31" t="str" cm="1">
        <f t="array" ref="BO141">IF(BN141="",""&amp;BL141,IF(BN141="NEMA",BL141,INDEX(regKlub_naziv,MATCH(INDEX(regKlub_alias_klubId,BN141),regKlub_id,0))))</f>
        <v>OK Kapela</v>
      </c>
      <c r="BP141" s="31" t="str" cm="1">
        <f t="array" ref="BP141">IFERROR(""&amp;INDEX(regNatjecatelj_klub,DY141),"")</f>
        <v>OK Kapela</v>
      </c>
      <c r="BQ141" s="88" t="str">
        <f t="shared" si="110"/>
        <v/>
      </c>
      <c r="BR141" s="66" t="str">
        <f t="shared" si="111"/>
        <v>OK Kapela</v>
      </c>
      <c r="BS141" s="47" t="s">
        <v>0</v>
      </c>
      <c r="BT141" s="82" t="str">
        <f>IF(BN141&lt;&gt;"NEMA","",IF(IFERROR(MATCH(BL141,BL$12:BL140,0),0)&lt;&gt;0,"",BL141))</f>
        <v/>
      </c>
      <c r="BU141" s="47" t="s">
        <v>0</v>
      </c>
      <c r="BV141" s="125"/>
      <c r="BW141" s="47" t="s">
        <v>0</v>
      </c>
      <c r="BX141" s="58" t="str">
        <f t="shared" si="112"/>
        <v/>
      </c>
      <c r="BY141" s="31" t="str">
        <f t="shared" si="113"/>
        <v/>
      </c>
      <c r="BZ141" s="31" t="str">
        <f>IF(BY141="","",MAX(BZ$12:BZ140)+1)</f>
        <v/>
      </c>
      <c r="CA141" s="31" t="str">
        <f>IF(BY141="","",IF(AA141="","",IF(AA141="NEMA",AC141,AA141)))</f>
        <v/>
      </c>
      <c r="CB141" s="31" t="str">
        <f t="shared" si="114"/>
        <v/>
      </c>
      <c r="CC141" s="31" t="str">
        <f>IF(BV141="","",MAX(CC$12:CC140)+1)</f>
        <v/>
      </c>
      <c r="CD141" s="31" t="str">
        <f t="shared" si="115"/>
        <v/>
      </c>
      <c r="CE141" s="66" t="str">
        <f t="shared" si="116"/>
        <v/>
      </c>
      <c r="CF141" s="47" t="s">
        <v>0</v>
      </c>
      <c r="CG141" s="73" t="str">
        <f>IF(BN141="","",IF(BN141&lt;&gt;"NEMA","",IFERROR(INDEX(nat_klubAliasId,MATCH(BL141,nat_noviKluboviAliasi,0)),"")))</f>
        <v/>
      </c>
      <c r="CH141" s="47"/>
      <c r="CI141" s="19" t="str">
        <f t="shared" si="117"/>
        <v/>
      </c>
      <c r="CJ141" s="47" t="s">
        <v>0</v>
      </c>
      <c r="CK141" s="52" t="str">
        <f>IF(X141&lt;&gt;"NEMA","",IF(IFERROR(MATCH(W141,W$12:W140,0),0)&lt;&gt;0,"",W141))</f>
        <v/>
      </c>
      <c r="CL141" s="73" t="str">
        <f>IF(CK141="","",IFERROR(INDEX(regKlub_alias_id,MATCH(CK141,regKlub_alias_alias,0)),"NEMA"))</f>
        <v/>
      </c>
      <c r="CM141" s="31" t="str">
        <f>IF(OR(CL141="",CL141&lt;&gt;"NEMA"),"",MAX(CM$12:CM140)+1)</f>
        <v/>
      </c>
      <c r="CN141" s="66" t="str">
        <f>IF(OR(CL141="",CL141&lt;&gt;"NEMA"),"",INDEX(regKlub_id,MATCH(CK141,regKlub_naziv,0)))</f>
        <v/>
      </c>
      <c r="CO141" s="47" t="s">
        <v>0</v>
      </c>
      <c r="CP141" s="19" t="str">
        <f>IF(OR(CL141="",CL141&lt;&gt;"NEMA"),"","INSERT INTO klub_alias(id,alias,klub_id) VALUES ("&amp;CM141&amp;",'"&amp;CK141&amp;"',"&amp;CN141&amp;");")</f>
        <v/>
      </c>
      <c r="CQ141" s="47" t="s">
        <v>0</v>
      </c>
      <c r="CR141" s="143" t="str">
        <f>IF(BR141="","",IF(BV141="",IF(IFERROR(MATCH(BR141,nat_noviKluboviAliasi,0),0)&gt;0,INDEX(nat_kluboviAliasi,MATCH(BR141,nat_noviKluboviAliasi,0)),BR141),BV141))</f>
        <v>OK Kapela</v>
      </c>
      <c r="CS141" s="47" t="s">
        <v>0</v>
      </c>
      <c r="CT141" s="58" t="str">
        <f>IF(G141="","",G141)</f>
        <v>62:29</v>
      </c>
      <c r="CU141" s="73" t="str">
        <f>IF(H141="","",H141)</f>
        <v>0</v>
      </c>
      <c r="CV141" s="229" t="str">
        <f>IF(CT141="",IF(OR(AL141="",CU141&lt;&gt;"0"),"","GREŠKA"),IF(AND(65535&gt;=VALUE(LEFT(CT141,SEARCH(":",CT141)-1))*60+VALUE(RIGHT(CT141,2)),OR(CU141="0",CU141="1",CU141="2",CU141="3",CU141="4")),"","GREŠKA"))</f>
        <v/>
      </c>
      <c r="CW141" s="230">
        <f t="shared" si="127"/>
        <v>3749</v>
      </c>
      <c r="CX141" s="163">
        <f t="shared" ref="CX141:CX204" si="143">IF(DX141="","",IF(AND(CU141="0",N(CW141)&gt;data_max_minuta*60),2,INDEX(regStatusRezultat_id,MATCH(VALUE(CU141),regStatusRezultat_oEvent,0))))</f>
        <v>1</v>
      </c>
      <c r="CY141" s="47" t="s">
        <v>0</v>
      </c>
      <c r="CZ141" s="222" t="str">
        <f>IF(CV141&lt;&gt;"GREŠKA","",AK141&amp;" "&amp;AL141&amp;" – Molim u OEventu provjeriti i ispraviti rezultat – vrijeme ("&amp;IF(CT141="","nije upisano",CT141)&amp;") i classifier ("&amp;CU141&amp;").")&amp;IF(OR(CV141&lt;&gt;"GREŠKA",CX141&lt;&gt;5),"
","")&amp;IF(CX141&lt;&gt;5,"",AK141&amp;" "&amp;AL141&amp;" – Molim u provjeriti je li natjecatelj zaista diskvalificiran. Ako je koje je obrazloženje, ako nije molim u OEventu ispraviti rezultat")</f>
        <v xml:space="preserve">
</v>
      </c>
      <c r="DA141" s="223">
        <f t="shared" si="118"/>
        <v>6</v>
      </c>
      <c r="DB141" s="47" t="s">
        <v>0</v>
      </c>
      <c r="DC141" s="47"/>
      <c r="DD141" s="47"/>
      <c r="DE141" s="47"/>
      <c r="DF141" s="47" t="s">
        <v>0</v>
      </c>
      <c r="DG141" s="53" t="str">
        <f>IF(BD141="","",IF(DI141="O",1,""))</f>
        <v/>
      </c>
      <c r="DH141" t="s">
        <v>0</v>
      </c>
      <c r="DI141" s="128" t="str">
        <f>IF(Q141="","",LEFT(INDEX(regKategorija_oznaka,MATCH(S141,regKategorija_id,0)),1))</f>
        <v>M</v>
      </c>
      <c r="DJ141" t="s">
        <v>0</v>
      </c>
      <c r="DK141" s="52" t="str">
        <f>IF(BD141="","",IF(M141&lt;&gt;"CRO","","INSERT INTO osoba (id,reg_broj,oib,spol_id,dat_rodjenja) VALUES ("&amp;BD141&amp;",(SELECT max(os.reg_broj)+1 FROM osoba AS os),Null,'"&amp;DI141&amp;"',Null); INSERT INTO osoba_log (id,reg_broj,oib,spol_id,dat_rodjenja,dnevnik_id) SELECT id,reg_broj,oib,spol_id,dat_rodjenja,"&amp;data_dnevnik_id&amp;" FROM osoba WHERE id = "&amp;BD141&amp;";"))</f>
        <v/>
      </c>
      <c r="DL141" s="66" t="str">
        <f>IF(BD141="","","INSERT INTO imeprezime (id,osoba_id,rbr,ime,prezime,klub_id,identitet_id,sintaksa_id,info,aktivno,dnevnik_id) VALUES ("&amp;BD141&amp;","&amp;IF(DK141="","Null",BD141)&amp;",1,'"&amp;IF(AV141&lt;&gt;"",AV141,AK141)&amp;"','"&amp;IF(AW141&lt;&gt;"",AW141,AL141)&amp;"',(SELECT id FROM klub WHERE naziv = '"&amp;CR141&amp;"'),Null,1,'',1,"&amp;data_dnevnik_id&amp;");")</f>
        <v/>
      </c>
      <c r="DM141" t="s">
        <v>0</v>
      </c>
      <c r="DN141" s="19" t="str">
        <f t="shared" si="126"/>
        <v/>
      </c>
      <c r="DO141" s="47" t="s">
        <v>0</v>
      </c>
      <c r="DP141" s="19" t="str">
        <f>IF(BA141="","","INSERT INTO imeprezime_alias(id,alias,imeprezime_id) VALUES ("&amp;BB141&amp;",'"&amp;BA141&amp;"',"&amp;IF(BC141="NEMA",BD141,BC141)&amp;");")</f>
        <v/>
      </c>
      <c r="DQ141" s="47" t="s">
        <v>0</v>
      </c>
      <c r="DR141" s="52" t="str">
        <f>IF(AL141="","",DU141 &amp; IF(Q141="",""," – " &amp; Q141))</f>
        <v>Ivan Ivo – Penić – OK Kapela – M45</v>
      </c>
      <c r="DS141" s="53">
        <f t="shared" ref="DS141:DS204" si="144">IF(DR141="","",IFERROR(MATCH(DR141,regNatjecatelj_imePrezimeKlubKategorija,0),"NEMA"))</f>
        <v>293</v>
      </c>
      <c r="DT141" s="47" t="s">
        <v>0</v>
      </c>
      <c r="DU141" s="52" t="str">
        <f>IF(AL141="","",DX141 &amp; IF(CR141="",""," – " &amp; CR141))</f>
        <v>Ivan Ivo – Penić – OK Kapela</v>
      </c>
      <c r="DV141" s="53">
        <f t="shared" ref="DV141:DV204" si="145">IF(DU141="","",IFERROR(MATCH(DU141,regNatjecatelj_imePrezimeKlub,0),"NEMA"))</f>
        <v>293</v>
      </c>
      <c r="DW141" s="47" t="s">
        <v>0</v>
      </c>
      <c r="DX141" s="52" t="str">
        <f>IF(BG141="","",BF141&amp;" – "&amp;BG141)</f>
        <v>Ivan Ivo – Penić</v>
      </c>
      <c r="DY141" s="53">
        <f t="shared" ref="DY141:DY204" si="146">IF(DX141="","",IFERROR(MATCH(DX141,regNatjecatelj_imePrezime,0),"NEMA"))</f>
        <v>293</v>
      </c>
      <c r="DZ141" s="47" t="s">
        <v>0</v>
      </c>
      <c r="EA141" s="58">
        <f t="shared" si="119"/>
        <v>293</v>
      </c>
      <c r="EB141" s="53" cm="1">
        <f t="array" ref="EB141">IF(EA141&lt;&gt;"",INDEX(regNatjecatelj_id,EA141,0),IF(BD141&lt;&gt;"",BD141,""))</f>
        <v>1211</v>
      </c>
      <c r="EC141" s="47" t="s">
        <v>0</v>
      </c>
      <c r="ED141" s="58" t="str">
        <f>IF(AL141="","",IF(BD141&lt;&gt;"","novo",IF(AN141="","imepre","imepre(ali)")))</f>
        <v>imepre</v>
      </c>
      <c r="EE141" s="73" t="str">
        <f>IF(AL141="","",IF(BL141="",IF(IFERROR(INDEX(regNatjecatelj_klub,MATCH(EB141,regNatjecatelj_id,0)),"NEMA")="","klu",""),IF(OR(AND(BN141&lt;&gt;"",BN141&lt;&gt;"NEMA"),CD141&lt;&gt;""),"klu(ali)",IF(AND(BP141&lt;&gt;"",BP141&lt;&gt;BO141),"(raz-klu)","klu"))))</f>
        <v>klu</v>
      </c>
      <c r="EF141" s="73" t="str">
        <f>IF(AL141="","","kat"&amp;IF(AND(W141&lt;&gt;Q141,Q141&lt;&gt;"Open"),"(ali)",""))</f>
        <v>kat</v>
      </c>
      <c r="EG141" s="73" t="str">
        <f t="shared" ref="EG141:EG204" si="147">IF(OR(CV141&lt;&gt;"",CX141=2),"ot","")</f>
        <v/>
      </c>
      <c r="EH141" s="66" t="str">
        <f>IF(AL141="","",ED141&amp;IF(ED141="novo","","-"&amp;EE141&amp;"-"&amp;EF141)&amp;IF(EG141="","","-"&amp;EG141))</f>
        <v>imepre-klu-kat</v>
      </c>
      <c r="EI141" s="47" t="s">
        <v>0</v>
      </c>
      <c r="EJ141" s="58">
        <f>IF(AL141="","",MAX(EJ$12:EJ140)+1)</f>
        <v>308</v>
      </c>
      <c r="EK141" s="73">
        <f>IF(AO141="","",X141)</f>
        <v>30</v>
      </c>
      <c r="EL141" s="73">
        <f t="shared" si="120"/>
        <v>1211</v>
      </c>
      <c r="EM141" s="73">
        <f t="shared" ref="EM141:EM204" si="148">IF(CW141="","",CW141)</f>
        <v>3749</v>
      </c>
      <c r="EN141" s="73">
        <f t="shared" ref="EN141:EN204" si="149">IF(CX141="","",IF(AND(EM141="",CX141=1),6,CX141))</f>
        <v>1</v>
      </c>
      <c r="EO141" s="73">
        <f t="shared" si="121"/>
        <v>1</v>
      </c>
      <c r="EP141" s="73">
        <f t="shared" si="122"/>
        <v>1</v>
      </c>
      <c r="EQ141" s="73" t="str">
        <f t="shared" ref="EQ141:EQ204" si="150">IF(CX141="","",CU141)</f>
        <v>0</v>
      </c>
      <c r="ER141" s="73" t="str">
        <f>IF(OR(AN141="",AN141="NEMA"),BB141,AN141)</f>
        <v/>
      </c>
      <c r="ES141" s="73" t="str">
        <f>IF(AND(BN141&lt;&gt;"",BN141&lt;&gt;"NEMA"),BN141,IF(CG141&lt;&gt;"",CG141,IF(AND(CL141&lt;&gt;"",CL141&lt;&gt;"NEMA"),CL141,IF(CM141&lt;&gt;"",CM141,""))))</f>
        <v/>
      </c>
      <c r="ET141" s="53" t="str">
        <f>IF(INDEX(natKategorija_alias_Id,MATCH(S141,natKategorija_katRegId,0))="","",INDEX(natKategorija_alias_Id,MATCH(S141,natKategorija_katRegId,0)))</f>
        <v/>
      </c>
      <c r="EU141" s="47" t="s">
        <v>0</v>
      </c>
      <c r="EV141" s="19" t="str">
        <f t="shared" si="123"/>
        <v>INSERT INTO rezultat(id,stazakategorija_id,imeprezime_id,vrijeme_sec,status_id,registracija,uparivanje_id,originalstatus_id,imeprezimealias_id,klubalias_id,kategorijaalias_id) VALUES (308,30,1211,3749,1,1,1,0,Null,Null,Null);</v>
      </c>
      <c r="EW141" s="47" t="s">
        <v>0</v>
      </c>
      <c r="EX141" s="19" t="str">
        <f t="shared" si="124"/>
        <v>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1" s="47" t="s">
        <v>0</v>
      </c>
      <c r="EZ141" s="180" t="str">
        <f>AG141&amp;IF(CP141="","","
")&amp;CP141&amp;IF(CI141="","","
")&amp;CI141&amp;IF(DN141="","","
")&amp;DN141&amp;IF(DP141="","","
")&amp;DP141&amp;IF(EV141="","","
")&amp;EV141&amp;IF(EX141="","","
")&amp;EX141</f>
        <v xml:space="preserve">
INSERT INTO rezultat(id,stazakategorija_id,imeprezime_id,vrijeme_sec,status_id,registracija,uparivanje_id,originalstatus_id,imeprezimealias_id,klubalias_id,kategorijaalias_id) VALUES (308,30,1211,3749,1,1,1,0,Null,Null,Null);
UPDATE
	registar
SET
	potvrda = 1
WHERE
	imeprezime_id=1211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1" s="47" t="s">
        <v>0</v>
      </c>
    </row>
    <row r="142" spans="1:157" x14ac:dyDescent="0.25">
      <c r="A142" t="s">
        <v>0</v>
      </c>
      <c r="B142" s="52" t="str">
        <f>IF(csv!F132="","",csv!T132)</f>
        <v>M45</v>
      </c>
      <c r="C142" s="31" t="s">
        <v>0</v>
      </c>
      <c r="D142" s="31" t="str">
        <f>IF(csv!F132="","",csv!F132)</f>
        <v>Domagoj</v>
      </c>
      <c r="E142" s="31" t="str">
        <f>IF(csv!E132="","",csv!E132)</f>
        <v>Šantić</v>
      </c>
      <c r="F142" s="31" t="s">
        <v>0</v>
      </c>
      <c r="G142" s="73" t="str">
        <f>IF(csv!M132="","",csv!M132)</f>
        <v>65:04</v>
      </c>
      <c r="H142" s="73" t="str">
        <f>IF(csv!N132="","",csv!N132)</f>
        <v>0</v>
      </c>
      <c r="I142" s="31" t="s">
        <v>0</v>
      </c>
      <c r="J142" s="31" t="str">
        <f>IF(csv!P132="","",csv!P132)</f>
        <v>BJE</v>
      </c>
      <c r="K142" s="31" t="str">
        <f>IF(csv!Q132="","",csv!Q132)</f>
        <v>OK Bjelovar</v>
      </c>
      <c r="L142" s="31" t="s">
        <v>0</v>
      </c>
      <c r="M142" s="66" t="str">
        <f>IF(csv!R132="","",csv!R132)</f>
        <v>CRO</v>
      </c>
      <c r="N142" s="47" t="s">
        <v>0</v>
      </c>
      <c r="O142" s="243" t="str">
        <f t="shared" ref="O142:O205" si="151">IF(E142="","","ok")</f>
        <v>ok</v>
      </c>
      <c r="P142" s="47"/>
      <c r="Q142" s="52" t="str">
        <f t="shared" ref="Q142:Q205" si="152">IF(B142="","",B142)</f>
        <v>M45</v>
      </c>
      <c r="R142" s="73">
        <f>IF(Q142="","",IF(COUNTIF(Q$12:Q141,Q142)=0,R141+1,R141))</f>
        <v>8</v>
      </c>
      <c r="S142" s="73">
        <f t="shared" ref="S142:S205" si="153">IF(Q142="","",IFERROR(INDEX(regKategorija_id,MATCH(Q142,regKategorija_oznaka,0)),IFERROR(INDEX(regKategorija_alias_id,MATCH(Q142,regKategorija_alias_oznaka,0)),INDEX(natKategorija_katRegId,MATCH(Q142,natKategorija_kategorija,0)))))</f>
        <v>106</v>
      </c>
      <c r="T142" s="73">
        <f t="shared" si="128"/>
        <v>17</v>
      </c>
      <c r="U142" s="66" t="str">
        <f t="shared" si="129"/>
        <v>M45</v>
      </c>
      <c r="V142" s="47" t="s">
        <v>0</v>
      </c>
      <c r="W142" s="222" t="str">
        <f t="shared" si="130"/>
        <v>M45</v>
      </c>
      <c r="X142" s="223">
        <f t="shared" si="131"/>
        <v>30</v>
      </c>
      <c r="Y142" s="47" t="s">
        <v>0</v>
      </c>
      <c r="Z142" s="52" t="str">
        <f t="shared" ref="Z142:Z205" si="154">IF(O142="","",M142)</f>
        <v>CRO</v>
      </c>
      <c r="AA142" s="73">
        <f t="shared" si="132"/>
        <v>1</v>
      </c>
      <c r="AB142" s="31" t="str">
        <f t="shared" ref="AB142:AB205" si="155">IF(OR(AA142="",AA142&lt;&gt;"NEMA"),"",Z142)</f>
        <v/>
      </c>
      <c r="AC142" s="66" t="str">
        <f>IF(AB142="","",MAX(AC$12:AC141)+1)</f>
        <v/>
      </c>
      <c r="AD142" s="47" t="s">
        <v>0</v>
      </c>
      <c r="AE142" s="125"/>
      <c r="AF142" s="47" t="s">
        <v>0</v>
      </c>
      <c r="AG142" s="19" t="str">
        <f t="shared" ref="AG142:AG205" si="156">IF(AB142="","","INSERT INTO drzava(id,naziv,oznaka) VALUES ("&amp;AC142&amp;",'"&amp;AE142&amp;"','"&amp;UPPER(LEFT(AB142,1))&amp;LOWER(RIGHT(AB142,2))&amp;"');")</f>
        <v/>
      </c>
      <c r="AH142" s="47" t="s">
        <v>0</v>
      </c>
      <c r="AI142" s="143" t="str">
        <f t="shared" ref="AI142:AI205" si="157">IF(AA142="","",IF(AA142="NEMA",AB142,Z142))</f>
        <v>CRO</v>
      </c>
      <c r="AJ142" s="47"/>
      <c r="AK142" s="52" t="str">
        <f t="shared" ref="AK142:AK205" si="158">IF(O142="","",D142)</f>
        <v>Domagoj</v>
      </c>
      <c r="AL142" s="31" t="str">
        <f t="shared" ref="AL142:AL205" si="159">IF(O142="","",E142)</f>
        <v>Šantić</v>
      </c>
      <c r="AM142" s="73">
        <f t="shared" ref="AM142:AM205" si="160">IF(AL142="","",IFERROR(INDEX(regNatjecatelj_id,MATCH(AK142&amp;" – "&amp;AL142,regNatjecatelj_imePrezime,0)),"NEMA"))</f>
        <v>1266</v>
      </c>
      <c r="AN142" s="73" t="str">
        <f t="shared" ref="AN142:AN205" si="161">IF(AM142&lt;&gt;"NEMA","",IFERROR(INDEX(regNatjecatelj_alias_natjecateljId,MATCH(AK142&amp;" "&amp;AL142,regNatjecatelj_alias_alias,0)),"NEMA"))</f>
        <v/>
      </c>
      <c r="AO142" s="31" t="str">
        <f t="shared" si="133"/>
        <v>Domagoj</v>
      </c>
      <c r="AP142" s="66" t="str">
        <f t="shared" si="134"/>
        <v>Šantić</v>
      </c>
      <c r="AQ142" s="47" t="s">
        <v>0</v>
      </c>
      <c r="AR142" s="82" t="str">
        <f t="shared" ref="AR142:AR205" si="162">IF(OR(O142="",AN142&lt;&gt;"NEMA"),"",AK142&amp;" "&amp;AL142)</f>
        <v/>
      </c>
      <c r="AS142" s="47" t="s">
        <v>0</v>
      </c>
      <c r="AT142" s="19" t="str">
        <f t="shared" ref="AT142:AT205" si="163">IF(OR(AM142&lt;&gt;"NEMA",AN142&lt;&gt;"NEMA"),"","SELECT '"&amp;AO142&amp;" – "&amp;AP142&amp;"', ime, prezime FROM imeprezime WHERE ime LIKE '%"&amp;MID(AO142,2,LEN(AO142)-2)&amp;"%' Or prezime LIKE '%"&amp;MID(AP142,2,LEN(AP142)-2)&amp;"%' Or ime LIKE '%"&amp;MID(AP142,2,LEN(AP142)-2)&amp;"%' Or prezime LIKE '%"&amp;MID(AO142,2,LEN(AO142)-2)&amp;"%' ORDER BY ime, prezime;")</f>
        <v/>
      </c>
      <c r="AU142" s="47" t="s">
        <v>0</v>
      </c>
      <c r="AV142" s="103"/>
      <c r="AW142" s="105"/>
      <c r="AX142" s="47" t="s">
        <v>0</v>
      </c>
      <c r="AY142" s="256" t="str">
        <f t="shared" si="125"/>
        <v/>
      </c>
      <c r="AZ142" s="47" t="s">
        <v>0</v>
      </c>
      <c r="BA142" s="52" t="str">
        <f t="shared" si="135"/>
        <v/>
      </c>
      <c r="BB142" s="73" t="str">
        <f>IF(AV142&amp;AW142="","",MAX(BB$12:BB141)+1)</f>
        <v/>
      </c>
      <c r="BC142" s="268" t="str">
        <f t="shared" si="136"/>
        <v/>
      </c>
      <c r="BD142" s="53" t="str">
        <f>IF(AND(AM142="NEMA",AN142="NEMA",OR(AV142&amp;AW142="",BC142="NEMA")),MAX(BD$12:BD141)+1,"")</f>
        <v/>
      </c>
      <c r="BE142" s="47" t="s">
        <v>0</v>
      </c>
      <c r="BF142" s="52" t="str">
        <f t="shared" si="137"/>
        <v>Domagoj</v>
      </c>
      <c r="BG142" s="31" t="str">
        <f t="shared" si="138"/>
        <v>Šantić</v>
      </c>
      <c r="BH142" s="73" t="str">
        <f t="shared" ref="BH142:BH205" si="164">IF(AND(AN142&lt;&gt;"",AN142&lt;&gt;"NEMA"),AN142,IF(BB142&lt;&gt;"",BB142,""))</f>
        <v/>
      </c>
      <c r="BI142" s="53">
        <f t="shared" ref="BI142:BI205" si="165">IF(AND(AM142&lt;&gt;"",AM142&lt;&gt;"NEMA"),AM142,IF(BC142&lt;&gt;"",BC142,IF(BD142&lt;&gt;"",BD142,"")))</f>
        <v>1266</v>
      </c>
      <c r="BJ142" s="47" t="s">
        <v>0</v>
      </c>
      <c r="BK142" s="52" t="str">
        <f t="shared" si="139"/>
        <v>BJE</v>
      </c>
      <c r="BL142" s="31" t="str">
        <f t="shared" si="140"/>
        <v>OK Bjelovar</v>
      </c>
      <c r="BM142" s="73">
        <f t="shared" si="141"/>
        <v>1</v>
      </c>
      <c r="BN142" s="73" t="str">
        <f t="shared" si="142"/>
        <v/>
      </c>
      <c r="BO142" s="31" t="str" cm="1">
        <f t="array" ref="BO142">IF(BN142="",""&amp;BL142,IF(BN142="NEMA",BL142,INDEX(regKlub_naziv,MATCH(INDEX(regKlub_alias_klubId,BN142),regKlub_id,0))))</f>
        <v>OK Bjelovar</v>
      </c>
      <c r="BP142" s="31" t="str" cm="1">
        <f t="array" ref="BP142">IFERROR(""&amp;INDEX(regNatjecatelj_klub,DY142),"")</f>
        <v>OK Bjelovar</v>
      </c>
      <c r="BQ142" s="88" t="str">
        <f t="shared" ref="BQ142:BQ205" si="166">IF(BO142=BP142,"",IF(BP142="","",1))</f>
        <v/>
      </c>
      <c r="BR142" s="66" t="str">
        <f t="shared" ref="BR142:BR205" si="167">IF(AND(BP142&lt;&gt;"",BP142&lt;&gt;BO142),BP142,""&amp;BO142)</f>
        <v>OK Bjelovar</v>
      </c>
      <c r="BS142" s="47" t="s">
        <v>0</v>
      </c>
      <c r="BT142" s="82" t="str">
        <f>IF(BN142&lt;&gt;"NEMA","",IF(IFERROR(MATCH(BL142,BL$12:BL141,0),0)&lt;&gt;0,"",BL142))</f>
        <v/>
      </c>
      <c r="BU142" s="47" t="s">
        <v>0</v>
      </c>
      <c r="BV142" s="125"/>
      <c r="BW142" s="47" t="s">
        <v>0</v>
      </c>
      <c r="BX142" s="58" t="str">
        <f t="shared" ref="BX142:BX205" si="168">IF(BV142="","",IFERROR(INDEX(regKlub_id,MATCH(BV142,regKlub_naziv,0)),"NEMA"))</f>
        <v/>
      </c>
      <c r="BY142" s="31" t="str">
        <f t="shared" ref="BY142:BY205" si="169">IF(BT142="","",IF(BV142="",BT142,""))</f>
        <v/>
      </c>
      <c r="BZ142" s="31" t="str">
        <f>IF(BY142="","",MAX(BZ$12:BZ141)+1)</f>
        <v/>
      </c>
      <c r="CA142" s="31" t="str">
        <f>IF(BY142="","",IF(AA142="","",IF(AA142="NEMA",AC142,AA142)))</f>
        <v/>
      </c>
      <c r="CB142" s="31" t="str">
        <f t="shared" ref="CB142:CB205" si="170">IF(BY142="","","INSERT INTO klub(id,naziv,drzava_id,aktivan) VALUES ("&amp;BZ142&amp;",'"&amp;BY142&amp;"',"&amp;CA142&amp;",1);")</f>
        <v/>
      </c>
      <c r="CC142" s="31" t="str">
        <f>IF(BV142="","",MAX(CC$12:CC141)+1)</f>
        <v/>
      </c>
      <c r="CD142" s="31" t="str">
        <f t="shared" ref="CD142:CD205" si="171">IF(BV142="","",IF(BZ142="",INDEX(regKlub_id,MATCH(BV142,regKlub_naziv,0)),BZ142))</f>
        <v/>
      </c>
      <c r="CE142" s="66" t="str">
        <f t="shared" ref="CE142:CE205" si="172">IF(BV142="","","INSERT INTO klub_alias(id,alias,klub_id) VALUES ("&amp;CC142&amp;",'"&amp;BT142&amp;"',"&amp;CD142&amp;");")</f>
        <v/>
      </c>
      <c r="CF142" s="47" t="s">
        <v>0</v>
      </c>
      <c r="CG142" s="73" t="str">
        <f>IF(BN142="","",IF(BN142&lt;&gt;"NEMA","",IFERROR(INDEX(nat_klubAliasId,MATCH(BL142,nat_noviKluboviAliasi,0)),"")))</f>
        <v/>
      </c>
      <c r="CH142" s="47"/>
      <c r="CI142" s="19" t="str">
        <f t="shared" ref="CI142:CI205" si="173">""&amp;CB142&amp;IF(AND(CB142&lt;&gt;"",CE142&lt;&gt;""),"
","")&amp;CE142</f>
        <v/>
      </c>
      <c r="CJ142" s="47" t="s">
        <v>0</v>
      </c>
      <c r="CK142" s="52" t="str">
        <f>IF(X142&lt;&gt;"NEMA","",IF(IFERROR(MATCH(W142,W$12:W141,0),0)&lt;&gt;0,"",W142))</f>
        <v/>
      </c>
      <c r="CL142" s="73" t="str">
        <f>IF(CK142="","",IFERROR(INDEX(regKlub_alias_id,MATCH(CK142,regKlub_alias_alias,0)),"NEMA"))</f>
        <v/>
      </c>
      <c r="CM142" s="31" t="str">
        <f>IF(OR(CL142="",CL142&lt;&gt;"NEMA"),"",MAX(CM$12:CM141)+1)</f>
        <v/>
      </c>
      <c r="CN142" s="66" t="str">
        <f>IF(OR(CL142="",CL142&lt;&gt;"NEMA"),"",INDEX(regKlub_id,MATCH(CK142,regKlub_naziv,0)))</f>
        <v/>
      </c>
      <c r="CO142" s="47" t="s">
        <v>0</v>
      </c>
      <c r="CP142" s="19" t="str">
        <f>IF(OR(CL142="",CL142&lt;&gt;"NEMA"),"","INSERT INTO klub_alias(id,alias,klub_id) VALUES ("&amp;CM142&amp;",'"&amp;CK142&amp;"',"&amp;CN142&amp;");")</f>
        <v/>
      </c>
      <c r="CQ142" s="47" t="s">
        <v>0</v>
      </c>
      <c r="CR142" s="143" t="str">
        <f>IF(BR142="","",IF(BV142="",IF(IFERROR(MATCH(BR142,nat_noviKluboviAliasi,0),0)&gt;0,INDEX(nat_kluboviAliasi,MATCH(BR142,nat_noviKluboviAliasi,0)),BR142),BV142))</f>
        <v>OK Bjelovar</v>
      </c>
      <c r="CS142" s="47" t="s">
        <v>0</v>
      </c>
      <c r="CT142" s="58" t="str">
        <f>IF(G142="","",G142)</f>
        <v>65:04</v>
      </c>
      <c r="CU142" s="73" t="str">
        <f>IF(H142="","",H142)</f>
        <v>0</v>
      </c>
      <c r="CV142" s="229" t="str">
        <f>IF(CT142="",IF(OR(AL142="",CU142&lt;&gt;"0"),"","GREŠKA"),IF(AND(65535&gt;=VALUE(LEFT(CT142,SEARCH(":",CT142)-1))*60+VALUE(RIGHT(CT142,2)),OR(CU142="0",CU142="1",CU142="2",CU142="3",CU142="4")),"","GREŠKA"))</f>
        <v/>
      </c>
      <c r="CW142" s="230">
        <f t="shared" si="127"/>
        <v>3904</v>
      </c>
      <c r="CX142" s="163">
        <f t="shared" si="143"/>
        <v>1</v>
      </c>
      <c r="CY142" s="47" t="s">
        <v>0</v>
      </c>
      <c r="CZ142" s="222" t="str">
        <f>IF(CV142&lt;&gt;"GREŠKA","",AK142&amp;" "&amp;AL142&amp;" – Molim u OEventu provjeriti i ispraviti rezultat – vrijeme ("&amp;IF(CT142="","nije upisano",CT142)&amp;") i classifier ("&amp;CU142&amp;").")&amp;IF(OR(CV142&lt;&gt;"GREŠKA",CX142&lt;&gt;5),"
","")&amp;IF(CX142&lt;&gt;5,"",AK142&amp;" "&amp;AL142&amp;" – Molim u provjeriti je li natjecatelj zaista diskvalificiran. Ako je koje je obrazloženje, ako nije molim u OEventu ispraviti rezultat")</f>
        <v xml:space="preserve">
</v>
      </c>
      <c r="DA142" s="223">
        <f t="shared" ref="DA142:DA205" si="174">IF(EA142="","",IF(AND(CX142="0",N(CZ142)&gt;data_max_minuta*60),2,INDEX(regStatusRezultat_id,MATCH(VALUE(CX142),regStatusRezultat_oEvent,0))))</f>
        <v>6</v>
      </c>
      <c r="DB142" s="47" t="s">
        <v>0</v>
      </c>
      <c r="DC142" s="47"/>
      <c r="DD142" s="47"/>
      <c r="DE142" s="47"/>
      <c r="DF142" s="47" t="s">
        <v>0</v>
      </c>
      <c r="DG142" s="53" t="str">
        <f>IF(BD142="","",IF(DI142="O",1,""))</f>
        <v/>
      </c>
      <c r="DH142" t="s">
        <v>0</v>
      </c>
      <c r="DI142" s="128" t="str">
        <f>IF(Q142="","",LEFT(INDEX(regKategorija_oznaka,MATCH(S142,regKategorija_id,0)),1))</f>
        <v>M</v>
      </c>
      <c r="DJ142" t="s">
        <v>0</v>
      </c>
      <c r="DK142" s="52" t="str">
        <f>IF(BD142="","",IF(M142&lt;&gt;"CRO","","INSERT INTO osoba (id,reg_broj,oib,spol_id,dat_rodjenja) VALUES ("&amp;BD142&amp;",(SELECT max(os.reg_broj)+1 FROM osoba AS os),Null,'"&amp;DI142&amp;"',Null); INSERT INTO osoba_log (id,reg_broj,oib,spol_id,dat_rodjenja,dnevnik_id) SELECT id,reg_broj,oib,spol_id,dat_rodjenja,"&amp;data_dnevnik_id&amp;" FROM osoba WHERE id = "&amp;BD142&amp;";"))</f>
        <v/>
      </c>
      <c r="DL142" s="66" t="str">
        <f>IF(BD142="","","INSERT INTO imeprezime (id,osoba_id,rbr,ime,prezime,klub_id,identitet_id,sintaksa_id,info,aktivno,dnevnik_id) VALUES ("&amp;BD142&amp;","&amp;IF(DK142="","Null",BD142)&amp;",1,'"&amp;IF(AV142&lt;&gt;"",AV142,AK142)&amp;"','"&amp;IF(AW142&lt;&gt;"",AW142,AL142)&amp;"',(SELECT id FROM klub WHERE naziv = '"&amp;CR142&amp;"'),Null,1,'',1,"&amp;data_dnevnik_id&amp;");")</f>
        <v/>
      </c>
      <c r="DM142" t="s">
        <v>0</v>
      </c>
      <c r="DN142" s="19" t="str">
        <f t="shared" si="126"/>
        <v/>
      </c>
      <c r="DO142" s="47" t="s">
        <v>0</v>
      </c>
      <c r="DP142" s="19" t="str">
        <f>IF(BA142="","","INSERT INTO imeprezime_alias(id,alias,imeprezime_id) VALUES ("&amp;BB142&amp;",'"&amp;BA142&amp;"',"&amp;IF(BC142="NEMA",BD142,BC142)&amp;");")</f>
        <v/>
      </c>
      <c r="DQ142" s="47" t="s">
        <v>0</v>
      </c>
      <c r="DR142" s="52" t="str">
        <f>IF(AL142="","",DU142 &amp; IF(Q142="",""," – " &amp; Q142))</f>
        <v>Domagoj – Šantić – OK Bjelovar – M45</v>
      </c>
      <c r="DS142" s="53">
        <f t="shared" si="144"/>
        <v>23</v>
      </c>
      <c r="DT142" s="47" t="s">
        <v>0</v>
      </c>
      <c r="DU142" s="52" t="str">
        <f>IF(AL142="","",DX142 &amp; IF(CR142="",""," – " &amp; CR142))</f>
        <v>Domagoj – Šantić – OK Bjelovar</v>
      </c>
      <c r="DV142" s="53">
        <f t="shared" si="145"/>
        <v>23</v>
      </c>
      <c r="DW142" s="47" t="s">
        <v>0</v>
      </c>
      <c r="DX142" s="52" t="str">
        <f>IF(BG142="","",BF142&amp;" – "&amp;BG142)</f>
        <v>Domagoj – Šantić</v>
      </c>
      <c r="DY142" s="53">
        <f t="shared" si="146"/>
        <v>23</v>
      </c>
      <c r="DZ142" s="47" t="s">
        <v>0</v>
      </c>
      <c r="EA142" s="58">
        <f t="shared" ref="EA142:EA205" si="175">IF(DS142="","",IF(DS142&lt;&gt;"NEMA",DS142,IF(DV142&lt;&gt;"NEMA",DV142,IF(DY142&lt;&gt;"NEMA",DY142,""))))</f>
        <v>23</v>
      </c>
      <c r="EB142" s="53" cm="1">
        <f t="array" ref="EB142">IF(EA142&lt;&gt;"",INDEX(regNatjecatelj_id,EA142,0),IF(BD142&lt;&gt;"",BD142,""))</f>
        <v>1266</v>
      </c>
      <c r="EC142" s="47" t="s">
        <v>0</v>
      </c>
      <c r="ED142" s="58" t="str">
        <f>IF(AL142="","",IF(BD142&lt;&gt;"","novo",IF(AN142="","imepre","imepre(ali)")))</f>
        <v>imepre</v>
      </c>
      <c r="EE142" s="73" t="str">
        <f>IF(AL142="","",IF(BL142="",IF(IFERROR(INDEX(regNatjecatelj_klub,MATCH(EB142,regNatjecatelj_id,0)),"NEMA")="","klu",""),IF(OR(AND(BN142&lt;&gt;"",BN142&lt;&gt;"NEMA"),CD142&lt;&gt;""),"klu(ali)",IF(AND(BP142&lt;&gt;"",BP142&lt;&gt;BO142),"(raz-klu)","klu"))))</f>
        <v>klu</v>
      </c>
      <c r="EF142" s="73" t="str">
        <f>IF(AL142="","","kat"&amp;IF(AND(W142&lt;&gt;Q142,Q142&lt;&gt;"Open"),"(ali)",""))</f>
        <v>kat</v>
      </c>
      <c r="EG142" s="73" t="str">
        <f t="shared" si="147"/>
        <v/>
      </c>
      <c r="EH142" s="66" t="str">
        <f>IF(AL142="","",ED142&amp;IF(ED142="novo","","-"&amp;EE142&amp;"-"&amp;EF142)&amp;IF(EG142="","","-"&amp;EG142))</f>
        <v>imepre-klu-kat</v>
      </c>
      <c r="EI142" s="47" t="s">
        <v>0</v>
      </c>
      <c r="EJ142" s="58">
        <f>IF(AL142="","",MAX(EJ$12:EJ141)+1)</f>
        <v>309</v>
      </c>
      <c r="EK142" s="73">
        <f>IF(AO142="","",X142)</f>
        <v>30</v>
      </c>
      <c r="EL142" s="73">
        <f t="shared" ref="EL142:EL205" si="176">IF(EB142="","",EB142)</f>
        <v>1266</v>
      </c>
      <c r="EM142" s="73">
        <f t="shared" si="148"/>
        <v>3904</v>
      </c>
      <c r="EN142" s="73">
        <f t="shared" si="149"/>
        <v>1</v>
      </c>
      <c r="EO142" s="73">
        <f t="shared" ref="EO142:EO205" si="177">IF(DX142="","",IF(data_trka_je_rangirana=0,0,IF(OR(DS142="",DS142="NEMA"),0,1)))</f>
        <v>1</v>
      </c>
      <c r="EP142" s="73">
        <f t="shared" ref="EP142:EP205" si="178">IF(EJ142="","",INDEX(regUparivanje_id,MATCH(EH142,regUparivanje_oznaka,0)))</f>
        <v>1</v>
      </c>
      <c r="EQ142" s="73" t="str">
        <f t="shared" si="150"/>
        <v>0</v>
      </c>
      <c r="ER142" s="73" t="str">
        <f>IF(OR(AN142="",AN142="NEMA"),BB142,AN142)</f>
        <v/>
      </c>
      <c r="ES142" s="73" t="str">
        <f>IF(AND(BN142&lt;&gt;"",BN142&lt;&gt;"NEMA"),BN142,IF(CG142&lt;&gt;"",CG142,IF(AND(CL142&lt;&gt;"",CL142&lt;&gt;"NEMA"),CL142,IF(CM142&lt;&gt;"",CM142,""))))</f>
        <v/>
      </c>
      <c r="ET142" s="53" t="str">
        <f>IF(INDEX(natKategorija_alias_Id,MATCH(S142,natKategorija_katRegId,0))="","",INDEX(natKategorija_alias_Id,MATCH(S142,natKategorija_katRegId,0)))</f>
        <v/>
      </c>
      <c r="EU142" s="47" t="s">
        <v>0</v>
      </c>
      <c r="EV142" s="19" t="str">
        <f t="shared" ref="EV142:EV205" si="179">IF(EK142="","","INSERT INTO rezultat(id,stazakategorija_id,imeprezime_id,vrijeme_sec,status_id,registracija,uparivanje_id,originalstatus_id,imeprezimealias_id,klubalias_id,kategorijaalias_id) VALUES ("&amp;EJ142&amp;","&amp;EK142&amp;","&amp;EL142&amp;","&amp;IF(EM142="","Null",EM142)&amp;","&amp;EN142&amp;","&amp;EO142&amp;","&amp;EP142&amp;","&amp;EQ142&amp;","&amp;IF(ER142="","Null",ER142)&amp;","&amp;IF(ES142="","Null",ES142)&amp;","&amp;IF(ET142="","Null",ET142)&amp;");")</f>
        <v>INSERT INTO rezultat(id,stazakategorija_id,imeprezime_id,vrijeme_sec,status_id,registracija,uparivanje_id,originalstatus_id,imeprezimealias_id,klubalias_id,kategorijaalias_id) VALUES (309,30,1266,3904,1,1,1,0,Null,Null,Null);</v>
      </c>
      <c r="EW142" s="47" t="s">
        <v>0</v>
      </c>
      <c r="EX142" s="19" t="str">
        <f t="shared" ref="EX142:EX205" si="180">IF(EK142="","",IF(EO142=1,"UPDATE
	registar
SET
	potvrda = 1
WHERE
	imeprezime_id="&amp;EL142&amp;"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"&amp;EK142&amp;")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2" s="47" t="s">
        <v>0</v>
      </c>
      <c r="EZ142" s="180" t="str">
        <f>AG142&amp;IF(CP142="","","
")&amp;CP142&amp;IF(CI142="","","
")&amp;CI142&amp;IF(DN142="","","
")&amp;DN142&amp;IF(DP142="","","
")&amp;DP142&amp;IF(EV142="","","
")&amp;EV142&amp;IF(EX142="","","
")&amp;EX142</f>
        <v xml:space="preserve">
INSERT INTO rezultat(id,stazakategorija_id,imeprezime_id,vrijeme_sec,status_id,registracija,uparivanje_id,originalstatus_id,imeprezimealias_id,klubalias_id,kategorijaalias_id) VALUES (309,30,1266,3904,1,1,1,0,Null,Null,Null);
UPDATE
	registar
SET
	potvrda = 1
WHERE
	imeprezime_id=1266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2" s="47" t="s">
        <v>0</v>
      </c>
    </row>
    <row r="143" spans="1:157" x14ac:dyDescent="0.25">
      <c r="A143" t="s">
        <v>0</v>
      </c>
      <c r="B143" s="52" t="str">
        <f>IF(csv!F133="","",csv!T133)</f>
        <v>M45</v>
      </c>
      <c r="C143" s="31" t="s">
        <v>0</v>
      </c>
      <c r="D143" s="31" t="str">
        <f>IF(csv!F133="","",csv!F133)</f>
        <v>Alen</v>
      </c>
      <c r="E143" s="31" t="str">
        <f>IF(csv!E133="","",csv!E133)</f>
        <v>Paliska</v>
      </c>
      <c r="F143" s="31" t="s">
        <v>0</v>
      </c>
      <c r="G143" s="73" t="str">
        <f>IF(csv!M133="","",csv!M133)</f>
        <v>65:53</v>
      </c>
      <c r="H143" s="73" t="str">
        <f>IF(csv!N133="","",csv!N133)</f>
        <v>0</v>
      </c>
      <c r="I143" s="31" t="s">
        <v>0</v>
      </c>
      <c r="J143" s="31" t="str">
        <f>IF(csv!P133="","",csv!P133)</f>
        <v>Vihor</v>
      </c>
      <c r="K143" s="31" t="str">
        <f>IF(csv!Q133="","",csv!Q133)</f>
        <v>OK Vihor</v>
      </c>
      <c r="L143" s="31" t="s">
        <v>0</v>
      </c>
      <c r="M143" s="66" t="str">
        <f>IF(csv!R133="","",csv!R133)</f>
        <v>CRO</v>
      </c>
      <c r="N143" s="47" t="s">
        <v>0</v>
      </c>
      <c r="O143" s="243" t="str">
        <f t="shared" si="151"/>
        <v>ok</v>
      </c>
      <c r="P143" s="47"/>
      <c r="Q143" s="52" t="str">
        <f t="shared" si="152"/>
        <v>M45</v>
      </c>
      <c r="R143" s="73">
        <f>IF(Q143="","",IF(COUNTIF(Q$12:Q142,Q143)=0,R142+1,R142))</f>
        <v>8</v>
      </c>
      <c r="S143" s="73">
        <f t="shared" si="153"/>
        <v>106</v>
      </c>
      <c r="T143" s="73">
        <f t="shared" si="128"/>
        <v>17</v>
      </c>
      <c r="U143" s="66" t="str">
        <f t="shared" si="129"/>
        <v>M45</v>
      </c>
      <c r="V143" s="47" t="s">
        <v>0</v>
      </c>
      <c r="W143" s="222" t="str">
        <f t="shared" si="130"/>
        <v>M45</v>
      </c>
      <c r="X143" s="223">
        <f t="shared" si="131"/>
        <v>30</v>
      </c>
      <c r="Y143" s="47" t="s">
        <v>0</v>
      </c>
      <c r="Z143" s="52" t="str">
        <f t="shared" si="154"/>
        <v>CRO</v>
      </c>
      <c r="AA143" s="73">
        <f t="shared" si="132"/>
        <v>1</v>
      </c>
      <c r="AB143" s="31" t="str">
        <f t="shared" si="155"/>
        <v/>
      </c>
      <c r="AC143" s="66" t="str">
        <f>IF(AB143="","",MAX(AC$12:AC142)+1)</f>
        <v/>
      </c>
      <c r="AD143" s="47" t="s">
        <v>0</v>
      </c>
      <c r="AE143" s="125"/>
      <c r="AF143" s="47" t="s">
        <v>0</v>
      </c>
      <c r="AG143" s="19" t="str">
        <f t="shared" si="156"/>
        <v/>
      </c>
      <c r="AH143" s="47" t="s">
        <v>0</v>
      </c>
      <c r="AI143" s="143" t="str">
        <f t="shared" si="157"/>
        <v>CRO</v>
      </c>
      <c r="AJ143" s="47"/>
      <c r="AK143" s="52" t="str">
        <f t="shared" si="158"/>
        <v>Alen</v>
      </c>
      <c r="AL143" s="31" t="str">
        <f t="shared" si="159"/>
        <v>Paliska</v>
      </c>
      <c r="AM143" s="73">
        <f t="shared" si="160"/>
        <v>1925</v>
      </c>
      <c r="AN143" s="73" t="str">
        <f t="shared" si="161"/>
        <v/>
      </c>
      <c r="AO143" s="31" t="str">
        <f t="shared" si="133"/>
        <v>Alen</v>
      </c>
      <c r="AP143" s="66" t="str">
        <f t="shared" si="134"/>
        <v>Paliska</v>
      </c>
      <c r="AQ143" s="47" t="s">
        <v>0</v>
      </c>
      <c r="AR143" s="82" t="str">
        <f t="shared" si="162"/>
        <v/>
      </c>
      <c r="AS143" s="47" t="s">
        <v>0</v>
      </c>
      <c r="AT143" s="19" t="str">
        <f t="shared" si="163"/>
        <v/>
      </c>
      <c r="AU143" s="47" t="s">
        <v>0</v>
      </c>
      <c r="AV143" s="103"/>
      <c r="AW143" s="105"/>
      <c r="AX143" s="47" t="s">
        <v>0</v>
      </c>
      <c r="AY143" s="256" t="str">
        <f t="shared" si="125"/>
        <v/>
      </c>
      <c r="AZ143" s="47" t="s">
        <v>0</v>
      </c>
      <c r="BA143" s="52" t="str">
        <f t="shared" si="135"/>
        <v/>
      </c>
      <c r="BB143" s="73" t="str">
        <f>IF(AV143&amp;AW143="","",MAX(BB$12:BB142)+1)</f>
        <v/>
      </c>
      <c r="BC143" s="268" t="str">
        <f t="shared" si="136"/>
        <v/>
      </c>
      <c r="BD143" s="53" t="str">
        <f>IF(AND(AM143="NEMA",AN143="NEMA",OR(AV143&amp;AW143="",BC143="NEMA")),MAX(BD$12:BD142)+1,"")</f>
        <v/>
      </c>
      <c r="BE143" s="47" t="s">
        <v>0</v>
      </c>
      <c r="BF143" s="52" t="str">
        <f t="shared" si="137"/>
        <v>Alen</v>
      </c>
      <c r="BG143" s="31" t="str">
        <f t="shared" si="138"/>
        <v>Paliska</v>
      </c>
      <c r="BH143" s="73" t="str">
        <f t="shared" si="164"/>
        <v/>
      </c>
      <c r="BI143" s="53">
        <f t="shared" si="165"/>
        <v>1925</v>
      </c>
      <c r="BJ143" s="47" t="s">
        <v>0</v>
      </c>
      <c r="BK143" s="52" t="str">
        <f t="shared" si="139"/>
        <v>Vihor</v>
      </c>
      <c r="BL143" s="31" t="str">
        <f t="shared" si="140"/>
        <v>OK Vihor</v>
      </c>
      <c r="BM143" s="73">
        <f t="shared" si="141"/>
        <v>12</v>
      </c>
      <c r="BN143" s="73" t="str">
        <f t="shared" si="142"/>
        <v/>
      </c>
      <c r="BO143" s="31" t="str" cm="1">
        <f t="array" ref="BO143">IF(BN143="",""&amp;BL143,IF(BN143="NEMA",BL143,INDEX(regKlub_naziv,MATCH(INDEX(regKlub_alias_klubId,BN143),regKlub_id,0))))</f>
        <v>OK Vihor</v>
      </c>
      <c r="BP143" s="31" t="str" cm="1">
        <f t="array" ref="BP143">IFERROR(""&amp;INDEX(regNatjecatelj_klub,DY143),"")</f>
        <v>OK Vihor</v>
      </c>
      <c r="BQ143" s="88" t="str">
        <f t="shared" si="166"/>
        <v/>
      </c>
      <c r="BR143" s="66" t="str">
        <f t="shared" si="167"/>
        <v>OK Vihor</v>
      </c>
      <c r="BS143" s="47" t="s">
        <v>0</v>
      </c>
      <c r="BT143" s="82" t="str">
        <f>IF(BN143&lt;&gt;"NEMA","",IF(IFERROR(MATCH(BL143,BL$12:BL142,0),0)&lt;&gt;0,"",BL143))</f>
        <v/>
      </c>
      <c r="BU143" s="47" t="s">
        <v>0</v>
      </c>
      <c r="BV143" s="125"/>
      <c r="BW143" s="47" t="s">
        <v>0</v>
      </c>
      <c r="BX143" s="58" t="str">
        <f t="shared" si="168"/>
        <v/>
      </c>
      <c r="BY143" s="31" t="str">
        <f t="shared" si="169"/>
        <v/>
      </c>
      <c r="BZ143" s="31" t="str">
        <f>IF(BY143="","",MAX(BZ$12:BZ142)+1)</f>
        <v/>
      </c>
      <c r="CA143" s="31" t="str">
        <f>IF(BY143="","",IF(AA143="","",IF(AA143="NEMA",AC143,AA143)))</f>
        <v/>
      </c>
      <c r="CB143" s="31" t="str">
        <f t="shared" si="170"/>
        <v/>
      </c>
      <c r="CC143" s="31" t="str">
        <f>IF(BV143="","",MAX(CC$12:CC142)+1)</f>
        <v/>
      </c>
      <c r="CD143" s="31" t="str">
        <f t="shared" si="171"/>
        <v/>
      </c>
      <c r="CE143" s="66" t="str">
        <f t="shared" si="172"/>
        <v/>
      </c>
      <c r="CF143" s="47" t="s">
        <v>0</v>
      </c>
      <c r="CG143" s="73" t="str">
        <f>IF(BN143="","",IF(BN143&lt;&gt;"NEMA","",IFERROR(INDEX(nat_klubAliasId,MATCH(BL143,nat_noviKluboviAliasi,0)),"")))</f>
        <v/>
      </c>
      <c r="CH143" s="47"/>
      <c r="CI143" s="19" t="str">
        <f t="shared" si="173"/>
        <v/>
      </c>
      <c r="CJ143" s="47" t="s">
        <v>0</v>
      </c>
      <c r="CK143" s="52" t="str">
        <f>IF(X143&lt;&gt;"NEMA","",IF(IFERROR(MATCH(W143,W$12:W142,0),0)&lt;&gt;0,"",W143))</f>
        <v/>
      </c>
      <c r="CL143" s="73" t="str">
        <f>IF(CK143="","",IFERROR(INDEX(regKlub_alias_id,MATCH(CK143,regKlub_alias_alias,0)),"NEMA"))</f>
        <v/>
      </c>
      <c r="CM143" s="31" t="str">
        <f>IF(OR(CL143="",CL143&lt;&gt;"NEMA"),"",MAX(CM$12:CM142)+1)</f>
        <v/>
      </c>
      <c r="CN143" s="66" t="str">
        <f>IF(OR(CL143="",CL143&lt;&gt;"NEMA"),"",INDEX(regKlub_id,MATCH(CK143,regKlub_naziv,0)))</f>
        <v/>
      </c>
      <c r="CO143" s="47" t="s">
        <v>0</v>
      </c>
      <c r="CP143" s="19" t="str">
        <f>IF(OR(CL143="",CL143&lt;&gt;"NEMA"),"","INSERT INTO klub_alias(id,alias,klub_id) VALUES ("&amp;CM143&amp;",'"&amp;CK143&amp;"',"&amp;CN143&amp;");")</f>
        <v/>
      </c>
      <c r="CQ143" s="47" t="s">
        <v>0</v>
      </c>
      <c r="CR143" s="143" t="str">
        <f>IF(BR143="","",IF(BV143="",IF(IFERROR(MATCH(BR143,nat_noviKluboviAliasi,0),0)&gt;0,INDEX(nat_kluboviAliasi,MATCH(BR143,nat_noviKluboviAliasi,0)),BR143),BV143))</f>
        <v>OK Vihor</v>
      </c>
      <c r="CS143" s="47" t="s">
        <v>0</v>
      </c>
      <c r="CT143" s="58" t="str">
        <f>IF(G143="","",G143)</f>
        <v>65:53</v>
      </c>
      <c r="CU143" s="73" t="str">
        <f>IF(H143="","",H143)</f>
        <v>0</v>
      </c>
      <c r="CV143" s="229" t="str">
        <f>IF(CT143="",IF(OR(AL143="",CU143&lt;&gt;"0"),"","GREŠKA"),IF(AND(65535&gt;=VALUE(LEFT(CT143,SEARCH(":",CT143)-1))*60+VALUE(RIGHT(CT143,2)),OR(CU143="0",CU143="1",CU143="2",CU143="3",CU143="4")),"","GREŠKA"))</f>
        <v/>
      </c>
      <c r="CW143" s="230">
        <f t="shared" si="127"/>
        <v>3953</v>
      </c>
      <c r="CX143" s="163">
        <f t="shared" si="143"/>
        <v>1</v>
      </c>
      <c r="CY143" s="47" t="s">
        <v>0</v>
      </c>
      <c r="CZ143" s="222" t="str">
        <f>IF(CV143&lt;&gt;"GREŠKA","",AK143&amp;" "&amp;AL143&amp;" – Molim u OEventu provjeriti i ispraviti rezultat – vrijeme ("&amp;IF(CT143="","nije upisano",CT143)&amp;") i classifier ("&amp;CU143&amp;").")&amp;IF(OR(CV143&lt;&gt;"GREŠKA",CX143&lt;&gt;5),"
","")&amp;IF(CX143&lt;&gt;5,"",AK143&amp;" "&amp;AL143&amp;" – Molim u provjeriti je li natjecatelj zaista diskvalificiran. Ako je koje je obrazloženje, ako nije molim u OEventu ispraviti rezultat")</f>
        <v xml:space="preserve">
</v>
      </c>
      <c r="DA143" s="223">
        <f t="shared" si="174"/>
        <v>6</v>
      </c>
      <c r="DB143" s="47" t="s">
        <v>0</v>
      </c>
      <c r="DC143" s="47"/>
      <c r="DD143" s="47"/>
      <c r="DE143" s="47"/>
      <c r="DF143" s="47" t="s">
        <v>0</v>
      </c>
      <c r="DG143" s="53" t="str">
        <f>IF(BD143="","",IF(DI143="O",1,""))</f>
        <v/>
      </c>
      <c r="DH143" t="s">
        <v>0</v>
      </c>
      <c r="DI143" s="128" t="str">
        <f>IF(Q143="","",LEFT(INDEX(regKategorija_oznaka,MATCH(S143,regKategorija_id,0)),1))</f>
        <v>M</v>
      </c>
      <c r="DJ143" t="s">
        <v>0</v>
      </c>
      <c r="DK143" s="52" t="str">
        <f>IF(BD143="","",IF(M143&lt;&gt;"CRO","","INSERT INTO osoba (id,reg_broj,oib,spol_id,dat_rodjenja) VALUES ("&amp;BD143&amp;",(SELECT max(os.reg_broj)+1 FROM osoba AS os),Null,'"&amp;DI143&amp;"',Null); INSERT INTO osoba_log (id,reg_broj,oib,spol_id,dat_rodjenja,dnevnik_id) SELECT id,reg_broj,oib,spol_id,dat_rodjenja,"&amp;data_dnevnik_id&amp;" FROM osoba WHERE id = "&amp;BD143&amp;";"))</f>
        <v/>
      </c>
      <c r="DL143" s="66" t="str">
        <f>IF(BD143="","","INSERT INTO imeprezime (id,osoba_id,rbr,ime,prezime,klub_id,identitet_id,sintaksa_id,info,aktivno,dnevnik_id) VALUES ("&amp;BD143&amp;","&amp;IF(DK143="","Null",BD143)&amp;",1,'"&amp;IF(AV143&lt;&gt;"",AV143,AK143)&amp;"','"&amp;IF(AW143&lt;&gt;"",AW143,AL143)&amp;"',(SELECT id FROM klub WHERE naziv = '"&amp;CR143&amp;"'),Null,1,'',1,"&amp;data_dnevnik_id&amp;");")</f>
        <v/>
      </c>
      <c r="DM143" t="s">
        <v>0</v>
      </c>
      <c r="DN143" s="19" t="str">
        <f t="shared" si="126"/>
        <v/>
      </c>
      <c r="DO143" s="47" t="s">
        <v>0</v>
      </c>
      <c r="DP143" s="19" t="str">
        <f>IF(BA143="","","INSERT INTO imeprezime_alias(id,alias,imeprezime_id) VALUES ("&amp;BB143&amp;",'"&amp;BA143&amp;"',"&amp;IF(BC143="NEMA",BD143,BC143)&amp;");")</f>
        <v/>
      </c>
      <c r="DQ143" s="47" t="s">
        <v>0</v>
      </c>
      <c r="DR143" s="52" t="str">
        <f>IF(AL143="","",DU143 &amp; IF(Q143="",""," – " &amp; Q143))</f>
        <v>Alen – Paliska – OK Vihor – M45</v>
      </c>
      <c r="DS143" s="53">
        <f t="shared" si="144"/>
        <v>835</v>
      </c>
      <c r="DT143" s="47" t="s">
        <v>0</v>
      </c>
      <c r="DU143" s="52" t="str">
        <f>IF(AL143="","",DX143 &amp; IF(CR143="",""," – " &amp; CR143))</f>
        <v>Alen – Paliska – OK Vihor</v>
      </c>
      <c r="DV143" s="53">
        <f t="shared" si="145"/>
        <v>835</v>
      </c>
      <c r="DW143" s="47" t="s">
        <v>0</v>
      </c>
      <c r="DX143" s="52" t="str">
        <f>IF(BG143="","",BF143&amp;" – "&amp;BG143)</f>
        <v>Alen – Paliska</v>
      </c>
      <c r="DY143" s="53">
        <f t="shared" si="146"/>
        <v>835</v>
      </c>
      <c r="DZ143" s="47" t="s">
        <v>0</v>
      </c>
      <c r="EA143" s="58">
        <f t="shared" si="175"/>
        <v>835</v>
      </c>
      <c r="EB143" s="53" cm="1">
        <f t="array" ref="EB143">IF(EA143&lt;&gt;"",INDEX(regNatjecatelj_id,EA143,0),IF(BD143&lt;&gt;"",BD143,""))</f>
        <v>1925</v>
      </c>
      <c r="EC143" s="47" t="s">
        <v>0</v>
      </c>
      <c r="ED143" s="58" t="str">
        <f>IF(AL143="","",IF(BD143&lt;&gt;"","novo",IF(AN143="","imepre","imepre(ali)")))</f>
        <v>imepre</v>
      </c>
      <c r="EE143" s="73" t="str">
        <f>IF(AL143="","",IF(BL143="",IF(IFERROR(INDEX(regNatjecatelj_klub,MATCH(EB143,regNatjecatelj_id,0)),"NEMA")="","klu",""),IF(OR(AND(BN143&lt;&gt;"",BN143&lt;&gt;"NEMA"),CD143&lt;&gt;""),"klu(ali)",IF(AND(BP143&lt;&gt;"",BP143&lt;&gt;BO143),"(raz-klu)","klu"))))</f>
        <v>klu</v>
      </c>
      <c r="EF143" s="73" t="str">
        <f>IF(AL143="","","kat"&amp;IF(AND(W143&lt;&gt;Q143,Q143&lt;&gt;"Open"),"(ali)",""))</f>
        <v>kat</v>
      </c>
      <c r="EG143" s="73" t="str">
        <f t="shared" si="147"/>
        <v/>
      </c>
      <c r="EH143" s="66" t="str">
        <f>IF(AL143="","",ED143&amp;IF(ED143="novo","","-"&amp;EE143&amp;"-"&amp;EF143)&amp;IF(EG143="","","-"&amp;EG143))</f>
        <v>imepre-klu-kat</v>
      </c>
      <c r="EI143" s="47" t="s">
        <v>0</v>
      </c>
      <c r="EJ143" s="58">
        <f>IF(AL143="","",MAX(EJ$12:EJ142)+1)</f>
        <v>310</v>
      </c>
      <c r="EK143" s="73">
        <f>IF(AO143="","",X143)</f>
        <v>30</v>
      </c>
      <c r="EL143" s="73">
        <f t="shared" si="176"/>
        <v>1925</v>
      </c>
      <c r="EM143" s="73">
        <f t="shared" si="148"/>
        <v>3953</v>
      </c>
      <c r="EN143" s="73">
        <f t="shared" si="149"/>
        <v>1</v>
      </c>
      <c r="EO143" s="73">
        <f t="shared" si="177"/>
        <v>1</v>
      </c>
      <c r="EP143" s="73">
        <f t="shared" si="178"/>
        <v>1</v>
      </c>
      <c r="EQ143" s="73" t="str">
        <f t="shared" si="150"/>
        <v>0</v>
      </c>
      <c r="ER143" s="73" t="str">
        <f>IF(OR(AN143="",AN143="NEMA"),BB143,AN143)</f>
        <v/>
      </c>
      <c r="ES143" s="73" t="str">
        <f>IF(AND(BN143&lt;&gt;"",BN143&lt;&gt;"NEMA"),BN143,IF(CG143&lt;&gt;"",CG143,IF(AND(CL143&lt;&gt;"",CL143&lt;&gt;"NEMA"),CL143,IF(CM143&lt;&gt;"",CM143,""))))</f>
        <v/>
      </c>
      <c r="ET143" s="53" t="str">
        <f>IF(INDEX(natKategorija_alias_Id,MATCH(S143,natKategorija_katRegId,0))="","",INDEX(natKategorija_alias_Id,MATCH(S143,natKategorija_katRegId,0)))</f>
        <v/>
      </c>
      <c r="EU143" s="47" t="s">
        <v>0</v>
      </c>
      <c r="EV143" s="19" t="str">
        <f t="shared" si="179"/>
        <v>INSERT INTO rezultat(id,stazakategorija_id,imeprezime_id,vrijeme_sec,status_id,registracija,uparivanje_id,originalstatus_id,imeprezimealias_id,klubalias_id,kategorijaalias_id) VALUES (310,30,1925,3953,1,1,1,0,Null,Null,Null);</v>
      </c>
      <c r="EW143" s="47" t="s">
        <v>0</v>
      </c>
      <c r="EX143" s="19" t="str">
        <f t="shared" si="180"/>
        <v>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3" s="47" t="s">
        <v>0</v>
      </c>
      <c r="EZ143" s="180" t="str">
        <f>AG143&amp;IF(CP143="","","
")&amp;CP143&amp;IF(CI143="","","
")&amp;CI143&amp;IF(DN143="","","
")&amp;DN143&amp;IF(DP143="","","
")&amp;DP143&amp;IF(EV143="","","
")&amp;EV143&amp;IF(EX143="","","
")&amp;EX143</f>
        <v xml:space="preserve">
INSERT INTO rezultat(id,stazakategorija_id,imeprezime_id,vrijeme_sec,status_id,registracija,uparivanje_id,originalstatus_id,imeprezimealias_id,klubalias_id,kategorijaalias_id) VALUES (310,30,1925,3953,1,1,1,0,Null,Null,Null);
UPDATE
	registar
SET
	potvrda = 1
WHERE
	imeprezime_id=1925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3" s="47" t="s">
        <v>0</v>
      </c>
    </row>
    <row r="144" spans="1:157" x14ac:dyDescent="0.25">
      <c r="A144" t="s">
        <v>0</v>
      </c>
      <c r="B144" s="52" t="str">
        <f>IF(csv!F134="","",csv!T134)</f>
        <v>M45</v>
      </c>
      <c r="C144" s="31" t="s">
        <v>0</v>
      </c>
      <c r="D144" s="31" t="str">
        <f>IF(csv!F134="","",csv!F134)</f>
        <v>Siniša</v>
      </c>
      <c r="E144" s="31" t="str">
        <f>IF(csv!E134="","",csv!E134)</f>
        <v>Mareković</v>
      </c>
      <c r="F144" s="31" t="s">
        <v>0</v>
      </c>
      <c r="G144" s="73" t="str">
        <f>IF(csv!M134="","",csv!M134)</f>
        <v>66:59</v>
      </c>
      <c r="H144" s="73" t="str">
        <f>IF(csv!N134="","",csv!N134)</f>
        <v>0</v>
      </c>
      <c r="I144" s="31" t="s">
        <v>0</v>
      </c>
      <c r="J144" s="31" t="str">
        <f>IF(csv!P134="","",csv!P134)</f>
        <v>Vihor</v>
      </c>
      <c r="K144" s="31" t="str">
        <f>IF(csv!Q134="","",csv!Q134)</f>
        <v>OK Vihor</v>
      </c>
      <c r="L144" s="31" t="s">
        <v>0</v>
      </c>
      <c r="M144" s="66" t="str">
        <f>IF(csv!R134="","",csv!R134)</f>
        <v>CRO</v>
      </c>
      <c r="N144" s="47" t="s">
        <v>0</v>
      </c>
      <c r="O144" s="243" t="str">
        <f t="shared" si="151"/>
        <v>ok</v>
      </c>
      <c r="P144" s="47"/>
      <c r="Q144" s="52" t="str">
        <f t="shared" si="152"/>
        <v>M45</v>
      </c>
      <c r="R144" s="73">
        <f>IF(Q144="","",IF(COUNTIF(Q$12:Q143,Q144)=0,R143+1,R143))</f>
        <v>8</v>
      </c>
      <c r="S144" s="73">
        <f t="shared" si="153"/>
        <v>106</v>
      </c>
      <c r="T144" s="73">
        <f t="shared" si="128"/>
        <v>17</v>
      </c>
      <c r="U144" s="66" t="str">
        <f t="shared" si="129"/>
        <v>M45</v>
      </c>
      <c r="V144" s="47" t="s">
        <v>0</v>
      </c>
      <c r="W144" s="222" t="str">
        <f t="shared" si="130"/>
        <v>M45</v>
      </c>
      <c r="X144" s="223">
        <f t="shared" si="131"/>
        <v>30</v>
      </c>
      <c r="Y144" s="47" t="s">
        <v>0</v>
      </c>
      <c r="Z144" s="52" t="str">
        <f t="shared" si="154"/>
        <v>CRO</v>
      </c>
      <c r="AA144" s="73">
        <f t="shared" si="132"/>
        <v>1</v>
      </c>
      <c r="AB144" s="31" t="str">
        <f t="shared" si="155"/>
        <v/>
      </c>
      <c r="AC144" s="66" t="str">
        <f>IF(AB144="","",MAX(AC$12:AC143)+1)</f>
        <v/>
      </c>
      <c r="AD144" s="47" t="s">
        <v>0</v>
      </c>
      <c r="AE144" s="125"/>
      <c r="AF144" s="47" t="s">
        <v>0</v>
      </c>
      <c r="AG144" s="19" t="str">
        <f t="shared" si="156"/>
        <v/>
      </c>
      <c r="AH144" s="47" t="s">
        <v>0</v>
      </c>
      <c r="AI144" s="143" t="str">
        <f t="shared" si="157"/>
        <v>CRO</v>
      </c>
      <c r="AJ144" s="47"/>
      <c r="AK144" s="52" t="str">
        <f t="shared" si="158"/>
        <v>Siniša</v>
      </c>
      <c r="AL144" s="31" t="str">
        <f t="shared" si="159"/>
        <v>Mareković</v>
      </c>
      <c r="AM144" s="73">
        <f t="shared" si="160"/>
        <v>1183</v>
      </c>
      <c r="AN144" s="73" t="str">
        <f t="shared" si="161"/>
        <v/>
      </c>
      <c r="AO144" s="31" t="str">
        <f t="shared" si="133"/>
        <v>Siniša</v>
      </c>
      <c r="AP144" s="66" t="str">
        <f t="shared" si="134"/>
        <v>Mareković</v>
      </c>
      <c r="AQ144" s="47" t="s">
        <v>0</v>
      </c>
      <c r="AR144" s="82" t="str">
        <f t="shared" si="162"/>
        <v/>
      </c>
      <c r="AS144" s="47" t="s">
        <v>0</v>
      </c>
      <c r="AT144" s="19" t="str">
        <f t="shared" si="163"/>
        <v/>
      </c>
      <c r="AU144" s="47" t="s">
        <v>0</v>
      </c>
      <c r="AV144" s="103"/>
      <c r="AW144" s="105"/>
      <c r="AX144" s="47" t="s">
        <v>0</v>
      </c>
      <c r="AY144" s="256" t="str">
        <f t="shared" si="125"/>
        <v/>
      </c>
      <c r="AZ144" s="47" t="s">
        <v>0</v>
      </c>
      <c r="BA144" s="52" t="str">
        <f t="shared" si="135"/>
        <v/>
      </c>
      <c r="BB144" s="73" t="str">
        <f>IF(AV144&amp;AW144="","",MAX(BB$12:BB143)+1)</f>
        <v/>
      </c>
      <c r="BC144" s="268" t="str">
        <f t="shared" si="136"/>
        <v/>
      </c>
      <c r="BD144" s="53" t="str">
        <f>IF(AND(AM144="NEMA",AN144="NEMA",OR(AV144&amp;AW144="",BC144="NEMA")),MAX(BD$12:BD143)+1,"")</f>
        <v/>
      </c>
      <c r="BE144" s="47" t="s">
        <v>0</v>
      </c>
      <c r="BF144" s="52" t="str">
        <f t="shared" si="137"/>
        <v>Siniša</v>
      </c>
      <c r="BG144" s="31" t="str">
        <f t="shared" si="138"/>
        <v>Mareković</v>
      </c>
      <c r="BH144" s="73" t="str">
        <f t="shared" si="164"/>
        <v/>
      </c>
      <c r="BI144" s="53">
        <f t="shared" si="165"/>
        <v>1183</v>
      </c>
      <c r="BJ144" s="47" t="s">
        <v>0</v>
      </c>
      <c r="BK144" s="52" t="str">
        <f t="shared" si="139"/>
        <v>Vihor</v>
      </c>
      <c r="BL144" s="31" t="str">
        <f t="shared" si="140"/>
        <v>OK Vihor</v>
      </c>
      <c r="BM144" s="73">
        <f t="shared" si="141"/>
        <v>12</v>
      </c>
      <c r="BN144" s="73" t="str">
        <f t="shared" si="142"/>
        <v/>
      </c>
      <c r="BO144" s="31" t="str" cm="1">
        <f t="array" ref="BO144">IF(BN144="",""&amp;BL144,IF(BN144="NEMA",BL144,INDEX(regKlub_naziv,MATCH(INDEX(regKlub_alias_klubId,BN144),regKlub_id,0))))</f>
        <v>OK Vihor</v>
      </c>
      <c r="BP144" s="31" t="str" cm="1">
        <f t="array" ref="BP144">IFERROR(""&amp;INDEX(regNatjecatelj_klub,DY144),"")</f>
        <v>OK Vihor</v>
      </c>
      <c r="BQ144" s="88" t="str">
        <f t="shared" si="166"/>
        <v/>
      </c>
      <c r="BR144" s="66" t="str">
        <f t="shared" si="167"/>
        <v>OK Vihor</v>
      </c>
      <c r="BS144" s="47" t="s">
        <v>0</v>
      </c>
      <c r="BT144" s="82" t="str">
        <f>IF(BN144&lt;&gt;"NEMA","",IF(IFERROR(MATCH(BL144,BL$12:BL143,0),0)&lt;&gt;0,"",BL144))</f>
        <v/>
      </c>
      <c r="BU144" s="47" t="s">
        <v>0</v>
      </c>
      <c r="BV144" s="125"/>
      <c r="BW144" s="47" t="s">
        <v>0</v>
      </c>
      <c r="BX144" s="58" t="str">
        <f t="shared" si="168"/>
        <v/>
      </c>
      <c r="BY144" s="31" t="str">
        <f t="shared" si="169"/>
        <v/>
      </c>
      <c r="BZ144" s="31" t="str">
        <f>IF(BY144="","",MAX(BZ$12:BZ143)+1)</f>
        <v/>
      </c>
      <c r="CA144" s="31" t="str">
        <f>IF(BY144="","",IF(AA144="","",IF(AA144="NEMA",AC144,AA144)))</f>
        <v/>
      </c>
      <c r="CB144" s="31" t="str">
        <f t="shared" si="170"/>
        <v/>
      </c>
      <c r="CC144" s="31" t="str">
        <f>IF(BV144="","",MAX(CC$12:CC143)+1)</f>
        <v/>
      </c>
      <c r="CD144" s="31" t="str">
        <f t="shared" si="171"/>
        <v/>
      </c>
      <c r="CE144" s="66" t="str">
        <f t="shared" si="172"/>
        <v/>
      </c>
      <c r="CF144" s="47" t="s">
        <v>0</v>
      </c>
      <c r="CG144" s="73" t="str">
        <f>IF(BN144="","",IF(BN144&lt;&gt;"NEMA","",IFERROR(INDEX(nat_klubAliasId,MATCH(BL144,nat_noviKluboviAliasi,0)),"")))</f>
        <v/>
      </c>
      <c r="CH144" s="47"/>
      <c r="CI144" s="19" t="str">
        <f t="shared" si="173"/>
        <v/>
      </c>
      <c r="CJ144" s="47" t="s">
        <v>0</v>
      </c>
      <c r="CK144" s="52" t="str">
        <f>IF(X144&lt;&gt;"NEMA","",IF(IFERROR(MATCH(W144,W$12:W143,0),0)&lt;&gt;0,"",W144))</f>
        <v/>
      </c>
      <c r="CL144" s="73" t="str">
        <f>IF(CK144="","",IFERROR(INDEX(regKlub_alias_id,MATCH(CK144,regKlub_alias_alias,0)),"NEMA"))</f>
        <v/>
      </c>
      <c r="CM144" s="31" t="str">
        <f>IF(OR(CL144="",CL144&lt;&gt;"NEMA"),"",MAX(CM$12:CM143)+1)</f>
        <v/>
      </c>
      <c r="CN144" s="66" t="str">
        <f>IF(OR(CL144="",CL144&lt;&gt;"NEMA"),"",INDEX(regKlub_id,MATCH(CK144,regKlub_naziv,0)))</f>
        <v/>
      </c>
      <c r="CO144" s="47" t="s">
        <v>0</v>
      </c>
      <c r="CP144" s="19" t="str">
        <f>IF(OR(CL144="",CL144&lt;&gt;"NEMA"),"","INSERT INTO klub_alias(id,alias,klub_id) VALUES ("&amp;CM144&amp;",'"&amp;CK144&amp;"',"&amp;CN144&amp;");")</f>
        <v/>
      </c>
      <c r="CQ144" s="47" t="s">
        <v>0</v>
      </c>
      <c r="CR144" s="143" t="str">
        <f>IF(BR144="","",IF(BV144="",IF(IFERROR(MATCH(BR144,nat_noviKluboviAliasi,0),0)&gt;0,INDEX(nat_kluboviAliasi,MATCH(BR144,nat_noviKluboviAliasi,0)),BR144),BV144))</f>
        <v>OK Vihor</v>
      </c>
      <c r="CS144" s="47" t="s">
        <v>0</v>
      </c>
      <c r="CT144" s="58" t="str">
        <f>IF(G144="","",G144)</f>
        <v>66:59</v>
      </c>
      <c r="CU144" s="73" t="str">
        <f>IF(H144="","",H144)</f>
        <v>0</v>
      </c>
      <c r="CV144" s="229" t="str">
        <f>IF(CT144="",IF(OR(AL144="",CU144&lt;&gt;"0"),"","GREŠKA"),IF(AND(65535&gt;=VALUE(LEFT(CT144,SEARCH(":",CT144)-1))*60+VALUE(RIGHT(CT144,2)),OR(CU144="0",CU144="1",CU144="2",CU144="3",CU144="4")),"","GREŠKA"))</f>
        <v/>
      </c>
      <c r="CW144" s="230">
        <f t="shared" si="127"/>
        <v>4019</v>
      </c>
      <c r="CX144" s="163">
        <f t="shared" si="143"/>
        <v>1</v>
      </c>
      <c r="CY144" s="47" t="s">
        <v>0</v>
      </c>
      <c r="CZ144" s="222" t="str">
        <f>IF(CV144&lt;&gt;"GREŠKA","",AK144&amp;" "&amp;AL144&amp;" – Molim u OEventu provjeriti i ispraviti rezultat – vrijeme ("&amp;IF(CT144="","nije upisano",CT144)&amp;") i classifier ("&amp;CU144&amp;").")&amp;IF(OR(CV144&lt;&gt;"GREŠKA",CX144&lt;&gt;5),"
","")&amp;IF(CX144&lt;&gt;5,"",AK144&amp;" "&amp;AL144&amp;" – Molim u provjeriti je li natjecatelj zaista diskvalificiran. Ako je koje je obrazloženje, ako nije molim u OEventu ispraviti rezultat")</f>
        <v xml:space="preserve">
</v>
      </c>
      <c r="DA144" s="223">
        <f t="shared" si="174"/>
        <v>6</v>
      </c>
      <c r="DB144" s="47" t="s">
        <v>0</v>
      </c>
      <c r="DC144" s="47"/>
      <c r="DD144" s="47"/>
      <c r="DE144" s="47"/>
      <c r="DF144" s="47" t="s">
        <v>0</v>
      </c>
      <c r="DG144" s="53" t="str">
        <f>IF(BD144="","",IF(DI144="O",1,""))</f>
        <v/>
      </c>
      <c r="DH144" t="s">
        <v>0</v>
      </c>
      <c r="DI144" s="128" t="str">
        <f>IF(Q144="","",LEFT(INDEX(regKategorija_oznaka,MATCH(S144,regKategorija_id,0)),1))</f>
        <v>M</v>
      </c>
      <c r="DJ144" t="s">
        <v>0</v>
      </c>
      <c r="DK144" s="52" t="str">
        <f>IF(BD144="","",IF(M144&lt;&gt;"CRO","","INSERT INTO osoba (id,reg_broj,oib,spol_id,dat_rodjenja) VALUES ("&amp;BD144&amp;",(SELECT max(os.reg_broj)+1 FROM osoba AS os),Null,'"&amp;DI144&amp;"',Null); INSERT INTO osoba_log (id,reg_broj,oib,spol_id,dat_rodjenja,dnevnik_id) SELECT id,reg_broj,oib,spol_id,dat_rodjenja,"&amp;data_dnevnik_id&amp;" FROM osoba WHERE id = "&amp;BD144&amp;";"))</f>
        <v/>
      </c>
      <c r="DL144" s="66" t="str">
        <f>IF(BD144="","","INSERT INTO imeprezime (id,osoba_id,rbr,ime,prezime,klub_id,identitet_id,sintaksa_id,info,aktivno,dnevnik_id) VALUES ("&amp;BD144&amp;","&amp;IF(DK144="","Null",BD144)&amp;",1,'"&amp;IF(AV144&lt;&gt;"",AV144,AK144)&amp;"','"&amp;IF(AW144&lt;&gt;"",AW144,AL144)&amp;"',(SELECT id FROM klub WHERE naziv = '"&amp;CR144&amp;"'),Null,1,'',1,"&amp;data_dnevnik_id&amp;");")</f>
        <v/>
      </c>
      <c r="DM144" t="s">
        <v>0</v>
      </c>
      <c r="DN144" s="19" t="str">
        <f t="shared" si="126"/>
        <v/>
      </c>
      <c r="DO144" s="47" t="s">
        <v>0</v>
      </c>
      <c r="DP144" s="19" t="str">
        <f>IF(BA144="","","INSERT INTO imeprezime_alias(id,alias,imeprezime_id) VALUES ("&amp;BB144&amp;",'"&amp;BA144&amp;"',"&amp;IF(BC144="NEMA",BD144,BC144)&amp;");")</f>
        <v/>
      </c>
      <c r="DQ144" s="47" t="s">
        <v>0</v>
      </c>
      <c r="DR144" s="52" t="str">
        <f>IF(AL144="","",DU144 &amp; IF(Q144="",""," – " &amp; Q144))</f>
        <v>Siniša – Mareković – OK Vihor – M45</v>
      </c>
      <c r="DS144" s="53">
        <f t="shared" si="144"/>
        <v>788</v>
      </c>
      <c r="DT144" s="47" t="s">
        <v>0</v>
      </c>
      <c r="DU144" s="52" t="str">
        <f>IF(AL144="","",DX144 &amp; IF(CR144="",""," – " &amp; CR144))</f>
        <v>Siniša – Mareković – OK Vihor</v>
      </c>
      <c r="DV144" s="53">
        <f t="shared" si="145"/>
        <v>788</v>
      </c>
      <c r="DW144" s="47" t="s">
        <v>0</v>
      </c>
      <c r="DX144" s="52" t="str">
        <f>IF(BG144="","",BF144&amp;" – "&amp;BG144)</f>
        <v>Siniša – Mareković</v>
      </c>
      <c r="DY144" s="53">
        <f t="shared" si="146"/>
        <v>788</v>
      </c>
      <c r="DZ144" s="47" t="s">
        <v>0</v>
      </c>
      <c r="EA144" s="58">
        <f t="shared" si="175"/>
        <v>788</v>
      </c>
      <c r="EB144" s="53" cm="1">
        <f t="array" ref="EB144">IF(EA144&lt;&gt;"",INDEX(regNatjecatelj_id,EA144,0),IF(BD144&lt;&gt;"",BD144,""))</f>
        <v>1183</v>
      </c>
      <c r="EC144" s="47" t="s">
        <v>0</v>
      </c>
      <c r="ED144" s="58" t="str">
        <f>IF(AL144="","",IF(BD144&lt;&gt;"","novo",IF(AN144="","imepre","imepre(ali)")))</f>
        <v>imepre</v>
      </c>
      <c r="EE144" s="73" t="str">
        <f>IF(AL144="","",IF(BL144="",IF(IFERROR(INDEX(regNatjecatelj_klub,MATCH(EB144,regNatjecatelj_id,0)),"NEMA")="","klu",""),IF(OR(AND(BN144&lt;&gt;"",BN144&lt;&gt;"NEMA"),CD144&lt;&gt;""),"klu(ali)",IF(AND(BP144&lt;&gt;"",BP144&lt;&gt;BO144),"(raz-klu)","klu"))))</f>
        <v>klu</v>
      </c>
      <c r="EF144" s="73" t="str">
        <f>IF(AL144="","","kat"&amp;IF(AND(W144&lt;&gt;Q144,Q144&lt;&gt;"Open"),"(ali)",""))</f>
        <v>kat</v>
      </c>
      <c r="EG144" s="73" t="str">
        <f t="shared" si="147"/>
        <v/>
      </c>
      <c r="EH144" s="66" t="str">
        <f>IF(AL144="","",ED144&amp;IF(ED144="novo","","-"&amp;EE144&amp;"-"&amp;EF144)&amp;IF(EG144="","","-"&amp;EG144))</f>
        <v>imepre-klu-kat</v>
      </c>
      <c r="EI144" s="47" t="s">
        <v>0</v>
      </c>
      <c r="EJ144" s="58">
        <f>IF(AL144="","",MAX(EJ$12:EJ143)+1)</f>
        <v>311</v>
      </c>
      <c r="EK144" s="73">
        <f>IF(AO144="","",X144)</f>
        <v>30</v>
      </c>
      <c r="EL144" s="73">
        <f t="shared" si="176"/>
        <v>1183</v>
      </c>
      <c r="EM144" s="73">
        <f t="shared" si="148"/>
        <v>4019</v>
      </c>
      <c r="EN144" s="73">
        <f t="shared" si="149"/>
        <v>1</v>
      </c>
      <c r="EO144" s="73">
        <f t="shared" si="177"/>
        <v>1</v>
      </c>
      <c r="EP144" s="73">
        <f t="shared" si="178"/>
        <v>1</v>
      </c>
      <c r="EQ144" s="73" t="str">
        <f t="shared" si="150"/>
        <v>0</v>
      </c>
      <c r="ER144" s="73" t="str">
        <f>IF(OR(AN144="",AN144="NEMA"),BB144,AN144)</f>
        <v/>
      </c>
      <c r="ES144" s="73" t="str">
        <f>IF(AND(BN144&lt;&gt;"",BN144&lt;&gt;"NEMA"),BN144,IF(CG144&lt;&gt;"",CG144,IF(AND(CL144&lt;&gt;"",CL144&lt;&gt;"NEMA"),CL144,IF(CM144&lt;&gt;"",CM144,""))))</f>
        <v/>
      </c>
      <c r="ET144" s="53" t="str">
        <f>IF(INDEX(natKategorija_alias_Id,MATCH(S144,natKategorija_katRegId,0))="","",INDEX(natKategorija_alias_Id,MATCH(S144,natKategorija_katRegId,0)))</f>
        <v/>
      </c>
      <c r="EU144" s="47" t="s">
        <v>0</v>
      </c>
      <c r="EV144" s="19" t="str">
        <f t="shared" si="179"/>
        <v>INSERT INTO rezultat(id,stazakategorija_id,imeprezime_id,vrijeme_sec,status_id,registracija,uparivanje_id,originalstatus_id,imeprezimealias_id,klubalias_id,kategorijaalias_id) VALUES (311,30,1183,4019,1,1,1,0,Null,Null,Null);</v>
      </c>
      <c r="EW144" s="47" t="s">
        <v>0</v>
      </c>
      <c r="EX144" s="19" t="str">
        <f t="shared" si="180"/>
        <v>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4" s="47" t="s">
        <v>0</v>
      </c>
      <c r="EZ144" s="180" t="str">
        <f>AG144&amp;IF(CP144="","","
")&amp;CP144&amp;IF(CI144="","","
")&amp;CI144&amp;IF(DN144="","","
")&amp;DN144&amp;IF(DP144="","","
")&amp;DP144&amp;IF(EV144="","","
")&amp;EV144&amp;IF(EX144="","","
")&amp;EX144</f>
        <v xml:space="preserve">
INSERT INTO rezultat(id,stazakategorija_id,imeprezime_id,vrijeme_sec,status_id,registracija,uparivanje_id,originalstatus_id,imeprezimealias_id,klubalias_id,kategorijaalias_id) VALUES (311,30,1183,4019,1,1,1,0,Null,Null,Null);
UPDATE
	registar
SET
	potvrda = 1
WHERE
	imeprezime_id=1183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4" s="47" t="s">
        <v>0</v>
      </c>
    </row>
    <row r="145" spans="1:157" x14ac:dyDescent="0.25">
      <c r="A145" t="s">
        <v>0</v>
      </c>
      <c r="B145" s="52" t="str">
        <f>IF(csv!F135="","",csv!T135)</f>
        <v>M45</v>
      </c>
      <c r="C145" s="31" t="s">
        <v>0</v>
      </c>
      <c r="D145" s="31" t="str">
        <f>IF(csv!F135="","",csv!F135)</f>
        <v>Hrvoje</v>
      </c>
      <c r="E145" s="31" t="str">
        <f>IF(csv!E135="","",csv!E135)</f>
        <v>Dasović</v>
      </c>
      <c r="F145" s="31" t="s">
        <v>0</v>
      </c>
      <c r="G145" s="73" t="str">
        <f>IF(csv!M135="","",csv!M135)</f>
        <v>68:40</v>
      </c>
      <c r="H145" s="73" t="str">
        <f>IF(csv!N135="","",csv!N135)</f>
        <v>0</v>
      </c>
      <c r="I145" s="31" t="s">
        <v>0</v>
      </c>
      <c r="J145" s="31" t="str">
        <f>IF(csv!P135="","",csv!P135)</f>
        <v>KAP</v>
      </c>
      <c r="K145" s="31" t="str">
        <f>IF(csv!Q135="","",csv!Q135)</f>
        <v>OK Kapela</v>
      </c>
      <c r="L145" s="31" t="s">
        <v>0</v>
      </c>
      <c r="M145" s="66" t="str">
        <f>IF(csv!R135="","",csv!R135)</f>
        <v>CRO</v>
      </c>
      <c r="N145" s="47" t="s">
        <v>0</v>
      </c>
      <c r="O145" s="243" t="str">
        <f t="shared" si="151"/>
        <v>ok</v>
      </c>
      <c r="P145" s="47"/>
      <c r="Q145" s="52" t="str">
        <f t="shared" si="152"/>
        <v>M45</v>
      </c>
      <c r="R145" s="73">
        <f>IF(Q145="","",IF(COUNTIF(Q$12:Q144,Q145)=0,R144+1,R144))</f>
        <v>8</v>
      </c>
      <c r="S145" s="73">
        <f t="shared" si="153"/>
        <v>106</v>
      </c>
      <c r="T145" s="73">
        <f t="shared" si="128"/>
        <v>17</v>
      </c>
      <c r="U145" s="66" t="str">
        <f t="shared" si="129"/>
        <v>M45</v>
      </c>
      <c r="V145" s="47" t="s">
        <v>0</v>
      </c>
      <c r="W145" s="222" t="str">
        <f t="shared" si="130"/>
        <v>M45</v>
      </c>
      <c r="X145" s="223">
        <f t="shared" si="131"/>
        <v>30</v>
      </c>
      <c r="Y145" s="47" t="s">
        <v>0</v>
      </c>
      <c r="Z145" s="52" t="str">
        <f t="shared" si="154"/>
        <v>CRO</v>
      </c>
      <c r="AA145" s="73">
        <f t="shared" si="132"/>
        <v>1</v>
      </c>
      <c r="AB145" s="31" t="str">
        <f t="shared" si="155"/>
        <v/>
      </c>
      <c r="AC145" s="66" t="str">
        <f>IF(AB145="","",MAX(AC$12:AC144)+1)</f>
        <v/>
      </c>
      <c r="AD145" s="47" t="s">
        <v>0</v>
      </c>
      <c r="AE145" s="125"/>
      <c r="AF145" s="47" t="s">
        <v>0</v>
      </c>
      <c r="AG145" s="19" t="str">
        <f t="shared" si="156"/>
        <v/>
      </c>
      <c r="AH145" s="47" t="s">
        <v>0</v>
      </c>
      <c r="AI145" s="143" t="str">
        <f t="shared" si="157"/>
        <v>CRO</v>
      </c>
      <c r="AJ145" s="47"/>
      <c r="AK145" s="52" t="str">
        <f t="shared" si="158"/>
        <v>Hrvoje</v>
      </c>
      <c r="AL145" s="31" t="str">
        <f t="shared" si="159"/>
        <v>Dasović</v>
      </c>
      <c r="AM145" s="73">
        <f t="shared" si="160"/>
        <v>1450</v>
      </c>
      <c r="AN145" s="73" t="str">
        <f t="shared" si="161"/>
        <v/>
      </c>
      <c r="AO145" s="31" t="str">
        <f t="shared" si="133"/>
        <v>Hrvoje</v>
      </c>
      <c r="AP145" s="66" t="str">
        <f t="shared" si="134"/>
        <v>Dasović</v>
      </c>
      <c r="AQ145" s="47" t="s">
        <v>0</v>
      </c>
      <c r="AR145" s="82" t="str">
        <f t="shared" si="162"/>
        <v/>
      </c>
      <c r="AS145" s="47" t="s">
        <v>0</v>
      </c>
      <c r="AT145" s="19" t="str">
        <f t="shared" si="163"/>
        <v/>
      </c>
      <c r="AU145" s="47" t="s">
        <v>0</v>
      </c>
      <c r="AV145" s="103"/>
      <c r="AW145" s="105"/>
      <c r="AX145" s="47" t="s">
        <v>0</v>
      </c>
      <c r="AY145" s="256" t="str">
        <f t="shared" si="125"/>
        <v/>
      </c>
      <c r="AZ145" s="47" t="s">
        <v>0</v>
      </c>
      <c r="BA145" s="52" t="str">
        <f t="shared" si="135"/>
        <v/>
      </c>
      <c r="BB145" s="73" t="str">
        <f>IF(AV145&amp;AW145="","",MAX(BB$12:BB144)+1)</f>
        <v/>
      </c>
      <c r="BC145" s="268" t="str">
        <f t="shared" si="136"/>
        <v/>
      </c>
      <c r="BD145" s="53" t="str">
        <f>IF(AND(AM145="NEMA",AN145="NEMA",OR(AV145&amp;AW145="",BC145="NEMA")),MAX(BD$12:BD144)+1,"")</f>
        <v/>
      </c>
      <c r="BE145" s="47" t="s">
        <v>0</v>
      </c>
      <c r="BF145" s="52" t="str">
        <f t="shared" si="137"/>
        <v>Hrvoje</v>
      </c>
      <c r="BG145" s="31" t="str">
        <f t="shared" si="138"/>
        <v>Dasović</v>
      </c>
      <c r="BH145" s="73" t="str">
        <f t="shared" si="164"/>
        <v/>
      </c>
      <c r="BI145" s="53">
        <f t="shared" si="165"/>
        <v>1450</v>
      </c>
      <c r="BJ145" s="47" t="s">
        <v>0</v>
      </c>
      <c r="BK145" s="52" t="str">
        <f t="shared" si="139"/>
        <v>KAP</v>
      </c>
      <c r="BL145" s="31" t="str">
        <f t="shared" si="140"/>
        <v>OK Kapela</v>
      </c>
      <c r="BM145" s="73">
        <f t="shared" si="141"/>
        <v>5</v>
      </c>
      <c r="BN145" s="73" t="str">
        <f t="shared" si="142"/>
        <v/>
      </c>
      <c r="BO145" s="31" t="str" cm="1">
        <f t="array" ref="BO145">IF(BN145="",""&amp;BL145,IF(BN145="NEMA",BL145,INDEX(regKlub_naziv,MATCH(INDEX(regKlub_alias_klubId,BN145),regKlub_id,0))))</f>
        <v>OK Kapela</v>
      </c>
      <c r="BP145" s="31" t="str" cm="1">
        <f t="array" ref="BP145">IFERROR(""&amp;INDEX(regNatjecatelj_klub,DY145),"")</f>
        <v>OK Kapela</v>
      </c>
      <c r="BQ145" s="88" t="str">
        <f t="shared" si="166"/>
        <v/>
      </c>
      <c r="BR145" s="66" t="str">
        <f t="shared" si="167"/>
        <v>OK Kapela</v>
      </c>
      <c r="BS145" s="47" t="s">
        <v>0</v>
      </c>
      <c r="BT145" s="82" t="str">
        <f>IF(BN145&lt;&gt;"NEMA","",IF(IFERROR(MATCH(BL145,BL$12:BL144,0),0)&lt;&gt;0,"",BL145))</f>
        <v/>
      </c>
      <c r="BU145" s="47" t="s">
        <v>0</v>
      </c>
      <c r="BV145" s="125"/>
      <c r="BW145" s="47" t="s">
        <v>0</v>
      </c>
      <c r="BX145" s="58" t="str">
        <f t="shared" si="168"/>
        <v/>
      </c>
      <c r="BY145" s="31" t="str">
        <f t="shared" si="169"/>
        <v/>
      </c>
      <c r="BZ145" s="31" t="str">
        <f>IF(BY145="","",MAX(BZ$12:BZ144)+1)</f>
        <v/>
      </c>
      <c r="CA145" s="31" t="str">
        <f>IF(BY145="","",IF(AA145="","",IF(AA145="NEMA",AC145,AA145)))</f>
        <v/>
      </c>
      <c r="CB145" s="31" t="str">
        <f t="shared" si="170"/>
        <v/>
      </c>
      <c r="CC145" s="31" t="str">
        <f>IF(BV145="","",MAX(CC$12:CC144)+1)</f>
        <v/>
      </c>
      <c r="CD145" s="31" t="str">
        <f t="shared" si="171"/>
        <v/>
      </c>
      <c r="CE145" s="66" t="str">
        <f t="shared" si="172"/>
        <v/>
      </c>
      <c r="CF145" s="47" t="s">
        <v>0</v>
      </c>
      <c r="CG145" s="73" t="str">
        <f>IF(BN145="","",IF(BN145&lt;&gt;"NEMA","",IFERROR(INDEX(nat_klubAliasId,MATCH(BL145,nat_noviKluboviAliasi,0)),"")))</f>
        <v/>
      </c>
      <c r="CH145" s="47"/>
      <c r="CI145" s="19" t="str">
        <f t="shared" si="173"/>
        <v/>
      </c>
      <c r="CJ145" s="47" t="s">
        <v>0</v>
      </c>
      <c r="CK145" s="52" t="str">
        <f>IF(X145&lt;&gt;"NEMA","",IF(IFERROR(MATCH(W145,W$12:W144,0),0)&lt;&gt;0,"",W145))</f>
        <v/>
      </c>
      <c r="CL145" s="73" t="str">
        <f>IF(CK145="","",IFERROR(INDEX(regKlub_alias_id,MATCH(CK145,regKlub_alias_alias,0)),"NEMA"))</f>
        <v/>
      </c>
      <c r="CM145" s="31" t="str">
        <f>IF(OR(CL145="",CL145&lt;&gt;"NEMA"),"",MAX(CM$12:CM144)+1)</f>
        <v/>
      </c>
      <c r="CN145" s="66" t="str">
        <f>IF(OR(CL145="",CL145&lt;&gt;"NEMA"),"",INDEX(regKlub_id,MATCH(CK145,regKlub_naziv,0)))</f>
        <v/>
      </c>
      <c r="CO145" s="47" t="s">
        <v>0</v>
      </c>
      <c r="CP145" s="19" t="str">
        <f>IF(OR(CL145="",CL145&lt;&gt;"NEMA"),"","INSERT INTO klub_alias(id,alias,klub_id) VALUES ("&amp;CM145&amp;",'"&amp;CK145&amp;"',"&amp;CN145&amp;");")</f>
        <v/>
      </c>
      <c r="CQ145" s="47" t="s">
        <v>0</v>
      </c>
      <c r="CR145" s="143" t="str">
        <f>IF(BR145="","",IF(BV145="",IF(IFERROR(MATCH(BR145,nat_noviKluboviAliasi,0),0)&gt;0,INDEX(nat_kluboviAliasi,MATCH(BR145,nat_noviKluboviAliasi,0)),BR145),BV145))</f>
        <v>OK Kapela</v>
      </c>
      <c r="CS145" s="47" t="s">
        <v>0</v>
      </c>
      <c r="CT145" s="58" t="str">
        <f>IF(G145="","",G145)</f>
        <v>68:40</v>
      </c>
      <c r="CU145" s="73" t="str">
        <f>IF(H145="","",H145)</f>
        <v>0</v>
      </c>
      <c r="CV145" s="229" t="str">
        <f>IF(CT145="",IF(OR(AL145="",CU145&lt;&gt;"0"),"","GREŠKA"),IF(AND(65535&gt;=VALUE(LEFT(CT145,SEARCH(":",CT145)-1))*60+VALUE(RIGHT(CT145,2)),OR(CU145="0",CU145="1",CU145="2",CU145="3",CU145="4")),"","GREŠKA"))</f>
        <v/>
      </c>
      <c r="CW145" s="230">
        <f t="shared" si="127"/>
        <v>4120</v>
      </c>
      <c r="CX145" s="163">
        <f t="shared" si="143"/>
        <v>1</v>
      </c>
      <c r="CY145" s="47" t="s">
        <v>0</v>
      </c>
      <c r="CZ145" s="222" t="str">
        <f>IF(CV145&lt;&gt;"GREŠKA","",AK145&amp;" "&amp;AL145&amp;" – Molim u OEventu provjeriti i ispraviti rezultat – vrijeme ("&amp;IF(CT145="","nije upisano",CT145)&amp;") i classifier ("&amp;CU145&amp;").")&amp;IF(OR(CV145&lt;&gt;"GREŠKA",CX145&lt;&gt;5),"
","")&amp;IF(CX145&lt;&gt;5,"",AK145&amp;" "&amp;AL145&amp;" – Molim u provjeriti je li natjecatelj zaista diskvalificiran. Ako je koje je obrazloženje, ako nije molim u OEventu ispraviti rezultat")</f>
        <v xml:space="preserve">
</v>
      </c>
      <c r="DA145" s="223">
        <f t="shared" si="174"/>
        <v>6</v>
      </c>
      <c r="DB145" s="47" t="s">
        <v>0</v>
      </c>
      <c r="DC145" s="47"/>
      <c r="DD145" s="47"/>
      <c r="DE145" s="47"/>
      <c r="DF145" s="47" t="s">
        <v>0</v>
      </c>
      <c r="DG145" s="53" t="str">
        <f>IF(BD145="","",IF(DI145="O",1,""))</f>
        <v/>
      </c>
      <c r="DH145" t="s">
        <v>0</v>
      </c>
      <c r="DI145" s="128" t="str">
        <f>IF(Q145="","",LEFT(INDEX(regKategorija_oznaka,MATCH(S145,regKategorija_id,0)),1))</f>
        <v>M</v>
      </c>
      <c r="DJ145" t="s">
        <v>0</v>
      </c>
      <c r="DK145" s="52" t="str">
        <f>IF(BD145="","",IF(M145&lt;&gt;"CRO","","INSERT INTO osoba (id,reg_broj,oib,spol_id,dat_rodjenja) VALUES ("&amp;BD145&amp;",(SELECT max(os.reg_broj)+1 FROM osoba AS os),Null,'"&amp;DI145&amp;"',Null); INSERT INTO osoba_log (id,reg_broj,oib,spol_id,dat_rodjenja,dnevnik_id) SELECT id,reg_broj,oib,spol_id,dat_rodjenja,"&amp;data_dnevnik_id&amp;" FROM osoba WHERE id = "&amp;BD145&amp;";"))</f>
        <v/>
      </c>
      <c r="DL145" s="66" t="str">
        <f>IF(BD145="","","INSERT INTO imeprezime (id,osoba_id,rbr,ime,prezime,klub_id,identitet_id,sintaksa_id,info,aktivno,dnevnik_id) VALUES ("&amp;BD145&amp;","&amp;IF(DK145="","Null",BD145)&amp;",1,'"&amp;IF(AV145&lt;&gt;"",AV145,AK145)&amp;"','"&amp;IF(AW145&lt;&gt;"",AW145,AL145)&amp;"',(SELECT id FROM klub WHERE naziv = '"&amp;CR145&amp;"'),Null,1,'',1,"&amp;data_dnevnik_id&amp;");")</f>
        <v/>
      </c>
      <c r="DM145" t="s">
        <v>0</v>
      </c>
      <c r="DN145" s="19" t="str">
        <f t="shared" si="126"/>
        <v/>
      </c>
      <c r="DO145" s="47" t="s">
        <v>0</v>
      </c>
      <c r="DP145" s="19" t="str">
        <f>IF(BA145="","","INSERT INTO imeprezime_alias(id,alias,imeprezime_id) VALUES ("&amp;BB145&amp;",'"&amp;BA145&amp;"',"&amp;IF(BC145="NEMA",BD145,BC145)&amp;");")</f>
        <v/>
      </c>
      <c r="DQ145" s="47" t="s">
        <v>0</v>
      </c>
      <c r="DR145" s="52" t="str">
        <f>IF(AL145="","",DU145 &amp; IF(Q145="",""," – " &amp; Q145))</f>
        <v>Hrvoje – Dasović – OK Kapela – M45</v>
      </c>
      <c r="DS145" s="53">
        <f t="shared" si="144"/>
        <v>225</v>
      </c>
      <c r="DT145" s="47" t="s">
        <v>0</v>
      </c>
      <c r="DU145" s="52" t="str">
        <f>IF(AL145="","",DX145 &amp; IF(CR145="",""," – " &amp; CR145))</f>
        <v>Hrvoje – Dasović – OK Kapela</v>
      </c>
      <c r="DV145" s="53">
        <f t="shared" si="145"/>
        <v>225</v>
      </c>
      <c r="DW145" s="47" t="s">
        <v>0</v>
      </c>
      <c r="DX145" s="52" t="str">
        <f>IF(BG145="","",BF145&amp;" – "&amp;BG145)</f>
        <v>Hrvoje – Dasović</v>
      </c>
      <c r="DY145" s="53">
        <f t="shared" si="146"/>
        <v>225</v>
      </c>
      <c r="DZ145" s="47" t="s">
        <v>0</v>
      </c>
      <c r="EA145" s="58">
        <f t="shared" si="175"/>
        <v>225</v>
      </c>
      <c r="EB145" s="53" cm="1">
        <f t="array" ref="EB145">IF(EA145&lt;&gt;"",INDEX(regNatjecatelj_id,EA145,0),IF(BD145&lt;&gt;"",BD145,""))</f>
        <v>1450</v>
      </c>
      <c r="EC145" s="47" t="s">
        <v>0</v>
      </c>
      <c r="ED145" s="58" t="str">
        <f>IF(AL145="","",IF(BD145&lt;&gt;"","novo",IF(AN145="","imepre","imepre(ali)")))</f>
        <v>imepre</v>
      </c>
      <c r="EE145" s="73" t="str">
        <f>IF(AL145="","",IF(BL145="",IF(IFERROR(INDEX(regNatjecatelj_klub,MATCH(EB145,regNatjecatelj_id,0)),"NEMA")="","klu",""),IF(OR(AND(BN145&lt;&gt;"",BN145&lt;&gt;"NEMA"),CD145&lt;&gt;""),"klu(ali)",IF(AND(BP145&lt;&gt;"",BP145&lt;&gt;BO145),"(raz-klu)","klu"))))</f>
        <v>klu</v>
      </c>
      <c r="EF145" s="73" t="str">
        <f>IF(AL145="","","kat"&amp;IF(AND(W145&lt;&gt;Q145,Q145&lt;&gt;"Open"),"(ali)",""))</f>
        <v>kat</v>
      </c>
      <c r="EG145" s="73" t="str">
        <f t="shared" si="147"/>
        <v/>
      </c>
      <c r="EH145" s="66" t="str">
        <f>IF(AL145="","",ED145&amp;IF(ED145="novo","","-"&amp;EE145&amp;"-"&amp;EF145)&amp;IF(EG145="","","-"&amp;EG145))</f>
        <v>imepre-klu-kat</v>
      </c>
      <c r="EI145" s="47" t="s">
        <v>0</v>
      </c>
      <c r="EJ145" s="58">
        <f>IF(AL145="","",MAX(EJ$12:EJ144)+1)</f>
        <v>312</v>
      </c>
      <c r="EK145" s="73">
        <f>IF(AO145="","",X145)</f>
        <v>30</v>
      </c>
      <c r="EL145" s="73">
        <f t="shared" si="176"/>
        <v>1450</v>
      </c>
      <c r="EM145" s="73">
        <f t="shared" si="148"/>
        <v>4120</v>
      </c>
      <c r="EN145" s="73">
        <f t="shared" si="149"/>
        <v>1</v>
      </c>
      <c r="EO145" s="73">
        <f t="shared" si="177"/>
        <v>1</v>
      </c>
      <c r="EP145" s="73">
        <f t="shared" si="178"/>
        <v>1</v>
      </c>
      <c r="EQ145" s="73" t="str">
        <f t="shared" si="150"/>
        <v>0</v>
      </c>
      <c r="ER145" s="73" t="str">
        <f>IF(OR(AN145="",AN145="NEMA"),BB145,AN145)</f>
        <v/>
      </c>
      <c r="ES145" s="73" t="str">
        <f>IF(AND(BN145&lt;&gt;"",BN145&lt;&gt;"NEMA"),BN145,IF(CG145&lt;&gt;"",CG145,IF(AND(CL145&lt;&gt;"",CL145&lt;&gt;"NEMA"),CL145,IF(CM145&lt;&gt;"",CM145,""))))</f>
        <v/>
      </c>
      <c r="ET145" s="53" t="str">
        <f>IF(INDEX(natKategorija_alias_Id,MATCH(S145,natKategorija_katRegId,0))="","",INDEX(natKategorija_alias_Id,MATCH(S145,natKategorija_katRegId,0)))</f>
        <v/>
      </c>
      <c r="EU145" s="47" t="s">
        <v>0</v>
      </c>
      <c r="EV145" s="19" t="str">
        <f t="shared" si="179"/>
        <v>INSERT INTO rezultat(id,stazakategorija_id,imeprezime_id,vrijeme_sec,status_id,registracija,uparivanje_id,originalstatus_id,imeprezimealias_id,klubalias_id,kategorijaalias_id) VALUES (312,30,1450,4120,1,1,1,0,Null,Null,Null);</v>
      </c>
      <c r="EW145" s="47" t="s">
        <v>0</v>
      </c>
      <c r="EX145" s="19" t="str">
        <f t="shared" si="180"/>
        <v>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5" s="47" t="s">
        <v>0</v>
      </c>
      <c r="EZ145" s="180" t="str">
        <f>AG145&amp;IF(CP145="","","
")&amp;CP145&amp;IF(CI145="","","
")&amp;CI145&amp;IF(DN145="","","
")&amp;DN145&amp;IF(DP145="","","
")&amp;DP145&amp;IF(EV145="","","
")&amp;EV145&amp;IF(EX145="","","
")&amp;EX145</f>
        <v xml:space="preserve">
INSERT INTO rezultat(id,stazakategorija_id,imeprezime_id,vrijeme_sec,status_id,registracija,uparivanje_id,originalstatus_id,imeprezimealias_id,klubalias_id,kategorijaalias_id) VALUES (312,30,1450,4120,1,1,1,0,Null,Null,Null);
UPDATE
	registar
SET
	potvrda = 1
WHERE
	imeprezime_id=1450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5" s="47" t="s">
        <v>0</v>
      </c>
    </row>
    <row r="146" spans="1:157" x14ac:dyDescent="0.25">
      <c r="A146" t="s">
        <v>0</v>
      </c>
      <c r="B146" s="52" t="str">
        <f>IF(csv!F136="","",csv!T136)</f>
        <v>M45</v>
      </c>
      <c r="C146" s="31" t="s">
        <v>0</v>
      </c>
      <c r="D146" s="31" t="str">
        <f>IF(csv!F136="","",csv!F136)</f>
        <v>Mario</v>
      </c>
      <c r="E146" s="31" t="str">
        <f>IF(csv!E136="","",csv!E136)</f>
        <v>Nimac</v>
      </c>
      <c r="F146" s="31" t="s">
        <v>0</v>
      </c>
      <c r="G146" s="73" t="str">
        <f>IF(csv!M136="","",csv!M136)</f>
        <v>71:50</v>
      </c>
      <c r="H146" s="73" t="str">
        <f>IF(csv!N136="","",csv!N136)</f>
        <v>0</v>
      </c>
      <c r="I146" s="31" t="s">
        <v>0</v>
      </c>
      <c r="J146" s="31" t="str">
        <f>IF(csv!P136="","",csv!P136)</f>
        <v>KAP</v>
      </c>
      <c r="K146" s="31" t="str">
        <f>IF(csv!Q136="","",csv!Q136)</f>
        <v>OK Kapela</v>
      </c>
      <c r="L146" s="31" t="s">
        <v>0</v>
      </c>
      <c r="M146" s="66" t="str">
        <f>IF(csv!R136="","",csv!R136)</f>
        <v>CRO</v>
      </c>
      <c r="N146" s="47" t="s">
        <v>0</v>
      </c>
      <c r="O146" s="243" t="str">
        <f t="shared" si="151"/>
        <v>ok</v>
      </c>
      <c r="P146" s="47"/>
      <c r="Q146" s="52" t="str">
        <f t="shared" si="152"/>
        <v>M45</v>
      </c>
      <c r="R146" s="73">
        <f>IF(Q146="","",IF(COUNTIF(Q$12:Q145,Q146)=0,R145+1,R145))</f>
        <v>8</v>
      </c>
      <c r="S146" s="73">
        <f t="shared" si="153"/>
        <v>106</v>
      </c>
      <c r="T146" s="73">
        <f t="shared" si="128"/>
        <v>17</v>
      </c>
      <c r="U146" s="66" t="str">
        <f t="shared" si="129"/>
        <v>M45</v>
      </c>
      <c r="V146" s="47" t="s">
        <v>0</v>
      </c>
      <c r="W146" s="222" t="str">
        <f t="shared" si="130"/>
        <v>M45</v>
      </c>
      <c r="X146" s="223">
        <f t="shared" si="131"/>
        <v>30</v>
      </c>
      <c r="Y146" s="47" t="s">
        <v>0</v>
      </c>
      <c r="Z146" s="52" t="str">
        <f t="shared" si="154"/>
        <v>CRO</v>
      </c>
      <c r="AA146" s="73">
        <f t="shared" si="132"/>
        <v>1</v>
      </c>
      <c r="AB146" s="31" t="str">
        <f t="shared" si="155"/>
        <v/>
      </c>
      <c r="AC146" s="66" t="str">
        <f>IF(AB146="","",MAX(AC$12:AC145)+1)</f>
        <v/>
      </c>
      <c r="AD146" s="47" t="s">
        <v>0</v>
      </c>
      <c r="AE146" s="125"/>
      <c r="AF146" s="47" t="s">
        <v>0</v>
      </c>
      <c r="AG146" s="19" t="str">
        <f t="shared" si="156"/>
        <v/>
      </c>
      <c r="AH146" s="47" t="s">
        <v>0</v>
      </c>
      <c r="AI146" s="143" t="str">
        <f t="shared" si="157"/>
        <v>CRO</v>
      </c>
      <c r="AJ146" s="47"/>
      <c r="AK146" s="52" t="str">
        <f t="shared" si="158"/>
        <v>Mario</v>
      </c>
      <c r="AL146" s="31" t="str">
        <f t="shared" si="159"/>
        <v>Nimac</v>
      </c>
      <c r="AM146" s="73">
        <f t="shared" si="160"/>
        <v>1516</v>
      </c>
      <c r="AN146" s="73" t="str">
        <f t="shared" si="161"/>
        <v/>
      </c>
      <c r="AO146" s="31" t="str">
        <f t="shared" si="133"/>
        <v>Mario</v>
      </c>
      <c r="AP146" s="66" t="str">
        <f t="shared" si="134"/>
        <v>Nimac</v>
      </c>
      <c r="AQ146" s="47" t="s">
        <v>0</v>
      </c>
      <c r="AR146" s="82" t="str">
        <f t="shared" si="162"/>
        <v/>
      </c>
      <c r="AS146" s="47" t="s">
        <v>0</v>
      </c>
      <c r="AT146" s="19" t="str">
        <f t="shared" si="163"/>
        <v/>
      </c>
      <c r="AU146" s="47" t="s">
        <v>0</v>
      </c>
      <c r="AV146" s="103"/>
      <c r="AW146" s="105"/>
      <c r="AX146" s="47" t="s">
        <v>0</v>
      </c>
      <c r="AY146" s="256" t="str">
        <f t="shared" si="125"/>
        <v/>
      </c>
      <c r="AZ146" s="47" t="s">
        <v>0</v>
      </c>
      <c r="BA146" s="52" t="str">
        <f t="shared" si="135"/>
        <v/>
      </c>
      <c r="BB146" s="73" t="str">
        <f>IF(AV146&amp;AW146="","",MAX(BB$12:BB145)+1)</f>
        <v/>
      </c>
      <c r="BC146" s="268" t="str">
        <f t="shared" si="136"/>
        <v/>
      </c>
      <c r="BD146" s="53" t="str">
        <f>IF(AND(AM146="NEMA",AN146="NEMA",OR(AV146&amp;AW146="",BC146="NEMA")),MAX(BD$12:BD145)+1,"")</f>
        <v/>
      </c>
      <c r="BE146" s="47" t="s">
        <v>0</v>
      </c>
      <c r="BF146" s="52" t="str">
        <f t="shared" si="137"/>
        <v>Mario</v>
      </c>
      <c r="BG146" s="31" t="str">
        <f t="shared" si="138"/>
        <v>Nimac</v>
      </c>
      <c r="BH146" s="73" t="str">
        <f t="shared" si="164"/>
        <v/>
      </c>
      <c r="BI146" s="53">
        <f t="shared" si="165"/>
        <v>1516</v>
      </c>
      <c r="BJ146" s="47" t="s">
        <v>0</v>
      </c>
      <c r="BK146" s="52" t="str">
        <f t="shared" si="139"/>
        <v>KAP</v>
      </c>
      <c r="BL146" s="31" t="str">
        <f t="shared" si="140"/>
        <v>OK Kapela</v>
      </c>
      <c r="BM146" s="73">
        <f t="shared" si="141"/>
        <v>5</v>
      </c>
      <c r="BN146" s="73" t="str">
        <f t="shared" si="142"/>
        <v/>
      </c>
      <c r="BO146" s="31" t="str" cm="1">
        <f t="array" ref="BO146">IF(BN146="",""&amp;BL146,IF(BN146="NEMA",BL146,INDEX(regKlub_naziv,MATCH(INDEX(regKlub_alias_klubId,BN146),regKlub_id,0))))</f>
        <v>OK Kapela</v>
      </c>
      <c r="BP146" s="31" t="str" cm="1">
        <f t="array" ref="BP146">IFERROR(""&amp;INDEX(regNatjecatelj_klub,DY146),"")</f>
        <v>OK Kapela</v>
      </c>
      <c r="BQ146" s="88" t="str">
        <f t="shared" si="166"/>
        <v/>
      </c>
      <c r="BR146" s="66" t="str">
        <f t="shared" si="167"/>
        <v>OK Kapela</v>
      </c>
      <c r="BS146" s="47" t="s">
        <v>0</v>
      </c>
      <c r="BT146" s="82" t="str">
        <f>IF(BN146&lt;&gt;"NEMA","",IF(IFERROR(MATCH(BL146,BL$12:BL145,0),0)&lt;&gt;0,"",BL146))</f>
        <v/>
      </c>
      <c r="BU146" s="47" t="s">
        <v>0</v>
      </c>
      <c r="BV146" s="125"/>
      <c r="BW146" s="47" t="s">
        <v>0</v>
      </c>
      <c r="BX146" s="58" t="str">
        <f t="shared" si="168"/>
        <v/>
      </c>
      <c r="BY146" s="31" t="str">
        <f t="shared" si="169"/>
        <v/>
      </c>
      <c r="BZ146" s="31" t="str">
        <f>IF(BY146="","",MAX(BZ$12:BZ145)+1)</f>
        <v/>
      </c>
      <c r="CA146" s="31" t="str">
        <f>IF(BY146="","",IF(AA146="","",IF(AA146="NEMA",AC146,AA146)))</f>
        <v/>
      </c>
      <c r="CB146" s="31" t="str">
        <f t="shared" si="170"/>
        <v/>
      </c>
      <c r="CC146" s="31" t="str">
        <f>IF(BV146="","",MAX(CC$12:CC145)+1)</f>
        <v/>
      </c>
      <c r="CD146" s="31" t="str">
        <f t="shared" si="171"/>
        <v/>
      </c>
      <c r="CE146" s="66" t="str">
        <f t="shared" si="172"/>
        <v/>
      </c>
      <c r="CF146" s="47" t="s">
        <v>0</v>
      </c>
      <c r="CG146" s="73" t="str">
        <f>IF(BN146="","",IF(BN146&lt;&gt;"NEMA","",IFERROR(INDEX(nat_klubAliasId,MATCH(BL146,nat_noviKluboviAliasi,0)),"")))</f>
        <v/>
      </c>
      <c r="CH146" s="47"/>
      <c r="CI146" s="19" t="str">
        <f t="shared" si="173"/>
        <v/>
      </c>
      <c r="CJ146" s="47" t="s">
        <v>0</v>
      </c>
      <c r="CK146" s="52" t="str">
        <f>IF(X146&lt;&gt;"NEMA","",IF(IFERROR(MATCH(W146,W$12:W145,0),0)&lt;&gt;0,"",W146))</f>
        <v/>
      </c>
      <c r="CL146" s="73" t="str">
        <f>IF(CK146="","",IFERROR(INDEX(regKlub_alias_id,MATCH(CK146,regKlub_alias_alias,0)),"NEMA"))</f>
        <v/>
      </c>
      <c r="CM146" s="31" t="str">
        <f>IF(OR(CL146="",CL146&lt;&gt;"NEMA"),"",MAX(CM$12:CM145)+1)</f>
        <v/>
      </c>
      <c r="CN146" s="66" t="str">
        <f>IF(OR(CL146="",CL146&lt;&gt;"NEMA"),"",INDEX(regKlub_id,MATCH(CK146,regKlub_naziv,0)))</f>
        <v/>
      </c>
      <c r="CO146" s="47" t="s">
        <v>0</v>
      </c>
      <c r="CP146" s="19" t="str">
        <f>IF(OR(CL146="",CL146&lt;&gt;"NEMA"),"","INSERT INTO klub_alias(id,alias,klub_id) VALUES ("&amp;CM146&amp;",'"&amp;CK146&amp;"',"&amp;CN146&amp;");")</f>
        <v/>
      </c>
      <c r="CQ146" s="47" t="s">
        <v>0</v>
      </c>
      <c r="CR146" s="143" t="str">
        <f>IF(BR146="","",IF(BV146="",IF(IFERROR(MATCH(BR146,nat_noviKluboviAliasi,0),0)&gt;0,INDEX(nat_kluboviAliasi,MATCH(BR146,nat_noviKluboviAliasi,0)),BR146),BV146))</f>
        <v>OK Kapela</v>
      </c>
      <c r="CS146" s="47" t="s">
        <v>0</v>
      </c>
      <c r="CT146" s="58" t="str">
        <f>IF(G146="","",G146)</f>
        <v>71:50</v>
      </c>
      <c r="CU146" s="73" t="str">
        <f>IF(H146="","",H146)</f>
        <v>0</v>
      </c>
      <c r="CV146" s="229" t="str">
        <f>IF(CT146="",IF(OR(AL146="",CU146&lt;&gt;"0"),"","GREŠKA"),IF(AND(65535&gt;=VALUE(LEFT(CT146,SEARCH(":",CT146)-1))*60+VALUE(RIGHT(CT146,2)),OR(CU146="0",CU146="1",CU146="2",CU146="3",CU146="4")),"","GREŠKA"))</f>
        <v/>
      </c>
      <c r="CW146" s="230">
        <f t="shared" si="127"/>
        <v>4310</v>
      </c>
      <c r="CX146" s="163">
        <f t="shared" si="143"/>
        <v>1</v>
      </c>
      <c r="CY146" s="47" t="s">
        <v>0</v>
      </c>
      <c r="CZ146" s="222" t="str">
        <f>IF(CV146&lt;&gt;"GREŠKA","",AK146&amp;" "&amp;AL146&amp;" – Molim u OEventu provjeriti i ispraviti rezultat – vrijeme ("&amp;IF(CT146="","nije upisano",CT146)&amp;") i classifier ("&amp;CU146&amp;").")&amp;IF(OR(CV146&lt;&gt;"GREŠKA",CX146&lt;&gt;5),"
","")&amp;IF(CX146&lt;&gt;5,"",AK146&amp;" "&amp;AL146&amp;" – Molim u provjeriti je li natjecatelj zaista diskvalificiran. Ako je koje je obrazloženje, ako nije molim u OEventu ispraviti rezultat")</f>
        <v xml:space="preserve">
</v>
      </c>
      <c r="DA146" s="223">
        <f t="shared" si="174"/>
        <v>6</v>
      </c>
      <c r="DB146" s="47" t="s">
        <v>0</v>
      </c>
      <c r="DC146" s="47"/>
      <c r="DD146" s="47"/>
      <c r="DE146" s="47"/>
      <c r="DF146" s="47" t="s">
        <v>0</v>
      </c>
      <c r="DG146" s="53" t="str">
        <f>IF(BD146="","",IF(DI146="O",1,""))</f>
        <v/>
      </c>
      <c r="DH146" t="s">
        <v>0</v>
      </c>
      <c r="DI146" s="128" t="str">
        <f>IF(Q146="","",LEFT(INDEX(regKategorija_oznaka,MATCH(S146,regKategorija_id,0)),1))</f>
        <v>M</v>
      </c>
      <c r="DJ146" t="s">
        <v>0</v>
      </c>
      <c r="DK146" s="52" t="str">
        <f>IF(BD146="","",IF(M146&lt;&gt;"CRO","","INSERT INTO osoba (id,reg_broj,oib,spol_id,dat_rodjenja) VALUES ("&amp;BD146&amp;",(SELECT max(os.reg_broj)+1 FROM osoba AS os),Null,'"&amp;DI146&amp;"',Null); INSERT INTO osoba_log (id,reg_broj,oib,spol_id,dat_rodjenja,dnevnik_id) SELECT id,reg_broj,oib,spol_id,dat_rodjenja,"&amp;data_dnevnik_id&amp;" FROM osoba WHERE id = "&amp;BD146&amp;";"))</f>
        <v/>
      </c>
      <c r="DL146" s="66" t="str">
        <f>IF(BD146="","","INSERT INTO imeprezime (id,osoba_id,rbr,ime,prezime,klub_id,identitet_id,sintaksa_id,info,aktivno,dnevnik_id) VALUES ("&amp;BD146&amp;","&amp;IF(DK146="","Null",BD146)&amp;",1,'"&amp;IF(AV146&lt;&gt;"",AV146,AK146)&amp;"','"&amp;IF(AW146&lt;&gt;"",AW146,AL146)&amp;"',(SELECT id FROM klub WHERE naziv = '"&amp;CR146&amp;"'),Null,1,'',1,"&amp;data_dnevnik_id&amp;");")</f>
        <v/>
      </c>
      <c r="DM146" t="s">
        <v>0</v>
      </c>
      <c r="DN146" s="19" t="str">
        <f t="shared" si="126"/>
        <v/>
      </c>
      <c r="DO146" s="47" t="s">
        <v>0</v>
      </c>
      <c r="DP146" s="19" t="str">
        <f>IF(BA146="","","INSERT INTO imeprezime_alias(id,alias,imeprezime_id) VALUES ("&amp;BB146&amp;",'"&amp;BA146&amp;"',"&amp;IF(BC146="NEMA",BD146,BC146)&amp;");")</f>
        <v/>
      </c>
      <c r="DQ146" s="47" t="s">
        <v>0</v>
      </c>
      <c r="DR146" s="52" t="str">
        <f>IF(AL146="","",DU146 &amp; IF(Q146="",""," – " &amp; Q146))</f>
        <v>Mario – Nimac – OK Kapela – M45</v>
      </c>
      <c r="DS146" s="53">
        <f t="shared" si="144"/>
        <v>287</v>
      </c>
      <c r="DT146" s="47" t="s">
        <v>0</v>
      </c>
      <c r="DU146" s="52" t="str">
        <f>IF(AL146="","",DX146 &amp; IF(CR146="",""," – " &amp; CR146))</f>
        <v>Mario – Nimac – OK Kapela</v>
      </c>
      <c r="DV146" s="53">
        <f t="shared" si="145"/>
        <v>287</v>
      </c>
      <c r="DW146" s="47" t="s">
        <v>0</v>
      </c>
      <c r="DX146" s="52" t="str">
        <f>IF(BG146="","",BF146&amp;" – "&amp;BG146)</f>
        <v>Mario – Nimac</v>
      </c>
      <c r="DY146" s="53">
        <f t="shared" si="146"/>
        <v>287</v>
      </c>
      <c r="DZ146" s="47" t="s">
        <v>0</v>
      </c>
      <c r="EA146" s="58">
        <f t="shared" si="175"/>
        <v>287</v>
      </c>
      <c r="EB146" s="53" cm="1">
        <f t="array" ref="EB146">IF(EA146&lt;&gt;"",INDEX(regNatjecatelj_id,EA146,0),IF(BD146&lt;&gt;"",BD146,""))</f>
        <v>1516</v>
      </c>
      <c r="EC146" s="47" t="s">
        <v>0</v>
      </c>
      <c r="ED146" s="58" t="str">
        <f>IF(AL146="","",IF(BD146&lt;&gt;"","novo",IF(AN146="","imepre","imepre(ali)")))</f>
        <v>imepre</v>
      </c>
      <c r="EE146" s="73" t="str">
        <f>IF(AL146="","",IF(BL146="",IF(IFERROR(INDEX(regNatjecatelj_klub,MATCH(EB146,regNatjecatelj_id,0)),"NEMA")="","klu",""),IF(OR(AND(BN146&lt;&gt;"",BN146&lt;&gt;"NEMA"),CD146&lt;&gt;""),"klu(ali)",IF(AND(BP146&lt;&gt;"",BP146&lt;&gt;BO146),"(raz-klu)","klu"))))</f>
        <v>klu</v>
      </c>
      <c r="EF146" s="73" t="str">
        <f>IF(AL146="","","kat"&amp;IF(AND(W146&lt;&gt;Q146,Q146&lt;&gt;"Open"),"(ali)",""))</f>
        <v>kat</v>
      </c>
      <c r="EG146" s="73" t="str">
        <f t="shared" si="147"/>
        <v/>
      </c>
      <c r="EH146" s="66" t="str">
        <f>IF(AL146="","",ED146&amp;IF(ED146="novo","","-"&amp;EE146&amp;"-"&amp;EF146)&amp;IF(EG146="","","-"&amp;EG146))</f>
        <v>imepre-klu-kat</v>
      </c>
      <c r="EI146" s="47" t="s">
        <v>0</v>
      </c>
      <c r="EJ146" s="58">
        <f>IF(AL146="","",MAX(EJ$12:EJ145)+1)</f>
        <v>313</v>
      </c>
      <c r="EK146" s="73">
        <f>IF(AO146="","",X146)</f>
        <v>30</v>
      </c>
      <c r="EL146" s="73">
        <f t="shared" si="176"/>
        <v>1516</v>
      </c>
      <c r="EM146" s="73">
        <f t="shared" si="148"/>
        <v>4310</v>
      </c>
      <c r="EN146" s="73">
        <f t="shared" si="149"/>
        <v>1</v>
      </c>
      <c r="EO146" s="73">
        <f t="shared" si="177"/>
        <v>1</v>
      </c>
      <c r="EP146" s="73">
        <f t="shared" si="178"/>
        <v>1</v>
      </c>
      <c r="EQ146" s="73" t="str">
        <f t="shared" si="150"/>
        <v>0</v>
      </c>
      <c r="ER146" s="73" t="str">
        <f>IF(OR(AN146="",AN146="NEMA"),BB146,AN146)</f>
        <v/>
      </c>
      <c r="ES146" s="73" t="str">
        <f>IF(AND(BN146&lt;&gt;"",BN146&lt;&gt;"NEMA"),BN146,IF(CG146&lt;&gt;"",CG146,IF(AND(CL146&lt;&gt;"",CL146&lt;&gt;"NEMA"),CL146,IF(CM146&lt;&gt;"",CM146,""))))</f>
        <v/>
      </c>
      <c r="ET146" s="53" t="str">
        <f>IF(INDEX(natKategorija_alias_Id,MATCH(S146,natKategorija_katRegId,0))="","",INDEX(natKategorija_alias_Id,MATCH(S146,natKategorija_katRegId,0)))</f>
        <v/>
      </c>
      <c r="EU146" s="47" t="s">
        <v>0</v>
      </c>
      <c r="EV146" s="19" t="str">
        <f t="shared" si="179"/>
        <v>INSERT INTO rezultat(id,stazakategorija_id,imeprezime_id,vrijeme_sec,status_id,registracija,uparivanje_id,originalstatus_id,imeprezimealias_id,klubalias_id,kategorijaalias_id) VALUES (313,30,1516,4310,1,1,1,0,Null,Null,Null);</v>
      </c>
      <c r="EW146" s="47" t="s">
        <v>0</v>
      </c>
      <c r="EX146" s="19" t="str">
        <f t="shared" si="180"/>
        <v>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6" s="47" t="s">
        <v>0</v>
      </c>
      <c r="EZ146" s="180" t="str">
        <f>AG146&amp;IF(CP146="","","
")&amp;CP146&amp;IF(CI146="","","
")&amp;CI146&amp;IF(DN146="","","
")&amp;DN146&amp;IF(DP146="","","
")&amp;DP146&amp;IF(EV146="","","
")&amp;EV146&amp;IF(EX146="","","
")&amp;EX146</f>
        <v xml:space="preserve">
INSERT INTO rezultat(id,stazakategorija_id,imeprezime_id,vrijeme_sec,status_id,registracija,uparivanje_id,originalstatus_id,imeprezimealias_id,klubalias_id,kategorijaalias_id) VALUES (313,30,1516,4310,1,1,1,0,Null,Null,Null);
UPDATE
	registar
SET
	potvrda = 1
WHERE
	imeprezime_id=1516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6" s="47" t="s">
        <v>0</v>
      </c>
    </row>
    <row r="147" spans="1:157" x14ac:dyDescent="0.25">
      <c r="A147" t="s">
        <v>0</v>
      </c>
      <c r="B147" s="52" t="str">
        <f>IF(csv!F137="","",csv!T137)</f>
        <v>M45</v>
      </c>
      <c r="C147" s="31" t="s">
        <v>0</v>
      </c>
      <c r="D147" s="31" t="str">
        <f>IF(csv!F137="","",csv!F137)</f>
        <v>Domagoj</v>
      </c>
      <c r="E147" s="31" t="str">
        <f>IF(csv!E137="","",csv!E137)</f>
        <v>Pavlin</v>
      </c>
      <c r="F147" s="31" t="s">
        <v>0</v>
      </c>
      <c r="G147" s="73" t="str">
        <f>IF(csv!M137="","",csv!M137)</f>
        <v>75:42</v>
      </c>
      <c r="H147" s="73" t="str">
        <f>IF(csv!N137="","",csv!N137)</f>
        <v>0</v>
      </c>
      <c r="I147" s="31" t="s">
        <v>0</v>
      </c>
      <c r="J147" s="31" t="str">
        <f>IF(csv!P137="","",csv!P137)</f>
        <v>Vihor</v>
      </c>
      <c r="K147" s="31" t="str">
        <f>IF(csv!Q137="","",csv!Q137)</f>
        <v>OK Vihor</v>
      </c>
      <c r="L147" s="31" t="s">
        <v>0</v>
      </c>
      <c r="M147" s="66" t="str">
        <f>IF(csv!R137="","",csv!R137)</f>
        <v>CRO</v>
      </c>
      <c r="N147" s="47" t="s">
        <v>0</v>
      </c>
      <c r="O147" s="243" t="str">
        <f t="shared" si="151"/>
        <v>ok</v>
      </c>
      <c r="P147" s="47"/>
      <c r="Q147" s="52" t="str">
        <f t="shared" si="152"/>
        <v>M45</v>
      </c>
      <c r="R147" s="73">
        <f>IF(Q147="","",IF(COUNTIF(Q$12:Q146,Q147)=0,R146+1,R146))</f>
        <v>8</v>
      </c>
      <c r="S147" s="73">
        <f t="shared" si="153"/>
        <v>106</v>
      </c>
      <c r="T147" s="73">
        <f t="shared" si="128"/>
        <v>17</v>
      </c>
      <c r="U147" s="66" t="str">
        <f t="shared" si="129"/>
        <v>M45</v>
      </c>
      <c r="V147" s="47" t="s">
        <v>0</v>
      </c>
      <c r="W147" s="222" t="str">
        <f t="shared" si="130"/>
        <v>M45</v>
      </c>
      <c r="X147" s="223">
        <f t="shared" si="131"/>
        <v>30</v>
      </c>
      <c r="Y147" s="47" t="s">
        <v>0</v>
      </c>
      <c r="Z147" s="52" t="str">
        <f t="shared" si="154"/>
        <v>CRO</v>
      </c>
      <c r="AA147" s="73">
        <f t="shared" si="132"/>
        <v>1</v>
      </c>
      <c r="AB147" s="31" t="str">
        <f t="shared" si="155"/>
        <v/>
      </c>
      <c r="AC147" s="66" t="str">
        <f>IF(AB147="","",MAX(AC$12:AC146)+1)</f>
        <v/>
      </c>
      <c r="AD147" s="47" t="s">
        <v>0</v>
      </c>
      <c r="AE147" s="125"/>
      <c r="AF147" s="47" t="s">
        <v>0</v>
      </c>
      <c r="AG147" s="19" t="str">
        <f t="shared" si="156"/>
        <v/>
      </c>
      <c r="AH147" s="47" t="s">
        <v>0</v>
      </c>
      <c r="AI147" s="143" t="str">
        <f t="shared" si="157"/>
        <v>CRO</v>
      </c>
      <c r="AJ147" s="47"/>
      <c r="AK147" s="52" t="str">
        <f t="shared" si="158"/>
        <v>Domagoj</v>
      </c>
      <c r="AL147" s="31" t="str">
        <f t="shared" si="159"/>
        <v>Pavlin</v>
      </c>
      <c r="AM147" s="73">
        <f t="shared" si="160"/>
        <v>1237</v>
      </c>
      <c r="AN147" s="73" t="str">
        <f t="shared" si="161"/>
        <v/>
      </c>
      <c r="AO147" s="31" t="str">
        <f t="shared" si="133"/>
        <v>Domagoj</v>
      </c>
      <c r="AP147" s="66" t="str">
        <f t="shared" si="134"/>
        <v>Pavlin</v>
      </c>
      <c r="AQ147" s="47" t="s">
        <v>0</v>
      </c>
      <c r="AR147" s="82" t="str">
        <f t="shared" si="162"/>
        <v/>
      </c>
      <c r="AS147" s="47" t="s">
        <v>0</v>
      </c>
      <c r="AT147" s="19" t="str">
        <f t="shared" si="163"/>
        <v/>
      </c>
      <c r="AU147" s="47" t="s">
        <v>0</v>
      </c>
      <c r="AV147" s="103"/>
      <c r="AW147" s="105"/>
      <c r="AX147" s="47" t="s">
        <v>0</v>
      </c>
      <c r="AY147" s="256" t="str">
        <f t="shared" si="125"/>
        <v/>
      </c>
      <c r="AZ147" s="47" t="s">
        <v>0</v>
      </c>
      <c r="BA147" s="52" t="str">
        <f t="shared" si="135"/>
        <v/>
      </c>
      <c r="BB147" s="73" t="str">
        <f>IF(AV147&amp;AW147="","",MAX(BB$12:BB146)+1)</f>
        <v/>
      </c>
      <c r="BC147" s="268" t="str">
        <f t="shared" si="136"/>
        <v/>
      </c>
      <c r="BD147" s="53" t="str">
        <f>IF(AND(AM147="NEMA",AN147="NEMA",OR(AV147&amp;AW147="",BC147="NEMA")),MAX(BD$12:BD146)+1,"")</f>
        <v/>
      </c>
      <c r="BE147" s="47" t="s">
        <v>0</v>
      </c>
      <c r="BF147" s="52" t="str">
        <f t="shared" si="137"/>
        <v>Domagoj</v>
      </c>
      <c r="BG147" s="31" t="str">
        <f t="shared" si="138"/>
        <v>Pavlin</v>
      </c>
      <c r="BH147" s="73" t="str">
        <f t="shared" si="164"/>
        <v/>
      </c>
      <c r="BI147" s="53">
        <f t="shared" si="165"/>
        <v>1237</v>
      </c>
      <c r="BJ147" s="47" t="s">
        <v>0</v>
      </c>
      <c r="BK147" s="52" t="str">
        <f t="shared" si="139"/>
        <v>Vihor</v>
      </c>
      <c r="BL147" s="31" t="str">
        <f t="shared" si="140"/>
        <v>OK Vihor</v>
      </c>
      <c r="BM147" s="73">
        <f t="shared" si="141"/>
        <v>12</v>
      </c>
      <c r="BN147" s="73" t="str">
        <f t="shared" si="142"/>
        <v/>
      </c>
      <c r="BO147" s="31" t="str" cm="1">
        <f t="array" ref="BO147">IF(BN147="",""&amp;BL147,IF(BN147="NEMA",BL147,INDEX(regKlub_naziv,MATCH(INDEX(regKlub_alias_klubId,BN147),regKlub_id,0))))</f>
        <v>OK Vihor</v>
      </c>
      <c r="BP147" s="31" t="str" cm="1">
        <f t="array" ref="BP147">IFERROR(""&amp;INDEX(regNatjecatelj_klub,DY147),"")</f>
        <v>OK Vihor</v>
      </c>
      <c r="BQ147" s="88" t="str">
        <f t="shared" si="166"/>
        <v/>
      </c>
      <c r="BR147" s="66" t="str">
        <f t="shared" si="167"/>
        <v>OK Vihor</v>
      </c>
      <c r="BS147" s="47" t="s">
        <v>0</v>
      </c>
      <c r="BT147" s="82" t="str">
        <f>IF(BN147&lt;&gt;"NEMA","",IF(IFERROR(MATCH(BL147,BL$12:BL146,0),0)&lt;&gt;0,"",BL147))</f>
        <v/>
      </c>
      <c r="BU147" s="47" t="s">
        <v>0</v>
      </c>
      <c r="BV147" s="125"/>
      <c r="BW147" s="47" t="s">
        <v>0</v>
      </c>
      <c r="BX147" s="58" t="str">
        <f t="shared" si="168"/>
        <v/>
      </c>
      <c r="BY147" s="31" t="str">
        <f t="shared" si="169"/>
        <v/>
      </c>
      <c r="BZ147" s="31" t="str">
        <f>IF(BY147="","",MAX(BZ$12:BZ146)+1)</f>
        <v/>
      </c>
      <c r="CA147" s="31" t="str">
        <f>IF(BY147="","",IF(AA147="","",IF(AA147="NEMA",AC147,AA147)))</f>
        <v/>
      </c>
      <c r="CB147" s="31" t="str">
        <f t="shared" si="170"/>
        <v/>
      </c>
      <c r="CC147" s="31" t="str">
        <f>IF(BV147="","",MAX(CC$12:CC146)+1)</f>
        <v/>
      </c>
      <c r="CD147" s="31" t="str">
        <f t="shared" si="171"/>
        <v/>
      </c>
      <c r="CE147" s="66" t="str">
        <f t="shared" si="172"/>
        <v/>
      </c>
      <c r="CF147" s="47" t="s">
        <v>0</v>
      </c>
      <c r="CG147" s="73" t="str">
        <f>IF(BN147="","",IF(BN147&lt;&gt;"NEMA","",IFERROR(INDEX(nat_klubAliasId,MATCH(BL147,nat_noviKluboviAliasi,0)),"")))</f>
        <v/>
      </c>
      <c r="CH147" s="47"/>
      <c r="CI147" s="19" t="str">
        <f t="shared" si="173"/>
        <v/>
      </c>
      <c r="CJ147" s="47" t="s">
        <v>0</v>
      </c>
      <c r="CK147" s="52" t="str">
        <f>IF(X147&lt;&gt;"NEMA","",IF(IFERROR(MATCH(W147,W$12:W146,0),0)&lt;&gt;0,"",W147))</f>
        <v/>
      </c>
      <c r="CL147" s="73" t="str">
        <f>IF(CK147="","",IFERROR(INDEX(regKlub_alias_id,MATCH(CK147,regKlub_alias_alias,0)),"NEMA"))</f>
        <v/>
      </c>
      <c r="CM147" s="31" t="str">
        <f>IF(OR(CL147="",CL147&lt;&gt;"NEMA"),"",MAX(CM$12:CM146)+1)</f>
        <v/>
      </c>
      <c r="CN147" s="66" t="str">
        <f>IF(OR(CL147="",CL147&lt;&gt;"NEMA"),"",INDEX(regKlub_id,MATCH(CK147,regKlub_naziv,0)))</f>
        <v/>
      </c>
      <c r="CO147" s="47" t="s">
        <v>0</v>
      </c>
      <c r="CP147" s="19" t="str">
        <f>IF(OR(CL147="",CL147&lt;&gt;"NEMA"),"","INSERT INTO klub_alias(id,alias,klub_id) VALUES ("&amp;CM147&amp;",'"&amp;CK147&amp;"',"&amp;CN147&amp;");")</f>
        <v/>
      </c>
      <c r="CQ147" s="47" t="s">
        <v>0</v>
      </c>
      <c r="CR147" s="143" t="str">
        <f>IF(BR147="","",IF(BV147="",IF(IFERROR(MATCH(BR147,nat_noviKluboviAliasi,0),0)&gt;0,INDEX(nat_kluboviAliasi,MATCH(BR147,nat_noviKluboviAliasi,0)),BR147),BV147))</f>
        <v>OK Vihor</v>
      </c>
      <c r="CS147" s="47" t="s">
        <v>0</v>
      </c>
      <c r="CT147" s="58" t="str">
        <f>IF(G147="","",G147)</f>
        <v>75:42</v>
      </c>
      <c r="CU147" s="73" t="str">
        <f>IF(H147="","",H147)</f>
        <v>0</v>
      </c>
      <c r="CV147" s="229" t="str">
        <f>IF(CT147="",IF(OR(AL147="",CU147&lt;&gt;"0"),"","GREŠKA"),IF(AND(65535&gt;=VALUE(LEFT(CT147,SEARCH(":",CT147)-1))*60+VALUE(RIGHT(CT147,2)),OR(CU147="0",CU147="1",CU147="2",CU147="3",CU147="4")),"","GREŠKA"))</f>
        <v/>
      </c>
      <c r="CW147" s="230">
        <f t="shared" si="127"/>
        <v>4542</v>
      </c>
      <c r="CX147" s="163">
        <f t="shared" si="143"/>
        <v>1</v>
      </c>
      <c r="CY147" s="47" t="s">
        <v>0</v>
      </c>
      <c r="CZ147" s="222" t="str">
        <f>IF(CV147&lt;&gt;"GREŠKA","",AK147&amp;" "&amp;AL147&amp;" – Molim u OEventu provjeriti i ispraviti rezultat – vrijeme ("&amp;IF(CT147="","nije upisano",CT147)&amp;") i classifier ("&amp;CU147&amp;").")&amp;IF(OR(CV147&lt;&gt;"GREŠKA",CX147&lt;&gt;5),"
","")&amp;IF(CX147&lt;&gt;5,"",AK147&amp;" "&amp;AL147&amp;" – Molim u provjeriti je li natjecatelj zaista diskvalificiran. Ako je koje je obrazloženje, ako nije molim u OEventu ispraviti rezultat")</f>
        <v xml:space="preserve">
</v>
      </c>
      <c r="DA147" s="223">
        <f t="shared" si="174"/>
        <v>6</v>
      </c>
      <c r="DB147" s="47" t="s">
        <v>0</v>
      </c>
      <c r="DC147" s="47"/>
      <c r="DD147" s="47"/>
      <c r="DE147" s="47"/>
      <c r="DF147" s="47" t="s">
        <v>0</v>
      </c>
      <c r="DG147" s="53" t="str">
        <f>IF(BD147="","",IF(DI147="O",1,""))</f>
        <v/>
      </c>
      <c r="DH147" t="s">
        <v>0</v>
      </c>
      <c r="DI147" s="128" t="str">
        <f>IF(Q147="","",LEFT(INDEX(regKategorija_oznaka,MATCH(S147,regKategorija_id,0)),1))</f>
        <v>M</v>
      </c>
      <c r="DJ147" t="s">
        <v>0</v>
      </c>
      <c r="DK147" s="52" t="str">
        <f>IF(BD147="","",IF(M147&lt;&gt;"CRO","","INSERT INTO osoba (id,reg_broj,oib,spol_id,dat_rodjenja) VALUES ("&amp;BD147&amp;",(SELECT max(os.reg_broj)+1 FROM osoba AS os),Null,'"&amp;DI147&amp;"',Null); INSERT INTO osoba_log (id,reg_broj,oib,spol_id,dat_rodjenja,dnevnik_id) SELECT id,reg_broj,oib,spol_id,dat_rodjenja,"&amp;data_dnevnik_id&amp;" FROM osoba WHERE id = "&amp;BD147&amp;";"))</f>
        <v/>
      </c>
      <c r="DL147" s="66" t="str">
        <f>IF(BD147="","","INSERT INTO imeprezime (id,osoba_id,rbr,ime,prezime,klub_id,identitet_id,sintaksa_id,info,aktivno,dnevnik_id) VALUES ("&amp;BD147&amp;","&amp;IF(DK147="","Null",BD147)&amp;",1,'"&amp;IF(AV147&lt;&gt;"",AV147,AK147)&amp;"','"&amp;IF(AW147&lt;&gt;"",AW147,AL147)&amp;"',(SELECT id FROM klub WHERE naziv = '"&amp;CR147&amp;"'),Null,1,'',1,"&amp;data_dnevnik_id&amp;");")</f>
        <v/>
      </c>
      <c r="DM147" t="s">
        <v>0</v>
      </c>
      <c r="DN147" s="19" t="str">
        <f t="shared" si="126"/>
        <v/>
      </c>
      <c r="DO147" s="47" t="s">
        <v>0</v>
      </c>
      <c r="DP147" s="19" t="str">
        <f>IF(BA147="","","INSERT INTO imeprezime_alias(id,alias,imeprezime_id) VALUES ("&amp;BB147&amp;",'"&amp;BA147&amp;"',"&amp;IF(BC147="NEMA",BD147,BC147)&amp;");")</f>
        <v/>
      </c>
      <c r="DQ147" s="47" t="s">
        <v>0</v>
      </c>
      <c r="DR147" s="52" t="str">
        <f>IF(AL147="","",DU147 &amp; IF(Q147="",""," – " &amp; Q147))</f>
        <v>Domagoj – Pavlin – OK Vihor – M45</v>
      </c>
      <c r="DS147" s="53">
        <f t="shared" si="144"/>
        <v>844</v>
      </c>
      <c r="DT147" s="47" t="s">
        <v>0</v>
      </c>
      <c r="DU147" s="52" t="str">
        <f>IF(AL147="","",DX147 &amp; IF(CR147="",""," – " &amp; CR147))</f>
        <v>Domagoj – Pavlin – OK Vihor</v>
      </c>
      <c r="DV147" s="53">
        <f t="shared" si="145"/>
        <v>844</v>
      </c>
      <c r="DW147" s="47" t="s">
        <v>0</v>
      </c>
      <c r="DX147" s="52" t="str">
        <f>IF(BG147="","",BF147&amp;" – "&amp;BG147)</f>
        <v>Domagoj – Pavlin</v>
      </c>
      <c r="DY147" s="53">
        <f t="shared" si="146"/>
        <v>844</v>
      </c>
      <c r="DZ147" s="47" t="s">
        <v>0</v>
      </c>
      <c r="EA147" s="58">
        <f t="shared" si="175"/>
        <v>844</v>
      </c>
      <c r="EB147" s="53" cm="1">
        <f t="array" ref="EB147">IF(EA147&lt;&gt;"",INDEX(regNatjecatelj_id,EA147,0),IF(BD147&lt;&gt;"",BD147,""))</f>
        <v>1237</v>
      </c>
      <c r="EC147" s="47" t="s">
        <v>0</v>
      </c>
      <c r="ED147" s="58" t="str">
        <f>IF(AL147="","",IF(BD147&lt;&gt;"","novo",IF(AN147="","imepre","imepre(ali)")))</f>
        <v>imepre</v>
      </c>
      <c r="EE147" s="73" t="str">
        <f>IF(AL147="","",IF(BL147="",IF(IFERROR(INDEX(regNatjecatelj_klub,MATCH(EB147,regNatjecatelj_id,0)),"NEMA")="","klu",""),IF(OR(AND(BN147&lt;&gt;"",BN147&lt;&gt;"NEMA"),CD147&lt;&gt;""),"klu(ali)",IF(AND(BP147&lt;&gt;"",BP147&lt;&gt;BO147),"(raz-klu)","klu"))))</f>
        <v>klu</v>
      </c>
      <c r="EF147" s="73" t="str">
        <f>IF(AL147="","","kat"&amp;IF(AND(W147&lt;&gt;Q147,Q147&lt;&gt;"Open"),"(ali)",""))</f>
        <v>kat</v>
      </c>
      <c r="EG147" s="73" t="str">
        <f t="shared" si="147"/>
        <v/>
      </c>
      <c r="EH147" s="66" t="str">
        <f>IF(AL147="","",ED147&amp;IF(ED147="novo","","-"&amp;EE147&amp;"-"&amp;EF147)&amp;IF(EG147="","","-"&amp;EG147))</f>
        <v>imepre-klu-kat</v>
      </c>
      <c r="EI147" s="47" t="s">
        <v>0</v>
      </c>
      <c r="EJ147" s="58">
        <f>IF(AL147="","",MAX(EJ$12:EJ146)+1)</f>
        <v>314</v>
      </c>
      <c r="EK147" s="73">
        <f>IF(AO147="","",X147)</f>
        <v>30</v>
      </c>
      <c r="EL147" s="73">
        <f t="shared" si="176"/>
        <v>1237</v>
      </c>
      <c r="EM147" s="73">
        <f t="shared" si="148"/>
        <v>4542</v>
      </c>
      <c r="EN147" s="73">
        <f t="shared" si="149"/>
        <v>1</v>
      </c>
      <c r="EO147" s="73">
        <f t="shared" si="177"/>
        <v>1</v>
      </c>
      <c r="EP147" s="73">
        <f t="shared" si="178"/>
        <v>1</v>
      </c>
      <c r="EQ147" s="73" t="str">
        <f t="shared" si="150"/>
        <v>0</v>
      </c>
      <c r="ER147" s="73" t="str">
        <f>IF(OR(AN147="",AN147="NEMA"),BB147,AN147)</f>
        <v/>
      </c>
      <c r="ES147" s="73" t="str">
        <f>IF(AND(BN147&lt;&gt;"",BN147&lt;&gt;"NEMA"),BN147,IF(CG147&lt;&gt;"",CG147,IF(AND(CL147&lt;&gt;"",CL147&lt;&gt;"NEMA"),CL147,IF(CM147&lt;&gt;"",CM147,""))))</f>
        <v/>
      </c>
      <c r="ET147" s="53" t="str">
        <f>IF(INDEX(natKategorija_alias_Id,MATCH(S147,natKategorija_katRegId,0))="","",INDEX(natKategorija_alias_Id,MATCH(S147,natKategorija_katRegId,0)))</f>
        <v/>
      </c>
      <c r="EU147" s="47" t="s">
        <v>0</v>
      </c>
      <c r="EV147" s="19" t="str">
        <f t="shared" si="179"/>
        <v>INSERT INTO rezultat(id,stazakategorija_id,imeprezime_id,vrijeme_sec,status_id,registracija,uparivanje_id,originalstatus_id,imeprezimealias_id,klubalias_id,kategorijaalias_id) VALUES (314,30,1237,4542,1,1,1,0,Null,Null,Null);</v>
      </c>
      <c r="EW147" s="47" t="s">
        <v>0</v>
      </c>
      <c r="EX147" s="19" t="str">
        <f t="shared" si="180"/>
        <v>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7" s="47" t="s">
        <v>0</v>
      </c>
      <c r="EZ147" s="180" t="str">
        <f>AG147&amp;IF(CP147="","","
")&amp;CP147&amp;IF(CI147="","","
")&amp;CI147&amp;IF(DN147="","","
")&amp;DN147&amp;IF(DP147="","","
")&amp;DP147&amp;IF(EV147="","","
")&amp;EV147&amp;IF(EX147="","","
")&amp;EX147</f>
        <v xml:space="preserve">
INSERT INTO rezultat(id,stazakategorija_id,imeprezime_id,vrijeme_sec,status_id,registracija,uparivanje_id,originalstatus_id,imeprezimealias_id,klubalias_id,kategorijaalias_id) VALUES (314,30,1237,4542,1,1,1,0,Null,Null,Null);
UPDATE
	registar
SET
	potvrda = 1
WHERE
	imeprezime_id=1237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7" s="47" t="s">
        <v>0</v>
      </c>
    </row>
    <row r="148" spans="1:157" x14ac:dyDescent="0.25">
      <c r="A148" t="s">
        <v>0</v>
      </c>
      <c r="B148" s="52" t="str">
        <f>IF(csv!F138="","",csv!T138)</f>
        <v>M45</v>
      </c>
      <c r="C148" s="31" t="s">
        <v>0</v>
      </c>
      <c r="D148" s="31" t="str">
        <f>IF(csv!F138="","",csv!F138)</f>
        <v>Tomislav</v>
      </c>
      <c r="E148" s="31" t="str">
        <f>IF(csv!E138="","",csv!E138)</f>
        <v>Gojmerac</v>
      </c>
      <c r="F148" s="31" t="s">
        <v>0</v>
      </c>
      <c r="G148" s="73" t="str">
        <f>IF(csv!M138="","",csv!M138)</f>
        <v>78:59</v>
      </c>
      <c r="H148" s="73" t="str">
        <f>IF(csv!N138="","",csv!N138)</f>
        <v>0</v>
      </c>
      <c r="I148" s="31" t="s">
        <v>0</v>
      </c>
      <c r="J148" s="31" t="str">
        <f>IF(csv!P138="","",csv!P138)</f>
        <v>OK MERZ CRO</v>
      </c>
      <c r="K148" s="31" t="str">
        <f>IF(csv!Q138="","",csv!Q138)</f>
        <v>OK Ivan Merz</v>
      </c>
      <c r="L148" s="31" t="s">
        <v>0</v>
      </c>
      <c r="M148" s="66" t="str">
        <f>IF(csv!R138="","",csv!R138)</f>
        <v>CRO</v>
      </c>
      <c r="N148" s="47" t="s">
        <v>0</v>
      </c>
      <c r="O148" s="243" t="str">
        <f t="shared" si="151"/>
        <v>ok</v>
      </c>
      <c r="P148" s="47"/>
      <c r="Q148" s="52" t="str">
        <f t="shared" si="152"/>
        <v>M45</v>
      </c>
      <c r="R148" s="73">
        <f>IF(Q148="","",IF(COUNTIF(Q$12:Q147,Q148)=0,R147+1,R147))</f>
        <v>8</v>
      </c>
      <c r="S148" s="73">
        <f t="shared" si="153"/>
        <v>106</v>
      </c>
      <c r="T148" s="73">
        <f t="shared" si="128"/>
        <v>17</v>
      </c>
      <c r="U148" s="66" t="str">
        <f t="shared" si="129"/>
        <v>M45</v>
      </c>
      <c r="V148" s="47" t="s">
        <v>0</v>
      </c>
      <c r="W148" s="222" t="str">
        <f t="shared" si="130"/>
        <v>M45</v>
      </c>
      <c r="X148" s="223">
        <f t="shared" si="131"/>
        <v>30</v>
      </c>
      <c r="Y148" s="47" t="s">
        <v>0</v>
      </c>
      <c r="Z148" s="52" t="str">
        <f t="shared" si="154"/>
        <v>CRO</v>
      </c>
      <c r="AA148" s="73">
        <f t="shared" si="132"/>
        <v>1</v>
      </c>
      <c r="AB148" s="31" t="str">
        <f t="shared" si="155"/>
        <v/>
      </c>
      <c r="AC148" s="66" t="str">
        <f>IF(AB148="","",MAX(AC$12:AC147)+1)</f>
        <v/>
      </c>
      <c r="AD148" s="47" t="s">
        <v>0</v>
      </c>
      <c r="AE148" s="125"/>
      <c r="AF148" s="47" t="s">
        <v>0</v>
      </c>
      <c r="AG148" s="19" t="str">
        <f t="shared" si="156"/>
        <v/>
      </c>
      <c r="AH148" s="47" t="s">
        <v>0</v>
      </c>
      <c r="AI148" s="143" t="str">
        <f t="shared" si="157"/>
        <v>CRO</v>
      </c>
      <c r="AJ148" s="47"/>
      <c r="AK148" s="52" t="str">
        <f t="shared" si="158"/>
        <v>Tomislav</v>
      </c>
      <c r="AL148" s="31" t="str">
        <f t="shared" si="159"/>
        <v>Gojmerac</v>
      </c>
      <c r="AM148" s="73">
        <f t="shared" si="160"/>
        <v>1325</v>
      </c>
      <c r="AN148" s="73" t="str">
        <f t="shared" si="161"/>
        <v/>
      </c>
      <c r="AO148" s="31" t="str">
        <f t="shared" si="133"/>
        <v>Tomislav</v>
      </c>
      <c r="AP148" s="66" t="str">
        <f t="shared" si="134"/>
        <v>Gojmerac</v>
      </c>
      <c r="AQ148" s="47" t="s">
        <v>0</v>
      </c>
      <c r="AR148" s="82" t="str">
        <f t="shared" si="162"/>
        <v/>
      </c>
      <c r="AS148" s="47" t="s">
        <v>0</v>
      </c>
      <c r="AT148" s="19" t="str">
        <f t="shared" si="163"/>
        <v/>
      </c>
      <c r="AU148" s="47" t="s">
        <v>0</v>
      </c>
      <c r="AV148" s="103"/>
      <c r="AW148" s="105"/>
      <c r="AX148" s="47" t="s">
        <v>0</v>
      </c>
      <c r="AY148" s="256" t="str">
        <f t="shared" si="125"/>
        <v/>
      </c>
      <c r="AZ148" s="47" t="s">
        <v>0</v>
      </c>
      <c r="BA148" s="52" t="str">
        <f t="shared" si="135"/>
        <v/>
      </c>
      <c r="BB148" s="73" t="str">
        <f>IF(AV148&amp;AW148="","",MAX(BB$12:BB147)+1)</f>
        <v/>
      </c>
      <c r="BC148" s="268" t="str">
        <f t="shared" si="136"/>
        <v/>
      </c>
      <c r="BD148" s="53" t="str">
        <f>IF(AND(AM148="NEMA",AN148="NEMA",OR(AV148&amp;AW148="",BC148="NEMA")),MAX(BD$12:BD147)+1,"")</f>
        <v/>
      </c>
      <c r="BE148" s="47" t="s">
        <v>0</v>
      </c>
      <c r="BF148" s="52" t="str">
        <f t="shared" si="137"/>
        <v>Tomislav</v>
      </c>
      <c r="BG148" s="31" t="str">
        <f t="shared" si="138"/>
        <v>Gojmerac</v>
      </c>
      <c r="BH148" s="73" t="str">
        <f t="shared" si="164"/>
        <v/>
      </c>
      <c r="BI148" s="53">
        <f t="shared" si="165"/>
        <v>1325</v>
      </c>
      <c r="BJ148" s="47" t="s">
        <v>0</v>
      </c>
      <c r="BK148" s="52" t="str">
        <f t="shared" si="139"/>
        <v>OK MERZ CRO</v>
      </c>
      <c r="BL148" s="31" t="str">
        <f t="shared" si="140"/>
        <v>OK Ivan Merz</v>
      </c>
      <c r="BM148" s="73">
        <f t="shared" si="141"/>
        <v>2</v>
      </c>
      <c r="BN148" s="73" t="str">
        <f t="shared" si="142"/>
        <v/>
      </c>
      <c r="BO148" s="31" t="str" cm="1">
        <f t="array" ref="BO148">IF(BN148="",""&amp;BL148,IF(BN148="NEMA",BL148,INDEX(regKlub_naziv,MATCH(INDEX(regKlub_alias_klubId,BN148),regKlub_id,0))))</f>
        <v>OK Ivan Merz</v>
      </c>
      <c r="BP148" s="31" t="str" cm="1">
        <f t="array" ref="BP148">IFERROR(""&amp;INDEX(regNatjecatelj_klub,DY148),"")</f>
        <v>OK Ivan Merz</v>
      </c>
      <c r="BQ148" s="88" t="str">
        <f t="shared" si="166"/>
        <v/>
      </c>
      <c r="BR148" s="66" t="str">
        <f t="shared" si="167"/>
        <v>OK Ivan Merz</v>
      </c>
      <c r="BS148" s="47" t="s">
        <v>0</v>
      </c>
      <c r="BT148" s="82" t="str">
        <f>IF(BN148&lt;&gt;"NEMA","",IF(IFERROR(MATCH(BL148,BL$12:BL147,0),0)&lt;&gt;0,"",BL148))</f>
        <v/>
      </c>
      <c r="BU148" s="47" t="s">
        <v>0</v>
      </c>
      <c r="BV148" s="125"/>
      <c r="BW148" s="47" t="s">
        <v>0</v>
      </c>
      <c r="BX148" s="58" t="str">
        <f t="shared" si="168"/>
        <v/>
      </c>
      <c r="BY148" s="31" t="str">
        <f t="shared" si="169"/>
        <v/>
      </c>
      <c r="BZ148" s="31" t="str">
        <f>IF(BY148="","",MAX(BZ$12:BZ147)+1)</f>
        <v/>
      </c>
      <c r="CA148" s="31" t="str">
        <f>IF(BY148="","",IF(AA148="","",IF(AA148="NEMA",AC148,AA148)))</f>
        <v/>
      </c>
      <c r="CB148" s="31" t="str">
        <f t="shared" si="170"/>
        <v/>
      </c>
      <c r="CC148" s="31" t="str">
        <f>IF(BV148="","",MAX(CC$12:CC147)+1)</f>
        <v/>
      </c>
      <c r="CD148" s="31" t="str">
        <f t="shared" si="171"/>
        <v/>
      </c>
      <c r="CE148" s="66" t="str">
        <f t="shared" si="172"/>
        <v/>
      </c>
      <c r="CF148" s="47" t="s">
        <v>0</v>
      </c>
      <c r="CG148" s="73" t="str">
        <f>IF(BN148="","",IF(BN148&lt;&gt;"NEMA","",IFERROR(INDEX(nat_klubAliasId,MATCH(BL148,nat_noviKluboviAliasi,0)),"")))</f>
        <v/>
      </c>
      <c r="CH148" s="47"/>
      <c r="CI148" s="19" t="str">
        <f t="shared" si="173"/>
        <v/>
      </c>
      <c r="CJ148" s="47" t="s">
        <v>0</v>
      </c>
      <c r="CK148" s="52" t="str">
        <f>IF(X148&lt;&gt;"NEMA","",IF(IFERROR(MATCH(W148,W$12:W147,0),0)&lt;&gt;0,"",W148))</f>
        <v/>
      </c>
      <c r="CL148" s="73" t="str">
        <f>IF(CK148="","",IFERROR(INDEX(regKlub_alias_id,MATCH(CK148,regKlub_alias_alias,0)),"NEMA"))</f>
        <v/>
      </c>
      <c r="CM148" s="31" t="str">
        <f>IF(OR(CL148="",CL148&lt;&gt;"NEMA"),"",MAX(CM$12:CM147)+1)</f>
        <v/>
      </c>
      <c r="CN148" s="66" t="str">
        <f>IF(OR(CL148="",CL148&lt;&gt;"NEMA"),"",INDEX(regKlub_id,MATCH(CK148,regKlub_naziv,0)))</f>
        <v/>
      </c>
      <c r="CO148" s="47" t="s">
        <v>0</v>
      </c>
      <c r="CP148" s="19" t="str">
        <f>IF(OR(CL148="",CL148&lt;&gt;"NEMA"),"","INSERT INTO klub_alias(id,alias,klub_id) VALUES ("&amp;CM148&amp;",'"&amp;CK148&amp;"',"&amp;CN148&amp;");")</f>
        <v/>
      </c>
      <c r="CQ148" s="47" t="s">
        <v>0</v>
      </c>
      <c r="CR148" s="143" t="str">
        <f>IF(BR148="","",IF(BV148="",IF(IFERROR(MATCH(BR148,nat_noviKluboviAliasi,0),0)&gt;0,INDEX(nat_kluboviAliasi,MATCH(BR148,nat_noviKluboviAliasi,0)),BR148),BV148))</f>
        <v>OK Ivan Merz</v>
      </c>
      <c r="CS148" s="47" t="s">
        <v>0</v>
      </c>
      <c r="CT148" s="58" t="str">
        <f>IF(G148="","",G148)</f>
        <v>78:59</v>
      </c>
      <c r="CU148" s="73" t="str">
        <f>IF(H148="","",H148)</f>
        <v>0</v>
      </c>
      <c r="CV148" s="229" t="str">
        <f>IF(CT148="",IF(OR(AL148="",CU148&lt;&gt;"0"),"","GREŠKA"),IF(AND(65535&gt;=VALUE(LEFT(CT148,SEARCH(":",CT148)-1))*60+VALUE(RIGHT(CT148,2)),OR(CU148="0",CU148="1",CU148="2",CU148="3",CU148="4")),"","GREŠKA"))</f>
        <v/>
      </c>
      <c r="CW148" s="230">
        <f t="shared" si="127"/>
        <v>4739</v>
      </c>
      <c r="CX148" s="163">
        <f t="shared" si="143"/>
        <v>1</v>
      </c>
      <c r="CY148" s="47" t="s">
        <v>0</v>
      </c>
      <c r="CZ148" s="222" t="str">
        <f>IF(CV148&lt;&gt;"GREŠKA","",AK148&amp;" "&amp;AL148&amp;" – Molim u OEventu provjeriti i ispraviti rezultat – vrijeme ("&amp;IF(CT148="","nije upisano",CT148)&amp;") i classifier ("&amp;CU148&amp;").")&amp;IF(OR(CV148&lt;&gt;"GREŠKA",CX148&lt;&gt;5),"
","")&amp;IF(CX148&lt;&gt;5,"",AK148&amp;" "&amp;AL148&amp;" – Molim u provjeriti je li natjecatelj zaista diskvalificiran. Ako je koje je obrazloženje, ako nije molim u OEventu ispraviti rezultat")</f>
        <v xml:space="preserve">
</v>
      </c>
      <c r="DA148" s="223">
        <f t="shared" si="174"/>
        <v>6</v>
      </c>
      <c r="DB148" s="47" t="s">
        <v>0</v>
      </c>
      <c r="DC148" s="47"/>
      <c r="DD148" s="47"/>
      <c r="DE148" s="47"/>
      <c r="DF148" s="47" t="s">
        <v>0</v>
      </c>
      <c r="DG148" s="53" t="str">
        <f>IF(BD148="","",IF(DI148="O",1,""))</f>
        <v/>
      </c>
      <c r="DH148" t="s">
        <v>0</v>
      </c>
      <c r="DI148" s="128" t="str">
        <f>IF(Q148="","",LEFT(INDEX(regKategorija_oznaka,MATCH(S148,regKategorija_id,0)),1))</f>
        <v>M</v>
      </c>
      <c r="DJ148" t="s">
        <v>0</v>
      </c>
      <c r="DK148" s="52" t="str">
        <f>IF(BD148="","",IF(M148&lt;&gt;"CRO","","INSERT INTO osoba (id,reg_broj,oib,spol_id,dat_rodjenja) VALUES ("&amp;BD148&amp;",(SELECT max(os.reg_broj)+1 FROM osoba AS os),Null,'"&amp;DI148&amp;"',Null); INSERT INTO osoba_log (id,reg_broj,oib,spol_id,dat_rodjenja,dnevnik_id) SELECT id,reg_broj,oib,spol_id,dat_rodjenja,"&amp;data_dnevnik_id&amp;" FROM osoba WHERE id = "&amp;BD148&amp;";"))</f>
        <v/>
      </c>
      <c r="DL148" s="66" t="str">
        <f>IF(BD148="","","INSERT INTO imeprezime (id,osoba_id,rbr,ime,prezime,klub_id,identitet_id,sintaksa_id,info,aktivno,dnevnik_id) VALUES ("&amp;BD148&amp;","&amp;IF(DK148="","Null",BD148)&amp;",1,'"&amp;IF(AV148&lt;&gt;"",AV148,AK148)&amp;"','"&amp;IF(AW148&lt;&gt;"",AW148,AL148)&amp;"',(SELECT id FROM klub WHERE naziv = '"&amp;CR148&amp;"'),Null,1,'',1,"&amp;data_dnevnik_id&amp;");")</f>
        <v/>
      </c>
      <c r="DM148" t="s">
        <v>0</v>
      </c>
      <c r="DN148" s="19" t="str">
        <f t="shared" si="126"/>
        <v/>
      </c>
      <c r="DO148" s="47" t="s">
        <v>0</v>
      </c>
      <c r="DP148" s="19" t="str">
        <f>IF(BA148="","","INSERT INTO imeprezime_alias(id,alias,imeprezime_id) VALUES ("&amp;BB148&amp;",'"&amp;BA148&amp;"',"&amp;IF(BC148="NEMA",BD148,BC148)&amp;");")</f>
        <v/>
      </c>
      <c r="DQ148" s="47" t="s">
        <v>0</v>
      </c>
      <c r="DR148" s="52" t="str">
        <f>IF(AL148="","",DU148 &amp; IF(Q148="",""," – " &amp; Q148))</f>
        <v>Tomislav – Gojmerac – OK Ivan Merz – M45</v>
      </c>
      <c r="DS148" s="53">
        <f t="shared" si="144"/>
        <v>46</v>
      </c>
      <c r="DT148" s="47" t="s">
        <v>0</v>
      </c>
      <c r="DU148" s="52" t="str">
        <f>IF(AL148="","",DX148 &amp; IF(CR148="",""," – " &amp; CR148))</f>
        <v>Tomislav – Gojmerac – OK Ivan Merz</v>
      </c>
      <c r="DV148" s="53">
        <f t="shared" si="145"/>
        <v>46</v>
      </c>
      <c r="DW148" s="47" t="s">
        <v>0</v>
      </c>
      <c r="DX148" s="52" t="str">
        <f>IF(BG148="","",BF148&amp;" – "&amp;BG148)</f>
        <v>Tomislav – Gojmerac</v>
      </c>
      <c r="DY148" s="53">
        <f t="shared" si="146"/>
        <v>46</v>
      </c>
      <c r="DZ148" s="47" t="s">
        <v>0</v>
      </c>
      <c r="EA148" s="58">
        <f t="shared" si="175"/>
        <v>46</v>
      </c>
      <c r="EB148" s="53" cm="1">
        <f t="array" ref="EB148">IF(EA148&lt;&gt;"",INDEX(regNatjecatelj_id,EA148,0),IF(BD148&lt;&gt;"",BD148,""))</f>
        <v>1325</v>
      </c>
      <c r="EC148" s="47" t="s">
        <v>0</v>
      </c>
      <c r="ED148" s="58" t="str">
        <f>IF(AL148="","",IF(BD148&lt;&gt;"","novo",IF(AN148="","imepre","imepre(ali)")))</f>
        <v>imepre</v>
      </c>
      <c r="EE148" s="73" t="str">
        <f>IF(AL148="","",IF(BL148="",IF(IFERROR(INDEX(regNatjecatelj_klub,MATCH(EB148,regNatjecatelj_id,0)),"NEMA")="","klu",""),IF(OR(AND(BN148&lt;&gt;"",BN148&lt;&gt;"NEMA"),CD148&lt;&gt;""),"klu(ali)",IF(AND(BP148&lt;&gt;"",BP148&lt;&gt;BO148),"(raz-klu)","klu"))))</f>
        <v>klu</v>
      </c>
      <c r="EF148" s="73" t="str">
        <f>IF(AL148="","","kat"&amp;IF(AND(W148&lt;&gt;Q148,Q148&lt;&gt;"Open"),"(ali)",""))</f>
        <v>kat</v>
      </c>
      <c r="EG148" s="73" t="str">
        <f t="shared" si="147"/>
        <v/>
      </c>
      <c r="EH148" s="66" t="str">
        <f>IF(AL148="","",ED148&amp;IF(ED148="novo","","-"&amp;EE148&amp;"-"&amp;EF148)&amp;IF(EG148="","","-"&amp;EG148))</f>
        <v>imepre-klu-kat</v>
      </c>
      <c r="EI148" s="47" t="s">
        <v>0</v>
      </c>
      <c r="EJ148" s="58">
        <f>IF(AL148="","",MAX(EJ$12:EJ147)+1)</f>
        <v>315</v>
      </c>
      <c r="EK148" s="73">
        <f>IF(AO148="","",X148)</f>
        <v>30</v>
      </c>
      <c r="EL148" s="73">
        <f t="shared" si="176"/>
        <v>1325</v>
      </c>
      <c r="EM148" s="73">
        <f t="shared" si="148"/>
        <v>4739</v>
      </c>
      <c r="EN148" s="73">
        <f t="shared" si="149"/>
        <v>1</v>
      </c>
      <c r="EO148" s="73">
        <f t="shared" si="177"/>
        <v>1</v>
      </c>
      <c r="EP148" s="73">
        <f t="shared" si="178"/>
        <v>1</v>
      </c>
      <c r="EQ148" s="73" t="str">
        <f t="shared" si="150"/>
        <v>0</v>
      </c>
      <c r="ER148" s="73" t="str">
        <f>IF(OR(AN148="",AN148="NEMA"),BB148,AN148)</f>
        <v/>
      </c>
      <c r="ES148" s="73" t="str">
        <f>IF(AND(BN148&lt;&gt;"",BN148&lt;&gt;"NEMA"),BN148,IF(CG148&lt;&gt;"",CG148,IF(AND(CL148&lt;&gt;"",CL148&lt;&gt;"NEMA"),CL148,IF(CM148&lt;&gt;"",CM148,""))))</f>
        <v/>
      </c>
      <c r="ET148" s="53" t="str">
        <f>IF(INDEX(natKategorija_alias_Id,MATCH(S148,natKategorija_katRegId,0))="","",INDEX(natKategorija_alias_Id,MATCH(S148,natKategorija_katRegId,0)))</f>
        <v/>
      </c>
      <c r="EU148" s="47" t="s">
        <v>0</v>
      </c>
      <c r="EV148" s="19" t="str">
        <f t="shared" si="179"/>
        <v>INSERT INTO rezultat(id,stazakategorija_id,imeprezime_id,vrijeme_sec,status_id,registracija,uparivanje_id,originalstatus_id,imeprezimealias_id,klubalias_id,kategorijaalias_id) VALUES (315,30,1325,4739,1,1,1,0,Null,Null,Null);</v>
      </c>
      <c r="EW148" s="47" t="s">
        <v>0</v>
      </c>
      <c r="EX148" s="19" t="str">
        <f t="shared" si="180"/>
        <v>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8" s="47" t="s">
        <v>0</v>
      </c>
      <c r="EZ148" s="180" t="str">
        <f>AG148&amp;IF(CP148="","","
")&amp;CP148&amp;IF(CI148="","","
")&amp;CI148&amp;IF(DN148="","","
")&amp;DN148&amp;IF(DP148="","","
")&amp;DP148&amp;IF(EV148="","","
")&amp;EV148&amp;IF(EX148="","","
")&amp;EX148</f>
        <v xml:space="preserve">
INSERT INTO rezultat(id,stazakategorija_id,imeprezime_id,vrijeme_sec,status_id,registracija,uparivanje_id,originalstatus_id,imeprezimealias_id,klubalias_id,kategorijaalias_id) VALUES (315,30,1325,4739,1,1,1,0,Null,Null,Null);
UPDATE
	registar
SET
	potvrda = 1
WHERE
	imeprezime_id=1325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8" s="47" t="s">
        <v>0</v>
      </c>
    </row>
    <row r="149" spans="1:157" x14ac:dyDescent="0.25">
      <c r="A149" t="s">
        <v>0</v>
      </c>
      <c r="B149" s="52" t="str">
        <f>IF(csv!F139="","",csv!T139)</f>
        <v>M45</v>
      </c>
      <c r="C149" s="31" t="s">
        <v>0</v>
      </c>
      <c r="D149" s="31" t="str">
        <f>IF(csv!F139="","",csv!F139)</f>
        <v>Boris</v>
      </c>
      <c r="E149" s="31" t="str">
        <f>IF(csv!E139="","",csv!E139)</f>
        <v>Mazić</v>
      </c>
      <c r="F149" s="31" t="s">
        <v>0</v>
      </c>
      <c r="G149" s="73" t="str">
        <f>IF(csv!M139="","",csv!M139)</f>
        <v>79:58</v>
      </c>
      <c r="H149" s="73" t="str">
        <f>IF(csv!N139="","",csv!N139)</f>
        <v>0</v>
      </c>
      <c r="I149" s="31" t="s">
        <v>0</v>
      </c>
      <c r="J149" s="31" t="str">
        <f>IF(csv!P139="","",csv!P139)</f>
        <v>Vihor</v>
      </c>
      <c r="K149" s="31" t="str">
        <f>IF(csv!Q139="","",csv!Q139)</f>
        <v>OK Vihor</v>
      </c>
      <c r="L149" s="31" t="s">
        <v>0</v>
      </c>
      <c r="M149" s="66" t="str">
        <f>IF(csv!R139="","",csv!R139)</f>
        <v>CRO</v>
      </c>
      <c r="N149" s="47" t="s">
        <v>0</v>
      </c>
      <c r="O149" s="243" t="str">
        <f t="shared" si="151"/>
        <v>ok</v>
      </c>
      <c r="P149" s="47"/>
      <c r="Q149" s="52" t="str">
        <f t="shared" si="152"/>
        <v>M45</v>
      </c>
      <c r="R149" s="73">
        <f>IF(Q149="","",IF(COUNTIF(Q$12:Q148,Q149)=0,R148+1,R148))</f>
        <v>8</v>
      </c>
      <c r="S149" s="73">
        <f t="shared" si="153"/>
        <v>106</v>
      </c>
      <c r="T149" s="73">
        <f t="shared" si="128"/>
        <v>17</v>
      </c>
      <c r="U149" s="66" t="str">
        <f t="shared" si="129"/>
        <v>M45</v>
      </c>
      <c r="V149" s="47" t="s">
        <v>0</v>
      </c>
      <c r="W149" s="222" t="str">
        <f t="shared" si="130"/>
        <v>M45</v>
      </c>
      <c r="X149" s="223">
        <f t="shared" si="131"/>
        <v>30</v>
      </c>
      <c r="Y149" s="47" t="s">
        <v>0</v>
      </c>
      <c r="Z149" s="52" t="str">
        <f t="shared" si="154"/>
        <v>CRO</v>
      </c>
      <c r="AA149" s="73">
        <f t="shared" si="132"/>
        <v>1</v>
      </c>
      <c r="AB149" s="31" t="str">
        <f t="shared" si="155"/>
        <v/>
      </c>
      <c r="AC149" s="66" t="str">
        <f>IF(AB149="","",MAX(AC$12:AC148)+1)</f>
        <v/>
      </c>
      <c r="AD149" s="47" t="s">
        <v>0</v>
      </c>
      <c r="AE149" s="125"/>
      <c r="AF149" s="47" t="s">
        <v>0</v>
      </c>
      <c r="AG149" s="19" t="str">
        <f t="shared" si="156"/>
        <v/>
      </c>
      <c r="AH149" s="47" t="s">
        <v>0</v>
      </c>
      <c r="AI149" s="143" t="str">
        <f t="shared" si="157"/>
        <v>CRO</v>
      </c>
      <c r="AJ149" s="47"/>
      <c r="AK149" s="52" t="str">
        <f t="shared" si="158"/>
        <v>Boris</v>
      </c>
      <c r="AL149" s="31" t="str">
        <f t="shared" si="159"/>
        <v>Mazić</v>
      </c>
      <c r="AM149" s="73">
        <f t="shared" si="160"/>
        <v>1428</v>
      </c>
      <c r="AN149" s="73" t="str">
        <f t="shared" si="161"/>
        <v/>
      </c>
      <c r="AO149" s="31" t="str">
        <f t="shared" si="133"/>
        <v>Boris</v>
      </c>
      <c r="AP149" s="66" t="str">
        <f t="shared" si="134"/>
        <v>Mazić</v>
      </c>
      <c r="AQ149" s="47" t="s">
        <v>0</v>
      </c>
      <c r="AR149" s="82" t="str">
        <f t="shared" si="162"/>
        <v/>
      </c>
      <c r="AS149" s="47" t="s">
        <v>0</v>
      </c>
      <c r="AT149" s="19" t="str">
        <f t="shared" si="163"/>
        <v/>
      </c>
      <c r="AU149" s="47" t="s">
        <v>0</v>
      </c>
      <c r="AV149" s="103"/>
      <c r="AW149" s="105"/>
      <c r="AX149" s="47" t="s">
        <v>0</v>
      </c>
      <c r="AY149" s="256" t="str">
        <f t="shared" ref="AY149:AY212" si="181">IF(AND(AV149="",AW149&lt;&gt;""),"FALI IME",IF(AND(AV149&lt;&gt;"",AW149=""),"FALI PREZIME",IF(OR(AM149="",AND(AM149="NEMA",AN149="NEMA"),AV149&amp;AW149=""),"","GREŠKA")))</f>
        <v/>
      </c>
      <c r="AZ149" s="47" t="s">
        <v>0</v>
      </c>
      <c r="BA149" s="52" t="str">
        <f t="shared" si="135"/>
        <v/>
      </c>
      <c r="BB149" s="73" t="str">
        <f>IF(AV149&amp;AW149="","",MAX(BB$12:BB148)+1)</f>
        <v/>
      </c>
      <c r="BC149" s="268" t="str">
        <f t="shared" si="136"/>
        <v/>
      </c>
      <c r="BD149" s="53" t="str">
        <f>IF(AND(AM149="NEMA",AN149="NEMA",OR(AV149&amp;AW149="",BC149="NEMA")),MAX(BD$12:BD148)+1,"")</f>
        <v/>
      </c>
      <c r="BE149" s="47" t="s">
        <v>0</v>
      </c>
      <c r="BF149" s="52" t="str">
        <f t="shared" si="137"/>
        <v>Boris</v>
      </c>
      <c r="BG149" s="31" t="str">
        <f t="shared" si="138"/>
        <v>Mazić</v>
      </c>
      <c r="BH149" s="73" t="str">
        <f t="shared" si="164"/>
        <v/>
      </c>
      <c r="BI149" s="53">
        <f t="shared" si="165"/>
        <v>1428</v>
      </c>
      <c r="BJ149" s="47" t="s">
        <v>0</v>
      </c>
      <c r="BK149" s="52" t="str">
        <f t="shared" si="139"/>
        <v>Vihor</v>
      </c>
      <c r="BL149" s="31" t="str">
        <f t="shared" si="140"/>
        <v>OK Vihor</v>
      </c>
      <c r="BM149" s="73">
        <f t="shared" si="141"/>
        <v>12</v>
      </c>
      <c r="BN149" s="73" t="str">
        <f t="shared" si="142"/>
        <v/>
      </c>
      <c r="BO149" s="31" t="str" cm="1">
        <f t="array" ref="BO149">IF(BN149="",""&amp;BL149,IF(BN149="NEMA",BL149,INDEX(regKlub_naziv,MATCH(INDEX(regKlub_alias_klubId,BN149),regKlub_id,0))))</f>
        <v>OK Vihor</v>
      </c>
      <c r="BP149" s="31" t="str" cm="1">
        <f t="array" ref="BP149">IFERROR(""&amp;INDEX(regNatjecatelj_klub,DY149),"")</f>
        <v>OK Vihor</v>
      </c>
      <c r="BQ149" s="88" t="str">
        <f t="shared" si="166"/>
        <v/>
      </c>
      <c r="BR149" s="66" t="str">
        <f t="shared" si="167"/>
        <v>OK Vihor</v>
      </c>
      <c r="BS149" s="47" t="s">
        <v>0</v>
      </c>
      <c r="BT149" s="82" t="str">
        <f>IF(BN149&lt;&gt;"NEMA","",IF(IFERROR(MATCH(BL149,BL$12:BL148,0),0)&lt;&gt;0,"",BL149))</f>
        <v/>
      </c>
      <c r="BU149" s="47" t="s">
        <v>0</v>
      </c>
      <c r="BV149" s="125"/>
      <c r="BW149" s="47" t="s">
        <v>0</v>
      </c>
      <c r="BX149" s="58" t="str">
        <f t="shared" si="168"/>
        <v/>
      </c>
      <c r="BY149" s="31" t="str">
        <f t="shared" si="169"/>
        <v/>
      </c>
      <c r="BZ149" s="31" t="str">
        <f>IF(BY149="","",MAX(BZ$12:BZ148)+1)</f>
        <v/>
      </c>
      <c r="CA149" s="31" t="str">
        <f>IF(BY149="","",IF(AA149="","",IF(AA149="NEMA",AC149,AA149)))</f>
        <v/>
      </c>
      <c r="CB149" s="31" t="str">
        <f t="shared" si="170"/>
        <v/>
      </c>
      <c r="CC149" s="31" t="str">
        <f>IF(BV149="","",MAX(CC$12:CC148)+1)</f>
        <v/>
      </c>
      <c r="CD149" s="31" t="str">
        <f t="shared" si="171"/>
        <v/>
      </c>
      <c r="CE149" s="66" t="str">
        <f t="shared" si="172"/>
        <v/>
      </c>
      <c r="CF149" s="47" t="s">
        <v>0</v>
      </c>
      <c r="CG149" s="73" t="str">
        <f>IF(BN149="","",IF(BN149&lt;&gt;"NEMA","",IFERROR(INDEX(nat_klubAliasId,MATCH(BL149,nat_noviKluboviAliasi,0)),"")))</f>
        <v/>
      </c>
      <c r="CH149" s="47"/>
      <c r="CI149" s="19" t="str">
        <f t="shared" si="173"/>
        <v/>
      </c>
      <c r="CJ149" s="47" t="s">
        <v>0</v>
      </c>
      <c r="CK149" s="52" t="str">
        <f>IF(X149&lt;&gt;"NEMA","",IF(IFERROR(MATCH(W149,W$12:W148,0),0)&lt;&gt;0,"",W149))</f>
        <v/>
      </c>
      <c r="CL149" s="73" t="str">
        <f>IF(CK149="","",IFERROR(INDEX(regKlub_alias_id,MATCH(CK149,regKlub_alias_alias,0)),"NEMA"))</f>
        <v/>
      </c>
      <c r="CM149" s="31" t="str">
        <f>IF(OR(CL149="",CL149&lt;&gt;"NEMA"),"",MAX(CM$12:CM148)+1)</f>
        <v/>
      </c>
      <c r="CN149" s="66" t="str">
        <f>IF(OR(CL149="",CL149&lt;&gt;"NEMA"),"",INDEX(regKlub_id,MATCH(CK149,regKlub_naziv,0)))</f>
        <v/>
      </c>
      <c r="CO149" s="47" t="s">
        <v>0</v>
      </c>
      <c r="CP149" s="19" t="str">
        <f>IF(OR(CL149="",CL149&lt;&gt;"NEMA"),"","INSERT INTO klub_alias(id,alias,klub_id) VALUES ("&amp;CM149&amp;",'"&amp;CK149&amp;"',"&amp;CN149&amp;");")</f>
        <v/>
      </c>
      <c r="CQ149" s="47" t="s">
        <v>0</v>
      </c>
      <c r="CR149" s="143" t="str">
        <f>IF(BR149="","",IF(BV149="",IF(IFERROR(MATCH(BR149,nat_noviKluboviAliasi,0),0)&gt;0,INDEX(nat_kluboviAliasi,MATCH(BR149,nat_noviKluboviAliasi,0)),BR149),BV149))</f>
        <v>OK Vihor</v>
      </c>
      <c r="CS149" s="47" t="s">
        <v>0</v>
      </c>
      <c r="CT149" s="58" t="str">
        <f>IF(G149="","",G149)</f>
        <v>79:58</v>
      </c>
      <c r="CU149" s="73" t="str">
        <f>IF(H149="","",H149)</f>
        <v>0</v>
      </c>
      <c r="CV149" s="229" t="str">
        <f>IF(CT149="",IF(OR(AL149="",CU149&lt;&gt;"0"),"","GREŠKA"),IF(AND(65535&gt;=VALUE(LEFT(CT149,SEARCH(":",CT149)-1))*60+VALUE(RIGHT(CT149,2)),OR(CU149="0",CU149="1",CU149="2",CU149="3",CU149="4")),"","GREŠKA"))</f>
        <v/>
      </c>
      <c r="CW149" s="230">
        <f t="shared" si="127"/>
        <v>4798</v>
      </c>
      <c r="CX149" s="163">
        <f t="shared" si="143"/>
        <v>1</v>
      </c>
      <c r="CY149" s="47" t="s">
        <v>0</v>
      </c>
      <c r="CZ149" s="222" t="str">
        <f>IF(CV149&lt;&gt;"GREŠKA","",AK149&amp;" "&amp;AL149&amp;" – Molim u OEventu provjeriti i ispraviti rezultat – vrijeme ("&amp;IF(CT149="","nije upisano",CT149)&amp;") i classifier ("&amp;CU149&amp;").")&amp;IF(OR(CV149&lt;&gt;"GREŠKA",CX149&lt;&gt;5),"
","")&amp;IF(CX149&lt;&gt;5,"",AK149&amp;" "&amp;AL149&amp;" – Molim u provjeriti je li natjecatelj zaista diskvalificiran. Ako je koje je obrazloženje, ako nije molim u OEventu ispraviti rezultat")</f>
        <v xml:space="preserve">
</v>
      </c>
      <c r="DA149" s="223">
        <f t="shared" si="174"/>
        <v>6</v>
      </c>
      <c r="DB149" s="47" t="s">
        <v>0</v>
      </c>
      <c r="DC149" s="47"/>
      <c r="DD149" s="47"/>
      <c r="DE149" s="47"/>
      <c r="DF149" s="47" t="s">
        <v>0</v>
      </c>
      <c r="DG149" s="53" t="str">
        <f>IF(BD149="","",IF(DI149="O",1,""))</f>
        <v/>
      </c>
      <c r="DH149" t="s">
        <v>0</v>
      </c>
      <c r="DI149" s="128" t="str">
        <f>IF(Q149="","",LEFT(INDEX(regKategorija_oznaka,MATCH(S149,regKategorija_id,0)),1))</f>
        <v>M</v>
      </c>
      <c r="DJ149" t="s">
        <v>0</v>
      </c>
      <c r="DK149" s="52" t="str">
        <f>IF(BD149="","",IF(M149&lt;&gt;"CRO","","INSERT INTO osoba (id,reg_broj,oib,spol_id,dat_rodjenja) VALUES ("&amp;BD149&amp;",(SELECT max(os.reg_broj)+1 FROM osoba AS os),Null,'"&amp;DI149&amp;"',Null); INSERT INTO osoba_log (id,reg_broj,oib,spol_id,dat_rodjenja,dnevnik_id) SELECT id,reg_broj,oib,spol_id,dat_rodjenja,"&amp;data_dnevnik_id&amp;" FROM osoba WHERE id = "&amp;BD149&amp;";"))</f>
        <v/>
      </c>
      <c r="DL149" s="66" t="str">
        <f>IF(BD149="","","INSERT INTO imeprezime (id,osoba_id,rbr,ime,prezime,klub_id,identitet_id,sintaksa_id,info,aktivno,dnevnik_id) VALUES ("&amp;BD149&amp;","&amp;IF(DK149="","Null",BD149)&amp;",1,'"&amp;IF(AV149&lt;&gt;"",AV149,AK149)&amp;"','"&amp;IF(AW149&lt;&gt;"",AW149,AL149)&amp;"',(SELECT id FROM klub WHERE naziv = '"&amp;CR149&amp;"'),Null,1,'',1,"&amp;data_dnevnik_id&amp;");")</f>
        <v/>
      </c>
      <c r="DM149" t="s">
        <v>0</v>
      </c>
      <c r="DN149" s="19" t="str">
        <f t="shared" ref="DN149:DN212" si="182">IF(DK149="",DL149,DK149&amp;" "&amp;DL149)</f>
        <v/>
      </c>
      <c r="DO149" s="47" t="s">
        <v>0</v>
      </c>
      <c r="DP149" s="19" t="str">
        <f>IF(BA149="","","INSERT INTO imeprezime_alias(id,alias,imeprezime_id) VALUES ("&amp;BB149&amp;",'"&amp;BA149&amp;"',"&amp;IF(BC149="NEMA",BD149,BC149)&amp;");")</f>
        <v/>
      </c>
      <c r="DQ149" s="47" t="s">
        <v>0</v>
      </c>
      <c r="DR149" s="52" t="str">
        <f>IF(AL149="","",DU149 &amp; IF(Q149="",""," – " &amp; Q149))</f>
        <v>Boris – Mazić – OK Vihor – M45</v>
      </c>
      <c r="DS149" s="53">
        <f t="shared" si="144"/>
        <v>797</v>
      </c>
      <c r="DT149" s="47" t="s">
        <v>0</v>
      </c>
      <c r="DU149" s="52" t="str">
        <f>IF(AL149="","",DX149 &amp; IF(CR149="",""," – " &amp; CR149))</f>
        <v>Boris – Mazić – OK Vihor</v>
      </c>
      <c r="DV149" s="53">
        <f t="shared" si="145"/>
        <v>797</v>
      </c>
      <c r="DW149" s="47" t="s">
        <v>0</v>
      </c>
      <c r="DX149" s="52" t="str">
        <f>IF(BG149="","",BF149&amp;" – "&amp;BG149)</f>
        <v>Boris – Mazić</v>
      </c>
      <c r="DY149" s="53">
        <f t="shared" si="146"/>
        <v>797</v>
      </c>
      <c r="DZ149" s="47" t="s">
        <v>0</v>
      </c>
      <c r="EA149" s="58">
        <f t="shared" si="175"/>
        <v>797</v>
      </c>
      <c r="EB149" s="53" cm="1">
        <f t="array" ref="EB149">IF(EA149&lt;&gt;"",INDEX(regNatjecatelj_id,EA149,0),IF(BD149&lt;&gt;"",BD149,""))</f>
        <v>1428</v>
      </c>
      <c r="EC149" s="47" t="s">
        <v>0</v>
      </c>
      <c r="ED149" s="58" t="str">
        <f>IF(AL149="","",IF(BD149&lt;&gt;"","novo",IF(AN149="","imepre","imepre(ali)")))</f>
        <v>imepre</v>
      </c>
      <c r="EE149" s="73" t="str">
        <f>IF(AL149="","",IF(BL149="",IF(IFERROR(INDEX(regNatjecatelj_klub,MATCH(EB149,regNatjecatelj_id,0)),"NEMA")="","klu",""),IF(OR(AND(BN149&lt;&gt;"",BN149&lt;&gt;"NEMA"),CD149&lt;&gt;""),"klu(ali)",IF(AND(BP149&lt;&gt;"",BP149&lt;&gt;BO149),"(raz-klu)","klu"))))</f>
        <v>klu</v>
      </c>
      <c r="EF149" s="73" t="str">
        <f>IF(AL149="","","kat"&amp;IF(AND(W149&lt;&gt;Q149,Q149&lt;&gt;"Open"),"(ali)",""))</f>
        <v>kat</v>
      </c>
      <c r="EG149" s="73" t="str">
        <f t="shared" si="147"/>
        <v/>
      </c>
      <c r="EH149" s="66" t="str">
        <f>IF(AL149="","",ED149&amp;IF(ED149="novo","","-"&amp;EE149&amp;"-"&amp;EF149)&amp;IF(EG149="","","-"&amp;EG149))</f>
        <v>imepre-klu-kat</v>
      </c>
      <c r="EI149" s="47" t="s">
        <v>0</v>
      </c>
      <c r="EJ149" s="58">
        <f>IF(AL149="","",MAX(EJ$12:EJ148)+1)</f>
        <v>316</v>
      </c>
      <c r="EK149" s="73">
        <f>IF(AO149="","",X149)</f>
        <v>30</v>
      </c>
      <c r="EL149" s="73">
        <f t="shared" si="176"/>
        <v>1428</v>
      </c>
      <c r="EM149" s="73">
        <f t="shared" si="148"/>
        <v>4798</v>
      </c>
      <c r="EN149" s="73">
        <f t="shared" si="149"/>
        <v>1</v>
      </c>
      <c r="EO149" s="73">
        <f t="shared" si="177"/>
        <v>1</v>
      </c>
      <c r="EP149" s="73">
        <f t="shared" si="178"/>
        <v>1</v>
      </c>
      <c r="EQ149" s="73" t="str">
        <f t="shared" si="150"/>
        <v>0</v>
      </c>
      <c r="ER149" s="73" t="str">
        <f>IF(OR(AN149="",AN149="NEMA"),BB149,AN149)</f>
        <v/>
      </c>
      <c r="ES149" s="73" t="str">
        <f>IF(AND(BN149&lt;&gt;"",BN149&lt;&gt;"NEMA"),BN149,IF(CG149&lt;&gt;"",CG149,IF(AND(CL149&lt;&gt;"",CL149&lt;&gt;"NEMA"),CL149,IF(CM149&lt;&gt;"",CM149,""))))</f>
        <v/>
      </c>
      <c r="ET149" s="53" t="str">
        <f>IF(INDEX(natKategorija_alias_Id,MATCH(S149,natKategorija_katRegId,0))="","",INDEX(natKategorija_alias_Id,MATCH(S149,natKategorija_katRegId,0)))</f>
        <v/>
      </c>
      <c r="EU149" s="47" t="s">
        <v>0</v>
      </c>
      <c r="EV149" s="19" t="str">
        <f t="shared" si="179"/>
        <v>INSERT INTO rezultat(id,stazakategorija_id,imeprezime_id,vrijeme_sec,status_id,registracija,uparivanje_id,originalstatus_id,imeprezimealias_id,klubalias_id,kategorijaalias_id) VALUES (316,30,1428,4798,1,1,1,0,Null,Null,Null);</v>
      </c>
      <c r="EW149" s="47" t="s">
        <v>0</v>
      </c>
      <c r="EX149" s="19" t="str">
        <f t="shared" si="180"/>
        <v>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49" s="47" t="s">
        <v>0</v>
      </c>
      <c r="EZ149" s="180" t="str">
        <f>AG149&amp;IF(CP149="","","
")&amp;CP149&amp;IF(CI149="","","
")&amp;CI149&amp;IF(DN149="","","
")&amp;DN149&amp;IF(DP149="","","
")&amp;DP149&amp;IF(EV149="","","
")&amp;EV149&amp;IF(EX149="","","
")&amp;EX149</f>
        <v xml:space="preserve">
INSERT INTO rezultat(id,stazakategorija_id,imeprezime_id,vrijeme_sec,status_id,registracija,uparivanje_id,originalstatus_id,imeprezimealias_id,klubalias_id,kategorijaalias_id) VALUES (316,30,1428,4798,1,1,1,0,Null,Null,Null);
UPDATE
	registar
SET
	potvrda = 1
WHERE
	imeprezime_id=1428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49" s="47" t="s">
        <v>0</v>
      </c>
    </row>
    <row r="150" spans="1:157" x14ac:dyDescent="0.25">
      <c r="A150" t="s">
        <v>0</v>
      </c>
      <c r="B150" s="52" t="str">
        <f>IF(csv!F140="","",csv!T140)</f>
        <v>M45</v>
      </c>
      <c r="C150" s="31" t="s">
        <v>0</v>
      </c>
      <c r="D150" s="31" t="str">
        <f>IF(csv!F140="","",csv!F140)</f>
        <v>Dinko</v>
      </c>
      <c r="E150" s="31" t="str">
        <f>IF(csv!E140="","",csv!E140)</f>
        <v>Ćetković</v>
      </c>
      <c r="F150" s="31" t="s">
        <v>0</v>
      </c>
      <c r="G150" s="73" t="str">
        <f>IF(csv!M140="","",csv!M140)</f>
        <v>97:15</v>
      </c>
      <c r="H150" s="73" t="str">
        <f>IF(csv!N140="","",csv!N140)</f>
        <v>0</v>
      </c>
      <c r="I150" s="31" t="s">
        <v>0</v>
      </c>
      <c r="J150" s="31" t="str">
        <f>IF(csv!P140="","",csv!P140)</f>
        <v>Vihor</v>
      </c>
      <c r="K150" s="31" t="str">
        <f>IF(csv!Q140="","",csv!Q140)</f>
        <v>OK Vihor</v>
      </c>
      <c r="L150" s="31" t="s">
        <v>0</v>
      </c>
      <c r="M150" s="66" t="str">
        <f>IF(csv!R140="","",csv!R140)</f>
        <v>CRO</v>
      </c>
      <c r="N150" s="47" t="s">
        <v>0</v>
      </c>
      <c r="O150" s="243" t="str">
        <f t="shared" si="151"/>
        <v>ok</v>
      </c>
      <c r="P150" s="47"/>
      <c r="Q150" s="52" t="str">
        <f t="shared" si="152"/>
        <v>M45</v>
      </c>
      <c r="R150" s="73">
        <f>IF(Q150="","",IF(COUNTIF(Q$12:Q149,Q150)=0,R149+1,R149))</f>
        <v>8</v>
      </c>
      <c r="S150" s="73">
        <f t="shared" si="153"/>
        <v>106</v>
      </c>
      <c r="T150" s="73">
        <f t="shared" si="128"/>
        <v>17</v>
      </c>
      <c r="U150" s="66" t="str">
        <f t="shared" si="129"/>
        <v>M45</v>
      </c>
      <c r="V150" s="47" t="s">
        <v>0</v>
      </c>
      <c r="W150" s="222" t="str">
        <f t="shared" si="130"/>
        <v>M45</v>
      </c>
      <c r="X150" s="223">
        <f t="shared" si="131"/>
        <v>30</v>
      </c>
      <c r="Y150" s="47" t="s">
        <v>0</v>
      </c>
      <c r="Z150" s="52" t="str">
        <f t="shared" si="154"/>
        <v>CRO</v>
      </c>
      <c r="AA150" s="73">
        <f t="shared" si="132"/>
        <v>1</v>
      </c>
      <c r="AB150" s="31" t="str">
        <f t="shared" si="155"/>
        <v/>
      </c>
      <c r="AC150" s="66" t="str">
        <f>IF(AB150="","",MAX(AC$12:AC149)+1)</f>
        <v/>
      </c>
      <c r="AD150" s="47" t="s">
        <v>0</v>
      </c>
      <c r="AE150" s="125"/>
      <c r="AF150" s="47" t="s">
        <v>0</v>
      </c>
      <c r="AG150" s="19" t="str">
        <f t="shared" si="156"/>
        <v/>
      </c>
      <c r="AH150" s="47" t="s">
        <v>0</v>
      </c>
      <c r="AI150" s="143" t="str">
        <f t="shared" si="157"/>
        <v>CRO</v>
      </c>
      <c r="AJ150" s="47"/>
      <c r="AK150" s="52" t="str">
        <f t="shared" si="158"/>
        <v>Dinko</v>
      </c>
      <c r="AL150" s="31" t="str">
        <f t="shared" si="159"/>
        <v>Ćetković</v>
      </c>
      <c r="AM150" s="73">
        <f t="shared" si="160"/>
        <v>1916</v>
      </c>
      <c r="AN150" s="73" t="str">
        <f t="shared" si="161"/>
        <v/>
      </c>
      <c r="AO150" s="31" t="str">
        <f t="shared" si="133"/>
        <v>Dinko</v>
      </c>
      <c r="AP150" s="66" t="str">
        <f t="shared" si="134"/>
        <v>Ćetković</v>
      </c>
      <c r="AQ150" s="47" t="s">
        <v>0</v>
      </c>
      <c r="AR150" s="82" t="str">
        <f t="shared" si="162"/>
        <v/>
      </c>
      <c r="AS150" s="47" t="s">
        <v>0</v>
      </c>
      <c r="AT150" s="19" t="str">
        <f t="shared" si="163"/>
        <v/>
      </c>
      <c r="AU150" s="47" t="s">
        <v>0</v>
      </c>
      <c r="AV150" s="103"/>
      <c r="AW150" s="105"/>
      <c r="AX150" s="47" t="s">
        <v>0</v>
      </c>
      <c r="AY150" s="256" t="str">
        <f t="shared" si="181"/>
        <v/>
      </c>
      <c r="AZ150" s="47" t="s">
        <v>0</v>
      </c>
      <c r="BA150" s="52" t="str">
        <f t="shared" si="135"/>
        <v/>
      </c>
      <c r="BB150" s="73" t="str">
        <f>IF(AV150&amp;AW150="","",MAX(BB$12:BB149)+1)</f>
        <v/>
      </c>
      <c r="BC150" s="268" t="str">
        <f t="shared" si="136"/>
        <v/>
      </c>
      <c r="BD150" s="53" t="str">
        <f>IF(AND(AM150="NEMA",AN150="NEMA",OR(AV150&amp;AW150="",BC150="NEMA")),MAX(BD$12:BD149)+1,"")</f>
        <v/>
      </c>
      <c r="BE150" s="47" t="s">
        <v>0</v>
      </c>
      <c r="BF150" s="52" t="str">
        <f t="shared" si="137"/>
        <v>Dinko</v>
      </c>
      <c r="BG150" s="31" t="str">
        <f t="shared" si="138"/>
        <v>Ćetković</v>
      </c>
      <c r="BH150" s="73" t="str">
        <f t="shared" si="164"/>
        <v/>
      </c>
      <c r="BI150" s="53">
        <f t="shared" si="165"/>
        <v>1916</v>
      </c>
      <c r="BJ150" s="47" t="s">
        <v>0</v>
      </c>
      <c r="BK150" s="52" t="str">
        <f t="shared" si="139"/>
        <v>Vihor</v>
      </c>
      <c r="BL150" s="31" t="str">
        <f t="shared" si="140"/>
        <v>OK Vihor</v>
      </c>
      <c r="BM150" s="73">
        <f t="shared" si="141"/>
        <v>12</v>
      </c>
      <c r="BN150" s="73" t="str">
        <f t="shared" si="142"/>
        <v/>
      </c>
      <c r="BO150" s="31" t="str" cm="1">
        <f t="array" ref="BO150">IF(BN150="",""&amp;BL150,IF(BN150="NEMA",BL150,INDEX(regKlub_naziv,MATCH(INDEX(regKlub_alias_klubId,BN150),regKlub_id,0))))</f>
        <v>OK Vihor</v>
      </c>
      <c r="BP150" s="31" t="str" cm="1">
        <f t="array" ref="BP150">IFERROR(""&amp;INDEX(regNatjecatelj_klub,DY150),"")</f>
        <v>OK Vihor</v>
      </c>
      <c r="BQ150" s="88" t="str">
        <f t="shared" si="166"/>
        <v/>
      </c>
      <c r="BR150" s="66" t="str">
        <f t="shared" si="167"/>
        <v>OK Vihor</v>
      </c>
      <c r="BS150" s="47" t="s">
        <v>0</v>
      </c>
      <c r="BT150" s="82" t="str">
        <f>IF(BN150&lt;&gt;"NEMA","",IF(IFERROR(MATCH(BL150,BL$12:BL149,0),0)&lt;&gt;0,"",BL150))</f>
        <v/>
      </c>
      <c r="BU150" s="47" t="s">
        <v>0</v>
      </c>
      <c r="BV150" s="125"/>
      <c r="BW150" s="47" t="s">
        <v>0</v>
      </c>
      <c r="BX150" s="58" t="str">
        <f t="shared" si="168"/>
        <v/>
      </c>
      <c r="BY150" s="31" t="str">
        <f t="shared" si="169"/>
        <v/>
      </c>
      <c r="BZ150" s="31" t="str">
        <f>IF(BY150="","",MAX(BZ$12:BZ149)+1)</f>
        <v/>
      </c>
      <c r="CA150" s="31" t="str">
        <f>IF(BY150="","",IF(AA150="","",IF(AA150="NEMA",AC150,AA150)))</f>
        <v/>
      </c>
      <c r="CB150" s="31" t="str">
        <f t="shared" si="170"/>
        <v/>
      </c>
      <c r="CC150" s="31" t="str">
        <f>IF(BV150="","",MAX(CC$12:CC149)+1)</f>
        <v/>
      </c>
      <c r="CD150" s="31" t="str">
        <f t="shared" si="171"/>
        <v/>
      </c>
      <c r="CE150" s="66" t="str">
        <f t="shared" si="172"/>
        <v/>
      </c>
      <c r="CF150" s="47" t="s">
        <v>0</v>
      </c>
      <c r="CG150" s="73" t="str">
        <f>IF(BN150="","",IF(BN150&lt;&gt;"NEMA","",IFERROR(INDEX(nat_klubAliasId,MATCH(BL150,nat_noviKluboviAliasi,0)),"")))</f>
        <v/>
      </c>
      <c r="CH150" s="47"/>
      <c r="CI150" s="19" t="str">
        <f t="shared" si="173"/>
        <v/>
      </c>
      <c r="CJ150" s="47" t="s">
        <v>0</v>
      </c>
      <c r="CK150" s="52" t="str">
        <f>IF(X150&lt;&gt;"NEMA","",IF(IFERROR(MATCH(W150,W$12:W149,0),0)&lt;&gt;0,"",W150))</f>
        <v/>
      </c>
      <c r="CL150" s="73" t="str">
        <f>IF(CK150="","",IFERROR(INDEX(regKlub_alias_id,MATCH(CK150,regKlub_alias_alias,0)),"NEMA"))</f>
        <v/>
      </c>
      <c r="CM150" s="31" t="str">
        <f>IF(OR(CL150="",CL150&lt;&gt;"NEMA"),"",MAX(CM$12:CM149)+1)</f>
        <v/>
      </c>
      <c r="CN150" s="66" t="str">
        <f>IF(OR(CL150="",CL150&lt;&gt;"NEMA"),"",INDEX(regKlub_id,MATCH(CK150,regKlub_naziv,0)))</f>
        <v/>
      </c>
      <c r="CO150" s="47" t="s">
        <v>0</v>
      </c>
      <c r="CP150" s="19" t="str">
        <f>IF(OR(CL150="",CL150&lt;&gt;"NEMA"),"","INSERT INTO klub_alias(id,alias,klub_id) VALUES ("&amp;CM150&amp;",'"&amp;CK150&amp;"',"&amp;CN150&amp;");")</f>
        <v/>
      </c>
      <c r="CQ150" s="47" t="s">
        <v>0</v>
      </c>
      <c r="CR150" s="143" t="str">
        <f>IF(BR150="","",IF(BV150="",IF(IFERROR(MATCH(BR150,nat_noviKluboviAliasi,0),0)&gt;0,INDEX(nat_kluboviAliasi,MATCH(BR150,nat_noviKluboviAliasi,0)),BR150),BV150))</f>
        <v>OK Vihor</v>
      </c>
      <c r="CS150" s="47" t="s">
        <v>0</v>
      </c>
      <c r="CT150" s="58" t="str">
        <f>IF(G150="","",G150)</f>
        <v>97:15</v>
      </c>
      <c r="CU150" s="73" t="str">
        <f>IF(H150="","",H150)</f>
        <v>0</v>
      </c>
      <c r="CV150" s="229" t="str">
        <f>IF(CT150="",IF(OR(AL150="",CU150&lt;&gt;"0"),"","GREŠKA"),IF(AND(65535&gt;=VALUE(LEFT(CT150,SEARCH(":",CT150)-1))*60+VALUE(RIGHT(CT150,2)),OR(CU150="0",CU150="1",CU150="2",CU150="3",CU150="4")),"","GREŠKA"))</f>
        <v/>
      </c>
      <c r="CW150" s="230">
        <f t="shared" si="127"/>
        <v>5835</v>
      </c>
      <c r="CX150" s="163">
        <f t="shared" si="143"/>
        <v>1</v>
      </c>
      <c r="CY150" s="47" t="s">
        <v>0</v>
      </c>
      <c r="CZ150" s="222" t="str">
        <f>IF(CV150&lt;&gt;"GREŠKA","",AK150&amp;" "&amp;AL150&amp;" – Molim u OEventu provjeriti i ispraviti rezultat – vrijeme ("&amp;IF(CT150="","nije upisano",CT150)&amp;") i classifier ("&amp;CU150&amp;").")&amp;IF(OR(CV150&lt;&gt;"GREŠKA",CX150&lt;&gt;5),"
","")&amp;IF(CX150&lt;&gt;5,"",AK150&amp;" "&amp;AL150&amp;" – Molim u provjeriti je li natjecatelj zaista diskvalificiran. Ako je koje je obrazloženje, ako nije molim u OEventu ispraviti rezultat")</f>
        <v xml:space="preserve">
</v>
      </c>
      <c r="DA150" s="223">
        <f t="shared" si="174"/>
        <v>6</v>
      </c>
      <c r="DB150" s="47" t="s">
        <v>0</v>
      </c>
      <c r="DC150" s="47"/>
      <c r="DD150" s="47"/>
      <c r="DE150" s="47"/>
      <c r="DF150" s="47" t="s">
        <v>0</v>
      </c>
      <c r="DG150" s="53" t="str">
        <f>IF(BD150="","",IF(DI150="O",1,""))</f>
        <v/>
      </c>
      <c r="DH150" t="s">
        <v>0</v>
      </c>
      <c r="DI150" s="128" t="str">
        <f>IF(Q150="","",LEFT(INDEX(regKategorija_oznaka,MATCH(S150,regKategorija_id,0)),1))</f>
        <v>M</v>
      </c>
      <c r="DJ150" t="s">
        <v>0</v>
      </c>
      <c r="DK150" s="52" t="str">
        <f>IF(BD150="","",IF(M150&lt;&gt;"CRO","","INSERT INTO osoba (id,reg_broj,oib,spol_id,dat_rodjenja) VALUES ("&amp;BD150&amp;",(SELECT max(os.reg_broj)+1 FROM osoba AS os),Null,'"&amp;DI150&amp;"',Null); INSERT INTO osoba_log (id,reg_broj,oib,spol_id,dat_rodjenja,dnevnik_id) SELECT id,reg_broj,oib,spol_id,dat_rodjenja,"&amp;data_dnevnik_id&amp;" FROM osoba WHERE id = "&amp;BD150&amp;";"))</f>
        <v/>
      </c>
      <c r="DL150" s="66" t="str">
        <f>IF(BD150="","","INSERT INTO imeprezime (id,osoba_id,rbr,ime,prezime,klub_id,identitet_id,sintaksa_id,info,aktivno,dnevnik_id) VALUES ("&amp;BD150&amp;","&amp;IF(DK150="","Null",BD150)&amp;",1,'"&amp;IF(AV150&lt;&gt;"",AV150,AK150)&amp;"','"&amp;IF(AW150&lt;&gt;"",AW150,AL150)&amp;"',(SELECT id FROM klub WHERE naziv = '"&amp;CR150&amp;"'),Null,1,'',1,"&amp;data_dnevnik_id&amp;");")</f>
        <v/>
      </c>
      <c r="DM150" t="s">
        <v>0</v>
      </c>
      <c r="DN150" s="19" t="str">
        <f t="shared" si="182"/>
        <v/>
      </c>
      <c r="DO150" s="47" t="s">
        <v>0</v>
      </c>
      <c r="DP150" s="19" t="str">
        <f>IF(BA150="","","INSERT INTO imeprezime_alias(id,alias,imeprezime_id) VALUES ("&amp;BB150&amp;",'"&amp;BA150&amp;"',"&amp;IF(BC150="NEMA",BD150,BC150)&amp;");")</f>
        <v/>
      </c>
      <c r="DQ150" s="47" t="s">
        <v>0</v>
      </c>
      <c r="DR150" s="52" t="str">
        <f>IF(AL150="","",DU150 &amp; IF(Q150="",""," – " &amp; Q150))</f>
        <v>Dinko – Ćetković – OK Vihor – M45</v>
      </c>
      <c r="DS150" s="53">
        <f t="shared" si="144"/>
        <v>646</v>
      </c>
      <c r="DT150" s="47" t="s">
        <v>0</v>
      </c>
      <c r="DU150" s="52" t="str">
        <f>IF(AL150="","",DX150 &amp; IF(CR150="",""," – " &amp; CR150))</f>
        <v>Dinko – Ćetković – OK Vihor</v>
      </c>
      <c r="DV150" s="53">
        <f t="shared" si="145"/>
        <v>646</v>
      </c>
      <c r="DW150" s="47" t="s">
        <v>0</v>
      </c>
      <c r="DX150" s="52" t="str">
        <f>IF(BG150="","",BF150&amp;" – "&amp;BG150)</f>
        <v>Dinko – Ćetković</v>
      </c>
      <c r="DY150" s="53">
        <f t="shared" si="146"/>
        <v>646</v>
      </c>
      <c r="DZ150" s="47" t="s">
        <v>0</v>
      </c>
      <c r="EA150" s="58">
        <f t="shared" si="175"/>
        <v>646</v>
      </c>
      <c r="EB150" s="53" cm="1">
        <f t="array" ref="EB150">IF(EA150&lt;&gt;"",INDEX(regNatjecatelj_id,EA150,0),IF(BD150&lt;&gt;"",BD150,""))</f>
        <v>1916</v>
      </c>
      <c r="EC150" s="47" t="s">
        <v>0</v>
      </c>
      <c r="ED150" s="58" t="str">
        <f>IF(AL150="","",IF(BD150&lt;&gt;"","novo",IF(AN150="","imepre","imepre(ali)")))</f>
        <v>imepre</v>
      </c>
      <c r="EE150" s="73" t="str">
        <f>IF(AL150="","",IF(BL150="",IF(IFERROR(INDEX(regNatjecatelj_klub,MATCH(EB150,regNatjecatelj_id,0)),"NEMA")="","klu",""),IF(OR(AND(BN150&lt;&gt;"",BN150&lt;&gt;"NEMA"),CD150&lt;&gt;""),"klu(ali)",IF(AND(BP150&lt;&gt;"",BP150&lt;&gt;BO150),"(raz-klu)","klu"))))</f>
        <v>klu</v>
      </c>
      <c r="EF150" s="73" t="str">
        <f>IF(AL150="","","kat"&amp;IF(AND(W150&lt;&gt;Q150,Q150&lt;&gt;"Open"),"(ali)",""))</f>
        <v>kat</v>
      </c>
      <c r="EG150" s="73" t="str">
        <f t="shared" si="147"/>
        <v/>
      </c>
      <c r="EH150" s="66" t="str">
        <f>IF(AL150="","",ED150&amp;IF(ED150="novo","","-"&amp;EE150&amp;"-"&amp;EF150)&amp;IF(EG150="","","-"&amp;EG150))</f>
        <v>imepre-klu-kat</v>
      </c>
      <c r="EI150" s="47" t="s">
        <v>0</v>
      </c>
      <c r="EJ150" s="58">
        <f>IF(AL150="","",MAX(EJ$12:EJ149)+1)</f>
        <v>317</v>
      </c>
      <c r="EK150" s="73">
        <f>IF(AO150="","",X150)</f>
        <v>30</v>
      </c>
      <c r="EL150" s="73">
        <f t="shared" si="176"/>
        <v>1916</v>
      </c>
      <c r="EM150" s="73">
        <f t="shared" si="148"/>
        <v>5835</v>
      </c>
      <c r="EN150" s="73">
        <f t="shared" si="149"/>
        <v>1</v>
      </c>
      <c r="EO150" s="73">
        <f t="shared" si="177"/>
        <v>1</v>
      </c>
      <c r="EP150" s="73">
        <f t="shared" si="178"/>
        <v>1</v>
      </c>
      <c r="EQ150" s="73" t="str">
        <f t="shared" si="150"/>
        <v>0</v>
      </c>
      <c r="ER150" s="73" t="str">
        <f>IF(OR(AN150="",AN150="NEMA"),BB150,AN150)</f>
        <v/>
      </c>
      <c r="ES150" s="73" t="str">
        <f>IF(AND(BN150&lt;&gt;"",BN150&lt;&gt;"NEMA"),BN150,IF(CG150&lt;&gt;"",CG150,IF(AND(CL150&lt;&gt;"",CL150&lt;&gt;"NEMA"),CL150,IF(CM150&lt;&gt;"",CM150,""))))</f>
        <v/>
      </c>
      <c r="ET150" s="53" t="str">
        <f>IF(INDEX(natKategorija_alias_Id,MATCH(S150,natKategorija_katRegId,0))="","",INDEX(natKategorija_alias_Id,MATCH(S150,natKategorija_katRegId,0)))</f>
        <v/>
      </c>
      <c r="EU150" s="47" t="s">
        <v>0</v>
      </c>
      <c r="EV150" s="19" t="str">
        <f t="shared" si="179"/>
        <v>INSERT INTO rezultat(id,stazakategorija_id,imeprezime_id,vrijeme_sec,status_id,registracija,uparivanje_id,originalstatus_id,imeprezimealias_id,klubalias_id,kategorijaalias_id) VALUES (317,30,1916,5835,1,1,1,0,Null,Null,Null);</v>
      </c>
      <c r="EW150" s="47" t="s">
        <v>0</v>
      </c>
      <c r="EX150" s="19" t="str">
        <f t="shared" si="180"/>
        <v>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50" s="47" t="s">
        <v>0</v>
      </c>
      <c r="EZ150" s="180" t="str">
        <f>AG150&amp;IF(CP150="","","
")&amp;CP150&amp;IF(CI150="","","
")&amp;CI150&amp;IF(DN150="","","
")&amp;DN150&amp;IF(DP150="","","
")&amp;DP150&amp;IF(EV150="","","
")&amp;EV150&amp;IF(EX150="","","
")&amp;EX150</f>
        <v xml:space="preserve">
INSERT INTO rezultat(id,stazakategorija_id,imeprezime_id,vrijeme_sec,status_id,registracija,uparivanje_id,originalstatus_id,imeprezimealias_id,klubalias_id,kategorijaalias_id) VALUES (317,30,1916,5835,1,1,1,0,Null,Null,Null);
UPDATE
	registar
SET
	potvrda = 1
WHERE
	imeprezime_id=1916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50" s="47" t="s">
        <v>0</v>
      </c>
    </row>
    <row r="151" spans="1:157" x14ac:dyDescent="0.25">
      <c r="A151" t="s">
        <v>0</v>
      </c>
      <c r="B151" s="52" t="str">
        <f>IF(csv!F141="","",csv!T141)</f>
        <v>M45</v>
      </c>
      <c r="C151" s="31" t="s">
        <v>0</v>
      </c>
      <c r="D151" s="31" t="str">
        <f>IF(csv!F141="","",csv!F141)</f>
        <v>Hrvoje</v>
      </c>
      <c r="E151" s="31" t="str">
        <f>IF(csv!E141="","",csv!E141)</f>
        <v>Jelinić</v>
      </c>
      <c r="F151" s="31" t="s">
        <v>0</v>
      </c>
      <c r="G151" s="73" t="str">
        <f>IF(csv!M141="","",csv!M141)</f>
        <v/>
      </c>
      <c r="H151" s="73" t="str">
        <f>IF(csv!N141="","",csv!N141)</f>
        <v>1</v>
      </c>
      <c r="I151" s="31" t="s">
        <v>0</v>
      </c>
      <c r="J151" s="31" t="str">
        <f>IF(csv!P141="","",csv!P141)</f>
        <v>JAP</v>
      </c>
      <c r="K151" s="31" t="str">
        <f>IF(csv!Q141="","",csv!Q141)</f>
        <v>OK Japetic</v>
      </c>
      <c r="L151" s="31" t="s">
        <v>0</v>
      </c>
      <c r="M151" s="66" t="str">
        <f>IF(csv!R141="","",csv!R141)</f>
        <v>CRO</v>
      </c>
      <c r="N151" s="47" t="s">
        <v>0</v>
      </c>
      <c r="O151" s="243" t="str">
        <f t="shared" si="151"/>
        <v>ok</v>
      </c>
      <c r="P151" s="47"/>
      <c r="Q151" s="52" t="str">
        <f t="shared" si="152"/>
        <v>M45</v>
      </c>
      <c r="R151" s="73">
        <f>IF(Q151="","",IF(COUNTIF(Q$12:Q150,Q151)=0,R150+1,R150))</f>
        <v>8</v>
      </c>
      <c r="S151" s="73">
        <f t="shared" si="153"/>
        <v>106</v>
      </c>
      <c r="T151" s="73">
        <f t="shared" si="128"/>
        <v>17</v>
      </c>
      <c r="U151" s="66" t="str">
        <f t="shared" si="129"/>
        <v>M45</v>
      </c>
      <c r="V151" s="47" t="s">
        <v>0</v>
      </c>
      <c r="W151" s="222" t="str">
        <f t="shared" si="130"/>
        <v>M45</v>
      </c>
      <c r="X151" s="223">
        <f t="shared" si="131"/>
        <v>30</v>
      </c>
      <c r="Y151" s="47" t="s">
        <v>0</v>
      </c>
      <c r="Z151" s="52" t="str">
        <f t="shared" si="154"/>
        <v>CRO</v>
      </c>
      <c r="AA151" s="73">
        <f t="shared" si="132"/>
        <v>1</v>
      </c>
      <c r="AB151" s="31" t="str">
        <f t="shared" si="155"/>
        <v/>
      </c>
      <c r="AC151" s="66" t="str">
        <f>IF(AB151="","",MAX(AC$12:AC150)+1)</f>
        <v/>
      </c>
      <c r="AD151" s="47" t="s">
        <v>0</v>
      </c>
      <c r="AE151" s="125"/>
      <c r="AF151" s="47" t="s">
        <v>0</v>
      </c>
      <c r="AG151" s="19" t="str">
        <f t="shared" si="156"/>
        <v/>
      </c>
      <c r="AH151" s="47" t="s">
        <v>0</v>
      </c>
      <c r="AI151" s="143" t="str">
        <f t="shared" si="157"/>
        <v>CRO</v>
      </c>
      <c r="AJ151" s="47"/>
      <c r="AK151" s="52" t="str">
        <f t="shared" si="158"/>
        <v>Hrvoje</v>
      </c>
      <c r="AL151" s="31" t="str">
        <f t="shared" si="159"/>
        <v>Jelinić</v>
      </c>
      <c r="AM151" s="73">
        <f t="shared" si="160"/>
        <v>1576</v>
      </c>
      <c r="AN151" s="73" t="str">
        <f t="shared" si="161"/>
        <v/>
      </c>
      <c r="AO151" s="31" t="str">
        <f t="shared" si="133"/>
        <v>Hrvoje</v>
      </c>
      <c r="AP151" s="66" t="str">
        <f t="shared" si="134"/>
        <v>Jelinić</v>
      </c>
      <c r="AQ151" s="47" t="s">
        <v>0</v>
      </c>
      <c r="AR151" s="82" t="str">
        <f t="shared" si="162"/>
        <v/>
      </c>
      <c r="AS151" s="47" t="s">
        <v>0</v>
      </c>
      <c r="AT151" s="19" t="str">
        <f t="shared" si="163"/>
        <v/>
      </c>
      <c r="AU151" s="47" t="s">
        <v>0</v>
      </c>
      <c r="AV151" s="103"/>
      <c r="AW151" s="105"/>
      <c r="AX151" s="47" t="s">
        <v>0</v>
      </c>
      <c r="AY151" s="256" t="str">
        <f t="shared" si="181"/>
        <v/>
      </c>
      <c r="AZ151" s="47" t="s">
        <v>0</v>
      </c>
      <c r="BA151" s="52" t="str">
        <f t="shared" si="135"/>
        <v/>
      </c>
      <c r="BB151" s="73" t="str">
        <f>IF(AV151&amp;AW151="","",MAX(BB$12:BB150)+1)</f>
        <v/>
      </c>
      <c r="BC151" s="268" t="str">
        <f t="shared" si="136"/>
        <v/>
      </c>
      <c r="BD151" s="53" t="str">
        <f>IF(AND(AM151="NEMA",AN151="NEMA",OR(AV151&amp;AW151="",BC151="NEMA")),MAX(BD$12:BD150)+1,"")</f>
        <v/>
      </c>
      <c r="BE151" s="47" t="s">
        <v>0</v>
      </c>
      <c r="BF151" s="52" t="str">
        <f t="shared" si="137"/>
        <v>Hrvoje</v>
      </c>
      <c r="BG151" s="31" t="str">
        <f t="shared" si="138"/>
        <v>Jelinić</v>
      </c>
      <c r="BH151" s="73" t="str">
        <f t="shared" si="164"/>
        <v/>
      </c>
      <c r="BI151" s="53">
        <f t="shared" si="165"/>
        <v>1576</v>
      </c>
      <c r="BJ151" s="47" t="s">
        <v>0</v>
      </c>
      <c r="BK151" s="52" t="str">
        <f t="shared" si="139"/>
        <v>JAP</v>
      </c>
      <c r="BL151" s="31" t="str">
        <f t="shared" si="140"/>
        <v>OK Japetic</v>
      </c>
      <c r="BM151" s="73" t="str">
        <f t="shared" si="141"/>
        <v>NEMA</v>
      </c>
      <c r="BN151" s="73">
        <f t="shared" si="142"/>
        <v>1</v>
      </c>
      <c r="BO151" s="31" t="str" cm="1">
        <f t="array" ref="BO151">IF(BN151="",""&amp;BL151,IF(BN151="NEMA",BL151,INDEX(regKlub_naziv,MATCH(INDEX(regKlub_alias_klubId,BN151),regKlub_id,0))))</f>
        <v>OK Japetić</v>
      </c>
      <c r="BP151" s="31" t="str" cm="1">
        <f t="array" ref="BP151">IFERROR(""&amp;INDEX(regNatjecatelj_klub,DY151),"")</f>
        <v>OK Japetić</v>
      </c>
      <c r="BQ151" s="88" t="str">
        <f t="shared" si="166"/>
        <v/>
      </c>
      <c r="BR151" s="66" t="str">
        <f t="shared" si="167"/>
        <v>OK Japetić</v>
      </c>
      <c r="BS151" s="47" t="s">
        <v>0</v>
      </c>
      <c r="BT151" s="82" t="str">
        <f>IF(BN151&lt;&gt;"NEMA","",IF(IFERROR(MATCH(BL151,BL$12:BL150,0),0)&lt;&gt;0,"",BL151))</f>
        <v/>
      </c>
      <c r="BU151" s="47" t="s">
        <v>0</v>
      </c>
      <c r="BV151" s="125"/>
      <c r="BW151" s="47" t="s">
        <v>0</v>
      </c>
      <c r="BX151" s="58" t="str">
        <f t="shared" si="168"/>
        <v/>
      </c>
      <c r="BY151" s="31" t="str">
        <f t="shared" si="169"/>
        <v/>
      </c>
      <c r="BZ151" s="31" t="str">
        <f>IF(BY151="","",MAX(BZ$12:BZ150)+1)</f>
        <v/>
      </c>
      <c r="CA151" s="31" t="str">
        <f>IF(BY151="","",IF(AA151="","",IF(AA151="NEMA",AC151,AA151)))</f>
        <v/>
      </c>
      <c r="CB151" s="31" t="str">
        <f t="shared" si="170"/>
        <v/>
      </c>
      <c r="CC151" s="31" t="str">
        <f>IF(BV151="","",MAX(CC$12:CC150)+1)</f>
        <v/>
      </c>
      <c r="CD151" s="31" t="str">
        <f t="shared" si="171"/>
        <v/>
      </c>
      <c r="CE151" s="66" t="str">
        <f t="shared" si="172"/>
        <v/>
      </c>
      <c r="CF151" s="47" t="s">
        <v>0</v>
      </c>
      <c r="CG151" s="73" t="str">
        <f>IF(BN151="","",IF(BN151&lt;&gt;"NEMA","",IFERROR(INDEX(nat_klubAliasId,MATCH(BL151,nat_noviKluboviAliasi,0)),"")))</f>
        <v/>
      </c>
      <c r="CH151" s="47"/>
      <c r="CI151" s="19" t="str">
        <f t="shared" si="173"/>
        <v/>
      </c>
      <c r="CJ151" s="47" t="s">
        <v>0</v>
      </c>
      <c r="CK151" s="52" t="str">
        <f>IF(X151&lt;&gt;"NEMA","",IF(IFERROR(MATCH(W151,W$12:W150,0),0)&lt;&gt;0,"",W151))</f>
        <v/>
      </c>
      <c r="CL151" s="73" t="str">
        <f>IF(CK151="","",IFERROR(INDEX(regKlub_alias_id,MATCH(CK151,regKlub_alias_alias,0)),"NEMA"))</f>
        <v/>
      </c>
      <c r="CM151" s="31" t="str">
        <f>IF(OR(CL151="",CL151&lt;&gt;"NEMA"),"",MAX(CM$12:CM150)+1)</f>
        <v/>
      </c>
      <c r="CN151" s="66" t="str">
        <f>IF(OR(CL151="",CL151&lt;&gt;"NEMA"),"",INDEX(regKlub_id,MATCH(CK151,regKlub_naziv,0)))</f>
        <v/>
      </c>
      <c r="CO151" s="47" t="s">
        <v>0</v>
      </c>
      <c r="CP151" s="19" t="str">
        <f>IF(OR(CL151="",CL151&lt;&gt;"NEMA"),"","INSERT INTO klub_alias(id,alias,klub_id) VALUES ("&amp;CM151&amp;",'"&amp;CK151&amp;"',"&amp;CN151&amp;");")</f>
        <v/>
      </c>
      <c r="CQ151" s="47" t="s">
        <v>0</v>
      </c>
      <c r="CR151" s="143" t="str">
        <f>IF(BR151="","",IF(BV151="",IF(IFERROR(MATCH(BR151,nat_noviKluboviAliasi,0),0)&gt;0,INDEX(nat_kluboviAliasi,MATCH(BR151,nat_noviKluboviAliasi,0)),BR151),BV151))</f>
        <v>OK Japetić</v>
      </c>
      <c r="CS151" s="47" t="s">
        <v>0</v>
      </c>
      <c r="CT151" s="58" t="str">
        <f>IF(G151="","",G151)</f>
        <v/>
      </c>
      <c r="CU151" s="73" t="str">
        <f>IF(H151="","",H151)</f>
        <v>1</v>
      </c>
      <c r="CV151" s="229" t="str">
        <f>IF(CT151="",IF(OR(AL151="",CU151&lt;&gt;"0"),"","GREŠKA"),IF(AND(65535&gt;=VALUE(LEFT(CT151,SEARCH(":",CT151)-1))*60+VALUE(RIGHT(CT151,2)),OR(CU151="0",CU151="1",CU151="2",CU151="3",CU151="4")),"","GREŠKA"))</f>
        <v/>
      </c>
      <c r="CW151" s="230" t="str">
        <f t="shared" si="127"/>
        <v/>
      </c>
      <c r="CX151" s="163">
        <f t="shared" si="143"/>
        <v>6</v>
      </c>
      <c r="CY151" s="47" t="s">
        <v>0</v>
      </c>
      <c r="CZ151" s="222" t="str">
        <f>IF(CV151&lt;&gt;"GREŠKA","",AK151&amp;" "&amp;AL151&amp;" – Molim u OEventu provjeriti i ispraviti rezultat – vrijeme ("&amp;IF(CT151="","nije upisano",CT151)&amp;") i classifier ("&amp;CU151&amp;").")&amp;IF(OR(CV151&lt;&gt;"GREŠKA",CX151&lt;&gt;5),"
","")&amp;IF(CX151&lt;&gt;5,"",AK151&amp;" "&amp;AL151&amp;" – Molim u provjeriti je li natjecatelj zaista diskvalificiran. Ako je koje je obrazloženje, ako nije molim u OEventu ispraviti rezultat")</f>
        <v xml:space="preserve">
</v>
      </c>
      <c r="DA151" s="223" t="e">
        <f t="shared" si="174"/>
        <v>#N/A</v>
      </c>
      <c r="DB151" s="47" t="s">
        <v>0</v>
      </c>
      <c r="DC151" s="47"/>
      <c r="DD151" s="47"/>
      <c r="DE151" s="47"/>
      <c r="DF151" s="47" t="s">
        <v>0</v>
      </c>
      <c r="DG151" s="53" t="str">
        <f>IF(BD151="","",IF(DI151="O",1,""))</f>
        <v/>
      </c>
      <c r="DH151" t="s">
        <v>0</v>
      </c>
      <c r="DI151" s="128" t="str">
        <f>IF(Q151="","",LEFT(INDEX(regKategorija_oznaka,MATCH(S151,regKategorija_id,0)),1))</f>
        <v>M</v>
      </c>
      <c r="DJ151" t="s">
        <v>0</v>
      </c>
      <c r="DK151" s="52" t="str">
        <f>IF(BD151="","",IF(M151&lt;&gt;"CRO","","INSERT INTO osoba (id,reg_broj,oib,spol_id,dat_rodjenja) VALUES ("&amp;BD151&amp;",(SELECT max(os.reg_broj)+1 FROM osoba AS os),Null,'"&amp;DI151&amp;"',Null); INSERT INTO osoba_log (id,reg_broj,oib,spol_id,dat_rodjenja,dnevnik_id) SELECT id,reg_broj,oib,spol_id,dat_rodjenja,"&amp;data_dnevnik_id&amp;" FROM osoba WHERE id = "&amp;BD151&amp;";"))</f>
        <v/>
      </c>
      <c r="DL151" s="66" t="str">
        <f>IF(BD151="","","INSERT INTO imeprezime (id,osoba_id,rbr,ime,prezime,klub_id,identitet_id,sintaksa_id,info,aktivno,dnevnik_id) VALUES ("&amp;BD151&amp;","&amp;IF(DK151="","Null",BD151)&amp;",1,'"&amp;IF(AV151&lt;&gt;"",AV151,AK151)&amp;"','"&amp;IF(AW151&lt;&gt;"",AW151,AL151)&amp;"',(SELECT id FROM klub WHERE naziv = '"&amp;CR151&amp;"'),Null,1,'',1,"&amp;data_dnevnik_id&amp;");")</f>
        <v/>
      </c>
      <c r="DM151" t="s">
        <v>0</v>
      </c>
      <c r="DN151" s="19" t="str">
        <f t="shared" si="182"/>
        <v/>
      </c>
      <c r="DO151" s="47" t="s">
        <v>0</v>
      </c>
      <c r="DP151" s="19" t="str">
        <f>IF(BA151="","","INSERT INTO imeprezime_alias(id,alias,imeprezime_id) VALUES ("&amp;BB151&amp;",'"&amp;BA151&amp;"',"&amp;IF(BC151="NEMA",BD151,BC151)&amp;");")</f>
        <v/>
      </c>
      <c r="DQ151" s="47" t="s">
        <v>0</v>
      </c>
      <c r="DR151" s="52" t="str">
        <f>IF(AL151="","",DU151 &amp; IF(Q151="",""," – " &amp; Q151))</f>
        <v>Hrvoje – Jelinić – OK Japetić – M45</v>
      </c>
      <c r="DS151" s="53">
        <f t="shared" si="144"/>
        <v>96</v>
      </c>
      <c r="DT151" s="47" t="s">
        <v>0</v>
      </c>
      <c r="DU151" s="52" t="str">
        <f>IF(AL151="","",DX151 &amp; IF(CR151="",""," – " &amp; CR151))</f>
        <v>Hrvoje – Jelinić – OK Japetić</v>
      </c>
      <c r="DV151" s="53">
        <f t="shared" si="145"/>
        <v>96</v>
      </c>
      <c r="DW151" s="47" t="s">
        <v>0</v>
      </c>
      <c r="DX151" s="52" t="str">
        <f>IF(BG151="","",BF151&amp;" – "&amp;BG151)</f>
        <v>Hrvoje – Jelinić</v>
      </c>
      <c r="DY151" s="53">
        <f t="shared" si="146"/>
        <v>96</v>
      </c>
      <c r="DZ151" s="47" t="s">
        <v>0</v>
      </c>
      <c r="EA151" s="58">
        <f t="shared" si="175"/>
        <v>96</v>
      </c>
      <c r="EB151" s="53" cm="1">
        <f t="array" ref="EB151">IF(EA151&lt;&gt;"",INDEX(regNatjecatelj_id,EA151,0),IF(BD151&lt;&gt;"",BD151,""))</f>
        <v>1576</v>
      </c>
      <c r="EC151" s="47" t="s">
        <v>0</v>
      </c>
      <c r="ED151" s="58" t="str">
        <f>IF(AL151="","",IF(BD151&lt;&gt;"","novo",IF(AN151="","imepre","imepre(ali)")))</f>
        <v>imepre</v>
      </c>
      <c r="EE151" s="73" t="str">
        <f>IF(AL151="","",IF(BL151="",IF(IFERROR(INDEX(regNatjecatelj_klub,MATCH(EB151,regNatjecatelj_id,0)),"NEMA")="","klu",""),IF(OR(AND(BN151&lt;&gt;"",BN151&lt;&gt;"NEMA"),CD151&lt;&gt;""),"klu(ali)",IF(AND(BP151&lt;&gt;"",BP151&lt;&gt;BO151),"(raz-klu)","klu"))))</f>
        <v>klu(ali)</v>
      </c>
      <c r="EF151" s="73" t="str">
        <f>IF(AL151="","","kat"&amp;IF(AND(W151&lt;&gt;Q151,Q151&lt;&gt;"Open"),"(ali)",""))</f>
        <v>kat</v>
      </c>
      <c r="EG151" s="73" t="str">
        <f t="shared" si="147"/>
        <v/>
      </c>
      <c r="EH151" s="66" t="str">
        <f>IF(AL151="","",ED151&amp;IF(ED151="novo","","-"&amp;EE151&amp;"-"&amp;EF151)&amp;IF(EG151="","","-"&amp;EG151))</f>
        <v>imepre-klu(ali)-kat</v>
      </c>
      <c r="EI151" s="47" t="s">
        <v>0</v>
      </c>
      <c r="EJ151" s="58">
        <f>IF(AL151="","",MAX(EJ$12:EJ150)+1)</f>
        <v>318</v>
      </c>
      <c r="EK151" s="73">
        <f>IF(AO151="","",X151)</f>
        <v>30</v>
      </c>
      <c r="EL151" s="73">
        <f t="shared" si="176"/>
        <v>1576</v>
      </c>
      <c r="EM151" s="73" t="str">
        <f t="shared" si="148"/>
        <v/>
      </c>
      <c r="EN151" s="73">
        <f t="shared" si="149"/>
        <v>6</v>
      </c>
      <c r="EO151" s="73">
        <f t="shared" si="177"/>
        <v>1</v>
      </c>
      <c r="EP151" s="73">
        <f t="shared" si="178"/>
        <v>3</v>
      </c>
      <c r="EQ151" s="73" t="str">
        <f t="shared" si="150"/>
        <v>1</v>
      </c>
      <c r="ER151" s="73" t="str">
        <f>IF(OR(AN151="",AN151="NEMA"),BB151,AN151)</f>
        <v/>
      </c>
      <c r="ES151" s="73">
        <f>IF(AND(BN151&lt;&gt;"",BN151&lt;&gt;"NEMA"),BN151,IF(CG151&lt;&gt;"",CG151,IF(AND(CL151&lt;&gt;"",CL151&lt;&gt;"NEMA"),CL151,IF(CM151&lt;&gt;"",CM151,""))))</f>
        <v>1</v>
      </c>
      <c r="ET151" s="53" t="str">
        <f>IF(INDEX(natKategorija_alias_Id,MATCH(S151,natKategorija_katRegId,0))="","",INDEX(natKategorija_alias_Id,MATCH(S151,natKategorija_katRegId,0)))</f>
        <v/>
      </c>
      <c r="EU151" s="47" t="s">
        <v>0</v>
      </c>
      <c r="EV151" s="19" t="str">
        <f t="shared" si="179"/>
        <v>INSERT INTO rezultat(id,stazakategorija_id,imeprezime_id,vrijeme_sec,status_id,registracija,uparivanje_id,originalstatus_id,imeprezimealias_id,klubalias_id,kategorijaalias_id) VALUES (318,30,1576,Null,6,1,3,1,Null,1,Null);</v>
      </c>
      <c r="EW151" s="47" t="s">
        <v>0</v>
      </c>
      <c r="EX151" s="19" t="str">
        <f t="shared" si="180"/>
        <v>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51" s="47" t="s">
        <v>0</v>
      </c>
      <c r="EZ151" s="180" t="str">
        <f>AG151&amp;IF(CP151="","","
")&amp;CP151&amp;IF(CI151="","","
")&amp;CI151&amp;IF(DN151="","","
")&amp;DN151&amp;IF(DP151="","","
")&amp;DP151&amp;IF(EV151="","","
")&amp;EV151&amp;IF(EX151="","","
")&amp;EX151</f>
        <v xml:space="preserve">
INSERT INTO rezultat(id,stazakategorija_id,imeprezime_id,vrijeme_sec,status_id,registracija,uparivanje_id,originalstatus_id,imeprezimealias_id,klubalias_id,kategorijaalias_id) VALUES (318,30,1576,Null,6,1,3,1,Null,1,Null);
UPDATE
	registar
SET
	potvrda = 1
WHERE
	imeprezime_id=1576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51" s="47" t="s">
        <v>0</v>
      </c>
    </row>
    <row r="152" spans="1:157" x14ac:dyDescent="0.25">
      <c r="A152" t="s">
        <v>0</v>
      </c>
      <c r="B152" s="52" t="str">
        <f>IF(csv!F142="","",csv!T142)</f>
        <v>M45</v>
      </c>
      <c r="C152" s="31" t="s">
        <v>0</v>
      </c>
      <c r="D152" s="31" t="str">
        <f>IF(csv!F142="","",csv!F142)</f>
        <v>Zdravko</v>
      </c>
      <c r="E152" s="31" t="str">
        <f>IF(csv!E142="","",csv!E142)</f>
        <v>Šaflin</v>
      </c>
      <c r="F152" s="31" t="s">
        <v>0</v>
      </c>
      <c r="G152" s="73" t="str">
        <f>IF(csv!M142="","",csv!M142)</f>
        <v/>
      </c>
      <c r="H152" s="73" t="str">
        <f>IF(csv!N142="","",csv!N142)</f>
        <v>1</v>
      </c>
      <c r="I152" s="31" t="s">
        <v>0</v>
      </c>
      <c r="J152" s="31" t="str">
        <f>IF(csv!P142="","",csv!P142)</f>
        <v>OK Jelen</v>
      </c>
      <c r="K152" s="31" t="str">
        <f>IF(csv!Q142="","",csv!Q142)</f>
        <v>OK Jelen</v>
      </c>
      <c r="L152" s="31" t="s">
        <v>0</v>
      </c>
      <c r="M152" s="66" t="str">
        <f>IF(csv!R142="","",csv!R142)</f>
        <v>CRO</v>
      </c>
      <c r="N152" s="47" t="s">
        <v>0</v>
      </c>
      <c r="O152" s="243" t="str">
        <f t="shared" si="151"/>
        <v>ok</v>
      </c>
      <c r="P152" s="47"/>
      <c r="Q152" s="52" t="str">
        <f t="shared" si="152"/>
        <v>M45</v>
      </c>
      <c r="R152" s="73">
        <f>IF(Q152="","",IF(COUNTIF(Q$12:Q151,Q152)=0,R151+1,R151))</f>
        <v>8</v>
      </c>
      <c r="S152" s="73">
        <f t="shared" si="153"/>
        <v>106</v>
      </c>
      <c r="T152" s="73">
        <f t="shared" si="128"/>
        <v>17</v>
      </c>
      <c r="U152" s="66" t="str">
        <f t="shared" si="129"/>
        <v>M45</v>
      </c>
      <c r="V152" s="47" t="s">
        <v>0</v>
      </c>
      <c r="W152" s="222" t="str">
        <f t="shared" si="130"/>
        <v>M45</v>
      </c>
      <c r="X152" s="223">
        <f t="shared" si="131"/>
        <v>30</v>
      </c>
      <c r="Y152" s="47" t="s">
        <v>0</v>
      </c>
      <c r="Z152" s="52" t="str">
        <f t="shared" si="154"/>
        <v>CRO</v>
      </c>
      <c r="AA152" s="73">
        <f t="shared" si="132"/>
        <v>1</v>
      </c>
      <c r="AB152" s="31" t="str">
        <f t="shared" si="155"/>
        <v/>
      </c>
      <c r="AC152" s="66" t="str">
        <f>IF(AB152="","",MAX(AC$12:AC151)+1)</f>
        <v/>
      </c>
      <c r="AD152" s="47" t="s">
        <v>0</v>
      </c>
      <c r="AE152" s="125"/>
      <c r="AF152" s="47" t="s">
        <v>0</v>
      </c>
      <c r="AG152" s="19" t="str">
        <f t="shared" si="156"/>
        <v/>
      </c>
      <c r="AH152" s="47" t="s">
        <v>0</v>
      </c>
      <c r="AI152" s="143" t="str">
        <f t="shared" si="157"/>
        <v>CRO</v>
      </c>
      <c r="AJ152" s="47"/>
      <c r="AK152" s="52" t="str">
        <f t="shared" si="158"/>
        <v>Zdravko</v>
      </c>
      <c r="AL152" s="31" t="str">
        <f t="shared" si="159"/>
        <v>Šaflin</v>
      </c>
      <c r="AM152" s="73">
        <f t="shared" si="160"/>
        <v>1505</v>
      </c>
      <c r="AN152" s="73" t="str">
        <f t="shared" si="161"/>
        <v/>
      </c>
      <c r="AO152" s="31" t="str">
        <f t="shared" si="133"/>
        <v>Zdravko</v>
      </c>
      <c r="AP152" s="66" t="str">
        <f t="shared" si="134"/>
        <v>Šaflin</v>
      </c>
      <c r="AQ152" s="47" t="s">
        <v>0</v>
      </c>
      <c r="AR152" s="82" t="str">
        <f t="shared" si="162"/>
        <v/>
      </c>
      <c r="AS152" s="47" t="s">
        <v>0</v>
      </c>
      <c r="AT152" s="19" t="str">
        <f t="shared" si="163"/>
        <v/>
      </c>
      <c r="AU152" s="47" t="s">
        <v>0</v>
      </c>
      <c r="AV152" s="103"/>
      <c r="AW152" s="105"/>
      <c r="AX152" s="47" t="s">
        <v>0</v>
      </c>
      <c r="AY152" s="256" t="str">
        <f t="shared" si="181"/>
        <v/>
      </c>
      <c r="AZ152" s="47" t="s">
        <v>0</v>
      </c>
      <c r="BA152" s="52" t="str">
        <f t="shared" si="135"/>
        <v/>
      </c>
      <c r="BB152" s="73" t="str">
        <f>IF(AV152&amp;AW152="","",MAX(BB$12:BB151)+1)</f>
        <v/>
      </c>
      <c r="BC152" s="268" t="str">
        <f t="shared" si="136"/>
        <v/>
      </c>
      <c r="BD152" s="53" t="str">
        <f>IF(AND(AM152="NEMA",AN152="NEMA",OR(AV152&amp;AW152="",BC152="NEMA")),MAX(BD$12:BD151)+1,"")</f>
        <v/>
      </c>
      <c r="BE152" s="47" t="s">
        <v>0</v>
      </c>
      <c r="BF152" s="52" t="str">
        <f t="shared" si="137"/>
        <v>Zdravko</v>
      </c>
      <c r="BG152" s="31" t="str">
        <f t="shared" si="138"/>
        <v>Šaflin</v>
      </c>
      <c r="BH152" s="73" t="str">
        <f t="shared" si="164"/>
        <v/>
      </c>
      <c r="BI152" s="53">
        <f t="shared" si="165"/>
        <v>1505</v>
      </c>
      <c r="BJ152" s="47" t="s">
        <v>0</v>
      </c>
      <c r="BK152" s="52" t="str">
        <f t="shared" si="139"/>
        <v>OK Jelen</v>
      </c>
      <c r="BL152" s="31" t="str">
        <f t="shared" si="140"/>
        <v>OK Jelen</v>
      </c>
      <c r="BM152" s="73">
        <f t="shared" si="141"/>
        <v>4</v>
      </c>
      <c r="BN152" s="73" t="str">
        <f t="shared" si="142"/>
        <v/>
      </c>
      <c r="BO152" s="31" t="str" cm="1">
        <f t="array" ref="BO152">IF(BN152="",""&amp;BL152,IF(BN152="NEMA",BL152,INDEX(regKlub_naziv,MATCH(INDEX(regKlub_alias_klubId,BN152),regKlub_id,0))))</f>
        <v>OK Jelen</v>
      </c>
      <c r="BP152" s="31" t="str" cm="1">
        <f t="array" ref="BP152">IFERROR(""&amp;INDEX(regNatjecatelj_klub,DY152),"")</f>
        <v>OK Jelen</v>
      </c>
      <c r="BQ152" s="88" t="str">
        <f t="shared" si="166"/>
        <v/>
      </c>
      <c r="BR152" s="66" t="str">
        <f t="shared" si="167"/>
        <v>OK Jelen</v>
      </c>
      <c r="BS152" s="47" t="s">
        <v>0</v>
      </c>
      <c r="BT152" s="82" t="str">
        <f>IF(BN152&lt;&gt;"NEMA","",IF(IFERROR(MATCH(BL152,BL$12:BL151,0),0)&lt;&gt;0,"",BL152))</f>
        <v/>
      </c>
      <c r="BU152" s="47" t="s">
        <v>0</v>
      </c>
      <c r="BV152" s="125"/>
      <c r="BW152" s="47" t="s">
        <v>0</v>
      </c>
      <c r="BX152" s="58" t="str">
        <f t="shared" si="168"/>
        <v/>
      </c>
      <c r="BY152" s="31" t="str">
        <f t="shared" si="169"/>
        <v/>
      </c>
      <c r="BZ152" s="31" t="str">
        <f>IF(BY152="","",MAX(BZ$12:BZ151)+1)</f>
        <v/>
      </c>
      <c r="CA152" s="31" t="str">
        <f>IF(BY152="","",IF(AA152="","",IF(AA152="NEMA",AC152,AA152)))</f>
        <v/>
      </c>
      <c r="CB152" s="31" t="str">
        <f t="shared" si="170"/>
        <v/>
      </c>
      <c r="CC152" s="31" t="str">
        <f>IF(BV152="","",MAX(CC$12:CC151)+1)</f>
        <v/>
      </c>
      <c r="CD152" s="31" t="str">
        <f t="shared" si="171"/>
        <v/>
      </c>
      <c r="CE152" s="66" t="str">
        <f t="shared" si="172"/>
        <v/>
      </c>
      <c r="CF152" s="47" t="s">
        <v>0</v>
      </c>
      <c r="CG152" s="73" t="str">
        <f>IF(BN152="","",IF(BN152&lt;&gt;"NEMA","",IFERROR(INDEX(nat_klubAliasId,MATCH(BL152,nat_noviKluboviAliasi,0)),"")))</f>
        <v/>
      </c>
      <c r="CH152" s="47"/>
      <c r="CI152" s="19" t="str">
        <f t="shared" si="173"/>
        <v/>
      </c>
      <c r="CJ152" s="47" t="s">
        <v>0</v>
      </c>
      <c r="CK152" s="52" t="str">
        <f>IF(X152&lt;&gt;"NEMA","",IF(IFERROR(MATCH(W152,W$12:W151,0),0)&lt;&gt;0,"",W152))</f>
        <v/>
      </c>
      <c r="CL152" s="73" t="str">
        <f>IF(CK152="","",IFERROR(INDEX(regKlub_alias_id,MATCH(CK152,regKlub_alias_alias,0)),"NEMA"))</f>
        <v/>
      </c>
      <c r="CM152" s="31" t="str">
        <f>IF(OR(CL152="",CL152&lt;&gt;"NEMA"),"",MAX(CM$12:CM151)+1)</f>
        <v/>
      </c>
      <c r="CN152" s="66" t="str">
        <f>IF(OR(CL152="",CL152&lt;&gt;"NEMA"),"",INDEX(regKlub_id,MATCH(CK152,regKlub_naziv,0)))</f>
        <v/>
      </c>
      <c r="CO152" s="47" t="s">
        <v>0</v>
      </c>
      <c r="CP152" s="19" t="str">
        <f>IF(OR(CL152="",CL152&lt;&gt;"NEMA"),"","INSERT INTO klub_alias(id,alias,klub_id) VALUES ("&amp;CM152&amp;",'"&amp;CK152&amp;"',"&amp;CN152&amp;");")</f>
        <v/>
      </c>
      <c r="CQ152" s="47" t="s">
        <v>0</v>
      </c>
      <c r="CR152" s="143" t="str">
        <f>IF(BR152="","",IF(BV152="",IF(IFERROR(MATCH(BR152,nat_noviKluboviAliasi,0),0)&gt;0,INDEX(nat_kluboviAliasi,MATCH(BR152,nat_noviKluboviAliasi,0)),BR152),BV152))</f>
        <v>OK Jelen</v>
      </c>
      <c r="CS152" s="47" t="s">
        <v>0</v>
      </c>
      <c r="CT152" s="58" t="str">
        <f>IF(G152="","",G152)</f>
        <v/>
      </c>
      <c r="CU152" s="73" t="str">
        <f>IF(H152="","",H152)</f>
        <v>1</v>
      </c>
      <c r="CV152" s="229" t="str">
        <f>IF(CT152="",IF(OR(AL152="",CU152&lt;&gt;"0"),"","GREŠKA"),IF(AND(65535&gt;=VALUE(LEFT(CT152,SEARCH(":",CT152)-1))*60+VALUE(RIGHT(CT152,2)),OR(CU152="0",CU152="1",CU152="2",CU152="3",CU152="4")),"","GREŠKA"))</f>
        <v/>
      </c>
      <c r="CW152" s="230" t="str">
        <f t="shared" si="127"/>
        <v/>
      </c>
      <c r="CX152" s="163">
        <f t="shared" si="143"/>
        <v>6</v>
      </c>
      <c r="CY152" s="47" t="s">
        <v>0</v>
      </c>
      <c r="CZ152" s="222" t="str">
        <f>IF(CV152&lt;&gt;"GREŠKA","",AK152&amp;" "&amp;AL152&amp;" – Molim u OEventu provjeriti i ispraviti rezultat – vrijeme ("&amp;IF(CT152="","nije upisano",CT152)&amp;") i classifier ("&amp;CU152&amp;").")&amp;IF(OR(CV152&lt;&gt;"GREŠKA",CX152&lt;&gt;5),"
","")&amp;IF(CX152&lt;&gt;5,"",AK152&amp;" "&amp;AL152&amp;" – Molim u provjeriti je li natjecatelj zaista diskvalificiran. Ako je koje je obrazloženje, ako nije molim u OEventu ispraviti rezultat")</f>
        <v xml:space="preserve">
</v>
      </c>
      <c r="DA152" s="223" t="e">
        <f t="shared" si="174"/>
        <v>#N/A</v>
      </c>
      <c r="DB152" s="47" t="s">
        <v>0</v>
      </c>
      <c r="DC152" s="47"/>
      <c r="DD152" s="47"/>
      <c r="DE152" s="47"/>
      <c r="DF152" s="47" t="s">
        <v>0</v>
      </c>
      <c r="DG152" s="53" t="str">
        <f>IF(BD152="","",IF(DI152="O",1,""))</f>
        <v/>
      </c>
      <c r="DH152" t="s">
        <v>0</v>
      </c>
      <c r="DI152" s="128" t="str">
        <f>IF(Q152="","",LEFT(INDEX(regKategorija_oznaka,MATCH(S152,regKategorija_id,0)),1))</f>
        <v>M</v>
      </c>
      <c r="DJ152" t="s">
        <v>0</v>
      </c>
      <c r="DK152" s="52" t="str">
        <f>IF(BD152="","",IF(M152&lt;&gt;"CRO","","INSERT INTO osoba (id,reg_broj,oib,spol_id,dat_rodjenja) VALUES ("&amp;BD152&amp;",(SELECT max(os.reg_broj)+1 FROM osoba AS os),Null,'"&amp;DI152&amp;"',Null); INSERT INTO osoba_log (id,reg_broj,oib,spol_id,dat_rodjenja,dnevnik_id) SELECT id,reg_broj,oib,spol_id,dat_rodjenja,"&amp;data_dnevnik_id&amp;" FROM osoba WHERE id = "&amp;BD152&amp;";"))</f>
        <v/>
      </c>
      <c r="DL152" s="66" t="str">
        <f>IF(BD152="","","INSERT INTO imeprezime (id,osoba_id,rbr,ime,prezime,klub_id,identitet_id,sintaksa_id,info,aktivno,dnevnik_id) VALUES ("&amp;BD152&amp;","&amp;IF(DK152="","Null",BD152)&amp;",1,'"&amp;IF(AV152&lt;&gt;"",AV152,AK152)&amp;"','"&amp;IF(AW152&lt;&gt;"",AW152,AL152)&amp;"',(SELECT id FROM klub WHERE naziv = '"&amp;CR152&amp;"'),Null,1,'',1,"&amp;data_dnevnik_id&amp;");")</f>
        <v/>
      </c>
      <c r="DM152" t="s">
        <v>0</v>
      </c>
      <c r="DN152" s="19" t="str">
        <f t="shared" si="182"/>
        <v/>
      </c>
      <c r="DO152" s="47" t="s">
        <v>0</v>
      </c>
      <c r="DP152" s="19" t="str">
        <f>IF(BA152="","","INSERT INTO imeprezime_alias(id,alias,imeprezime_id) VALUES ("&amp;BB152&amp;",'"&amp;BA152&amp;"',"&amp;IF(BC152="NEMA",BD152,BC152)&amp;");")</f>
        <v/>
      </c>
      <c r="DQ152" s="47" t="s">
        <v>0</v>
      </c>
      <c r="DR152" s="52" t="str">
        <f>IF(AL152="","",DU152 &amp; IF(Q152="",""," – " &amp; Q152))</f>
        <v>Zdravko – Šaflin – OK Jelen – M45</v>
      </c>
      <c r="DS152" s="53">
        <f t="shared" si="144"/>
        <v>186</v>
      </c>
      <c r="DT152" s="47" t="s">
        <v>0</v>
      </c>
      <c r="DU152" s="52" t="str">
        <f>IF(AL152="","",DX152 &amp; IF(CR152="",""," – " &amp; CR152))</f>
        <v>Zdravko – Šaflin – OK Jelen</v>
      </c>
      <c r="DV152" s="53">
        <f t="shared" si="145"/>
        <v>186</v>
      </c>
      <c r="DW152" s="47" t="s">
        <v>0</v>
      </c>
      <c r="DX152" s="52" t="str">
        <f>IF(BG152="","",BF152&amp;" – "&amp;BG152)</f>
        <v>Zdravko – Šaflin</v>
      </c>
      <c r="DY152" s="53">
        <f t="shared" si="146"/>
        <v>186</v>
      </c>
      <c r="DZ152" s="47" t="s">
        <v>0</v>
      </c>
      <c r="EA152" s="58">
        <f t="shared" si="175"/>
        <v>186</v>
      </c>
      <c r="EB152" s="53" cm="1">
        <f t="array" ref="EB152">IF(EA152&lt;&gt;"",INDEX(regNatjecatelj_id,EA152,0),IF(BD152&lt;&gt;"",BD152,""))</f>
        <v>1505</v>
      </c>
      <c r="EC152" s="47" t="s">
        <v>0</v>
      </c>
      <c r="ED152" s="58" t="str">
        <f>IF(AL152="","",IF(BD152&lt;&gt;"","novo",IF(AN152="","imepre","imepre(ali)")))</f>
        <v>imepre</v>
      </c>
      <c r="EE152" s="73" t="str">
        <f>IF(AL152="","",IF(BL152="",IF(IFERROR(INDEX(regNatjecatelj_klub,MATCH(EB152,regNatjecatelj_id,0)),"NEMA")="","klu",""),IF(OR(AND(BN152&lt;&gt;"",BN152&lt;&gt;"NEMA"),CD152&lt;&gt;""),"klu(ali)",IF(AND(BP152&lt;&gt;"",BP152&lt;&gt;BO152),"(raz-klu)","klu"))))</f>
        <v>klu</v>
      </c>
      <c r="EF152" s="73" t="str">
        <f>IF(AL152="","","kat"&amp;IF(AND(W152&lt;&gt;Q152,Q152&lt;&gt;"Open"),"(ali)",""))</f>
        <v>kat</v>
      </c>
      <c r="EG152" s="73" t="str">
        <f t="shared" si="147"/>
        <v/>
      </c>
      <c r="EH152" s="66" t="str">
        <f>IF(AL152="","",ED152&amp;IF(ED152="novo","","-"&amp;EE152&amp;"-"&amp;EF152)&amp;IF(EG152="","","-"&amp;EG152))</f>
        <v>imepre-klu-kat</v>
      </c>
      <c r="EI152" s="47" t="s">
        <v>0</v>
      </c>
      <c r="EJ152" s="58">
        <f>IF(AL152="","",MAX(EJ$12:EJ151)+1)</f>
        <v>319</v>
      </c>
      <c r="EK152" s="73">
        <f>IF(AO152="","",X152)</f>
        <v>30</v>
      </c>
      <c r="EL152" s="73">
        <f t="shared" si="176"/>
        <v>1505</v>
      </c>
      <c r="EM152" s="73" t="str">
        <f t="shared" si="148"/>
        <v/>
      </c>
      <c r="EN152" s="73">
        <f t="shared" si="149"/>
        <v>6</v>
      </c>
      <c r="EO152" s="73">
        <f t="shared" si="177"/>
        <v>1</v>
      </c>
      <c r="EP152" s="73">
        <f t="shared" si="178"/>
        <v>1</v>
      </c>
      <c r="EQ152" s="73" t="str">
        <f t="shared" si="150"/>
        <v>1</v>
      </c>
      <c r="ER152" s="73" t="str">
        <f>IF(OR(AN152="",AN152="NEMA"),BB152,AN152)</f>
        <v/>
      </c>
      <c r="ES152" s="73" t="str">
        <f>IF(AND(BN152&lt;&gt;"",BN152&lt;&gt;"NEMA"),BN152,IF(CG152&lt;&gt;"",CG152,IF(AND(CL152&lt;&gt;"",CL152&lt;&gt;"NEMA"),CL152,IF(CM152&lt;&gt;"",CM152,""))))</f>
        <v/>
      </c>
      <c r="ET152" s="53" t="str">
        <f>IF(INDEX(natKategorija_alias_Id,MATCH(S152,natKategorija_katRegId,0))="","",INDEX(natKategorija_alias_Id,MATCH(S152,natKategorija_katRegId,0)))</f>
        <v/>
      </c>
      <c r="EU152" s="47" t="s">
        <v>0</v>
      </c>
      <c r="EV152" s="19" t="str">
        <f t="shared" si="179"/>
        <v>INSERT INTO rezultat(id,stazakategorija_id,imeprezime_id,vrijeme_sec,status_id,registracija,uparivanje_id,originalstatus_id,imeprezimealias_id,klubalias_id,kategorijaalias_id) VALUES (319,30,1505,Null,6,1,1,1,Null,Null,Null);</v>
      </c>
      <c r="EW152" s="47" t="s">
        <v>0</v>
      </c>
      <c r="EX152" s="19" t="str">
        <f t="shared" si="180"/>
        <v>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52" s="47" t="s">
        <v>0</v>
      </c>
      <c r="EZ152" s="180" t="str">
        <f>AG152&amp;IF(CP152="","","
")&amp;CP152&amp;IF(CI152="","","
")&amp;CI152&amp;IF(DN152="","","
")&amp;DN152&amp;IF(DP152="","","
")&amp;DP152&amp;IF(EV152="","","
")&amp;EV152&amp;IF(EX152="","","
")&amp;EX152</f>
        <v xml:space="preserve">
INSERT INTO rezultat(id,stazakategorija_id,imeprezime_id,vrijeme_sec,status_id,registracija,uparivanje_id,originalstatus_id,imeprezimealias_id,klubalias_id,kategorijaalias_id) VALUES (319,30,1505,Null,6,1,1,1,Null,Null,Null);
UPDATE
	registar
SET
	potvrda = 1
WHERE
	imeprezime_id=1505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52" s="47" t="s">
        <v>0</v>
      </c>
    </row>
    <row r="153" spans="1:157" x14ac:dyDescent="0.25">
      <c r="A153" t="s">
        <v>0</v>
      </c>
      <c r="B153" s="52" t="str">
        <f>IF(csv!F143="","",csv!T143)</f>
        <v>M45</v>
      </c>
      <c r="C153" s="31" t="s">
        <v>0</v>
      </c>
      <c r="D153" s="31" t="str">
        <f>IF(csv!F143="","",csv!F143)</f>
        <v>Vlatko</v>
      </c>
      <c r="E153" s="31" t="str">
        <f>IF(csv!E143="","",csv!E143)</f>
        <v>Tounec</v>
      </c>
      <c r="F153" s="31" t="s">
        <v>0</v>
      </c>
      <c r="G153" s="73" t="str">
        <f>IF(csv!M143="","",csv!M143)</f>
        <v/>
      </c>
      <c r="H153" s="73" t="str">
        <f>IF(csv!N143="","",csv!N143)</f>
        <v>1</v>
      </c>
      <c r="I153" s="31" t="s">
        <v>0</v>
      </c>
      <c r="J153" s="31" t="str">
        <f>IF(csv!P143="","",csv!P143)</f>
        <v>KAP</v>
      </c>
      <c r="K153" s="31" t="str">
        <f>IF(csv!Q143="","",csv!Q143)</f>
        <v>OK Kapela</v>
      </c>
      <c r="L153" s="31" t="s">
        <v>0</v>
      </c>
      <c r="M153" s="66" t="str">
        <f>IF(csv!R143="","",csv!R143)</f>
        <v>CRO</v>
      </c>
      <c r="N153" s="47" t="s">
        <v>0</v>
      </c>
      <c r="O153" s="243" t="str">
        <f t="shared" si="151"/>
        <v>ok</v>
      </c>
      <c r="P153" s="47"/>
      <c r="Q153" s="52" t="str">
        <f t="shared" si="152"/>
        <v>M45</v>
      </c>
      <c r="R153" s="73">
        <f>IF(Q153="","",IF(COUNTIF(Q$12:Q152,Q153)=0,R152+1,R152))</f>
        <v>8</v>
      </c>
      <c r="S153" s="73">
        <f t="shared" si="153"/>
        <v>106</v>
      </c>
      <c r="T153" s="73">
        <f t="shared" si="128"/>
        <v>17</v>
      </c>
      <c r="U153" s="66" t="str">
        <f t="shared" si="129"/>
        <v>M45</v>
      </c>
      <c r="V153" s="47" t="s">
        <v>0</v>
      </c>
      <c r="W153" s="222" t="str">
        <f t="shared" si="130"/>
        <v>M45</v>
      </c>
      <c r="X153" s="223">
        <f t="shared" si="131"/>
        <v>30</v>
      </c>
      <c r="Y153" s="47" t="s">
        <v>0</v>
      </c>
      <c r="Z153" s="52" t="str">
        <f t="shared" si="154"/>
        <v>CRO</v>
      </c>
      <c r="AA153" s="73">
        <f t="shared" si="132"/>
        <v>1</v>
      </c>
      <c r="AB153" s="31" t="str">
        <f t="shared" si="155"/>
        <v/>
      </c>
      <c r="AC153" s="66" t="str">
        <f>IF(AB153="","",MAX(AC$12:AC152)+1)</f>
        <v/>
      </c>
      <c r="AD153" s="47" t="s">
        <v>0</v>
      </c>
      <c r="AE153" s="125"/>
      <c r="AF153" s="47" t="s">
        <v>0</v>
      </c>
      <c r="AG153" s="19" t="str">
        <f t="shared" si="156"/>
        <v/>
      </c>
      <c r="AH153" s="47" t="s">
        <v>0</v>
      </c>
      <c r="AI153" s="143" t="str">
        <f t="shared" si="157"/>
        <v>CRO</v>
      </c>
      <c r="AJ153" s="47"/>
      <c r="AK153" s="52" t="str">
        <f t="shared" si="158"/>
        <v>Vlatko</v>
      </c>
      <c r="AL153" s="31" t="str">
        <f t="shared" si="159"/>
        <v>Tounec</v>
      </c>
      <c r="AM153" s="73">
        <f t="shared" si="160"/>
        <v>1072</v>
      </c>
      <c r="AN153" s="73" t="str">
        <f t="shared" si="161"/>
        <v/>
      </c>
      <c r="AO153" s="31" t="str">
        <f t="shared" si="133"/>
        <v>Vlatko</v>
      </c>
      <c r="AP153" s="66" t="str">
        <f t="shared" si="134"/>
        <v>Tounec</v>
      </c>
      <c r="AQ153" s="47" t="s">
        <v>0</v>
      </c>
      <c r="AR153" s="82" t="str">
        <f t="shared" si="162"/>
        <v/>
      </c>
      <c r="AS153" s="47" t="s">
        <v>0</v>
      </c>
      <c r="AT153" s="19" t="str">
        <f t="shared" si="163"/>
        <v/>
      </c>
      <c r="AU153" s="47" t="s">
        <v>0</v>
      </c>
      <c r="AV153" s="103"/>
      <c r="AW153" s="105"/>
      <c r="AX153" s="47" t="s">
        <v>0</v>
      </c>
      <c r="AY153" s="256" t="str">
        <f t="shared" si="181"/>
        <v/>
      </c>
      <c r="AZ153" s="47" t="s">
        <v>0</v>
      </c>
      <c r="BA153" s="52" t="str">
        <f t="shared" si="135"/>
        <v/>
      </c>
      <c r="BB153" s="73" t="str">
        <f>IF(AV153&amp;AW153="","",MAX(BB$12:BB152)+1)</f>
        <v/>
      </c>
      <c r="BC153" s="268" t="str">
        <f t="shared" si="136"/>
        <v/>
      </c>
      <c r="BD153" s="53" t="str">
        <f>IF(AND(AM153="NEMA",AN153="NEMA",OR(AV153&amp;AW153="",BC153="NEMA")),MAX(BD$12:BD152)+1,"")</f>
        <v/>
      </c>
      <c r="BE153" s="47" t="s">
        <v>0</v>
      </c>
      <c r="BF153" s="52" t="str">
        <f t="shared" si="137"/>
        <v>Vlatko</v>
      </c>
      <c r="BG153" s="31" t="str">
        <f t="shared" si="138"/>
        <v>Tounec</v>
      </c>
      <c r="BH153" s="73" t="str">
        <f t="shared" si="164"/>
        <v/>
      </c>
      <c r="BI153" s="53">
        <f t="shared" si="165"/>
        <v>1072</v>
      </c>
      <c r="BJ153" s="47" t="s">
        <v>0</v>
      </c>
      <c r="BK153" s="52" t="str">
        <f t="shared" si="139"/>
        <v>KAP</v>
      </c>
      <c r="BL153" s="31" t="str">
        <f t="shared" si="140"/>
        <v>OK Kapela</v>
      </c>
      <c r="BM153" s="73">
        <f t="shared" si="141"/>
        <v>5</v>
      </c>
      <c r="BN153" s="73" t="str">
        <f t="shared" si="142"/>
        <v/>
      </c>
      <c r="BO153" s="31" t="str" cm="1">
        <f t="array" ref="BO153">IF(BN153="",""&amp;BL153,IF(BN153="NEMA",BL153,INDEX(regKlub_naziv,MATCH(INDEX(regKlub_alias_klubId,BN153),regKlub_id,0))))</f>
        <v>OK Kapela</v>
      </c>
      <c r="BP153" s="31" t="str" cm="1">
        <f t="array" ref="BP153">IFERROR(""&amp;INDEX(regNatjecatelj_klub,DY153),"")</f>
        <v>OK Kapela</v>
      </c>
      <c r="BQ153" s="88" t="str">
        <f t="shared" si="166"/>
        <v/>
      </c>
      <c r="BR153" s="66" t="str">
        <f t="shared" si="167"/>
        <v>OK Kapela</v>
      </c>
      <c r="BS153" s="47" t="s">
        <v>0</v>
      </c>
      <c r="BT153" s="82" t="str">
        <f>IF(BN153&lt;&gt;"NEMA","",IF(IFERROR(MATCH(BL153,BL$12:BL152,0),0)&lt;&gt;0,"",BL153))</f>
        <v/>
      </c>
      <c r="BU153" s="47" t="s">
        <v>0</v>
      </c>
      <c r="BV153" s="125"/>
      <c r="BW153" s="47" t="s">
        <v>0</v>
      </c>
      <c r="BX153" s="58" t="str">
        <f t="shared" si="168"/>
        <v/>
      </c>
      <c r="BY153" s="31" t="str">
        <f t="shared" si="169"/>
        <v/>
      </c>
      <c r="BZ153" s="31" t="str">
        <f>IF(BY153="","",MAX(BZ$12:BZ152)+1)</f>
        <v/>
      </c>
      <c r="CA153" s="31" t="str">
        <f>IF(BY153="","",IF(AA153="","",IF(AA153="NEMA",AC153,AA153)))</f>
        <v/>
      </c>
      <c r="CB153" s="31" t="str">
        <f t="shared" si="170"/>
        <v/>
      </c>
      <c r="CC153" s="31" t="str">
        <f>IF(BV153="","",MAX(CC$12:CC152)+1)</f>
        <v/>
      </c>
      <c r="CD153" s="31" t="str">
        <f t="shared" si="171"/>
        <v/>
      </c>
      <c r="CE153" s="66" t="str">
        <f t="shared" si="172"/>
        <v/>
      </c>
      <c r="CF153" s="47" t="s">
        <v>0</v>
      </c>
      <c r="CG153" s="73" t="str">
        <f>IF(BN153="","",IF(BN153&lt;&gt;"NEMA","",IFERROR(INDEX(nat_klubAliasId,MATCH(BL153,nat_noviKluboviAliasi,0)),"")))</f>
        <v/>
      </c>
      <c r="CH153" s="47"/>
      <c r="CI153" s="19" t="str">
        <f t="shared" si="173"/>
        <v/>
      </c>
      <c r="CJ153" s="47" t="s">
        <v>0</v>
      </c>
      <c r="CK153" s="52" t="str">
        <f>IF(X153&lt;&gt;"NEMA","",IF(IFERROR(MATCH(W153,W$12:W152,0),0)&lt;&gt;0,"",W153))</f>
        <v/>
      </c>
      <c r="CL153" s="73" t="str">
        <f>IF(CK153="","",IFERROR(INDEX(regKlub_alias_id,MATCH(CK153,regKlub_alias_alias,0)),"NEMA"))</f>
        <v/>
      </c>
      <c r="CM153" s="31" t="str">
        <f>IF(OR(CL153="",CL153&lt;&gt;"NEMA"),"",MAX(CM$12:CM152)+1)</f>
        <v/>
      </c>
      <c r="CN153" s="66" t="str">
        <f>IF(OR(CL153="",CL153&lt;&gt;"NEMA"),"",INDEX(regKlub_id,MATCH(CK153,regKlub_naziv,0)))</f>
        <v/>
      </c>
      <c r="CO153" s="47" t="s">
        <v>0</v>
      </c>
      <c r="CP153" s="19" t="str">
        <f>IF(OR(CL153="",CL153&lt;&gt;"NEMA"),"","INSERT INTO klub_alias(id,alias,klub_id) VALUES ("&amp;CM153&amp;",'"&amp;CK153&amp;"',"&amp;CN153&amp;");")</f>
        <v/>
      </c>
      <c r="CQ153" s="47" t="s">
        <v>0</v>
      </c>
      <c r="CR153" s="143" t="str">
        <f>IF(BR153="","",IF(BV153="",IF(IFERROR(MATCH(BR153,nat_noviKluboviAliasi,0),0)&gt;0,INDEX(nat_kluboviAliasi,MATCH(BR153,nat_noviKluboviAliasi,0)),BR153),BV153))</f>
        <v>OK Kapela</v>
      </c>
      <c r="CS153" s="47" t="s">
        <v>0</v>
      </c>
      <c r="CT153" s="58" t="str">
        <f>IF(G153="","",G153)</f>
        <v/>
      </c>
      <c r="CU153" s="73" t="str">
        <f>IF(H153="","",H153)</f>
        <v>1</v>
      </c>
      <c r="CV153" s="229" t="str">
        <f>IF(CT153="",IF(OR(AL153="",CU153&lt;&gt;"0"),"","GREŠKA"),IF(AND(65535&gt;=VALUE(LEFT(CT153,SEARCH(":",CT153)-1))*60+VALUE(RIGHT(CT153,2)),OR(CU153="0",CU153="1",CU153="2",CU153="3",CU153="4")),"","GREŠKA"))</f>
        <v/>
      </c>
      <c r="CW153" s="230" t="str">
        <f t="shared" si="127"/>
        <v/>
      </c>
      <c r="CX153" s="163">
        <f t="shared" si="143"/>
        <v>6</v>
      </c>
      <c r="CY153" s="47" t="s">
        <v>0</v>
      </c>
      <c r="CZ153" s="222" t="str">
        <f>IF(CV153&lt;&gt;"GREŠKA","",AK153&amp;" "&amp;AL153&amp;" – Molim u OEventu provjeriti i ispraviti rezultat – vrijeme ("&amp;IF(CT153="","nije upisano",CT153)&amp;") i classifier ("&amp;CU153&amp;").")&amp;IF(OR(CV153&lt;&gt;"GREŠKA",CX153&lt;&gt;5),"
","")&amp;IF(CX153&lt;&gt;5,"",AK153&amp;" "&amp;AL153&amp;" – Molim u provjeriti je li natjecatelj zaista diskvalificiran. Ako je koje je obrazloženje, ako nije molim u OEventu ispraviti rezultat")</f>
        <v xml:space="preserve">
</v>
      </c>
      <c r="DA153" s="223" t="e">
        <f t="shared" si="174"/>
        <v>#N/A</v>
      </c>
      <c r="DB153" s="47" t="s">
        <v>0</v>
      </c>
      <c r="DC153" s="47"/>
      <c r="DD153" s="47"/>
      <c r="DE153" s="47"/>
      <c r="DF153" s="47" t="s">
        <v>0</v>
      </c>
      <c r="DG153" s="53" t="str">
        <f>IF(BD153="","",IF(DI153="O",1,""))</f>
        <v/>
      </c>
      <c r="DH153" t="s">
        <v>0</v>
      </c>
      <c r="DI153" s="128" t="str">
        <f>IF(Q153="","",LEFT(INDEX(regKategorija_oznaka,MATCH(S153,regKategorija_id,0)),1))</f>
        <v>M</v>
      </c>
      <c r="DJ153" t="s">
        <v>0</v>
      </c>
      <c r="DK153" s="52" t="str">
        <f>IF(BD153="","",IF(M153&lt;&gt;"CRO","","INSERT INTO osoba (id,reg_broj,oib,spol_id,dat_rodjenja) VALUES ("&amp;BD153&amp;",(SELECT max(os.reg_broj)+1 FROM osoba AS os),Null,'"&amp;DI153&amp;"',Null); INSERT INTO osoba_log (id,reg_broj,oib,spol_id,dat_rodjenja,dnevnik_id) SELECT id,reg_broj,oib,spol_id,dat_rodjenja,"&amp;data_dnevnik_id&amp;" FROM osoba WHERE id = "&amp;BD153&amp;";"))</f>
        <v/>
      </c>
      <c r="DL153" s="66" t="str">
        <f>IF(BD153="","","INSERT INTO imeprezime (id,osoba_id,rbr,ime,prezime,klub_id,identitet_id,sintaksa_id,info,aktivno,dnevnik_id) VALUES ("&amp;BD153&amp;","&amp;IF(DK153="","Null",BD153)&amp;",1,'"&amp;IF(AV153&lt;&gt;"",AV153,AK153)&amp;"','"&amp;IF(AW153&lt;&gt;"",AW153,AL153)&amp;"',(SELECT id FROM klub WHERE naziv = '"&amp;CR153&amp;"'),Null,1,'',1,"&amp;data_dnevnik_id&amp;");")</f>
        <v/>
      </c>
      <c r="DM153" t="s">
        <v>0</v>
      </c>
      <c r="DN153" s="19" t="str">
        <f t="shared" si="182"/>
        <v/>
      </c>
      <c r="DO153" s="47" t="s">
        <v>0</v>
      </c>
      <c r="DP153" s="19" t="str">
        <f>IF(BA153="","","INSERT INTO imeprezime_alias(id,alias,imeprezime_id) VALUES ("&amp;BB153&amp;",'"&amp;BA153&amp;"',"&amp;IF(BC153="NEMA",BD153,BC153)&amp;");")</f>
        <v/>
      </c>
      <c r="DQ153" s="47" t="s">
        <v>0</v>
      </c>
      <c r="DR153" s="52" t="str">
        <f>IF(AL153="","",DU153 &amp; IF(Q153="",""," – " &amp; Q153))</f>
        <v>Vlatko – Tounec – OK Kapela – M45</v>
      </c>
      <c r="DS153" s="53">
        <f t="shared" si="144"/>
        <v>320</v>
      </c>
      <c r="DT153" s="47" t="s">
        <v>0</v>
      </c>
      <c r="DU153" s="52" t="str">
        <f>IF(AL153="","",DX153 &amp; IF(CR153="",""," – " &amp; CR153))</f>
        <v>Vlatko – Tounec – OK Kapela</v>
      </c>
      <c r="DV153" s="53">
        <f t="shared" si="145"/>
        <v>320</v>
      </c>
      <c r="DW153" s="47" t="s">
        <v>0</v>
      </c>
      <c r="DX153" s="52" t="str">
        <f>IF(BG153="","",BF153&amp;" – "&amp;BG153)</f>
        <v>Vlatko – Tounec</v>
      </c>
      <c r="DY153" s="53">
        <f t="shared" si="146"/>
        <v>320</v>
      </c>
      <c r="DZ153" s="47" t="s">
        <v>0</v>
      </c>
      <c r="EA153" s="58">
        <f t="shared" si="175"/>
        <v>320</v>
      </c>
      <c r="EB153" s="53" cm="1">
        <f t="array" ref="EB153">IF(EA153&lt;&gt;"",INDEX(regNatjecatelj_id,EA153,0),IF(BD153&lt;&gt;"",BD153,""))</f>
        <v>1072</v>
      </c>
      <c r="EC153" s="47" t="s">
        <v>0</v>
      </c>
      <c r="ED153" s="58" t="str">
        <f>IF(AL153="","",IF(BD153&lt;&gt;"","novo",IF(AN153="","imepre","imepre(ali)")))</f>
        <v>imepre</v>
      </c>
      <c r="EE153" s="73" t="str">
        <f>IF(AL153="","",IF(BL153="",IF(IFERROR(INDEX(regNatjecatelj_klub,MATCH(EB153,regNatjecatelj_id,0)),"NEMA")="","klu",""),IF(OR(AND(BN153&lt;&gt;"",BN153&lt;&gt;"NEMA"),CD153&lt;&gt;""),"klu(ali)",IF(AND(BP153&lt;&gt;"",BP153&lt;&gt;BO153),"(raz-klu)","klu"))))</f>
        <v>klu</v>
      </c>
      <c r="EF153" s="73" t="str">
        <f>IF(AL153="","","kat"&amp;IF(AND(W153&lt;&gt;Q153,Q153&lt;&gt;"Open"),"(ali)",""))</f>
        <v>kat</v>
      </c>
      <c r="EG153" s="73" t="str">
        <f t="shared" si="147"/>
        <v/>
      </c>
      <c r="EH153" s="66" t="str">
        <f>IF(AL153="","",ED153&amp;IF(ED153="novo","","-"&amp;EE153&amp;"-"&amp;EF153)&amp;IF(EG153="","","-"&amp;EG153))</f>
        <v>imepre-klu-kat</v>
      </c>
      <c r="EI153" s="47" t="s">
        <v>0</v>
      </c>
      <c r="EJ153" s="58">
        <f>IF(AL153="","",MAX(EJ$12:EJ152)+1)</f>
        <v>320</v>
      </c>
      <c r="EK153" s="73">
        <f>IF(AO153="","",X153)</f>
        <v>30</v>
      </c>
      <c r="EL153" s="73">
        <f t="shared" si="176"/>
        <v>1072</v>
      </c>
      <c r="EM153" s="73" t="str">
        <f t="shared" si="148"/>
        <v/>
      </c>
      <c r="EN153" s="73">
        <f t="shared" si="149"/>
        <v>6</v>
      </c>
      <c r="EO153" s="73">
        <f t="shared" si="177"/>
        <v>1</v>
      </c>
      <c r="EP153" s="73">
        <f t="shared" si="178"/>
        <v>1</v>
      </c>
      <c r="EQ153" s="73" t="str">
        <f t="shared" si="150"/>
        <v>1</v>
      </c>
      <c r="ER153" s="73" t="str">
        <f>IF(OR(AN153="",AN153="NEMA"),BB153,AN153)</f>
        <v/>
      </c>
      <c r="ES153" s="73" t="str">
        <f>IF(AND(BN153&lt;&gt;"",BN153&lt;&gt;"NEMA"),BN153,IF(CG153&lt;&gt;"",CG153,IF(AND(CL153&lt;&gt;"",CL153&lt;&gt;"NEMA"),CL153,IF(CM153&lt;&gt;"",CM153,""))))</f>
        <v/>
      </c>
      <c r="ET153" s="53" t="str">
        <f>IF(INDEX(natKategorija_alias_Id,MATCH(S153,natKategorija_katRegId,0))="","",INDEX(natKategorija_alias_Id,MATCH(S153,natKategorija_katRegId,0)))</f>
        <v/>
      </c>
      <c r="EU153" s="47" t="s">
        <v>0</v>
      </c>
      <c r="EV153" s="19" t="str">
        <f t="shared" si="179"/>
        <v>INSERT INTO rezultat(id,stazakategorija_id,imeprezime_id,vrijeme_sec,status_id,registracija,uparivanje_id,originalstatus_id,imeprezimealias_id,klubalias_id,kategorijaalias_id) VALUES (320,30,1072,Null,6,1,1,1,Null,Null,Null);</v>
      </c>
      <c r="EW153" s="47" t="s">
        <v>0</v>
      </c>
      <c r="EX153" s="19" t="str">
        <f t="shared" si="180"/>
        <v>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53" s="47" t="s">
        <v>0</v>
      </c>
      <c r="EZ153" s="180" t="str">
        <f>AG153&amp;IF(CP153="","","
")&amp;CP153&amp;IF(CI153="","","
")&amp;CI153&amp;IF(DN153="","","
")&amp;DN153&amp;IF(DP153="","","
")&amp;DP153&amp;IF(EV153="","","
")&amp;EV153&amp;IF(EX153="","","
")&amp;EX153</f>
        <v xml:space="preserve">
INSERT INTO rezultat(id,stazakategorija_id,imeprezime_id,vrijeme_sec,status_id,registracija,uparivanje_id,originalstatus_id,imeprezimealias_id,klubalias_id,kategorijaalias_id) VALUES (320,30,1072,Null,6,1,1,1,Null,Null,Null);
UPDATE
	registar
SET
	potvrda = 1
WHERE
	imeprezime_id=1072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53" s="47" t="s">
        <v>0</v>
      </c>
    </row>
    <row r="154" spans="1:157" x14ac:dyDescent="0.25">
      <c r="A154" t="s">
        <v>0</v>
      </c>
      <c r="B154" s="52" t="str">
        <f>IF(csv!F144="","",csv!T144)</f>
        <v>M45</v>
      </c>
      <c r="C154" s="31" t="s">
        <v>0</v>
      </c>
      <c r="D154" s="31" t="str">
        <f>IF(csv!F144="","",csv!F144)</f>
        <v>Vacant</v>
      </c>
      <c r="E154" s="31" t="str">
        <f>IF(csv!E144="","",csv!E144)</f>
        <v/>
      </c>
      <c r="F154" s="31" t="s">
        <v>0</v>
      </c>
      <c r="G154" s="73" t="str">
        <f>IF(csv!M144="","",csv!M144)</f>
        <v/>
      </c>
      <c r="H154" s="73" t="str">
        <f>IF(csv!N144="","",csv!N144)</f>
        <v>0</v>
      </c>
      <c r="I154" s="31" t="s">
        <v>0</v>
      </c>
      <c r="J154" s="31" t="str">
        <f>IF(csv!P144="","",csv!P144)</f>
        <v/>
      </c>
      <c r="K154" s="31" t="str">
        <f>IF(csv!Q144="","",csv!Q144)</f>
        <v/>
      </c>
      <c r="L154" s="31" t="s">
        <v>0</v>
      </c>
      <c r="M154" s="66" t="str">
        <f>IF(csv!R144="","",csv!R144)</f>
        <v/>
      </c>
      <c r="N154" s="47" t="s">
        <v>0</v>
      </c>
      <c r="O154" s="243" t="str">
        <f t="shared" si="151"/>
        <v/>
      </c>
      <c r="P154" s="47"/>
      <c r="Q154" s="52" t="str">
        <f t="shared" si="152"/>
        <v>M45</v>
      </c>
      <c r="R154" s="73">
        <f>IF(Q154="","",IF(COUNTIF(Q$12:Q153,Q154)=0,R153+1,R153))</f>
        <v>8</v>
      </c>
      <c r="S154" s="73">
        <f t="shared" si="153"/>
        <v>106</v>
      </c>
      <c r="T154" s="73">
        <f t="shared" si="128"/>
        <v>17</v>
      </c>
      <c r="U154" s="66" t="str">
        <f t="shared" si="129"/>
        <v>M45</v>
      </c>
      <c r="V154" s="47" t="s">
        <v>0</v>
      </c>
      <c r="W154" s="222" t="str">
        <f t="shared" si="130"/>
        <v/>
      </c>
      <c r="X154" s="223" t="str">
        <f t="shared" si="131"/>
        <v/>
      </c>
      <c r="Y154" s="47" t="s">
        <v>0</v>
      </c>
      <c r="Z154" s="52" t="str">
        <f t="shared" si="154"/>
        <v/>
      </c>
      <c r="AA154" s="73" t="str">
        <f t="shared" si="132"/>
        <v/>
      </c>
      <c r="AB154" s="31" t="str">
        <f t="shared" si="155"/>
        <v/>
      </c>
      <c r="AC154" s="66" t="str">
        <f>IF(AB154="","",MAX(AC$12:AC153)+1)</f>
        <v/>
      </c>
      <c r="AD154" s="47" t="s">
        <v>0</v>
      </c>
      <c r="AE154" s="125"/>
      <c r="AF154" s="47" t="s">
        <v>0</v>
      </c>
      <c r="AG154" s="19" t="str">
        <f t="shared" si="156"/>
        <v/>
      </c>
      <c r="AH154" s="47" t="s">
        <v>0</v>
      </c>
      <c r="AI154" s="143" t="str">
        <f t="shared" si="157"/>
        <v/>
      </c>
      <c r="AJ154" s="47"/>
      <c r="AK154" s="52" t="str">
        <f t="shared" si="158"/>
        <v/>
      </c>
      <c r="AL154" s="31" t="str">
        <f t="shared" si="159"/>
        <v/>
      </c>
      <c r="AM154" s="73" t="str">
        <f t="shared" si="160"/>
        <v/>
      </c>
      <c r="AN154" s="73" t="str">
        <f t="shared" si="161"/>
        <v/>
      </c>
      <c r="AO154" s="31" t="str">
        <f t="shared" si="133"/>
        <v/>
      </c>
      <c r="AP154" s="66" t="str">
        <f t="shared" si="134"/>
        <v/>
      </c>
      <c r="AQ154" s="47" t="s">
        <v>0</v>
      </c>
      <c r="AR154" s="82" t="str">
        <f t="shared" si="162"/>
        <v/>
      </c>
      <c r="AS154" s="47" t="s">
        <v>0</v>
      </c>
      <c r="AT154" s="19" t="str">
        <f t="shared" si="163"/>
        <v/>
      </c>
      <c r="AU154" s="47" t="s">
        <v>0</v>
      </c>
      <c r="AV154" s="103"/>
      <c r="AW154" s="105"/>
      <c r="AX154" s="47" t="s">
        <v>0</v>
      </c>
      <c r="AY154" s="256" t="str">
        <f t="shared" si="181"/>
        <v/>
      </c>
      <c r="AZ154" s="47" t="s">
        <v>0</v>
      </c>
      <c r="BA154" s="52" t="str">
        <f t="shared" si="135"/>
        <v/>
      </c>
      <c r="BB154" s="73" t="str">
        <f>IF(AV154&amp;AW154="","",MAX(BB$12:BB153)+1)</f>
        <v/>
      </c>
      <c r="BC154" s="268" t="str">
        <f t="shared" si="136"/>
        <v/>
      </c>
      <c r="BD154" s="53" t="str">
        <f>IF(AND(AM154="NEMA",AN154="NEMA",OR(AV154&amp;AW154="",BC154="NEMA")),MAX(BD$12:BD153)+1,"")</f>
        <v/>
      </c>
      <c r="BE154" s="47" t="s">
        <v>0</v>
      </c>
      <c r="BF154" s="52" t="str">
        <f t="shared" si="137"/>
        <v/>
      </c>
      <c r="BG154" s="31" t="str">
        <f t="shared" si="138"/>
        <v/>
      </c>
      <c r="BH154" s="73" t="str">
        <f t="shared" si="164"/>
        <v/>
      </c>
      <c r="BI154" s="53" t="str">
        <f t="shared" si="165"/>
        <v/>
      </c>
      <c r="BJ154" s="47" t="s">
        <v>0</v>
      </c>
      <c r="BK154" s="52" t="str">
        <f t="shared" si="139"/>
        <v/>
      </c>
      <c r="BL154" s="31" t="str">
        <f t="shared" si="140"/>
        <v/>
      </c>
      <c r="BM154" s="73" t="str">
        <f t="shared" si="141"/>
        <v/>
      </c>
      <c r="BN154" s="73" t="str">
        <f t="shared" si="142"/>
        <v/>
      </c>
      <c r="BO154" s="31" t="str" cm="1">
        <f t="array" ref="BO154">IF(BN154="",""&amp;BL154,IF(BN154="NEMA",BL154,INDEX(regKlub_naziv,MATCH(INDEX(regKlub_alias_klubId,BN154),regKlub_id,0))))</f>
        <v/>
      </c>
      <c r="BP154" s="31" t="str" cm="1">
        <f t="array" ref="BP154">IFERROR(""&amp;INDEX(regNatjecatelj_klub,DY154),"")</f>
        <v/>
      </c>
      <c r="BQ154" s="88" t="str">
        <f t="shared" si="166"/>
        <v/>
      </c>
      <c r="BR154" s="66" t="str">
        <f t="shared" si="167"/>
        <v/>
      </c>
      <c r="BS154" s="47" t="s">
        <v>0</v>
      </c>
      <c r="BT154" s="82" t="str">
        <f>IF(BN154&lt;&gt;"NEMA","",IF(IFERROR(MATCH(BL154,BL$12:BL153,0),0)&lt;&gt;0,"",BL154))</f>
        <v/>
      </c>
      <c r="BU154" s="47" t="s">
        <v>0</v>
      </c>
      <c r="BV154" s="125"/>
      <c r="BW154" s="47" t="s">
        <v>0</v>
      </c>
      <c r="BX154" s="58" t="str">
        <f t="shared" si="168"/>
        <v/>
      </c>
      <c r="BY154" s="31" t="str">
        <f t="shared" si="169"/>
        <v/>
      </c>
      <c r="BZ154" s="31" t="str">
        <f>IF(BY154="","",MAX(BZ$12:BZ153)+1)</f>
        <v/>
      </c>
      <c r="CA154" s="31" t="str">
        <f>IF(BY154="","",IF(AA154="","",IF(AA154="NEMA",AC154,AA154)))</f>
        <v/>
      </c>
      <c r="CB154" s="31" t="str">
        <f t="shared" si="170"/>
        <v/>
      </c>
      <c r="CC154" s="31" t="str">
        <f>IF(BV154="","",MAX(CC$12:CC153)+1)</f>
        <v/>
      </c>
      <c r="CD154" s="31" t="str">
        <f t="shared" si="171"/>
        <v/>
      </c>
      <c r="CE154" s="66" t="str">
        <f t="shared" si="172"/>
        <v/>
      </c>
      <c r="CF154" s="47" t="s">
        <v>0</v>
      </c>
      <c r="CG154" s="73" t="str">
        <f>IF(BN154="","",IF(BN154&lt;&gt;"NEMA","",IFERROR(INDEX(nat_klubAliasId,MATCH(BL154,nat_noviKluboviAliasi,0)),"")))</f>
        <v/>
      </c>
      <c r="CH154" s="47"/>
      <c r="CI154" s="19" t="str">
        <f t="shared" si="173"/>
        <v/>
      </c>
      <c r="CJ154" s="47" t="s">
        <v>0</v>
      </c>
      <c r="CK154" s="52" t="str">
        <f>IF(X154&lt;&gt;"NEMA","",IF(IFERROR(MATCH(W154,W$12:W153,0),0)&lt;&gt;0,"",W154))</f>
        <v/>
      </c>
      <c r="CL154" s="73" t="str">
        <f>IF(CK154="","",IFERROR(INDEX(regKlub_alias_id,MATCH(CK154,regKlub_alias_alias,0)),"NEMA"))</f>
        <v/>
      </c>
      <c r="CM154" s="31" t="str">
        <f>IF(OR(CL154="",CL154&lt;&gt;"NEMA"),"",MAX(CM$12:CM153)+1)</f>
        <v/>
      </c>
      <c r="CN154" s="66" t="str">
        <f>IF(OR(CL154="",CL154&lt;&gt;"NEMA"),"",INDEX(regKlub_id,MATCH(CK154,regKlub_naziv,0)))</f>
        <v/>
      </c>
      <c r="CO154" s="47" t="s">
        <v>0</v>
      </c>
      <c r="CP154" s="19" t="str">
        <f>IF(OR(CL154="",CL154&lt;&gt;"NEMA"),"","INSERT INTO klub_alias(id,alias,klub_id) VALUES ("&amp;CM154&amp;",'"&amp;CK154&amp;"',"&amp;CN154&amp;");")</f>
        <v/>
      </c>
      <c r="CQ154" s="47" t="s">
        <v>0</v>
      </c>
      <c r="CR154" s="143" t="str">
        <f>IF(BR154="","",IF(BV154="",IF(IFERROR(MATCH(BR154,nat_noviKluboviAliasi,0),0)&gt;0,INDEX(nat_kluboviAliasi,MATCH(BR154,nat_noviKluboviAliasi,0)),BR154),BV154))</f>
        <v/>
      </c>
      <c r="CS154" s="47" t="s">
        <v>0</v>
      </c>
      <c r="CT154" s="58" t="str">
        <f>IF(G154="","",G154)</f>
        <v/>
      </c>
      <c r="CU154" s="73" t="str">
        <f>IF(H154="","",H154)</f>
        <v>0</v>
      </c>
      <c r="CV154" s="229" t="str">
        <f>IF(CT154="",IF(OR(AL154="",CU154&lt;&gt;"0"),"","GREŠKA"),IF(AND(65535&gt;=VALUE(LEFT(CT154,SEARCH(":",CT154)-1))*60+VALUE(RIGHT(CT154,2)),OR(CU154="0",CU154="1",CU154="2",CU154="3",CU154="4")),"","GREŠKA"))</f>
        <v/>
      </c>
      <c r="CW154" s="230" t="str">
        <f t="shared" si="127"/>
        <v/>
      </c>
      <c r="CX154" s="163" t="str">
        <f t="shared" si="143"/>
        <v/>
      </c>
      <c r="CY154" s="47" t="s">
        <v>0</v>
      </c>
      <c r="CZ154" s="222" t="str">
        <f>IF(CV154&lt;&gt;"GREŠKA","",AK154&amp;" "&amp;AL154&amp;" – Molim u OEventu provjeriti i ispraviti rezultat – vrijeme ("&amp;IF(CT154="","nije upisano",CT154)&amp;") i classifier ("&amp;CU154&amp;").")&amp;IF(OR(CV154&lt;&gt;"GREŠKA",CX154&lt;&gt;5),"
","")&amp;IF(CX154&lt;&gt;5,"",AK154&amp;" "&amp;AL154&amp;" – Molim u provjeriti je li natjecatelj zaista diskvalificiran. Ako je koje je obrazloženje, ako nije molim u OEventu ispraviti rezultat")</f>
        <v xml:space="preserve">
</v>
      </c>
      <c r="DA154" s="223" t="str">
        <f t="shared" si="174"/>
        <v/>
      </c>
      <c r="DB154" s="47" t="s">
        <v>0</v>
      </c>
      <c r="DC154" s="47"/>
      <c r="DD154" s="47"/>
      <c r="DE154" s="47"/>
      <c r="DF154" s="47" t="s">
        <v>0</v>
      </c>
      <c r="DG154" s="53" t="str">
        <f>IF(BD154="","",IF(DI154="O",1,""))</f>
        <v/>
      </c>
      <c r="DH154" t="s">
        <v>0</v>
      </c>
      <c r="DI154" s="128" t="str">
        <f>IF(Q154="","",LEFT(INDEX(regKategorija_oznaka,MATCH(S154,regKategorija_id,0)),1))</f>
        <v>M</v>
      </c>
      <c r="DJ154" t="s">
        <v>0</v>
      </c>
      <c r="DK154" s="52" t="str">
        <f>IF(BD154="","",IF(M154&lt;&gt;"CRO","","INSERT INTO osoba (id,reg_broj,oib,spol_id,dat_rodjenja) VALUES ("&amp;BD154&amp;",(SELECT max(os.reg_broj)+1 FROM osoba AS os),Null,'"&amp;DI154&amp;"',Null); INSERT INTO osoba_log (id,reg_broj,oib,spol_id,dat_rodjenja,dnevnik_id) SELECT id,reg_broj,oib,spol_id,dat_rodjenja,"&amp;data_dnevnik_id&amp;" FROM osoba WHERE id = "&amp;BD154&amp;";"))</f>
        <v/>
      </c>
      <c r="DL154" s="66" t="str">
        <f>IF(BD154="","","INSERT INTO imeprezime (id,osoba_id,rbr,ime,prezime,klub_id,identitet_id,sintaksa_id,info,aktivno,dnevnik_id) VALUES ("&amp;BD154&amp;","&amp;IF(DK154="","Null",BD154)&amp;",1,'"&amp;IF(AV154&lt;&gt;"",AV154,AK154)&amp;"','"&amp;IF(AW154&lt;&gt;"",AW154,AL154)&amp;"',(SELECT id FROM klub WHERE naziv = '"&amp;CR154&amp;"'),Null,1,'',1,"&amp;data_dnevnik_id&amp;");")</f>
        <v/>
      </c>
      <c r="DM154" t="s">
        <v>0</v>
      </c>
      <c r="DN154" s="19" t="str">
        <f t="shared" si="182"/>
        <v/>
      </c>
      <c r="DO154" s="47" t="s">
        <v>0</v>
      </c>
      <c r="DP154" s="19" t="str">
        <f>IF(BA154="","","INSERT INTO imeprezime_alias(id,alias,imeprezime_id) VALUES ("&amp;BB154&amp;",'"&amp;BA154&amp;"',"&amp;IF(BC154="NEMA",BD154,BC154)&amp;");")</f>
        <v/>
      </c>
      <c r="DQ154" s="47" t="s">
        <v>0</v>
      </c>
      <c r="DR154" s="52" t="str">
        <f>IF(AL154="","",DU154 &amp; IF(Q154="",""," – " &amp; Q154))</f>
        <v/>
      </c>
      <c r="DS154" s="53" t="str">
        <f t="shared" si="144"/>
        <v/>
      </c>
      <c r="DT154" s="47" t="s">
        <v>0</v>
      </c>
      <c r="DU154" s="52" t="str">
        <f>IF(AL154="","",DX154 &amp; IF(CR154="",""," – " &amp; CR154))</f>
        <v/>
      </c>
      <c r="DV154" s="53" t="str">
        <f t="shared" si="145"/>
        <v/>
      </c>
      <c r="DW154" s="47" t="s">
        <v>0</v>
      </c>
      <c r="DX154" s="52" t="str">
        <f>IF(BG154="","",BF154&amp;" – "&amp;BG154)</f>
        <v/>
      </c>
      <c r="DY154" s="53" t="str">
        <f t="shared" si="146"/>
        <v/>
      </c>
      <c r="DZ154" s="47" t="s">
        <v>0</v>
      </c>
      <c r="EA154" s="58" t="str">
        <f t="shared" si="175"/>
        <v/>
      </c>
      <c r="EB154" s="53" t="str" cm="1">
        <f t="array" ref="EB154">IF(EA154&lt;&gt;"",INDEX(regNatjecatelj_id,EA154,0),IF(BD154&lt;&gt;"",BD154,""))</f>
        <v/>
      </c>
      <c r="EC154" s="47" t="s">
        <v>0</v>
      </c>
      <c r="ED154" s="58" t="str">
        <f>IF(AL154="","",IF(BD154&lt;&gt;"","novo",IF(AN154="","imepre","imepre(ali)")))</f>
        <v/>
      </c>
      <c r="EE154" s="73" t="str">
        <f>IF(AL154="","",IF(BL154="",IF(IFERROR(INDEX(regNatjecatelj_klub,MATCH(EB154,regNatjecatelj_id,0)),"NEMA")="","klu",""),IF(OR(AND(BN154&lt;&gt;"",BN154&lt;&gt;"NEMA"),CD154&lt;&gt;""),"klu(ali)",IF(AND(BP154&lt;&gt;"",BP154&lt;&gt;BO154),"(raz-klu)","klu"))))</f>
        <v/>
      </c>
      <c r="EF154" s="73" t="str">
        <f>IF(AL154="","","kat"&amp;IF(AND(W154&lt;&gt;Q154,Q154&lt;&gt;"Open"),"(ali)",""))</f>
        <v/>
      </c>
      <c r="EG154" s="73" t="str">
        <f t="shared" si="147"/>
        <v/>
      </c>
      <c r="EH154" s="66" t="str">
        <f>IF(AL154="","",ED154&amp;IF(ED154="novo","","-"&amp;EE154&amp;"-"&amp;EF154)&amp;IF(EG154="","","-"&amp;EG154))</f>
        <v/>
      </c>
      <c r="EI154" s="47" t="s">
        <v>0</v>
      </c>
      <c r="EJ154" s="58" t="str">
        <f>IF(AL154="","",MAX(EJ$12:EJ153)+1)</f>
        <v/>
      </c>
      <c r="EK154" s="73" t="str">
        <f>IF(AO154="","",X154)</f>
        <v/>
      </c>
      <c r="EL154" s="73" t="str">
        <f t="shared" si="176"/>
        <v/>
      </c>
      <c r="EM154" s="73" t="str">
        <f t="shared" si="148"/>
        <v/>
      </c>
      <c r="EN154" s="73" t="str">
        <f t="shared" si="149"/>
        <v/>
      </c>
      <c r="EO154" s="73" t="str">
        <f t="shared" si="177"/>
        <v/>
      </c>
      <c r="EP154" s="73" t="str">
        <f t="shared" si="178"/>
        <v/>
      </c>
      <c r="EQ154" s="73" t="str">
        <f t="shared" si="150"/>
        <v/>
      </c>
      <c r="ER154" s="73" t="str">
        <f>IF(OR(AN154="",AN154="NEMA"),BB154,AN154)</f>
        <v/>
      </c>
      <c r="ES154" s="73" t="str">
        <f>IF(AND(BN154&lt;&gt;"",BN154&lt;&gt;"NEMA"),BN154,IF(CG154&lt;&gt;"",CG154,IF(AND(CL154&lt;&gt;"",CL154&lt;&gt;"NEMA"),CL154,IF(CM154&lt;&gt;"",CM154,""))))</f>
        <v/>
      </c>
      <c r="ET154" s="53" t="str">
        <f>IF(INDEX(natKategorija_alias_Id,MATCH(S154,natKategorija_katRegId,0))="","",INDEX(natKategorija_alias_Id,MATCH(S154,natKategorija_katRegId,0)))</f>
        <v/>
      </c>
      <c r="EU154" s="47" t="s">
        <v>0</v>
      </c>
      <c r="EV154" s="19" t="str">
        <f t="shared" si="179"/>
        <v/>
      </c>
      <c r="EW154" s="47" t="s">
        <v>0</v>
      </c>
      <c r="EX154" s="19" t="str">
        <f t="shared" si="180"/>
        <v/>
      </c>
      <c r="EY154" s="47" t="s">
        <v>0</v>
      </c>
      <c r="EZ154" s="180" t="str">
        <f>AG154&amp;IF(CP154="","","
")&amp;CP154&amp;IF(CI154="","","
")&amp;CI154&amp;IF(DN154="","","
")&amp;DN154&amp;IF(DP154="","","
")&amp;DP154&amp;IF(EV154="","","
")&amp;EV154&amp;IF(EX154="","","
")&amp;EX154</f>
        <v/>
      </c>
      <c r="FA154" s="47" t="s">
        <v>0</v>
      </c>
    </row>
    <row r="155" spans="1:157" x14ac:dyDescent="0.25">
      <c r="A155" t="s">
        <v>0</v>
      </c>
      <c r="B155" s="52" t="str">
        <f>IF(csv!F145="","",csv!T145)</f>
        <v>M45</v>
      </c>
      <c r="C155" s="31" t="s">
        <v>0</v>
      </c>
      <c r="D155" s="31" t="str">
        <f>IF(csv!F145="","",csv!F145)</f>
        <v>Robert</v>
      </c>
      <c r="E155" s="31" t="str">
        <f>IF(csv!E145="","",csv!E145)</f>
        <v>Kaniški</v>
      </c>
      <c r="F155" s="31" t="s">
        <v>0</v>
      </c>
      <c r="G155" s="73" t="str">
        <f>IF(csv!M145="","",csv!M145)</f>
        <v/>
      </c>
      <c r="H155" s="73" t="str">
        <f>IF(csv!N145="","",csv!N145)</f>
        <v>2</v>
      </c>
      <c r="I155" s="31" t="s">
        <v>0</v>
      </c>
      <c r="J155" s="31" t="str">
        <f>IF(csv!P145="","",csv!P145)</f>
        <v>Maksimir</v>
      </c>
      <c r="K155" s="31" t="str">
        <f>IF(csv!Q145="","",csv!Q145)</f>
        <v>OK Maksimir</v>
      </c>
      <c r="L155" s="31" t="s">
        <v>0</v>
      </c>
      <c r="M155" s="66" t="str">
        <f>IF(csv!R145="","",csv!R145)</f>
        <v>CRO</v>
      </c>
      <c r="N155" s="47" t="s">
        <v>0</v>
      </c>
      <c r="O155" s="243" t="str">
        <f t="shared" si="151"/>
        <v>ok</v>
      </c>
      <c r="P155" s="47"/>
      <c r="Q155" s="52" t="str">
        <f t="shared" si="152"/>
        <v>M45</v>
      </c>
      <c r="R155" s="73">
        <f>IF(Q155="","",IF(COUNTIF(Q$12:Q154,Q155)=0,R154+1,R154))</f>
        <v>8</v>
      </c>
      <c r="S155" s="73">
        <f t="shared" si="153"/>
        <v>106</v>
      </c>
      <c r="T155" s="73">
        <f t="shared" si="128"/>
        <v>17</v>
      </c>
      <c r="U155" s="66" t="str">
        <f t="shared" si="129"/>
        <v>M45</v>
      </c>
      <c r="V155" s="47" t="s">
        <v>0</v>
      </c>
      <c r="W155" s="222" t="str">
        <f t="shared" si="130"/>
        <v>M45</v>
      </c>
      <c r="X155" s="223">
        <f t="shared" si="131"/>
        <v>30</v>
      </c>
      <c r="Y155" s="47" t="s">
        <v>0</v>
      </c>
      <c r="Z155" s="52" t="str">
        <f t="shared" si="154"/>
        <v>CRO</v>
      </c>
      <c r="AA155" s="73">
        <f t="shared" si="132"/>
        <v>1</v>
      </c>
      <c r="AB155" s="31" t="str">
        <f t="shared" si="155"/>
        <v/>
      </c>
      <c r="AC155" s="66" t="str">
        <f>IF(AB155="","",MAX(AC$12:AC154)+1)</f>
        <v/>
      </c>
      <c r="AD155" s="47" t="s">
        <v>0</v>
      </c>
      <c r="AE155" s="125"/>
      <c r="AF155" s="47" t="s">
        <v>0</v>
      </c>
      <c r="AG155" s="19" t="str">
        <f t="shared" si="156"/>
        <v/>
      </c>
      <c r="AH155" s="47" t="s">
        <v>0</v>
      </c>
      <c r="AI155" s="143" t="str">
        <f t="shared" si="157"/>
        <v>CRO</v>
      </c>
      <c r="AJ155" s="47"/>
      <c r="AK155" s="52" t="str">
        <f t="shared" si="158"/>
        <v>Robert</v>
      </c>
      <c r="AL155" s="31" t="str">
        <f t="shared" si="159"/>
        <v>Kaniški</v>
      </c>
      <c r="AM155" s="73">
        <f t="shared" si="160"/>
        <v>1475</v>
      </c>
      <c r="AN155" s="73" t="str">
        <f t="shared" si="161"/>
        <v/>
      </c>
      <c r="AO155" s="31" t="str">
        <f t="shared" si="133"/>
        <v>Robert</v>
      </c>
      <c r="AP155" s="66" t="str">
        <f t="shared" si="134"/>
        <v>Kaniški</v>
      </c>
      <c r="AQ155" s="47" t="s">
        <v>0</v>
      </c>
      <c r="AR155" s="82" t="str">
        <f t="shared" si="162"/>
        <v/>
      </c>
      <c r="AS155" s="47" t="s">
        <v>0</v>
      </c>
      <c r="AT155" s="19" t="str">
        <f t="shared" si="163"/>
        <v/>
      </c>
      <c r="AU155" s="47" t="s">
        <v>0</v>
      </c>
      <c r="AV155" s="103"/>
      <c r="AW155" s="105"/>
      <c r="AX155" s="47" t="s">
        <v>0</v>
      </c>
      <c r="AY155" s="256" t="str">
        <f t="shared" si="181"/>
        <v/>
      </c>
      <c r="AZ155" s="47" t="s">
        <v>0</v>
      </c>
      <c r="BA155" s="52" t="str">
        <f t="shared" si="135"/>
        <v/>
      </c>
      <c r="BB155" s="73" t="str">
        <f>IF(AV155&amp;AW155="","",MAX(BB$12:BB154)+1)</f>
        <v/>
      </c>
      <c r="BC155" s="268" t="str">
        <f t="shared" si="136"/>
        <v/>
      </c>
      <c r="BD155" s="53" t="str">
        <f>IF(AND(AM155="NEMA",AN155="NEMA",OR(AV155&amp;AW155="",BC155="NEMA")),MAX(BD$12:BD154)+1,"")</f>
        <v/>
      </c>
      <c r="BE155" s="47" t="s">
        <v>0</v>
      </c>
      <c r="BF155" s="52" t="str">
        <f t="shared" si="137"/>
        <v>Robert</v>
      </c>
      <c r="BG155" s="31" t="str">
        <f t="shared" si="138"/>
        <v>Kaniški</v>
      </c>
      <c r="BH155" s="73" t="str">
        <f t="shared" si="164"/>
        <v/>
      </c>
      <c r="BI155" s="53">
        <f t="shared" si="165"/>
        <v>1475</v>
      </c>
      <c r="BJ155" s="47" t="s">
        <v>0</v>
      </c>
      <c r="BK155" s="52" t="str">
        <f t="shared" si="139"/>
        <v>Maksimir</v>
      </c>
      <c r="BL155" s="31" t="str">
        <f t="shared" si="140"/>
        <v>OK Maksimir</v>
      </c>
      <c r="BM155" s="73">
        <f t="shared" si="141"/>
        <v>6</v>
      </c>
      <c r="BN155" s="73" t="str">
        <f t="shared" si="142"/>
        <v/>
      </c>
      <c r="BO155" s="31" t="str" cm="1">
        <f t="array" ref="BO155">IF(BN155="",""&amp;BL155,IF(BN155="NEMA",BL155,INDEX(regKlub_naziv,MATCH(INDEX(regKlub_alias_klubId,BN155),regKlub_id,0))))</f>
        <v>OK Maksimir</v>
      </c>
      <c r="BP155" s="31" t="str" cm="1">
        <f t="array" ref="BP155">IFERROR(""&amp;INDEX(regNatjecatelj_klub,DY155),"")</f>
        <v>OK Maksimir</v>
      </c>
      <c r="BQ155" s="88" t="str">
        <f t="shared" si="166"/>
        <v/>
      </c>
      <c r="BR155" s="66" t="str">
        <f t="shared" si="167"/>
        <v>OK Maksimir</v>
      </c>
      <c r="BS155" s="47" t="s">
        <v>0</v>
      </c>
      <c r="BT155" s="82" t="str">
        <f>IF(BN155&lt;&gt;"NEMA","",IF(IFERROR(MATCH(BL155,BL$12:BL154,0),0)&lt;&gt;0,"",BL155))</f>
        <v/>
      </c>
      <c r="BU155" s="47" t="s">
        <v>0</v>
      </c>
      <c r="BV155" s="125"/>
      <c r="BW155" s="47" t="s">
        <v>0</v>
      </c>
      <c r="BX155" s="58" t="str">
        <f t="shared" si="168"/>
        <v/>
      </c>
      <c r="BY155" s="31" t="str">
        <f t="shared" si="169"/>
        <v/>
      </c>
      <c r="BZ155" s="31" t="str">
        <f>IF(BY155="","",MAX(BZ$12:BZ154)+1)</f>
        <v/>
      </c>
      <c r="CA155" s="31" t="str">
        <f>IF(BY155="","",IF(AA155="","",IF(AA155="NEMA",AC155,AA155)))</f>
        <v/>
      </c>
      <c r="CB155" s="31" t="str">
        <f t="shared" si="170"/>
        <v/>
      </c>
      <c r="CC155" s="31" t="str">
        <f>IF(BV155="","",MAX(CC$12:CC154)+1)</f>
        <v/>
      </c>
      <c r="CD155" s="31" t="str">
        <f t="shared" si="171"/>
        <v/>
      </c>
      <c r="CE155" s="66" t="str">
        <f t="shared" si="172"/>
        <v/>
      </c>
      <c r="CF155" s="47" t="s">
        <v>0</v>
      </c>
      <c r="CG155" s="73" t="str">
        <f>IF(BN155="","",IF(BN155&lt;&gt;"NEMA","",IFERROR(INDEX(nat_klubAliasId,MATCH(BL155,nat_noviKluboviAliasi,0)),"")))</f>
        <v/>
      </c>
      <c r="CH155" s="47"/>
      <c r="CI155" s="19" t="str">
        <f t="shared" si="173"/>
        <v/>
      </c>
      <c r="CJ155" s="47" t="s">
        <v>0</v>
      </c>
      <c r="CK155" s="52" t="str">
        <f>IF(X155&lt;&gt;"NEMA","",IF(IFERROR(MATCH(W155,W$12:W154,0),0)&lt;&gt;0,"",W155))</f>
        <v/>
      </c>
      <c r="CL155" s="73" t="str">
        <f>IF(CK155="","",IFERROR(INDEX(regKlub_alias_id,MATCH(CK155,regKlub_alias_alias,0)),"NEMA"))</f>
        <v/>
      </c>
      <c r="CM155" s="31" t="str">
        <f>IF(OR(CL155="",CL155&lt;&gt;"NEMA"),"",MAX(CM$12:CM154)+1)</f>
        <v/>
      </c>
      <c r="CN155" s="66" t="str">
        <f>IF(OR(CL155="",CL155&lt;&gt;"NEMA"),"",INDEX(regKlub_id,MATCH(CK155,regKlub_naziv,0)))</f>
        <v/>
      </c>
      <c r="CO155" s="47" t="s">
        <v>0</v>
      </c>
      <c r="CP155" s="19" t="str">
        <f>IF(OR(CL155="",CL155&lt;&gt;"NEMA"),"","INSERT INTO klub_alias(id,alias,klub_id) VALUES ("&amp;CM155&amp;",'"&amp;CK155&amp;"',"&amp;CN155&amp;");")</f>
        <v/>
      </c>
      <c r="CQ155" s="47" t="s">
        <v>0</v>
      </c>
      <c r="CR155" s="143" t="str">
        <f>IF(BR155="","",IF(BV155="",IF(IFERROR(MATCH(BR155,nat_noviKluboviAliasi,0),0)&gt;0,INDEX(nat_kluboviAliasi,MATCH(BR155,nat_noviKluboviAliasi,0)),BR155),BV155))</f>
        <v>OK Maksimir</v>
      </c>
      <c r="CS155" s="47" t="s">
        <v>0</v>
      </c>
      <c r="CT155" s="58" t="str">
        <f>IF(G155="","",G155)</f>
        <v/>
      </c>
      <c r="CU155" s="73" t="str">
        <f>IF(H155="","",H155)</f>
        <v>2</v>
      </c>
      <c r="CV155" s="229" t="str">
        <f>IF(CT155="",IF(OR(AL155="",CU155&lt;&gt;"0"),"","GREŠKA"),IF(AND(65535&gt;=VALUE(LEFT(CT155,SEARCH(":",CT155)-1))*60+VALUE(RIGHT(CT155,2)),OR(CU155="0",CU155="1",CU155="2",CU155="3",CU155="4")),"","GREŠKA"))</f>
        <v/>
      </c>
      <c r="CW155" s="230" t="str">
        <f t="shared" si="127"/>
        <v/>
      </c>
      <c r="CX155" s="163">
        <f t="shared" si="143"/>
        <v>4</v>
      </c>
      <c r="CY155" s="47" t="s">
        <v>0</v>
      </c>
      <c r="CZ155" s="222" t="str">
        <f>IF(CV155&lt;&gt;"GREŠKA","",AK155&amp;" "&amp;AL155&amp;" – Molim u OEventu provjeriti i ispraviti rezultat – vrijeme ("&amp;IF(CT155="","nije upisano",CT155)&amp;") i classifier ("&amp;CU155&amp;").")&amp;IF(OR(CV155&lt;&gt;"GREŠKA",CX155&lt;&gt;5),"
","")&amp;IF(CX155&lt;&gt;5,"",AK155&amp;" "&amp;AL155&amp;" – Molim u provjeriti je li natjecatelj zaista diskvalificiran. Ako je koje je obrazloženje, ako nije molim u OEventu ispraviti rezultat")</f>
        <v xml:space="preserve">
</v>
      </c>
      <c r="DA155" s="223">
        <f t="shared" si="174"/>
        <v>5</v>
      </c>
      <c r="DB155" s="47" t="s">
        <v>0</v>
      </c>
      <c r="DC155" s="47"/>
      <c r="DD155" s="47"/>
      <c r="DE155" s="47"/>
      <c r="DF155" s="47" t="s">
        <v>0</v>
      </c>
      <c r="DG155" s="53" t="str">
        <f>IF(BD155="","",IF(DI155="O",1,""))</f>
        <v/>
      </c>
      <c r="DH155" t="s">
        <v>0</v>
      </c>
      <c r="DI155" s="128" t="str">
        <f>IF(Q155="","",LEFT(INDEX(regKategorija_oznaka,MATCH(S155,regKategorija_id,0)),1))</f>
        <v>M</v>
      </c>
      <c r="DJ155" t="s">
        <v>0</v>
      </c>
      <c r="DK155" s="52" t="str">
        <f>IF(BD155="","",IF(M155&lt;&gt;"CRO","","INSERT INTO osoba (id,reg_broj,oib,spol_id,dat_rodjenja) VALUES ("&amp;BD155&amp;",(SELECT max(os.reg_broj)+1 FROM osoba AS os),Null,'"&amp;DI155&amp;"',Null); INSERT INTO osoba_log (id,reg_broj,oib,spol_id,dat_rodjenja,dnevnik_id) SELECT id,reg_broj,oib,spol_id,dat_rodjenja,"&amp;data_dnevnik_id&amp;" FROM osoba WHERE id = "&amp;BD155&amp;";"))</f>
        <v/>
      </c>
      <c r="DL155" s="66" t="str">
        <f>IF(BD155="","","INSERT INTO imeprezime (id,osoba_id,rbr,ime,prezime,klub_id,identitet_id,sintaksa_id,info,aktivno,dnevnik_id) VALUES ("&amp;BD155&amp;","&amp;IF(DK155="","Null",BD155)&amp;",1,'"&amp;IF(AV155&lt;&gt;"",AV155,AK155)&amp;"','"&amp;IF(AW155&lt;&gt;"",AW155,AL155)&amp;"',(SELECT id FROM klub WHERE naziv = '"&amp;CR155&amp;"'),Null,1,'',1,"&amp;data_dnevnik_id&amp;");")</f>
        <v/>
      </c>
      <c r="DM155" t="s">
        <v>0</v>
      </c>
      <c r="DN155" s="19" t="str">
        <f t="shared" si="182"/>
        <v/>
      </c>
      <c r="DO155" s="47" t="s">
        <v>0</v>
      </c>
      <c r="DP155" s="19" t="str">
        <f>IF(BA155="","","INSERT INTO imeprezime_alias(id,alias,imeprezime_id) VALUES ("&amp;BB155&amp;",'"&amp;BA155&amp;"',"&amp;IF(BC155="NEMA",BD155,BC155)&amp;");")</f>
        <v/>
      </c>
      <c r="DQ155" s="47" t="s">
        <v>0</v>
      </c>
      <c r="DR155" s="52" t="str">
        <f>IF(AL155="","",DU155 &amp; IF(Q155="",""," – " &amp; Q155))</f>
        <v>Robert – Kaniški – OK Maksimir – M45</v>
      </c>
      <c r="DS155" s="53">
        <f t="shared" si="144"/>
        <v>358</v>
      </c>
      <c r="DT155" s="47" t="s">
        <v>0</v>
      </c>
      <c r="DU155" s="52" t="str">
        <f>IF(AL155="","",DX155 &amp; IF(CR155="",""," – " &amp; CR155))</f>
        <v>Robert – Kaniški – OK Maksimir</v>
      </c>
      <c r="DV155" s="53">
        <f t="shared" si="145"/>
        <v>358</v>
      </c>
      <c r="DW155" s="47" t="s">
        <v>0</v>
      </c>
      <c r="DX155" s="52" t="str">
        <f>IF(BG155="","",BF155&amp;" – "&amp;BG155)</f>
        <v>Robert – Kaniški</v>
      </c>
      <c r="DY155" s="53">
        <f t="shared" si="146"/>
        <v>358</v>
      </c>
      <c r="DZ155" s="47" t="s">
        <v>0</v>
      </c>
      <c r="EA155" s="58">
        <f t="shared" si="175"/>
        <v>358</v>
      </c>
      <c r="EB155" s="53" cm="1">
        <f t="array" ref="EB155">IF(EA155&lt;&gt;"",INDEX(regNatjecatelj_id,EA155,0),IF(BD155&lt;&gt;"",BD155,""))</f>
        <v>1475</v>
      </c>
      <c r="EC155" s="47" t="s">
        <v>0</v>
      </c>
      <c r="ED155" s="58" t="str">
        <f>IF(AL155="","",IF(BD155&lt;&gt;"","novo",IF(AN155="","imepre","imepre(ali)")))</f>
        <v>imepre</v>
      </c>
      <c r="EE155" s="73" t="str">
        <f>IF(AL155="","",IF(BL155="",IF(IFERROR(INDEX(regNatjecatelj_klub,MATCH(EB155,regNatjecatelj_id,0)),"NEMA")="","klu",""),IF(OR(AND(BN155&lt;&gt;"",BN155&lt;&gt;"NEMA"),CD155&lt;&gt;""),"klu(ali)",IF(AND(BP155&lt;&gt;"",BP155&lt;&gt;BO155),"(raz-klu)","klu"))))</f>
        <v>klu</v>
      </c>
      <c r="EF155" s="73" t="str">
        <f>IF(AL155="","","kat"&amp;IF(AND(W155&lt;&gt;Q155,Q155&lt;&gt;"Open"),"(ali)",""))</f>
        <v>kat</v>
      </c>
      <c r="EG155" s="73" t="str">
        <f t="shared" si="147"/>
        <v/>
      </c>
      <c r="EH155" s="66" t="str">
        <f>IF(AL155="","",ED155&amp;IF(ED155="novo","","-"&amp;EE155&amp;"-"&amp;EF155)&amp;IF(EG155="","","-"&amp;EG155))</f>
        <v>imepre-klu-kat</v>
      </c>
      <c r="EI155" s="47" t="s">
        <v>0</v>
      </c>
      <c r="EJ155" s="58">
        <f>IF(AL155="","",MAX(EJ$12:EJ154)+1)</f>
        <v>321</v>
      </c>
      <c r="EK155" s="73">
        <f>IF(AO155="","",X155)</f>
        <v>30</v>
      </c>
      <c r="EL155" s="73">
        <f t="shared" si="176"/>
        <v>1475</v>
      </c>
      <c r="EM155" s="73" t="str">
        <f t="shared" si="148"/>
        <v/>
      </c>
      <c r="EN155" s="73">
        <f t="shared" si="149"/>
        <v>4</v>
      </c>
      <c r="EO155" s="73">
        <f t="shared" si="177"/>
        <v>1</v>
      </c>
      <c r="EP155" s="73">
        <f t="shared" si="178"/>
        <v>1</v>
      </c>
      <c r="EQ155" s="73" t="str">
        <f t="shared" si="150"/>
        <v>2</v>
      </c>
      <c r="ER155" s="73" t="str">
        <f>IF(OR(AN155="",AN155="NEMA"),BB155,AN155)</f>
        <v/>
      </c>
      <c r="ES155" s="73" t="str">
        <f>IF(AND(BN155&lt;&gt;"",BN155&lt;&gt;"NEMA"),BN155,IF(CG155&lt;&gt;"",CG155,IF(AND(CL155&lt;&gt;"",CL155&lt;&gt;"NEMA"),CL155,IF(CM155&lt;&gt;"",CM155,""))))</f>
        <v/>
      </c>
      <c r="ET155" s="53" t="str">
        <f>IF(INDEX(natKategorija_alias_Id,MATCH(S155,natKategorija_katRegId,0))="","",INDEX(natKategorija_alias_Id,MATCH(S155,natKategorija_katRegId,0)))</f>
        <v/>
      </c>
      <c r="EU155" s="47" t="s">
        <v>0</v>
      </c>
      <c r="EV155" s="19" t="str">
        <f t="shared" si="179"/>
        <v>INSERT INTO rezultat(id,stazakategorija_id,imeprezime_id,vrijeme_sec,status_id,registracija,uparivanje_id,originalstatus_id,imeprezimealias_id,klubalias_id,kategorijaalias_id) VALUES (321,30,1475,Null,4,1,1,2,Null,Null,Null);</v>
      </c>
      <c r="EW155" s="47" t="s">
        <v>0</v>
      </c>
      <c r="EX155" s="19" t="str">
        <f t="shared" si="180"/>
        <v>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EY155" s="47" t="s">
        <v>0</v>
      </c>
      <c r="EZ155" s="180" t="str">
        <f>AG155&amp;IF(CP155="","","
")&amp;CP155&amp;IF(CI155="","","
")&amp;CI155&amp;IF(DN155="","","
")&amp;DN155&amp;IF(DP155="","","
")&amp;DP155&amp;IF(EV155="","","
")&amp;EV155&amp;IF(EX155="","","
")&amp;EX155</f>
        <v xml:space="preserve">
INSERT INTO rezultat(id,stazakategorija_id,imeprezime_id,vrijeme_sec,status_id,registracija,uparivanje_id,originalstatus_id,imeprezimealias_id,klubalias_id,kategorijaalias_id) VALUES (321,30,1475,Null,4,1,1,2,Null,Null,Null);
UPDATE
	registar
SET
	potvrda = 1
WHERE
	imeprezime_id=1475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30)
                         		AND
                         	kategorija_liga.liga_id = 101)
		AND
	datum_od &lt;= '2021-04-18'
    	AND
    datum_do is Null;</v>
      </c>
      <c r="FA155" s="47" t="s">
        <v>0</v>
      </c>
    </row>
    <row r="156" spans="1:157" x14ac:dyDescent="0.25">
      <c r="A156" t="s">
        <v>0</v>
      </c>
      <c r="B156" s="52" t="str">
        <f>IF(csv!F146="","",csv!T146)</f>
        <v>M45</v>
      </c>
      <c r="C156" s="31" t="s">
        <v>0</v>
      </c>
      <c r="D156" s="31" t="str">
        <f>IF(csv!F146="","",csv!F146)</f>
        <v>Vacant</v>
      </c>
      <c r="E156" s="31" t="str">
        <f>IF(csv!E146="","",csv!E146)</f>
        <v/>
      </c>
      <c r="F156" s="31" t="s">
        <v>0</v>
      </c>
      <c r="G156" s="73" t="str">
        <f>IF(csv!M146="","",csv!M146)</f>
        <v/>
      </c>
      <c r="H156" s="73" t="str">
        <f>IF(csv!N146="","",csv!N146)</f>
        <v>0</v>
      </c>
      <c r="I156" s="31" t="s">
        <v>0</v>
      </c>
      <c r="J156" s="31" t="str">
        <f>IF(csv!P146="","",csv!P146)</f>
        <v/>
      </c>
      <c r="K156" s="31" t="str">
        <f>IF(csv!Q146="","",csv!Q146)</f>
        <v/>
      </c>
      <c r="L156" s="31" t="s">
        <v>0</v>
      </c>
      <c r="M156" s="66" t="str">
        <f>IF(csv!R146="","",csv!R146)</f>
        <v/>
      </c>
      <c r="N156" s="47" t="s">
        <v>0</v>
      </c>
      <c r="O156" s="243" t="str">
        <f t="shared" si="151"/>
        <v/>
      </c>
      <c r="P156" s="47"/>
      <c r="Q156" s="52" t="str">
        <f t="shared" si="152"/>
        <v>M45</v>
      </c>
      <c r="R156" s="73">
        <f>IF(Q156="","",IF(COUNTIF(Q$12:Q155,Q156)=0,R155+1,R155))</f>
        <v>8</v>
      </c>
      <c r="S156" s="73">
        <f t="shared" si="153"/>
        <v>106</v>
      </c>
      <c r="T156" s="73">
        <f t="shared" si="128"/>
        <v>17</v>
      </c>
      <c r="U156" s="66" t="str">
        <f t="shared" si="129"/>
        <v>M45</v>
      </c>
      <c r="V156" s="47" t="s">
        <v>0</v>
      </c>
      <c r="W156" s="222" t="str">
        <f t="shared" si="130"/>
        <v/>
      </c>
      <c r="X156" s="223" t="str">
        <f t="shared" si="131"/>
        <v/>
      </c>
      <c r="Y156" s="47" t="s">
        <v>0</v>
      </c>
      <c r="Z156" s="52" t="str">
        <f t="shared" si="154"/>
        <v/>
      </c>
      <c r="AA156" s="73" t="str">
        <f t="shared" si="132"/>
        <v/>
      </c>
      <c r="AB156" s="31" t="str">
        <f t="shared" si="155"/>
        <v/>
      </c>
      <c r="AC156" s="66" t="str">
        <f>IF(AB156="","",MAX(AC$12:AC155)+1)</f>
        <v/>
      </c>
      <c r="AD156" s="47" t="s">
        <v>0</v>
      </c>
      <c r="AE156" s="125"/>
      <c r="AF156" s="47" t="s">
        <v>0</v>
      </c>
      <c r="AG156" s="19" t="str">
        <f t="shared" si="156"/>
        <v/>
      </c>
      <c r="AH156" s="47" t="s">
        <v>0</v>
      </c>
      <c r="AI156" s="143" t="str">
        <f t="shared" si="157"/>
        <v/>
      </c>
      <c r="AJ156" s="47"/>
      <c r="AK156" s="52" t="str">
        <f t="shared" si="158"/>
        <v/>
      </c>
      <c r="AL156" s="31" t="str">
        <f t="shared" si="159"/>
        <v/>
      </c>
      <c r="AM156" s="73" t="str">
        <f t="shared" si="160"/>
        <v/>
      </c>
      <c r="AN156" s="73" t="str">
        <f t="shared" si="161"/>
        <v/>
      </c>
      <c r="AO156" s="31" t="str">
        <f t="shared" si="133"/>
        <v/>
      </c>
      <c r="AP156" s="66" t="str">
        <f t="shared" si="134"/>
        <v/>
      </c>
      <c r="AQ156" s="47" t="s">
        <v>0</v>
      </c>
      <c r="AR156" s="82" t="str">
        <f t="shared" si="162"/>
        <v/>
      </c>
      <c r="AS156" s="47" t="s">
        <v>0</v>
      </c>
      <c r="AT156" s="19" t="str">
        <f t="shared" si="163"/>
        <v/>
      </c>
      <c r="AU156" s="47" t="s">
        <v>0</v>
      </c>
      <c r="AV156" s="103"/>
      <c r="AW156" s="105"/>
      <c r="AX156" s="47" t="s">
        <v>0</v>
      </c>
      <c r="AY156" s="256" t="str">
        <f t="shared" si="181"/>
        <v/>
      </c>
      <c r="AZ156" s="47" t="s">
        <v>0</v>
      </c>
      <c r="BA156" s="52" t="str">
        <f t="shared" si="135"/>
        <v/>
      </c>
      <c r="BB156" s="73" t="str">
        <f>IF(AV156&amp;AW156="","",MAX(BB$12:BB155)+1)</f>
        <v/>
      </c>
      <c r="BC156" s="268" t="str">
        <f t="shared" si="136"/>
        <v/>
      </c>
      <c r="BD156" s="53" t="str">
        <f>IF(AND(AM156="NEMA",AN156="NEMA",OR(AV156&amp;AW156="",BC156="NEMA")),MAX(BD$12:BD155)+1,"")</f>
        <v/>
      </c>
      <c r="BE156" s="47" t="s">
        <v>0</v>
      </c>
      <c r="BF156" s="52" t="str">
        <f t="shared" si="137"/>
        <v/>
      </c>
      <c r="BG156" s="31" t="str">
        <f t="shared" si="138"/>
        <v/>
      </c>
      <c r="BH156" s="73" t="str">
        <f t="shared" si="164"/>
        <v/>
      </c>
      <c r="BI156" s="53" t="str">
        <f t="shared" si="165"/>
        <v/>
      </c>
      <c r="BJ156" s="47" t="s">
        <v>0</v>
      </c>
      <c r="BK156" s="52" t="str">
        <f t="shared" si="139"/>
        <v/>
      </c>
      <c r="BL156" s="31" t="str">
        <f t="shared" si="140"/>
        <v/>
      </c>
      <c r="BM156" s="73" t="str">
        <f t="shared" si="141"/>
        <v/>
      </c>
      <c r="BN156" s="73" t="str">
        <f t="shared" si="142"/>
        <v/>
      </c>
      <c r="BO156" s="31" t="str" cm="1">
        <f t="array" ref="BO156">IF(BN156="",""&amp;BL156,IF(BN156="NEMA",BL156,INDEX(regKlub_naziv,MATCH(INDEX(regKlub_alias_klubId,BN156),regKlub_id,0))))</f>
        <v/>
      </c>
      <c r="BP156" s="31" t="str" cm="1">
        <f t="array" ref="BP156">IFERROR(""&amp;INDEX(regNatjecatelj_klub,DY156),"")</f>
        <v/>
      </c>
      <c r="BQ156" s="88" t="str">
        <f t="shared" si="166"/>
        <v/>
      </c>
      <c r="BR156" s="66" t="str">
        <f t="shared" si="167"/>
        <v/>
      </c>
      <c r="BS156" s="47" t="s">
        <v>0</v>
      </c>
      <c r="BT156" s="82" t="str">
        <f>IF(BN156&lt;&gt;"NEMA","",IF(IFERROR(MATCH(BL156,BL$12:BL155,0),0)&lt;&gt;0,"",BL156))</f>
        <v/>
      </c>
      <c r="BU156" s="47" t="s">
        <v>0</v>
      </c>
      <c r="BV156" s="125"/>
      <c r="BW156" s="47" t="s">
        <v>0</v>
      </c>
      <c r="BX156" s="58" t="str">
        <f t="shared" si="168"/>
        <v/>
      </c>
      <c r="BY156" s="31" t="str">
        <f t="shared" si="169"/>
        <v/>
      </c>
      <c r="BZ156" s="31" t="str">
        <f>IF(BY156="","",MAX(BZ$12:BZ155)+1)</f>
        <v/>
      </c>
      <c r="CA156" s="31" t="str">
        <f>IF(BY156="","",IF(AA156="","",IF(AA156="NEMA",AC156,AA156)))</f>
        <v/>
      </c>
      <c r="CB156" s="31" t="str">
        <f t="shared" si="170"/>
        <v/>
      </c>
      <c r="CC156" s="31" t="str">
        <f>IF(BV156="","",MAX(CC$12:CC155)+1)</f>
        <v/>
      </c>
      <c r="CD156" s="31" t="str">
        <f t="shared" si="171"/>
        <v/>
      </c>
      <c r="CE156" s="66" t="str">
        <f t="shared" si="172"/>
        <v/>
      </c>
      <c r="CF156" s="47" t="s">
        <v>0</v>
      </c>
      <c r="CG156" s="73" t="str">
        <f>IF(BN156="","",IF(BN156&lt;&gt;"NEMA","",IFERROR(INDEX(nat_klubAliasId,MATCH(BL156,nat_noviKluboviAliasi,0)),"")))</f>
        <v/>
      </c>
      <c r="CH156" s="47"/>
      <c r="CI156" s="19" t="str">
        <f t="shared" si="173"/>
        <v/>
      </c>
      <c r="CJ156" s="47" t="s">
        <v>0</v>
      </c>
      <c r="CK156" s="52" t="str">
        <f>IF(X156&lt;&gt;"NEMA","",IF(IFERROR(MATCH(W156,W$12:W155,0),0)&lt;&gt;0,"",W156))</f>
        <v/>
      </c>
      <c r="CL156" s="73" t="str">
        <f>IF(CK156="","",IFERROR(INDEX(regKlub_alias_id,MATCH(CK156,regKlub_alias_alias,0)),"NEMA"))</f>
        <v/>
      </c>
      <c r="CM156" s="31" t="str">
        <f>IF(OR(CL156="",CL156&lt;&gt;"NEMA"),"",MAX(CM$12:CM155)+1)</f>
        <v/>
      </c>
      <c r="CN156" s="66" t="str">
        <f>IF(OR(CL156="",CL156&lt;&gt;"NEMA"),"",INDEX(regKlub_id,MATCH(CK156,regKlub_naziv,0)))</f>
        <v/>
      </c>
      <c r="CO156" s="47" t="s">
        <v>0</v>
      </c>
      <c r="CP156" s="19" t="str">
        <f>IF(OR(CL156="",CL156&lt;&gt;"NEMA"),"","INSERT INTO klub_alias(id,alias,klub_id) VALUES ("&amp;CM156&amp;",'"&amp;CK156&amp;"',"&amp;CN156&amp;");")</f>
        <v/>
      </c>
      <c r="CQ156" s="47" t="s">
        <v>0</v>
      </c>
      <c r="CR156" s="143" t="str">
        <f>IF(BR156="","",IF(BV156="",IF(IFERROR(MATCH(BR156,nat_noviKluboviAliasi,0),0)&gt;0,INDEX(nat_kluboviAliasi,MATCH(BR156,nat_noviKluboviAliasi,0)),BR156),BV156))</f>
        <v/>
      </c>
      <c r="CS156" s="47" t="s">
        <v>0</v>
      </c>
      <c r="CT156" s="58" t="str">
        <f>IF(G156="","",G156)</f>
        <v/>
      </c>
      <c r="CU156" s="73" t="str">
        <f>IF(H156="","",H156)</f>
        <v>0</v>
      </c>
      <c r="CV156" s="229" t="str">
        <f>IF(CT156="",IF(OR(AL156="",CU156&lt;&gt;"0"),"","GREŠKA"),IF(AND(65535&gt;=VALUE(LEFT(CT156,SEARCH(":",CT156)-1))*60+VALUE(RIGHT(CT156,2)),OR(CU156="0",CU156="1",CU156="2",CU156="3",CU156="4")),"","GREŠKA"))</f>
        <v/>
      </c>
      <c r="CW156" s="230" t="str">
        <f t="shared" si="127"/>
        <v/>
      </c>
      <c r="CX156" s="163" t="str">
        <f t="shared" si="143"/>
        <v/>
      </c>
      <c r="CY156" s="47" t="s">
        <v>0</v>
      </c>
      <c r="CZ156" s="222" t="str">
        <f>IF(CV156&lt;&gt;"GREŠKA","",AK156&amp;" "&amp;AL156&amp;" – Molim u OEventu provjeriti i ispraviti rezultat – vrijeme ("&amp;IF(CT156="","nije upisano",CT156)&amp;") i classifier ("&amp;CU156&amp;").")&amp;IF(OR(CV156&lt;&gt;"GREŠKA",CX156&lt;&gt;5),"
","")&amp;IF(CX156&lt;&gt;5,"",AK156&amp;" "&amp;AL156&amp;" – Molim u provjeriti je li natjecatelj zaista diskvalificiran. Ako je koje je obrazloženje, ako nije molim u OEventu ispraviti rezultat")</f>
        <v xml:space="preserve">
</v>
      </c>
      <c r="DA156" s="223" t="str">
        <f t="shared" si="174"/>
        <v/>
      </c>
      <c r="DB156" s="47" t="s">
        <v>0</v>
      </c>
      <c r="DC156" s="47"/>
      <c r="DD156" s="47"/>
      <c r="DE156" s="47"/>
      <c r="DF156" s="47" t="s">
        <v>0</v>
      </c>
      <c r="DG156" s="53" t="str">
        <f>IF(BD156="","",IF(DI156="O",1,""))</f>
        <v/>
      </c>
      <c r="DH156" t="s">
        <v>0</v>
      </c>
      <c r="DI156" s="128" t="str">
        <f>IF(Q156="","",LEFT(INDEX(regKategorija_oznaka,MATCH(S156,regKategorija_id,0)),1))</f>
        <v>M</v>
      </c>
      <c r="DJ156" t="s">
        <v>0</v>
      </c>
      <c r="DK156" s="52" t="str">
        <f>IF(BD156="","",IF(M156&lt;&gt;"CRO","","INSERT INTO osoba (id,reg_broj,oib,spol_id,dat_rodjenja) VALUES ("&amp;BD156&amp;",(SELECT max(os.reg_broj)+1 FROM osoba AS os),Null,'"&amp;DI156&amp;"',Null); INSERT INTO osoba_log (id,reg_broj,oib,spol_id,dat_rodjenja,dnevnik_id) SELECT id,reg_broj,oib,spol_id,dat_rodjenja,"&amp;data_dnevnik_id&amp;" FROM osoba WHERE id = "&amp;BD156&amp;";"))</f>
        <v/>
      </c>
      <c r="DL156" s="66" t="str">
        <f>IF(BD156="","","INSERT INTO imeprezime (id,osoba_id,rbr,ime,prezime,klub_id,identitet_id,sintaksa_id,info,aktivno,dnevnik_id) VALUES ("&amp;BD156&amp;","&amp;IF(DK156="","Null",BD156)&amp;",1,'"&amp;IF(AV156&lt;&gt;"",AV156,AK156)&amp;"','"&amp;IF(AW156&lt;&gt;"",AW156,AL156)&amp;"',(SELECT id FROM klub WHERE naziv = '"&amp;CR156&amp;"'),Null,1,'',1,"&amp;data_dnevnik_id&amp;");")</f>
        <v/>
      </c>
      <c r="DM156" t="s">
        <v>0</v>
      </c>
      <c r="DN156" s="19" t="str">
        <f t="shared" si="182"/>
        <v/>
      </c>
      <c r="DO156" s="47" t="s">
        <v>0</v>
      </c>
      <c r="DP156" s="19" t="str">
        <f>IF(BA156="","","INSERT INTO imeprezime_alias(id,alias,imeprezime_id) VALUES ("&amp;BB156&amp;",'"&amp;BA156&amp;"',"&amp;IF(BC156="NEMA",BD156,BC156)&amp;");")</f>
        <v/>
      </c>
      <c r="DQ156" s="47" t="s">
        <v>0</v>
      </c>
      <c r="DR156" s="52" t="str">
        <f>IF(AL156="","",DU156 &amp; IF(Q156="",""," – " &amp; Q156))</f>
        <v/>
      </c>
      <c r="DS156" s="53" t="str">
        <f t="shared" si="144"/>
        <v/>
      </c>
      <c r="DT156" s="47" t="s">
        <v>0</v>
      </c>
      <c r="DU156" s="52" t="str">
        <f>IF(AL156="","",DX156 &amp; IF(CR156="",""," – " &amp; CR156))</f>
        <v/>
      </c>
      <c r="DV156" s="53" t="str">
        <f t="shared" si="145"/>
        <v/>
      </c>
      <c r="DW156" s="47" t="s">
        <v>0</v>
      </c>
      <c r="DX156" s="52" t="str">
        <f>IF(BG156="","",BF156&amp;" – "&amp;BG156)</f>
        <v/>
      </c>
      <c r="DY156" s="53" t="str">
        <f t="shared" si="146"/>
        <v/>
      </c>
      <c r="DZ156" s="47" t="s">
        <v>0</v>
      </c>
      <c r="EA156" s="58" t="str">
        <f t="shared" si="175"/>
        <v/>
      </c>
      <c r="EB156" s="53" t="str" cm="1">
        <f t="array" ref="EB156">IF(EA156&lt;&gt;"",INDEX(regNatjecatelj_id,EA156,0),IF(BD156&lt;&gt;"",BD156,""))</f>
        <v/>
      </c>
      <c r="EC156" s="47" t="s">
        <v>0</v>
      </c>
      <c r="ED156" s="58" t="str">
        <f>IF(AL156="","",IF(BD156&lt;&gt;"","novo",IF(AN156="","imepre","imepre(ali)")))</f>
        <v/>
      </c>
      <c r="EE156" s="73" t="str">
        <f>IF(AL156="","",IF(BL156="",IF(IFERROR(INDEX(regNatjecatelj_klub,MATCH(EB156,regNatjecatelj_id,0)),"NEMA")="","klu",""),IF(OR(AND(BN156&lt;&gt;"",BN156&lt;&gt;"NEMA"),CD156&lt;&gt;""),"klu(ali)",IF(AND(BP156&lt;&gt;"",BP156&lt;&gt;BO156),"(raz-klu)","klu"))))</f>
        <v/>
      </c>
      <c r="EF156" s="73" t="str">
        <f>IF(AL156="","","kat"&amp;IF(AND(W156&lt;&gt;Q156,Q156&lt;&gt;"Open"),"(ali)",""))</f>
        <v/>
      </c>
      <c r="EG156" s="73" t="str">
        <f t="shared" si="147"/>
        <v/>
      </c>
      <c r="EH156" s="66" t="str">
        <f>IF(AL156="","",ED156&amp;IF(ED156="novo","","-"&amp;EE156&amp;"-"&amp;EF156)&amp;IF(EG156="","","-"&amp;EG156))</f>
        <v/>
      </c>
      <c r="EI156" s="47" t="s">
        <v>0</v>
      </c>
      <c r="EJ156" s="58" t="str">
        <f>IF(AL156="","",MAX(EJ$12:EJ155)+1)</f>
        <v/>
      </c>
      <c r="EK156" s="73" t="str">
        <f>IF(AO156="","",X156)</f>
        <v/>
      </c>
      <c r="EL156" s="73" t="str">
        <f t="shared" si="176"/>
        <v/>
      </c>
      <c r="EM156" s="73" t="str">
        <f t="shared" si="148"/>
        <v/>
      </c>
      <c r="EN156" s="73" t="str">
        <f t="shared" si="149"/>
        <v/>
      </c>
      <c r="EO156" s="73" t="str">
        <f t="shared" si="177"/>
        <v/>
      </c>
      <c r="EP156" s="73" t="str">
        <f t="shared" si="178"/>
        <v/>
      </c>
      <c r="EQ156" s="73" t="str">
        <f t="shared" si="150"/>
        <v/>
      </c>
      <c r="ER156" s="73" t="str">
        <f>IF(OR(AN156="",AN156="NEMA"),BB156,AN156)</f>
        <v/>
      </c>
      <c r="ES156" s="73" t="str">
        <f>IF(AND(BN156&lt;&gt;"",BN156&lt;&gt;"NEMA"),BN156,IF(CG156&lt;&gt;"",CG156,IF(AND(CL156&lt;&gt;"",CL156&lt;&gt;"NEMA"),CL156,IF(CM156&lt;&gt;"",CM156,""))))</f>
        <v/>
      </c>
      <c r="ET156" s="53" t="str">
        <f>IF(INDEX(natKategorija_alias_Id,MATCH(S156,natKategorija_katRegId,0))="","",INDEX(natKategorija_alias_Id,MATCH(S156,natKategorija_katRegId,0)))</f>
        <v/>
      </c>
      <c r="EU156" s="47" t="s">
        <v>0</v>
      </c>
      <c r="EV156" s="19" t="str">
        <f t="shared" si="179"/>
        <v/>
      </c>
      <c r="EW156" s="47" t="s">
        <v>0</v>
      </c>
      <c r="EX156" s="19" t="str">
        <f t="shared" si="180"/>
        <v/>
      </c>
      <c r="EY156" s="47" t="s">
        <v>0</v>
      </c>
      <c r="EZ156" s="180" t="str">
        <f>AG156&amp;IF(CP156="","","
")&amp;CP156&amp;IF(CI156="","","
")&amp;CI156&amp;IF(DN156="","","
")&amp;DN156&amp;IF(DP156="","","
")&amp;DP156&amp;IF(EV156="","","
")&amp;EV156&amp;IF(EX156="","","
")&amp;EX156</f>
        <v/>
      </c>
      <c r="FA156" s="47" t="s">
        <v>0</v>
      </c>
    </row>
    <row r="157" spans="1:157" x14ac:dyDescent="0.25">
      <c r="A157" t="s">
        <v>0</v>
      </c>
      <c r="B157" s="52" t="str">
        <f>IF(csv!F147="","",csv!T147)</f>
        <v>M55</v>
      </c>
      <c r="C157" s="31" t="s">
        <v>0</v>
      </c>
      <c r="D157" s="31" t="str">
        <f>IF(csv!F147="","",csv!F147)</f>
        <v>Dario</v>
      </c>
      <c r="E157" s="31" t="str">
        <f>IF(csv!E147="","",csv!E147)</f>
        <v>Štambuk</v>
      </c>
      <c r="F157" s="31" t="s">
        <v>0</v>
      </c>
      <c r="G157" s="73" t="str">
        <f>IF(csv!M147="","",csv!M147)</f>
        <v>32:40</v>
      </c>
      <c r="H157" s="73" t="str">
        <f>IF(csv!N147="","",csv!N147)</f>
        <v>0</v>
      </c>
      <c r="I157" s="31" t="s">
        <v>0</v>
      </c>
      <c r="J157" s="31" t="str">
        <f>IF(csv!P147="","",csv!P147)</f>
        <v>OK MERZ CRO</v>
      </c>
      <c r="K157" s="31" t="str">
        <f>IF(csv!Q147="","",csv!Q147)</f>
        <v>OK Ivan Merz</v>
      </c>
      <c r="L157" s="31" t="s">
        <v>0</v>
      </c>
      <c r="M157" s="66" t="str">
        <f>IF(csv!R147="","",csv!R147)</f>
        <v>CRO</v>
      </c>
      <c r="N157" s="47" t="s">
        <v>0</v>
      </c>
      <c r="O157" s="243" t="str">
        <f t="shared" si="151"/>
        <v>ok</v>
      </c>
      <c r="P157" s="47"/>
      <c r="Q157" s="52" t="str">
        <f t="shared" si="152"/>
        <v>M55</v>
      </c>
      <c r="R157" s="73">
        <f>IF(Q157="","",IF(COUNTIF(Q$12:Q156,Q157)=0,R156+1,R156))</f>
        <v>9</v>
      </c>
      <c r="S157" s="73">
        <f t="shared" si="153"/>
        <v>105</v>
      </c>
      <c r="T157" s="73">
        <f t="shared" si="128"/>
        <v>16</v>
      </c>
      <c r="U157" s="66" t="str">
        <f t="shared" si="129"/>
        <v>M55</v>
      </c>
      <c r="V157" s="47" t="s">
        <v>0</v>
      </c>
      <c r="W157" s="222" t="str">
        <f t="shared" si="130"/>
        <v>M55</v>
      </c>
      <c r="X157" s="223">
        <f t="shared" si="131"/>
        <v>31</v>
      </c>
      <c r="Y157" s="47" t="s">
        <v>0</v>
      </c>
      <c r="Z157" s="52" t="str">
        <f t="shared" si="154"/>
        <v>CRO</v>
      </c>
      <c r="AA157" s="73">
        <f t="shared" si="132"/>
        <v>1</v>
      </c>
      <c r="AB157" s="31" t="str">
        <f t="shared" si="155"/>
        <v/>
      </c>
      <c r="AC157" s="66" t="str">
        <f>IF(AB157="","",MAX(AC$12:AC156)+1)</f>
        <v/>
      </c>
      <c r="AD157" s="47" t="s">
        <v>0</v>
      </c>
      <c r="AE157" s="125"/>
      <c r="AF157" s="47" t="s">
        <v>0</v>
      </c>
      <c r="AG157" s="19" t="str">
        <f t="shared" si="156"/>
        <v/>
      </c>
      <c r="AH157" s="47" t="s">
        <v>0</v>
      </c>
      <c r="AI157" s="143" t="str">
        <f t="shared" si="157"/>
        <v>CRO</v>
      </c>
      <c r="AJ157" s="47"/>
      <c r="AK157" s="52" t="str">
        <f t="shared" si="158"/>
        <v>Dario</v>
      </c>
      <c r="AL157" s="31" t="str">
        <f t="shared" si="159"/>
        <v>Štambuk</v>
      </c>
      <c r="AM157" s="73">
        <f t="shared" si="160"/>
        <v>1563</v>
      </c>
      <c r="AN157" s="73" t="str">
        <f t="shared" si="161"/>
        <v/>
      </c>
      <c r="AO157" s="31" t="str">
        <f t="shared" si="133"/>
        <v>Dario</v>
      </c>
      <c r="AP157" s="66" t="str">
        <f t="shared" si="134"/>
        <v>Štambuk</v>
      </c>
      <c r="AQ157" s="47" t="s">
        <v>0</v>
      </c>
      <c r="AR157" s="82" t="str">
        <f t="shared" si="162"/>
        <v/>
      </c>
      <c r="AS157" s="47" t="s">
        <v>0</v>
      </c>
      <c r="AT157" s="19" t="str">
        <f t="shared" si="163"/>
        <v/>
      </c>
      <c r="AU157" s="47" t="s">
        <v>0</v>
      </c>
      <c r="AV157" s="103"/>
      <c r="AW157" s="105"/>
      <c r="AX157" s="47" t="s">
        <v>0</v>
      </c>
      <c r="AY157" s="256" t="str">
        <f t="shared" si="181"/>
        <v/>
      </c>
      <c r="AZ157" s="47" t="s">
        <v>0</v>
      </c>
      <c r="BA157" s="52" t="str">
        <f t="shared" si="135"/>
        <v/>
      </c>
      <c r="BB157" s="73" t="str">
        <f>IF(AV157&amp;AW157="","",MAX(BB$12:BB156)+1)</f>
        <v/>
      </c>
      <c r="BC157" s="268" t="str">
        <f t="shared" si="136"/>
        <v/>
      </c>
      <c r="BD157" s="53" t="str">
        <f>IF(AND(AM157="NEMA",AN157="NEMA",OR(AV157&amp;AW157="",BC157="NEMA")),MAX(BD$12:BD156)+1,"")</f>
        <v/>
      </c>
      <c r="BE157" s="47" t="s">
        <v>0</v>
      </c>
      <c r="BF157" s="52" t="str">
        <f t="shared" si="137"/>
        <v>Dario</v>
      </c>
      <c r="BG157" s="31" t="str">
        <f t="shared" si="138"/>
        <v>Štambuk</v>
      </c>
      <c r="BH157" s="73" t="str">
        <f t="shared" si="164"/>
        <v/>
      </c>
      <c r="BI157" s="53">
        <f t="shared" si="165"/>
        <v>1563</v>
      </c>
      <c r="BJ157" s="47" t="s">
        <v>0</v>
      </c>
      <c r="BK157" s="52" t="str">
        <f t="shared" si="139"/>
        <v>OK MERZ CRO</v>
      </c>
      <c r="BL157" s="31" t="str">
        <f t="shared" si="140"/>
        <v>OK Ivan Merz</v>
      </c>
      <c r="BM157" s="73">
        <f t="shared" si="141"/>
        <v>2</v>
      </c>
      <c r="BN157" s="73" t="str">
        <f t="shared" si="142"/>
        <v/>
      </c>
      <c r="BO157" s="31" t="str" cm="1">
        <f t="array" ref="BO157">IF(BN157="",""&amp;BL157,IF(BN157="NEMA",BL157,INDEX(regKlub_naziv,MATCH(INDEX(regKlub_alias_klubId,BN157),regKlub_id,0))))</f>
        <v>OK Ivan Merz</v>
      </c>
      <c r="BP157" s="31" t="str" cm="1">
        <f t="array" ref="BP157">IFERROR(""&amp;INDEX(regNatjecatelj_klub,DY157),"")</f>
        <v>OK Ivan Merz</v>
      </c>
      <c r="BQ157" s="88" t="str">
        <f t="shared" si="166"/>
        <v/>
      </c>
      <c r="BR157" s="66" t="str">
        <f t="shared" si="167"/>
        <v>OK Ivan Merz</v>
      </c>
      <c r="BS157" s="47" t="s">
        <v>0</v>
      </c>
      <c r="BT157" s="82" t="str">
        <f>IF(BN157&lt;&gt;"NEMA","",IF(IFERROR(MATCH(BL157,BL$12:BL156,0),0)&lt;&gt;0,"",BL157))</f>
        <v/>
      </c>
      <c r="BU157" s="47" t="s">
        <v>0</v>
      </c>
      <c r="BV157" s="125"/>
      <c r="BW157" s="47" t="s">
        <v>0</v>
      </c>
      <c r="BX157" s="58" t="str">
        <f t="shared" si="168"/>
        <v/>
      </c>
      <c r="BY157" s="31" t="str">
        <f t="shared" si="169"/>
        <v/>
      </c>
      <c r="BZ157" s="31" t="str">
        <f>IF(BY157="","",MAX(BZ$12:BZ156)+1)</f>
        <v/>
      </c>
      <c r="CA157" s="31" t="str">
        <f>IF(BY157="","",IF(AA157="","",IF(AA157="NEMA",AC157,AA157)))</f>
        <v/>
      </c>
      <c r="CB157" s="31" t="str">
        <f t="shared" si="170"/>
        <v/>
      </c>
      <c r="CC157" s="31" t="str">
        <f>IF(BV157="","",MAX(CC$12:CC156)+1)</f>
        <v/>
      </c>
      <c r="CD157" s="31" t="str">
        <f t="shared" si="171"/>
        <v/>
      </c>
      <c r="CE157" s="66" t="str">
        <f t="shared" si="172"/>
        <v/>
      </c>
      <c r="CF157" s="47" t="s">
        <v>0</v>
      </c>
      <c r="CG157" s="73" t="str">
        <f>IF(BN157="","",IF(BN157&lt;&gt;"NEMA","",IFERROR(INDEX(nat_klubAliasId,MATCH(BL157,nat_noviKluboviAliasi,0)),"")))</f>
        <v/>
      </c>
      <c r="CH157" s="47"/>
      <c r="CI157" s="19" t="str">
        <f t="shared" si="173"/>
        <v/>
      </c>
      <c r="CJ157" s="47" t="s">
        <v>0</v>
      </c>
      <c r="CK157" s="52" t="str">
        <f>IF(X157&lt;&gt;"NEMA","",IF(IFERROR(MATCH(W157,W$12:W156,0),0)&lt;&gt;0,"",W157))</f>
        <v/>
      </c>
      <c r="CL157" s="73" t="str">
        <f>IF(CK157="","",IFERROR(INDEX(regKlub_alias_id,MATCH(CK157,regKlub_alias_alias,0)),"NEMA"))</f>
        <v/>
      </c>
      <c r="CM157" s="31" t="str">
        <f>IF(OR(CL157="",CL157&lt;&gt;"NEMA"),"",MAX(CM$12:CM156)+1)</f>
        <v/>
      </c>
      <c r="CN157" s="66" t="str">
        <f>IF(OR(CL157="",CL157&lt;&gt;"NEMA"),"",INDEX(regKlub_id,MATCH(CK157,regKlub_naziv,0)))</f>
        <v/>
      </c>
      <c r="CO157" s="47" t="s">
        <v>0</v>
      </c>
      <c r="CP157" s="19" t="str">
        <f>IF(OR(CL157="",CL157&lt;&gt;"NEMA"),"","INSERT INTO klub_alias(id,alias,klub_id) VALUES ("&amp;CM157&amp;",'"&amp;CK157&amp;"',"&amp;CN157&amp;");")</f>
        <v/>
      </c>
      <c r="CQ157" s="47" t="s">
        <v>0</v>
      </c>
      <c r="CR157" s="143" t="str">
        <f>IF(BR157="","",IF(BV157="",IF(IFERROR(MATCH(BR157,nat_noviKluboviAliasi,0),0)&gt;0,INDEX(nat_kluboviAliasi,MATCH(BR157,nat_noviKluboviAliasi,0)),BR157),BV157))</f>
        <v>OK Ivan Merz</v>
      </c>
      <c r="CS157" s="47" t="s">
        <v>0</v>
      </c>
      <c r="CT157" s="58" t="str">
        <f>IF(G157="","",G157)</f>
        <v>32:40</v>
      </c>
      <c r="CU157" s="73" t="str">
        <f>IF(H157="","",H157)</f>
        <v>0</v>
      </c>
      <c r="CV157" s="229" t="str">
        <f>IF(CT157="",IF(OR(AL157="",CU157&lt;&gt;"0"),"","GREŠKA"),IF(AND(65535&gt;=VALUE(LEFT(CT157,SEARCH(":",CT157)-1))*60+VALUE(RIGHT(CT157,2)),OR(CU157="0",CU157="1",CU157="2",CU157="3",CU157="4")),"","GREŠKA"))</f>
        <v/>
      </c>
      <c r="CW157" s="230">
        <f t="shared" si="127"/>
        <v>1960</v>
      </c>
      <c r="CX157" s="163">
        <f t="shared" si="143"/>
        <v>1</v>
      </c>
      <c r="CY157" s="47" t="s">
        <v>0</v>
      </c>
      <c r="CZ157" s="222" t="str">
        <f>IF(CV157&lt;&gt;"GREŠKA","",AK157&amp;" "&amp;AL157&amp;" – Molim u OEventu provjeriti i ispraviti rezultat – vrijeme ("&amp;IF(CT157="","nije upisano",CT157)&amp;") i classifier ("&amp;CU157&amp;").")&amp;IF(OR(CV157&lt;&gt;"GREŠKA",CX157&lt;&gt;5),"
","")&amp;IF(CX157&lt;&gt;5,"",AK157&amp;" "&amp;AL157&amp;" – Molim u provjeriti je li natjecatelj zaista diskvalificiran. Ako je koje je obrazloženje, ako nije molim u OEventu ispraviti rezultat")</f>
        <v xml:space="preserve">
</v>
      </c>
      <c r="DA157" s="223">
        <f t="shared" si="174"/>
        <v>6</v>
      </c>
      <c r="DB157" s="47" t="s">
        <v>0</v>
      </c>
      <c r="DC157" s="47"/>
      <c r="DD157" s="47"/>
      <c r="DE157" s="47"/>
      <c r="DF157" s="47" t="s">
        <v>0</v>
      </c>
      <c r="DG157" s="53" t="str">
        <f>IF(BD157="","",IF(DI157="O",1,""))</f>
        <v/>
      </c>
      <c r="DH157" t="s">
        <v>0</v>
      </c>
      <c r="DI157" s="128" t="str">
        <f>IF(Q157="","",LEFT(INDEX(regKategorija_oznaka,MATCH(S157,regKategorija_id,0)),1))</f>
        <v>M</v>
      </c>
      <c r="DJ157" t="s">
        <v>0</v>
      </c>
      <c r="DK157" s="52" t="str">
        <f>IF(BD157="","",IF(M157&lt;&gt;"CRO","","INSERT INTO osoba (id,reg_broj,oib,spol_id,dat_rodjenja) VALUES ("&amp;BD157&amp;",(SELECT max(os.reg_broj)+1 FROM osoba AS os),Null,'"&amp;DI157&amp;"',Null); INSERT INTO osoba_log (id,reg_broj,oib,spol_id,dat_rodjenja,dnevnik_id) SELECT id,reg_broj,oib,spol_id,dat_rodjenja,"&amp;data_dnevnik_id&amp;" FROM osoba WHERE id = "&amp;BD157&amp;";"))</f>
        <v/>
      </c>
      <c r="DL157" s="66" t="str">
        <f>IF(BD157="","","INSERT INTO imeprezime (id,osoba_id,rbr,ime,prezime,klub_id,identitet_id,sintaksa_id,info,aktivno,dnevnik_id) VALUES ("&amp;BD157&amp;","&amp;IF(DK157="","Null",BD157)&amp;",1,'"&amp;IF(AV157&lt;&gt;"",AV157,AK157)&amp;"','"&amp;IF(AW157&lt;&gt;"",AW157,AL157)&amp;"',(SELECT id FROM klub WHERE naziv = '"&amp;CR157&amp;"'),Null,1,'',1,"&amp;data_dnevnik_id&amp;");")</f>
        <v/>
      </c>
      <c r="DM157" t="s">
        <v>0</v>
      </c>
      <c r="DN157" s="19" t="str">
        <f t="shared" si="182"/>
        <v/>
      </c>
      <c r="DO157" s="47" t="s">
        <v>0</v>
      </c>
      <c r="DP157" s="19" t="str">
        <f>IF(BA157="","","INSERT INTO imeprezime_alias(id,alias,imeprezime_id) VALUES ("&amp;BB157&amp;",'"&amp;BA157&amp;"',"&amp;IF(BC157="NEMA",BD157,BC157)&amp;");")</f>
        <v/>
      </c>
      <c r="DQ157" s="47" t="s">
        <v>0</v>
      </c>
      <c r="DR157" s="52" t="str">
        <f>IF(AL157="","",DU157 &amp; IF(Q157="",""," – " &amp; Q157))</f>
        <v>Dario – Štambuk – OK Ivan Merz – M55</v>
      </c>
      <c r="DS157" s="53">
        <f t="shared" si="144"/>
        <v>67</v>
      </c>
      <c r="DT157" s="47" t="s">
        <v>0</v>
      </c>
      <c r="DU157" s="52" t="str">
        <f>IF(AL157="","",DX157 &amp; IF(CR157="",""," – " &amp; CR157))</f>
        <v>Dario – Štambuk – OK Ivan Merz</v>
      </c>
      <c r="DV157" s="53">
        <f t="shared" si="145"/>
        <v>67</v>
      </c>
      <c r="DW157" s="47" t="s">
        <v>0</v>
      </c>
      <c r="DX157" s="52" t="str">
        <f>IF(BG157="","",BF157&amp;" – "&amp;BG157)</f>
        <v>Dario – Štambuk</v>
      </c>
      <c r="DY157" s="53">
        <f t="shared" si="146"/>
        <v>67</v>
      </c>
      <c r="DZ157" s="47" t="s">
        <v>0</v>
      </c>
      <c r="EA157" s="58">
        <f t="shared" si="175"/>
        <v>67</v>
      </c>
      <c r="EB157" s="53" cm="1">
        <f t="array" ref="EB157">IF(EA157&lt;&gt;"",INDEX(regNatjecatelj_id,EA157,0),IF(BD157&lt;&gt;"",BD157,""))</f>
        <v>1563</v>
      </c>
      <c r="EC157" s="47" t="s">
        <v>0</v>
      </c>
      <c r="ED157" s="58" t="str">
        <f>IF(AL157="","",IF(BD157&lt;&gt;"","novo",IF(AN157="","imepre","imepre(ali)")))</f>
        <v>imepre</v>
      </c>
      <c r="EE157" s="73" t="str">
        <f>IF(AL157="","",IF(BL157="",IF(IFERROR(INDEX(regNatjecatelj_klub,MATCH(EB157,regNatjecatelj_id,0)),"NEMA")="","klu",""),IF(OR(AND(BN157&lt;&gt;"",BN157&lt;&gt;"NEMA"),CD157&lt;&gt;""),"klu(ali)",IF(AND(BP157&lt;&gt;"",BP157&lt;&gt;BO157),"(raz-klu)","klu"))))</f>
        <v>klu</v>
      </c>
      <c r="EF157" s="73" t="str">
        <f>IF(AL157="","","kat"&amp;IF(AND(W157&lt;&gt;Q157,Q157&lt;&gt;"Open"),"(ali)",""))</f>
        <v>kat</v>
      </c>
      <c r="EG157" s="73" t="str">
        <f t="shared" si="147"/>
        <v/>
      </c>
      <c r="EH157" s="66" t="str">
        <f>IF(AL157="","",ED157&amp;IF(ED157="novo","","-"&amp;EE157&amp;"-"&amp;EF157)&amp;IF(EG157="","","-"&amp;EG157))</f>
        <v>imepre-klu-kat</v>
      </c>
      <c r="EI157" s="47" t="s">
        <v>0</v>
      </c>
      <c r="EJ157" s="58">
        <f>IF(AL157="","",MAX(EJ$12:EJ156)+1)</f>
        <v>322</v>
      </c>
      <c r="EK157" s="73">
        <f>IF(AO157="","",X157)</f>
        <v>31</v>
      </c>
      <c r="EL157" s="73">
        <f t="shared" si="176"/>
        <v>1563</v>
      </c>
      <c r="EM157" s="73">
        <f t="shared" si="148"/>
        <v>1960</v>
      </c>
      <c r="EN157" s="73">
        <f t="shared" si="149"/>
        <v>1</v>
      </c>
      <c r="EO157" s="73">
        <f t="shared" si="177"/>
        <v>1</v>
      </c>
      <c r="EP157" s="73">
        <f t="shared" si="178"/>
        <v>1</v>
      </c>
      <c r="EQ157" s="73" t="str">
        <f t="shared" si="150"/>
        <v>0</v>
      </c>
      <c r="ER157" s="73" t="str">
        <f>IF(OR(AN157="",AN157="NEMA"),BB157,AN157)</f>
        <v/>
      </c>
      <c r="ES157" s="73" t="str">
        <f>IF(AND(BN157&lt;&gt;"",BN157&lt;&gt;"NEMA"),BN157,IF(CG157&lt;&gt;"",CG157,IF(AND(CL157&lt;&gt;"",CL157&lt;&gt;"NEMA"),CL157,IF(CM157&lt;&gt;"",CM157,""))))</f>
        <v/>
      </c>
      <c r="ET157" s="53" t="str">
        <f>IF(INDEX(natKategorija_alias_Id,MATCH(S157,natKategorija_katRegId,0))="","",INDEX(natKategorija_alias_Id,MATCH(S157,natKategorija_katRegId,0)))</f>
        <v/>
      </c>
      <c r="EU157" s="47" t="s">
        <v>0</v>
      </c>
      <c r="EV157" s="19" t="str">
        <f t="shared" si="179"/>
        <v>INSERT INTO rezultat(id,stazakategorija_id,imeprezime_id,vrijeme_sec,status_id,registracija,uparivanje_id,originalstatus_id,imeprezimealias_id,klubalias_id,kategorijaalias_id) VALUES (322,31,1563,1960,1,1,1,0,Null,Null,Null);</v>
      </c>
      <c r="EW157" s="47" t="s">
        <v>0</v>
      </c>
      <c r="EX157" s="19" t="str">
        <f t="shared" si="180"/>
        <v>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57" s="47" t="s">
        <v>0</v>
      </c>
      <c r="EZ157" s="180" t="str">
        <f>AG157&amp;IF(CP157="","","
")&amp;CP157&amp;IF(CI157="","","
")&amp;CI157&amp;IF(DN157="","","
")&amp;DN157&amp;IF(DP157="","","
")&amp;DP157&amp;IF(EV157="","","
")&amp;EV157&amp;IF(EX157="","","
")&amp;EX157</f>
        <v xml:space="preserve">
INSERT INTO rezultat(id,stazakategorija_id,imeprezime_id,vrijeme_sec,status_id,registracija,uparivanje_id,originalstatus_id,imeprezimealias_id,klubalias_id,kategorijaalias_id) VALUES (322,31,1563,1960,1,1,1,0,Null,Null,Null);
UPDATE
	registar
SET
	potvrda = 1
WHERE
	imeprezime_id=1563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57" s="47" t="s">
        <v>0</v>
      </c>
    </row>
    <row r="158" spans="1:157" x14ac:dyDescent="0.25">
      <c r="A158" t="s">
        <v>0</v>
      </c>
      <c r="B158" s="52" t="str">
        <f>IF(csv!F148="","",csv!T148)</f>
        <v>M55</v>
      </c>
      <c r="C158" s="31" t="s">
        <v>0</v>
      </c>
      <c r="D158" s="31" t="str">
        <f>IF(csv!F148="","",csv!F148)</f>
        <v>Darko</v>
      </c>
      <c r="E158" s="31" t="str">
        <f>IF(csv!E148="","",csv!E148)</f>
        <v>Merunka</v>
      </c>
      <c r="F158" s="31" t="s">
        <v>0</v>
      </c>
      <c r="G158" s="73" t="str">
        <f>IF(csv!M148="","",csv!M148)</f>
        <v>36:52</v>
      </c>
      <c r="H158" s="73" t="str">
        <f>IF(csv!N148="","",csv!N148)</f>
        <v>0</v>
      </c>
      <c r="I158" s="31" t="s">
        <v>0</v>
      </c>
      <c r="J158" s="31" t="str">
        <f>IF(csv!P148="","",csv!P148)</f>
        <v>Maksimir</v>
      </c>
      <c r="K158" s="31" t="str">
        <f>IF(csv!Q148="","",csv!Q148)</f>
        <v>OK Maksimir</v>
      </c>
      <c r="L158" s="31" t="s">
        <v>0</v>
      </c>
      <c r="M158" s="66" t="str">
        <f>IF(csv!R148="","",csv!R148)</f>
        <v>CRO</v>
      </c>
      <c r="N158" s="47" t="s">
        <v>0</v>
      </c>
      <c r="O158" s="243" t="str">
        <f t="shared" si="151"/>
        <v>ok</v>
      </c>
      <c r="P158" s="47"/>
      <c r="Q158" s="52" t="str">
        <f t="shared" si="152"/>
        <v>M55</v>
      </c>
      <c r="R158" s="73">
        <f>IF(Q158="","",IF(COUNTIF(Q$12:Q157,Q158)=0,R157+1,R157))</f>
        <v>9</v>
      </c>
      <c r="S158" s="73">
        <f t="shared" si="153"/>
        <v>105</v>
      </c>
      <c r="T158" s="73">
        <f t="shared" si="128"/>
        <v>16</v>
      </c>
      <c r="U158" s="66" t="str">
        <f t="shared" si="129"/>
        <v>M55</v>
      </c>
      <c r="V158" s="47" t="s">
        <v>0</v>
      </c>
      <c r="W158" s="222" t="str">
        <f t="shared" si="130"/>
        <v>M55</v>
      </c>
      <c r="X158" s="223">
        <f t="shared" si="131"/>
        <v>31</v>
      </c>
      <c r="Y158" s="47" t="s">
        <v>0</v>
      </c>
      <c r="Z158" s="52" t="str">
        <f t="shared" si="154"/>
        <v>CRO</v>
      </c>
      <c r="AA158" s="73">
        <f t="shared" si="132"/>
        <v>1</v>
      </c>
      <c r="AB158" s="31" t="str">
        <f t="shared" si="155"/>
        <v/>
      </c>
      <c r="AC158" s="66" t="str">
        <f>IF(AB158="","",MAX(AC$12:AC157)+1)</f>
        <v/>
      </c>
      <c r="AD158" s="47" t="s">
        <v>0</v>
      </c>
      <c r="AE158" s="125"/>
      <c r="AF158" s="47" t="s">
        <v>0</v>
      </c>
      <c r="AG158" s="19" t="str">
        <f t="shared" si="156"/>
        <v/>
      </c>
      <c r="AH158" s="47" t="s">
        <v>0</v>
      </c>
      <c r="AI158" s="143" t="str">
        <f t="shared" si="157"/>
        <v>CRO</v>
      </c>
      <c r="AJ158" s="47"/>
      <c r="AK158" s="52" t="str">
        <f t="shared" si="158"/>
        <v>Darko</v>
      </c>
      <c r="AL158" s="31" t="str">
        <f t="shared" si="159"/>
        <v>Merunka</v>
      </c>
      <c r="AM158" s="73">
        <f t="shared" si="160"/>
        <v>1562</v>
      </c>
      <c r="AN158" s="73" t="str">
        <f t="shared" si="161"/>
        <v/>
      </c>
      <c r="AO158" s="31" t="str">
        <f t="shared" si="133"/>
        <v>Darko</v>
      </c>
      <c r="AP158" s="66" t="str">
        <f t="shared" si="134"/>
        <v>Merunka</v>
      </c>
      <c r="AQ158" s="47" t="s">
        <v>0</v>
      </c>
      <c r="AR158" s="82" t="str">
        <f t="shared" si="162"/>
        <v/>
      </c>
      <c r="AS158" s="47" t="s">
        <v>0</v>
      </c>
      <c r="AT158" s="19" t="str">
        <f t="shared" si="163"/>
        <v/>
      </c>
      <c r="AU158" s="47" t="s">
        <v>0</v>
      </c>
      <c r="AV158" s="103"/>
      <c r="AW158" s="105"/>
      <c r="AX158" s="47" t="s">
        <v>0</v>
      </c>
      <c r="AY158" s="256" t="str">
        <f t="shared" si="181"/>
        <v/>
      </c>
      <c r="AZ158" s="47" t="s">
        <v>0</v>
      </c>
      <c r="BA158" s="52" t="str">
        <f t="shared" si="135"/>
        <v/>
      </c>
      <c r="BB158" s="73" t="str">
        <f>IF(AV158&amp;AW158="","",MAX(BB$12:BB157)+1)</f>
        <v/>
      </c>
      <c r="BC158" s="268" t="str">
        <f t="shared" si="136"/>
        <v/>
      </c>
      <c r="BD158" s="53" t="str">
        <f>IF(AND(AM158="NEMA",AN158="NEMA",OR(AV158&amp;AW158="",BC158="NEMA")),MAX(BD$12:BD157)+1,"")</f>
        <v/>
      </c>
      <c r="BE158" s="47" t="s">
        <v>0</v>
      </c>
      <c r="BF158" s="52" t="str">
        <f t="shared" si="137"/>
        <v>Darko</v>
      </c>
      <c r="BG158" s="31" t="str">
        <f t="shared" si="138"/>
        <v>Merunka</v>
      </c>
      <c r="BH158" s="73" t="str">
        <f t="shared" si="164"/>
        <v/>
      </c>
      <c r="BI158" s="53">
        <f t="shared" si="165"/>
        <v>1562</v>
      </c>
      <c r="BJ158" s="47" t="s">
        <v>0</v>
      </c>
      <c r="BK158" s="52" t="str">
        <f t="shared" si="139"/>
        <v>Maksimir</v>
      </c>
      <c r="BL158" s="31" t="str">
        <f t="shared" si="140"/>
        <v>OK Maksimir</v>
      </c>
      <c r="BM158" s="73">
        <f t="shared" si="141"/>
        <v>6</v>
      </c>
      <c r="BN158" s="73" t="str">
        <f t="shared" si="142"/>
        <v/>
      </c>
      <c r="BO158" s="31" t="str" cm="1">
        <f t="array" ref="BO158">IF(BN158="",""&amp;BL158,IF(BN158="NEMA",BL158,INDEX(regKlub_naziv,MATCH(INDEX(regKlub_alias_klubId,BN158),regKlub_id,0))))</f>
        <v>OK Maksimir</v>
      </c>
      <c r="BP158" s="31" t="str" cm="1">
        <f t="array" ref="BP158">IFERROR(""&amp;INDEX(regNatjecatelj_klub,DY158),"")</f>
        <v>OK Maksimir</v>
      </c>
      <c r="BQ158" s="88" t="str">
        <f t="shared" si="166"/>
        <v/>
      </c>
      <c r="BR158" s="66" t="str">
        <f t="shared" si="167"/>
        <v>OK Maksimir</v>
      </c>
      <c r="BS158" s="47" t="s">
        <v>0</v>
      </c>
      <c r="BT158" s="82" t="str">
        <f>IF(BN158&lt;&gt;"NEMA","",IF(IFERROR(MATCH(BL158,BL$12:BL157,0),0)&lt;&gt;0,"",BL158))</f>
        <v/>
      </c>
      <c r="BU158" s="47" t="s">
        <v>0</v>
      </c>
      <c r="BV158" s="125"/>
      <c r="BW158" s="47" t="s">
        <v>0</v>
      </c>
      <c r="BX158" s="58" t="str">
        <f t="shared" si="168"/>
        <v/>
      </c>
      <c r="BY158" s="31" t="str">
        <f t="shared" si="169"/>
        <v/>
      </c>
      <c r="BZ158" s="31" t="str">
        <f>IF(BY158="","",MAX(BZ$12:BZ157)+1)</f>
        <v/>
      </c>
      <c r="CA158" s="31" t="str">
        <f>IF(BY158="","",IF(AA158="","",IF(AA158="NEMA",AC158,AA158)))</f>
        <v/>
      </c>
      <c r="CB158" s="31" t="str">
        <f t="shared" si="170"/>
        <v/>
      </c>
      <c r="CC158" s="31" t="str">
        <f>IF(BV158="","",MAX(CC$12:CC157)+1)</f>
        <v/>
      </c>
      <c r="CD158" s="31" t="str">
        <f t="shared" si="171"/>
        <v/>
      </c>
      <c r="CE158" s="66" t="str">
        <f t="shared" si="172"/>
        <v/>
      </c>
      <c r="CF158" s="47" t="s">
        <v>0</v>
      </c>
      <c r="CG158" s="73" t="str">
        <f>IF(BN158="","",IF(BN158&lt;&gt;"NEMA","",IFERROR(INDEX(nat_klubAliasId,MATCH(BL158,nat_noviKluboviAliasi,0)),"")))</f>
        <v/>
      </c>
      <c r="CH158" s="47"/>
      <c r="CI158" s="19" t="str">
        <f t="shared" si="173"/>
        <v/>
      </c>
      <c r="CJ158" s="47" t="s">
        <v>0</v>
      </c>
      <c r="CK158" s="52" t="str">
        <f>IF(X158&lt;&gt;"NEMA","",IF(IFERROR(MATCH(W158,W$12:W157,0),0)&lt;&gt;0,"",W158))</f>
        <v/>
      </c>
      <c r="CL158" s="73" t="str">
        <f>IF(CK158="","",IFERROR(INDEX(regKlub_alias_id,MATCH(CK158,regKlub_alias_alias,0)),"NEMA"))</f>
        <v/>
      </c>
      <c r="CM158" s="31" t="str">
        <f>IF(OR(CL158="",CL158&lt;&gt;"NEMA"),"",MAX(CM$12:CM157)+1)</f>
        <v/>
      </c>
      <c r="CN158" s="66" t="str">
        <f>IF(OR(CL158="",CL158&lt;&gt;"NEMA"),"",INDEX(regKlub_id,MATCH(CK158,regKlub_naziv,0)))</f>
        <v/>
      </c>
      <c r="CO158" s="47" t="s">
        <v>0</v>
      </c>
      <c r="CP158" s="19" t="str">
        <f>IF(OR(CL158="",CL158&lt;&gt;"NEMA"),"","INSERT INTO klub_alias(id,alias,klub_id) VALUES ("&amp;CM158&amp;",'"&amp;CK158&amp;"',"&amp;CN158&amp;");")</f>
        <v/>
      </c>
      <c r="CQ158" s="47" t="s">
        <v>0</v>
      </c>
      <c r="CR158" s="143" t="str">
        <f>IF(BR158="","",IF(BV158="",IF(IFERROR(MATCH(BR158,nat_noviKluboviAliasi,0),0)&gt;0,INDEX(nat_kluboviAliasi,MATCH(BR158,nat_noviKluboviAliasi,0)),BR158),BV158))</f>
        <v>OK Maksimir</v>
      </c>
      <c r="CS158" s="47" t="s">
        <v>0</v>
      </c>
      <c r="CT158" s="58" t="str">
        <f>IF(G158="","",G158)</f>
        <v>36:52</v>
      </c>
      <c r="CU158" s="73" t="str">
        <f>IF(H158="","",H158)</f>
        <v>0</v>
      </c>
      <c r="CV158" s="229" t="str">
        <f>IF(CT158="",IF(OR(AL158="",CU158&lt;&gt;"0"),"","GREŠKA"),IF(AND(65535&gt;=VALUE(LEFT(CT158,SEARCH(":",CT158)-1))*60+VALUE(RIGHT(CT158,2)),OR(CU158="0",CU158="1",CU158="2",CU158="3",CU158="4")),"","GREŠKA"))</f>
        <v/>
      </c>
      <c r="CW158" s="230">
        <f t="shared" si="127"/>
        <v>2212</v>
      </c>
      <c r="CX158" s="163">
        <f t="shared" si="143"/>
        <v>1</v>
      </c>
      <c r="CY158" s="47" t="s">
        <v>0</v>
      </c>
      <c r="CZ158" s="222" t="str">
        <f>IF(CV158&lt;&gt;"GREŠKA","",AK158&amp;" "&amp;AL158&amp;" – Molim u OEventu provjeriti i ispraviti rezultat – vrijeme ("&amp;IF(CT158="","nije upisano",CT158)&amp;") i classifier ("&amp;CU158&amp;").")&amp;IF(OR(CV158&lt;&gt;"GREŠKA",CX158&lt;&gt;5),"
","")&amp;IF(CX158&lt;&gt;5,"",AK158&amp;" "&amp;AL158&amp;" – Molim u provjeriti je li natjecatelj zaista diskvalificiran. Ako je koje je obrazloženje, ako nije molim u OEventu ispraviti rezultat")</f>
        <v xml:space="preserve">
</v>
      </c>
      <c r="DA158" s="223">
        <f t="shared" si="174"/>
        <v>6</v>
      </c>
      <c r="DB158" s="47" t="s">
        <v>0</v>
      </c>
      <c r="DC158" s="47"/>
      <c r="DD158" s="47"/>
      <c r="DE158" s="47"/>
      <c r="DF158" s="47" t="s">
        <v>0</v>
      </c>
      <c r="DG158" s="53" t="str">
        <f>IF(BD158="","",IF(DI158="O",1,""))</f>
        <v/>
      </c>
      <c r="DH158" t="s">
        <v>0</v>
      </c>
      <c r="DI158" s="128" t="str">
        <f>IF(Q158="","",LEFT(INDEX(regKategorija_oznaka,MATCH(S158,regKategorija_id,0)),1))</f>
        <v>M</v>
      </c>
      <c r="DJ158" t="s">
        <v>0</v>
      </c>
      <c r="DK158" s="52" t="str">
        <f>IF(BD158="","",IF(M158&lt;&gt;"CRO","","INSERT INTO osoba (id,reg_broj,oib,spol_id,dat_rodjenja) VALUES ("&amp;BD158&amp;",(SELECT max(os.reg_broj)+1 FROM osoba AS os),Null,'"&amp;DI158&amp;"',Null); INSERT INTO osoba_log (id,reg_broj,oib,spol_id,dat_rodjenja,dnevnik_id) SELECT id,reg_broj,oib,spol_id,dat_rodjenja,"&amp;data_dnevnik_id&amp;" FROM osoba WHERE id = "&amp;BD158&amp;";"))</f>
        <v/>
      </c>
      <c r="DL158" s="66" t="str">
        <f>IF(BD158="","","INSERT INTO imeprezime (id,osoba_id,rbr,ime,prezime,klub_id,identitet_id,sintaksa_id,info,aktivno,dnevnik_id) VALUES ("&amp;BD158&amp;","&amp;IF(DK158="","Null",BD158)&amp;",1,'"&amp;IF(AV158&lt;&gt;"",AV158,AK158)&amp;"','"&amp;IF(AW158&lt;&gt;"",AW158,AL158)&amp;"',(SELECT id FROM klub WHERE naziv = '"&amp;CR158&amp;"'),Null,1,'',1,"&amp;data_dnevnik_id&amp;");")</f>
        <v/>
      </c>
      <c r="DM158" t="s">
        <v>0</v>
      </c>
      <c r="DN158" s="19" t="str">
        <f t="shared" si="182"/>
        <v/>
      </c>
      <c r="DO158" s="47" t="s">
        <v>0</v>
      </c>
      <c r="DP158" s="19" t="str">
        <f>IF(BA158="","","INSERT INTO imeprezime_alias(id,alias,imeprezime_id) VALUES ("&amp;BB158&amp;",'"&amp;BA158&amp;"',"&amp;IF(BC158="NEMA",BD158,BC158)&amp;");")</f>
        <v/>
      </c>
      <c r="DQ158" s="47" t="s">
        <v>0</v>
      </c>
      <c r="DR158" s="52" t="str">
        <f>IF(AL158="","",DU158 &amp; IF(Q158="",""," – " &amp; Q158))</f>
        <v>Darko – Merunka – OK Maksimir – M55</v>
      </c>
      <c r="DS158" s="53">
        <f t="shared" si="144"/>
        <v>367</v>
      </c>
      <c r="DT158" s="47" t="s">
        <v>0</v>
      </c>
      <c r="DU158" s="52" t="str">
        <f>IF(AL158="","",DX158 &amp; IF(CR158="",""," – " &amp; CR158))</f>
        <v>Darko – Merunka – OK Maksimir</v>
      </c>
      <c r="DV158" s="53">
        <f t="shared" si="145"/>
        <v>367</v>
      </c>
      <c r="DW158" s="47" t="s">
        <v>0</v>
      </c>
      <c r="DX158" s="52" t="str">
        <f>IF(BG158="","",BF158&amp;" – "&amp;BG158)</f>
        <v>Darko – Merunka</v>
      </c>
      <c r="DY158" s="53">
        <f t="shared" si="146"/>
        <v>367</v>
      </c>
      <c r="DZ158" s="47" t="s">
        <v>0</v>
      </c>
      <c r="EA158" s="58">
        <f t="shared" si="175"/>
        <v>367</v>
      </c>
      <c r="EB158" s="53" cm="1">
        <f t="array" ref="EB158">IF(EA158&lt;&gt;"",INDEX(regNatjecatelj_id,EA158,0),IF(BD158&lt;&gt;"",BD158,""))</f>
        <v>1562</v>
      </c>
      <c r="EC158" s="47" t="s">
        <v>0</v>
      </c>
      <c r="ED158" s="58" t="str">
        <f>IF(AL158="","",IF(BD158&lt;&gt;"","novo",IF(AN158="","imepre","imepre(ali)")))</f>
        <v>imepre</v>
      </c>
      <c r="EE158" s="73" t="str">
        <f>IF(AL158="","",IF(BL158="",IF(IFERROR(INDEX(regNatjecatelj_klub,MATCH(EB158,regNatjecatelj_id,0)),"NEMA")="","klu",""),IF(OR(AND(BN158&lt;&gt;"",BN158&lt;&gt;"NEMA"),CD158&lt;&gt;""),"klu(ali)",IF(AND(BP158&lt;&gt;"",BP158&lt;&gt;BO158),"(raz-klu)","klu"))))</f>
        <v>klu</v>
      </c>
      <c r="EF158" s="73" t="str">
        <f>IF(AL158="","","kat"&amp;IF(AND(W158&lt;&gt;Q158,Q158&lt;&gt;"Open"),"(ali)",""))</f>
        <v>kat</v>
      </c>
      <c r="EG158" s="73" t="str">
        <f t="shared" si="147"/>
        <v/>
      </c>
      <c r="EH158" s="66" t="str">
        <f>IF(AL158="","",ED158&amp;IF(ED158="novo","","-"&amp;EE158&amp;"-"&amp;EF158)&amp;IF(EG158="","","-"&amp;EG158))</f>
        <v>imepre-klu-kat</v>
      </c>
      <c r="EI158" s="47" t="s">
        <v>0</v>
      </c>
      <c r="EJ158" s="58">
        <f>IF(AL158="","",MAX(EJ$12:EJ157)+1)</f>
        <v>323</v>
      </c>
      <c r="EK158" s="73">
        <f>IF(AO158="","",X158)</f>
        <v>31</v>
      </c>
      <c r="EL158" s="73">
        <f t="shared" si="176"/>
        <v>1562</v>
      </c>
      <c r="EM158" s="73">
        <f t="shared" si="148"/>
        <v>2212</v>
      </c>
      <c r="EN158" s="73">
        <f t="shared" si="149"/>
        <v>1</v>
      </c>
      <c r="EO158" s="73">
        <f t="shared" si="177"/>
        <v>1</v>
      </c>
      <c r="EP158" s="73">
        <f t="shared" si="178"/>
        <v>1</v>
      </c>
      <c r="EQ158" s="73" t="str">
        <f t="shared" si="150"/>
        <v>0</v>
      </c>
      <c r="ER158" s="73" t="str">
        <f>IF(OR(AN158="",AN158="NEMA"),BB158,AN158)</f>
        <v/>
      </c>
      <c r="ES158" s="73" t="str">
        <f>IF(AND(BN158&lt;&gt;"",BN158&lt;&gt;"NEMA"),BN158,IF(CG158&lt;&gt;"",CG158,IF(AND(CL158&lt;&gt;"",CL158&lt;&gt;"NEMA"),CL158,IF(CM158&lt;&gt;"",CM158,""))))</f>
        <v/>
      </c>
      <c r="ET158" s="53" t="str">
        <f>IF(INDEX(natKategorija_alias_Id,MATCH(S158,natKategorija_katRegId,0))="","",INDEX(natKategorija_alias_Id,MATCH(S158,natKategorija_katRegId,0)))</f>
        <v/>
      </c>
      <c r="EU158" s="47" t="s">
        <v>0</v>
      </c>
      <c r="EV158" s="19" t="str">
        <f t="shared" si="179"/>
        <v>INSERT INTO rezultat(id,stazakategorija_id,imeprezime_id,vrijeme_sec,status_id,registracija,uparivanje_id,originalstatus_id,imeprezimealias_id,klubalias_id,kategorijaalias_id) VALUES (323,31,1562,2212,1,1,1,0,Null,Null,Null);</v>
      </c>
      <c r="EW158" s="47" t="s">
        <v>0</v>
      </c>
      <c r="EX158" s="19" t="str">
        <f t="shared" si="180"/>
        <v>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58" s="47" t="s">
        <v>0</v>
      </c>
      <c r="EZ158" s="180" t="str">
        <f>AG158&amp;IF(CP158="","","
")&amp;CP158&amp;IF(CI158="","","
")&amp;CI158&amp;IF(DN158="","","
")&amp;DN158&amp;IF(DP158="","","
")&amp;DP158&amp;IF(EV158="","","
")&amp;EV158&amp;IF(EX158="","","
")&amp;EX158</f>
        <v xml:space="preserve">
INSERT INTO rezultat(id,stazakategorija_id,imeprezime_id,vrijeme_sec,status_id,registracija,uparivanje_id,originalstatus_id,imeprezimealias_id,klubalias_id,kategorijaalias_id) VALUES (323,31,1562,2212,1,1,1,0,Null,Null,Null);
UPDATE
	registar
SET
	potvrda = 1
WHERE
	imeprezime_id=1562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58" s="47" t="s">
        <v>0</v>
      </c>
    </row>
    <row r="159" spans="1:157" x14ac:dyDescent="0.25">
      <c r="A159" t="s">
        <v>0</v>
      </c>
      <c r="B159" s="52" t="str">
        <f>IF(csv!F149="","",csv!T149)</f>
        <v>M55</v>
      </c>
      <c r="C159" s="31" t="s">
        <v>0</v>
      </c>
      <c r="D159" s="31" t="str">
        <f>IF(csv!F149="","",csv!F149)</f>
        <v>Petar</v>
      </c>
      <c r="E159" s="31" t="str">
        <f>IF(csv!E149="","",csv!E149)</f>
        <v>Strmečki</v>
      </c>
      <c r="F159" s="31" t="s">
        <v>0</v>
      </c>
      <c r="G159" s="73" t="str">
        <f>IF(csv!M149="","",csv!M149)</f>
        <v>39:40</v>
      </c>
      <c r="H159" s="73" t="str">
        <f>IF(csv!N149="","",csv!N149)</f>
        <v>0</v>
      </c>
      <c r="I159" s="31" t="s">
        <v>0</v>
      </c>
      <c r="J159" s="31" t="str">
        <f>IF(csv!P149="","",csv!P149)</f>
        <v>Maksimir</v>
      </c>
      <c r="K159" s="31" t="str">
        <f>IF(csv!Q149="","",csv!Q149)</f>
        <v>OK Maksimir</v>
      </c>
      <c r="L159" s="31" t="s">
        <v>0</v>
      </c>
      <c r="M159" s="66" t="str">
        <f>IF(csv!R149="","",csv!R149)</f>
        <v>CRO</v>
      </c>
      <c r="N159" s="47" t="s">
        <v>0</v>
      </c>
      <c r="O159" s="243" t="str">
        <f t="shared" si="151"/>
        <v>ok</v>
      </c>
      <c r="P159" s="47"/>
      <c r="Q159" s="52" t="str">
        <f t="shared" si="152"/>
        <v>M55</v>
      </c>
      <c r="R159" s="73">
        <f>IF(Q159="","",IF(COUNTIF(Q$12:Q158,Q159)=0,R158+1,R158))</f>
        <v>9</v>
      </c>
      <c r="S159" s="73">
        <f t="shared" si="153"/>
        <v>105</v>
      </c>
      <c r="T159" s="73">
        <f t="shared" si="128"/>
        <v>16</v>
      </c>
      <c r="U159" s="66" t="str">
        <f t="shared" si="129"/>
        <v>M55</v>
      </c>
      <c r="V159" s="47" t="s">
        <v>0</v>
      </c>
      <c r="W159" s="222" t="str">
        <f t="shared" si="130"/>
        <v>M55</v>
      </c>
      <c r="X159" s="223">
        <f t="shared" si="131"/>
        <v>31</v>
      </c>
      <c r="Y159" s="47" t="s">
        <v>0</v>
      </c>
      <c r="Z159" s="52" t="str">
        <f t="shared" si="154"/>
        <v>CRO</v>
      </c>
      <c r="AA159" s="73">
        <f t="shared" si="132"/>
        <v>1</v>
      </c>
      <c r="AB159" s="31" t="str">
        <f t="shared" si="155"/>
        <v/>
      </c>
      <c r="AC159" s="66" t="str">
        <f>IF(AB159="","",MAX(AC$12:AC158)+1)</f>
        <v/>
      </c>
      <c r="AD159" s="47" t="s">
        <v>0</v>
      </c>
      <c r="AE159" s="125"/>
      <c r="AF159" s="47" t="s">
        <v>0</v>
      </c>
      <c r="AG159" s="19" t="str">
        <f t="shared" si="156"/>
        <v/>
      </c>
      <c r="AH159" s="47" t="s">
        <v>0</v>
      </c>
      <c r="AI159" s="143" t="str">
        <f t="shared" si="157"/>
        <v>CRO</v>
      </c>
      <c r="AJ159" s="47"/>
      <c r="AK159" s="52" t="str">
        <f t="shared" si="158"/>
        <v>Petar</v>
      </c>
      <c r="AL159" s="31" t="str">
        <f t="shared" si="159"/>
        <v>Strmečki</v>
      </c>
      <c r="AM159" s="73">
        <f t="shared" si="160"/>
        <v>1257</v>
      </c>
      <c r="AN159" s="73" t="str">
        <f t="shared" si="161"/>
        <v/>
      </c>
      <c r="AO159" s="31" t="str">
        <f t="shared" si="133"/>
        <v>Petar</v>
      </c>
      <c r="AP159" s="66" t="str">
        <f t="shared" si="134"/>
        <v>Strmečki</v>
      </c>
      <c r="AQ159" s="47" t="s">
        <v>0</v>
      </c>
      <c r="AR159" s="82" t="str">
        <f t="shared" si="162"/>
        <v/>
      </c>
      <c r="AS159" s="47" t="s">
        <v>0</v>
      </c>
      <c r="AT159" s="19" t="str">
        <f t="shared" si="163"/>
        <v/>
      </c>
      <c r="AU159" s="47" t="s">
        <v>0</v>
      </c>
      <c r="AV159" s="103"/>
      <c r="AW159" s="105"/>
      <c r="AX159" s="47" t="s">
        <v>0</v>
      </c>
      <c r="AY159" s="256" t="str">
        <f t="shared" si="181"/>
        <v/>
      </c>
      <c r="AZ159" s="47" t="s">
        <v>0</v>
      </c>
      <c r="BA159" s="52" t="str">
        <f t="shared" si="135"/>
        <v/>
      </c>
      <c r="BB159" s="73" t="str">
        <f>IF(AV159&amp;AW159="","",MAX(BB$12:BB158)+1)</f>
        <v/>
      </c>
      <c r="BC159" s="268" t="str">
        <f t="shared" si="136"/>
        <v/>
      </c>
      <c r="BD159" s="53" t="str">
        <f>IF(AND(AM159="NEMA",AN159="NEMA",OR(AV159&amp;AW159="",BC159="NEMA")),MAX(BD$12:BD158)+1,"")</f>
        <v/>
      </c>
      <c r="BE159" s="47" t="s">
        <v>0</v>
      </c>
      <c r="BF159" s="52" t="str">
        <f t="shared" si="137"/>
        <v>Petar</v>
      </c>
      <c r="BG159" s="31" t="str">
        <f t="shared" si="138"/>
        <v>Strmečki</v>
      </c>
      <c r="BH159" s="73" t="str">
        <f t="shared" si="164"/>
        <v/>
      </c>
      <c r="BI159" s="53">
        <f t="shared" si="165"/>
        <v>1257</v>
      </c>
      <c r="BJ159" s="47" t="s">
        <v>0</v>
      </c>
      <c r="BK159" s="52" t="str">
        <f t="shared" si="139"/>
        <v>Maksimir</v>
      </c>
      <c r="BL159" s="31" t="str">
        <f t="shared" si="140"/>
        <v>OK Maksimir</v>
      </c>
      <c r="BM159" s="73">
        <f t="shared" si="141"/>
        <v>6</v>
      </c>
      <c r="BN159" s="73" t="str">
        <f t="shared" si="142"/>
        <v/>
      </c>
      <c r="BO159" s="31" t="str" cm="1">
        <f t="array" ref="BO159">IF(BN159="",""&amp;BL159,IF(BN159="NEMA",BL159,INDEX(regKlub_naziv,MATCH(INDEX(regKlub_alias_klubId,BN159),regKlub_id,0))))</f>
        <v>OK Maksimir</v>
      </c>
      <c r="BP159" s="31" t="str" cm="1">
        <f t="array" ref="BP159">IFERROR(""&amp;INDEX(regNatjecatelj_klub,DY159),"")</f>
        <v>OK Maksimir</v>
      </c>
      <c r="BQ159" s="88" t="str">
        <f t="shared" si="166"/>
        <v/>
      </c>
      <c r="BR159" s="66" t="str">
        <f t="shared" si="167"/>
        <v>OK Maksimir</v>
      </c>
      <c r="BS159" s="47" t="s">
        <v>0</v>
      </c>
      <c r="BT159" s="82" t="str">
        <f>IF(BN159&lt;&gt;"NEMA","",IF(IFERROR(MATCH(BL159,BL$12:BL158,0),0)&lt;&gt;0,"",BL159))</f>
        <v/>
      </c>
      <c r="BU159" s="47" t="s">
        <v>0</v>
      </c>
      <c r="BV159" s="125"/>
      <c r="BW159" s="47" t="s">
        <v>0</v>
      </c>
      <c r="BX159" s="58" t="str">
        <f t="shared" si="168"/>
        <v/>
      </c>
      <c r="BY159" s="31" t="str">
        <f t="shared" si="169"/>
        <v/>
      </c>
      <c r="BZ159" s="31" t="str">
        <f>IF(BY159="","",MAX(BZ$12:BZ158)+1)</f>
        <v/>
      </c>
      <c r="CA159" s="31" t="str">
        <f>IF(BY159="","",IF(AA159="","",IF(AA159="NEMA",AC159,AA159)))</f>
        <v/>
      </c>
      <c r="CB159" s="31" t="str">
        <f t="shared" si="170"/>
        <v/>
      </c>
      <c r="CC159" s="31" t="str">
        <f>IF(BV159="","",MAX(CC$12:CC158)+1)</f>
        <v/>
      </c>
      <c r="CD159" s="31" t="str">
        <f t="shared" si="171"/>
        <v/>
      </c>
      <c r="CE159" s="66" t="str">
        <f t="shared" si="172"/>
        <v/>
      </c>
      <c r="CF159" s="47" t="s">
        <v>0</v>
      </c>
      <c r="CG159" s="73" t="str">
        <f>IF(BN159="","",IF(BN159&lt;&gt;"NEMA","",IFERROR(INDEX(nat_klubAliasId,MATCH(BL159,nat_noviKluboviAliasi,0)),"")))</f>
        <v/>
      </c>
      <c r="CH159" s="47"/>
      <c r="CI159" s="19" t="str">
        <f t="shared" si="173"/>
        <v/>
      </c>
      <c r="CJ159" s="47" t="s">
        <v>0</v>
      </c>
      <c r="CK159" s="52" t="str">
        <f>IF(X159&lt;&gt;"NEMA","",IF(IFERROR(MATCH(W159,W$12:W158,0),0)&lt;&gt;0,"",W159))</f>
        <v/>
      </c>
      <c r="CL159" s="73" t="str">
        <f>IF(CK159="","",IFERROR(INDEX(regKlub_alias_id,MATCH(CK159,regKlub_alias_alias,0)),"NEMA"))</f>
        <v/>
      </c>
      <c r="CM159" s="31" t="str">
        <f>IF(OR(CL159="",CL159&lt;&gt;"NEMA"),"",MAX(CM$12:CM158)+1)</f>
        <v/>
      </c>
      <c r="CN159" s="66" t="str">
        <f>IF(OR(CL159="",CL159&lt;&gt;"NEMA"),"",INDEX(regKlub_id,MATCH(CK159,regKlub_naziv,0)))</f>
        <v/>
      </c>
      <c r="CO159" s="47" t="s">
        <v>0</v>
      </c>
      <c r="CP159" s="19" t="str">
        <f>IF(OR(CL159="",CL159&lt;&gt;"NEMA"),"","INSERT INTO klub_alias(id,alias,klub_id) VALUES ("&amp;CM159&amp;",'"&amp;CK159&amp;"',"&amp;CN159&amp;");")</f>
        <v/>
      </c>
      <c r="CQ159" s="47" t="s">
        <v>0</v>
      </c>
      <c r="CR159" s="143" t="str">
        <f>IF(BR159="","",IF(BV159="",IF(IFERROR(MATCH(BR159,nat_noviKluboviAliasi,0),0)&gt;0,INDEX(nat_kluboviAliasi,MATCH(BR159,nat_noviKluboviAliasi,0)),BR159),BV159))</f>
        <v>OK Maksimir</v>
      </c>
      <c r="CS159" s="47" t="s">
        <v>0</v>
      </c>
      <c r="CT159" s="58" t="str">
        <f>IF(G159="","",G159)</f>
        <v>39:40</v>
      </c>
      <c r="CU159" s="73" t="str">
        <f>IF(H159="","",H159)</f>
        <v>0</v>
      </c>
      <c r="CV159" s="229" t="str">
        <f>IF(CT159="",IF(OR(AL159="",CU159&lt;&gt;"0"),"","GREŠKA"),IF(AND(65535&gt;=VALUE(LEFT(CT159,SEARCH(":",CT159)-1))*60+VALUE(RIGHT(CT159,2)),OR(CU159="0",CU159="1",CU159="2",CU159="3",CU159="4")),"","GREŠKA"))</f>
        <v/>
      </c>
      <c r="CW159" s="230">
        <f t="shared" si="127"/>
        <v>2380</v>
      </c>
      <c r="CX159" s="163">
        <f t="shared" si="143"/>
        <v>1</v>
      </c>
      <c r="CY159" s="47" t="s">
        <v>0</v>
      </c>
      <c r="CZ159" s="222" t="str">
        <f>IF(CV159&lt;&gt;"GREŠKA","",AK159&amp;" "&amp;AL159&amp;" – Molim u OEventu provjeriti i ispraviti rezultat – vrijeme ("&amp;IF(CT159="","nije upisano",CT159)&amp;") i classifier ("&amp;CU159&amp;").")&amp;IF(OR(CV159&lt;&gt;"GREŠKA",CX159&lt;&gt;5),"
","")&amp;IF(CX159&lt;&gt;5,"",AK159&amp;" "&amp;AL159&amp;" – Molim u provjeriti je li natjecatelj zaista diskvalificiran. Ako je koje je obrazloženje, ako nije molim u OEventu ispraviti rezultat")</f>
        <v xml:space="preserve">
</v>
      </c>
      <c r="DA159" s="223">
        <f t="shared" si="174"/>
        <v>6</v>
      </c>
      <c r="DB159" s="47" t="s">
        <v>0</v>
      </c>
      <c r="DC159" s="47"/>
      <c r="DD159" s="47"/>
      <c r="DE159" s="47"/>
      <c r="DF159" s="47" t="s">
        <v>0</v>
      </c>
      <c r="DG159" s="53" t="str">
        <f>IF(BD159="","",IF(DI159="O",1,""))</f>
        <v/>
      </c>
      <c r="DH159" t="s">
        <v>0</v>
      </c>
      <c r="DI159" s="128" t="str">
        <f>IF(Q159="","",LEFT(INDEX(regKategorija_oznaka,MATCH(S159,regKategorija_id,0)),1))</f>
        <v>M</v>
      </c>
      <c r="DJ159" t="s">
        <v>0</v>
      </c>
      <c r="DK159" s="52" t="str">
        <f>IF(BD159="","",IF(M159&lt;&gt;"CRO","","INSERT INTO osoba (id,reg_broj,oib,spol_id,dat_rodjenja) VALUES ("&amp;BD159&amp;",(SELECT max(os.reg_broj)+1 FROM osoba AS os),Null,'"&amp;DI159&amp;"',Null); INSERT INTO osoba_log (id,reg_broj,oib,spol_id,dat_rodjenja,dnevnik_id) SELECT id,reg_broj,oib,spol_id,dat_rodjenja,"&amp;data_dnevnik_id&amp;" FROM osoba WHERE id = "&amp;BD159&amp;";"))</f>
        <v/>
      </c>
      <c r="DL159" s="66" t="str">
        <f>IF(BD159="","","INSERT INTO imeprezime (id,osoba_id,rbr,ime,prezime,klub_id,identitet_id,sintaksa_id,info,aktivno,dnevnik_id) VALUES ("&amp;BD159&amp;","&amp;IF(DK159="","Null",BD159)&amp;",1,'"&amp;IF(AV159&lt;&gt;"",AV159,AK159)&amp;"','"&amp;IF(AW159&lt;&gt;"",AW159,AL159)&amp;"',(SELECT id FROM klub WHERE naziv = '"&amp;CR159&amp;"'),Null,1,'',1,"&amp;data_dnevnik_id&amp;");")</f>
        <v/>
      </c>
      <c r="DM159" t="s">
        <v>0</v>
      </c>
      <c r="DN159" s="19" t="str">
        <f t="shared" si="182"/>
        <v/>
      </c>
      <c r="DO159" s="47" t="s">
        <v>0</v>
      </c>
      <c r="DP159" s="19" t="str">
        <f>IF(BA159="","","INSERT INTO imeprezime_alias(id,alias,imeprezime_id) VALUES ("&amp;BB159&amp;",'"&amp;BA159&amp;"',"&amp;IF(BC159="NEMA",BD159,BC159)&amp;");")</f>
        <v/>
      </c>
      <c r="DQ159" s="47" t="s">
        <v>0</v>
      </c>
      <c r="DR159" s="52" t="str">
        <f>IF(AL159="","",DU159 &amp; IF(Q159="",""," – " &amp; Q159))</f>
        <v>Petar – Strmečki – OK Maksimir – M55</v>
      </c>
      <c r="DS159" s="53">
        <f t="shared" si="144"/>
        <v>383</v>
      </c>
      <c r="DT159" s="47" t="s">
        <v>0</v>
      </c>
      <c r="DU159" s="52" t="str">
        <f>IF(AL159="","",DX159 &amp; IF(CR159="",""," – " &amp; CR159))</f>
        <v>Petar – Strmečki – OK Maksimir</v>
      </c>
      <c r="DV159" s="53">
        <f t="shared" si="145"/>
        <v>383</v>
      </c>
      <c r="DW159" s="47" t="s">
        <v>0</v>
      </c>
      <c r="DX159" s="52" t="str">
        <f>IF(BG159="","",BF159&amp;" – "&amp;BG159)</f>
        <v>Petar – Strmečki</v>
      </c>
      <c r="DY159" s="53">
        <f t="shared" si="146"/>
        <v>383</v>
      </c>
      <c r="DZ159" s="47" t="s">
        <v>0</v>
      </c>
      <c r="EA159" s="58">
        <f t="shared" si="175"/>
        <v>383</v>
      </c>
      <c r="EB159" s="53" cm="1">
        <f t="array" ref="EB159">IF(EA159&lt;&gt;"",INDEX(regNatjecatelj_id,EA159,0),IF(BD159&lt;&gt;"",BD159,""))</f>
        <v>1257</v>
      </c>
      <c r="EC159" s="47" t="s">
        <v>0</v>
      </c>
      <c r="ED159" s="58" t="str">
        <f>IF(AL159="","",IF(BD159&lt;&gt;"","novo",IF(AN159="","imepre","imepre(ali)")))</f>
        <v>imepre</v>
      </c>
      <c r="EE159" s="73" t="str">
        <f>IF(AL159="","",IF(BL159="",IF(IFERROR(INDEX(regNatjecatelj_klub,MATCH(EB159,regNatjecatelj_id,0)),"NEMA")="","klu",""),IF(OR(AND(BN159&lt;&gt;"",BN159&lt;&gt;"NEMA"),CD159&lt;&gt;""),"klu(ali)",IF(AND(BP159&lt;&gt;"",BP159&lt;&gt;BO159),"(raz-klu)","klu"))))</f>
        <v>klu</v>
      </c>
      <c r="EF159" s="73" t="str">
        <f>IF(AL159="","","kat"&amp;IF(AND(W159&lt;&gt;Q159,Q159&lt;&gt;"Open"),"(ali)",""))</f>
        <v>kat</v>
      </c>
      <c r="EG159" s="73" t="str">
        <f t="shared" si="147"/>
        <v/>
      </c>
      <c r="EH159" s="66" t="str">
        <f>IF(AL159="","",ED159&amp;IF(ED159="novo","","-"&amp;EE159&amp;"-"&amp;EF159)&amp;IF(EG159="","","-"&amp;EG159))</f>
        <v>imepre-klu-kat</v>
      </c>
      <c r="EI159" s="47" t="s">
        <v>0</v>
      </c>
      <c r="EJ159" s="58">
        <f>IF(AL159="","",MAX(EJ$12:EJ158)+1)</f>
        <v>324</v>
      </c>
      <c r="EK159" s="73">
        <f>IF(AO159="","",X159)</f>
        <v>31</v>
      </c>
      <c r="EL159" s="73">
        <f t="shared" si="176"/>
        <v>1257</v>
      </c>
      <c r="EM159" s="73">
        <f t="shared" si="148"/>
        <v>2380</v>
      </c>
      <c r="EN159" s="73">
        <f t="shared" si="149"/>
        <v>1</v>
      </c>
      <c r="EO159" s="73">
        <f t="shared" si="177"/>
        <v>1</v>
      </c>
      <c r="EP159" s="73">
        <f t="shared" si="178"/>
        <v>1</v>
      </c>
      <c r="EQ159" s="73" t="str">
        <f t="shared" si="150"/>
        <v>0</v>
      </c>
      <c r="ER159" s="73" t="str">
        <f>IF(OR(AN159="",AN159="NEMA"),BB159,AN159)</f>
        <v/>
      </c>
      <c r="ES159" s="73" t="str">
        <f>IF(AND(BN159&lt;&gt;"",BN159&lt;&gt;"NEMA"),BN159,IF(CG159&lt;&gt;"",CG159,IF(AND(CL159&lt;&gt;"",CL159&lt;&gt;"NEMA"),CL159,IF(CM159&lt;&gt;"",CM159,""))))</f>
        <v/>
      </c>
      <c r="ET159" s="53" t="str">
        <f>IF(INDEX(natKategorija_alias_Id,MATCH(S159,natKategorija_katRegId,0))="","",INDEX(natKategorija_alias_Id,MATCH(S159,natKategorija_katRegId,0)))</f>
        <v/>
      </c>
      <c r="EU159" s="47" t="s">
        <v>0</v>
      </c>
      <c r="EV159" s="19" t="str">
        <f t="shared" si="179"/>
        <v>INSERT INTO rezultat(id,stazakategorija_id,imeprezime_id,vrijeme_sec,status_id,registracija,uparivanje_id,originalstatus_id,imeprezimealias_id,klubalias_id,kategorijaalias_id) VALUES (324,31,1257,2380,1,1,1,0,Null,Null,Null);</v>
      </c>
      <c r="EW159" s="47" t="s">
        <v>0</v>
      </c>
      <c r="EX159" s="19" t="str">
        <f t="shared" si="180"/>
        <v>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59" s="47" t="s">
        <v>0</v>
      </c>
      <c r="EZ159" s="180" t="str">
        <f>AG159&amp;IF(CP159="","","
")&amp;CP159&amp;IF(CI159="","","
")&amp;CI159&amp;IF(DN159="","","
")&amp;DN159&amp;IF(DP159="","","
")&amp;DP159&amp;IF(EV159="","","
")&amp;EV159&amp;IF(EX159="","","
")&amp;EX159</f>
        <v xml:space="preserve">
INSERT INTO rezultat(id,stazakategorija_id,imeprezime_id,vrijeme_sec,status_id,registracija,uparivanje_id,originalstatus_id,imeprezimealias_id,klubalias_id,kategorijaalias_id) VALUES (324,31,1257,2380,1,1,1,0,Null,Null,Null);
UPDATE
	registar
SET
	potvrda = 1
WHERE
	imeprezime_id=1257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59" s="47" t="s">
        <v>0</v>
      </c>
    </row>
    <row r="160" spans="1:157" x14ac:dyDescent="0.25">
      <c r="A160" t="s">
        <v>0</v>
      </c>
      <c r="B160" s="52" t="str">
        <f>IF(csv!F150="","",csv!T150)</f>
        <v>M55</v>
      </c>
      <c r="C160" s="31" t="s">
        <v>0</v>
      </c>
      <c r="D160" s="31" t="str">
        <f>IF(csv!F150="","",csv!F150)</f>
        <v>Saša</v>
      </c>
      <c r="E160" s="31" t="str">
        <f>IF(csv!E150="","",csv!E150)</f>
        <v>Horvat</v>
      </c>
      <c r="F160" s="31" t="s">
        <v>0</v>
      </c>
      <c r="G160" s="73" t="str">
        <f>IF(csv!M150="","",csv!M150)</f>
        <v>41:12</v>
      </c>
      <c r="H160" s="73" t="str">
        <f>IF(csv!N150="","",csv!N150)</f>
        <v>0</v>
      </c>
      <c r="I160" s="31" t="s">
        <v>0</v>
      </c>
      <c r="J160" s="31" t="str">
        <f>IF(csv!P150="","",csv!P150)</f>
        <v>Maksimir</v>
      </c>
      <c r="K160" s="31" t="str">
        <f>IF(csv!Q150="","",csv!Q150)</f>
        <v>OK Maksimir</v>
      </c>
      <c r="L160" s="31" t="s">
        <v>0</v>
      </c>
      <c r="M160" s="66" t="str">
        <f>IF(csv!R150="","",csv!R150)</f>
        <v>CRO</v>
      </c>
      <c r="N160" s="47" t="s">
        <v>0</v>
      </c>
      <c r="O160" s="243" t="str">
        <f t="shared" si="151"/>
        <v>ok</v>
      </c>
      <c r="P160" s="47"/>
      <c r="Q160" s="52" t="str">
        <f t="shared" si="152"/>
        <v>M55</v>
      </c>
      <c r="R160" s="73">
        <f>IF(Q160="","",IF(COUNTIF(Q$12:Q159,Q160)=0,R159+1,R159))</f>
        <v>9</v>
      </c>
      <c r="S160" s="73">
        <f t="shared" si="153"/>
        <v>105</v>
      </c>
      <c r="T160" s="73">
        <f t="shared" si="128"/>
        <v>16</v>
      </c>
      <c r="U160" s="66" t="str">
        <f t="shared" si="129"/>
        <v>M55</v>
      </c>
      <c r="V160" s="47" t="s">
        <v>0</v>
      </c>
      <c r="W160" s="222" t="str">
        <f t="shared" si="130"/>
        <v>M55</v>
      </c>
      <c r="X160" s="223">
        <f t="shared" si="131"/>
        <v>31</v>
      </c>
      <c r="Y160" s="47" t="s">
        <v>0</v>
      </c>
      <c r="Z160" s="52" t="str">
        <f t="shared" si="154"/>
        <v>CRO</v>
      </c>
      <c r="AA160" s="73">
        <f t="shared" si="132"/>
        <v>1</v>
      </c>
      <c r="AB160" s="31" t="str">
        <f t="shared" si="155"/>
        <v/>
      </c>
      <c r="AC160" s="66" t="str">
        <f>IF(AB160="","",MAX(AC$12:AC159)+1)</f>
        <v/>
      </c>
      <c r="AD160" s="47" t="s">
        <v>0</v>
      </c>
      <c r="AE160" s="125"/>
      <c r="AF160" s="47" t="s">
        <v>0</v>
      </c>
      <c r="AG160" s="19" t="str">
        <f t="shared" si="156"/>
        <v/>
      </c>
      <c r="AH160" s="47" t="s">
        <v>0</v>
      </c>
      <c r="AI160" s="143" t="str">
        <f t="shared" si="157"/>
        <v>CRO</v>
      </c>
      <c r="AJ160" s="47"/>
      <c r="AK160" s="52" t="str">
        <f t="shared" si="158"/>
        <v>Saša</v>
      </c>
      <c r="AL160" s="31" t="str">
        <f t="shared" si="159"/>
        <v>Horvat</v>
      </c>
      <c r="AM160" s="73">
        <f t="shared" si="160"/>
        <v>1109</v>
      </c>
      <c r="AN160" s="73" t="str">
        <f t="shared" si="161"/>
        <v/>
      </c>
      <c r="AO160" s="31" t="str">
        <f t="shared" si="133"/>
        <v>Saša</v>
      </c>
      <c r="AP160" s="66" t="str">
        <f t="shared" si="134"/>
        <v>Horvat</v>
      </c>
      <c r="AQ160" s="47" t="s">
        <v>0</v>
      </c>
      <c r="AR160" s="82" t="str">
        <f t="shared" si="162"/>
        <v/>
      </c>
      <c r="AS160" s="47" t="s">
        <v>0</v>
      </c>
      <c r="AT160" s="19" t="str">
        <f t="shared" si="163"/>
        <v/>
      </c>
      <c r="AU160" s="47" t="s">
        <v>0</v>
      </c>
      <c r="AV160" s="103"/>
      <c r="AW160" s="105"/>
      <c r="AX160" s="47" t="s">
        <v>0</v>
      </c>
      <c r="AY160" s="256" t="str">
        <f t="shared" si="181"/>
        <v/>
      </c>
      <c r="AZ160" s="47" t="s">
        <v>0</v>
      </c>
      <c r="BA160" s="52" t="str">
        <f t="shared" si="135"/>
        <v/>
      </c>
      <c r="BB160" s="73" t="str">
        <f>IF(AV160&amp;AW160="","",MAX(BB$12:BB159)+1)</f>
        <v/>
      </c>
      <c r="BC160" s="268" t="str">
        <f t="shared" si="136"/>
        <v/>
      </c>
      <c r="BD160" s="53" t="str">
        <f>IF(AND(AM160="NEMA",AN160="NEMA",OR(AV160&amp;AW160="",BC160="NEMA")),MAX(BD$12:BD159)+1,"")</f>
        <v/>
      </c>
      <c r="BE160" s="47" t="s">
        <v>0</v>
      </c>
      <c r="BF160" s="52" t="str">
        <f t="shared" si="137"/>
        <v>Saša</v>
      </c>
      <c r="BG160" s="31" t="str">
        <f t="shared" si="138"/>
        <v>Horvat</v>
      </c>
      <c r="BH160" s="73" t="str">
        <f t="shared" si="164"/>
        <v/>
      </c>
      <c r="BI160" s="53">
        <f t="shared" si="165"/>
        <v>1109</v>
      </c>
      <c r="BJ160" s="47" t="s">
        <v>0</v>
      </c>
      <c r="BK160" s="52" t="str">
        <f t="shared" si="139"/>
        <v>Maksimir</v>
      </c>
      <c r="BL160" s="31" t="str">
        <f t="shared" si="140"/>
        <v>OK Maksimir</v>
      </c>
      <c r="BM160" s="73">
        <f t="shared" si="141"/>
        <v>6</v>
      </c>
      <c r="BN160" s="73" t="str">
        <f t="shared" si="142"/>
        <v/>
      </c>
      <c r="BO160" s="31" t="str" cm="1">
        <f t="array" ref="BO160">IF(BN160="",""&amp;BL160,IF(BN160="NEMA",BL160,INDEX(regKlub_naziv,MATCH(INDEX(regKlub_alias_klubId,BN160),regKlub_id,0))))</f>
        <v>OK Maksimir</v>
      </c>
      <c r="BP160" s="31" t="str" cm="1">
        <f t="array" ref="BP160">IFERROR(""&amp;INDEX(regNatjecatelj_klub,DY160),"")</f>
        <v>OK Maksimir</v>
      </c>
      <c r="BQ160" s="88" t="str">
        <f t="shared" si="166"/>
        <v/>
      </c>
      <c r="BR160" s="66" t="str">
        <f t="shared" si="167"/>
        <v>OK Maksimir</v>
      </c>
      <c r="BS160" s="47" t="s">
        <v>0</v>
      </c>
      <c r="BT160" s="82" t="str">
        <f>IF(BN160&lt;&gt;"NEMA","",IF(IFERROR(MATCH(BL160,BL$12:BL159,0),0)&lt;&gt;0,"",BL160))</f>
        <v/>
      </c>
      <c r="BU160" s="47" t="s">
        <v>0</v>
      </c>
      <c r="BV160" s="125"/>
      <c r="BW160" s="47" t="s">
        <v>0</v>
      </c>
      <c r="BX160" s="58" t="str">
        <f t="shared" si="168"/>
        <v/>
      </c>
      <c r="BY160" s="31" t="str">
        <f t="shared" si="169"/>
        <v/>
      </c>
      <c r="BZ160" s="31" t="str">
        <f>IF(BY160="","",MAX(BZ$12:BZ159)+1)</f>
        <v/>
      </c>
      <c r="CA160" s="31" t="str">
        <f>IF(BY160="","",IF(AA160="","",IF(AA160="NEMA",AC160,AA160)))</f>
        <v/>
      </c>
      <c r="CB160" s="31" t="str">
        <f t="shared" si="170"/>
        <v/>
      </c>
      <c r="CC160" s="31" t="str">
        <f>IF(BV160="","",MAX(CC$12:CC159)+1)</f>
        <v/>
      </c>
      <c r="CD160" s="31" t="str">
        <f t="shared" si="171"/>
        <v/>
      </c>
      <c r="CE160" s="66" t="str">
        <f t="shared" si="172"/>
        <v/>
      </c>
      <c r="CF160" s="47" t="s">
        <v>0</v>
      </c>
      <c r="CG160" s="73" t="str">
        <f>IF(BN160="","",IF(BN160&lt;&gt;"NEMA","",IFERROR(INDEX(nat_klubAliasId,MATCH(BL160,nat_noviKluboviAliasi,0)),"")))</f>
        <v/>
      </c>
      <c r="CH160" s="47"/>
      <c r="CI160" s="19" t="str">
        <f t="shared" si="173"/>
        <v/>
      </c>
      <c r="CJ160" s="47" t="s">
        <v>0</v>
      </c>
      <c r="CK160" s="52" t="str">
        <f>IF(X160&lt;&gt;"NEMA","",IF(IFERROR(MATCH(W160,W$12:W159,0),0)&lt;&gt;0,"",W160))</f>
        <v/>
      </c>
      <c r="CL160" s="73" t="str">
        <f>IF(CK160="","",IFERROR(INDEX(regKlub_alias_id,MATCH(CK160,regKlub_alias_alias,0)),"NEMA"))</f>
        <v/>
      </c>
      <c r="CM160" s="31" t="str">
        <f>IF(OR(CL160="",CL160&lt;&gt;"NEMA"),"",MAX(CM$12:CM159)+1)</f>
        <v/>
      </c>
      <c r="CN160" s="66" t="str">
        <f>IF(OR(CL160="",CL160&lt;&gt;"NEMA"),"",INDEX(regKlub_id,MATCH(CK160,regKlub_naziv,0)))</f>
        <v/>
      </c>
      <c r="CO160" s="47" t="s">
        <v>0</v>
      </c>
      <c r="CP160" s="19" t="str">
        <f>IF(OR(CL160="",CL160&lt;&gt;"NEMA"),"","INSERT INTO klub_alias(id,alias,klub_id) VALUES ("&amp;CM160&amp;",'"&amp;CK160&amp;"',"&amp;CN160&amp;");")</f>
        <v/>
      </c>
      <c r="CQ160" s="47" t="s">
        <v>0</v>
      </c>
      <c r="CR160" s="143" t="str">
        <f>IF(BR160="","",IF(BV160="",IF(IFERROR(MATCH(BR160,nat_noviKluboviAliasi,0),0)&gt;0,INDEX(nat_kluboviAliasi,MATCH(BR160,nat_noviKluboviAliasi,0)),BR160),BV160))</f>
        <v>OK Maksimir</v>
      </c>
      <c r="CS160" s="47" t="s">
        <v>0</v>
      </c>
      <c r="CT160" s="58" t="str">
        <f>IF(G160="","",G160)</f>
        <v>41:12</v>
      </c>
      <c r="CU160" s="73" t="str">
        <f>IF(H160="","",H160)</f>
        <v>0</v>
      </c>
      <c r="CV160" s="229" t="str">
        <f>IF(CT160="",IF(OR(AL160="",CU160&lt;&gt;"0"),"","GREŠKA"),IF(AND(65535&gt;=VALUE(LEFT(CT160,SEARCH(":",CT160)-1))*60+VALUE(RIGHT(CT160,2)),OR(CU160="0",CU160="1",CU160="2",CU160="3",CU160="4")),"","GREŠKA"))</f>
        <v/>
      </c>
      <c r="CW160" s="230">
        <f t="shared" si="127"/>
        <v>2472</v>
      </c>
      <c r="CX160" s="163">
        <f t="shared" si="143"/>
        <v>1</v>
      </c>
      <c r="CY160" s="47" t="s">
        <v>0</v>
      </c>
      <c r="CZ160" s="222" t="str">
        <f>IF(CV160&lt;&gt;"GREŠKA","",AK160&amp;" "&amp;AL160&amp;" – Molim u OEventu provjeriti i ispraviti rezultat – vrijeme ("&amp;IF(CT160="","nije upisano",CT160)&amp;") i classifier ("&amp;CU160&amp;").")&amp;IF(OR(CV160&lt;&gt;"GREŠKA",CX160&lt;&gt;5),"
","")&amp;IF(CX160&lt;&gt;5,"",AK160&amp;" "&amp;AL160&amp;" – Molim u provjeriti je li natjecatelj zaista diskvalificiran. Ako je koje je obrazloženje, ako nije molim u OEventu ispraviti rezultat")</f>
        <v xml:space="preserve">
</v>
      </c>
      <c r="DA160" s="223">
        <f t="shared" si="174"/>
        <v>6</v>
      </c>
      <c r="DB160" s="47" t="s">
        <v>0</v>
      </c>
      <c r="DC160" s="47"/>
      <c r="DD160" s="47"/>
      <c r="DE160" s="47"/>
      <c r="DF160" s="47" t="s">
        <v>0</v>
      </c>
      <c r="DG160" s="53" t="str">
        <f>IF(BD160="","",IF(DI160="O",1,""))</f>
        <v/>
      </c>
      <c r="DH160" t="s">
        <v>0</v>
      </c>
      <c r="DI160" s="128" t="str">
        <f>IF(Q160="","",LEFT(INDEX(regKategorija_oznaka,MATCH(S160,regKategorija_id,0)),1))</f>
        <v>M</v>
      </c>
      <c r="DJ160" t="s">
        <v>0</v>
      </c>
      <c r="DK160" s="52" t="str">
        <f>IF(BD160="","",IF(M160&lt;&gt;"CRO","","INSERT INTO osoba (id,reg_broj,oib,spol_id,dat_rodjenja) VALUES ("&amp;BD160&amp;",(SELECT max(os.reg_broj)+1 FROM osoba AS os),Null,'"&amp;DI160&amp;"',Null); INSERT INTO osoba_log (id,reg_broj,oib,spol_id,dat_rodjenja,dnevnik_id) SELECT id,reg_broj,oib,spol_id,dat_rodjenja,"&amp;data_dnevnik_id&amp;" FROM osoba WHERE id = "&amp;BD160&amp;";"))</f>
        <v/>
      </c>
      <c r="DL160" s="66" t="str">
        <f>IF(BD160="","","INSERT INTO imeprezime (id,osoba_id,rbr,ime,prezime,klub_id,identitet_id,sintaksa_id,info,aktivno,dnevnik_id) VALUES ("&amp;BD160&amp;","&amp;IF(DK160="","Null",BD160)&amp;",1,'"&amp;IF(AV160&lt;&gt;"",AV160,AK160)&amp;"','"&amp;IF(AW160&lt;&gt;"",AW160,AL160)&amp;"',(SELECT id FROM klub WHERE naziv = '"&amp;CR160&amp;"'),Null,1,'',1,"&amp;data_dnevnik_id&amp;");")</f>
        <v/>
      </c>
      <c r="DM160" t="s">
        <v>0</v>
      </c>
      <c r="DN160" s="19" t="str">
        <f t="shared" si="182"/>
        <v/>
      </c>
      <c r="DO160" s="47" t="s">
        <v>0</v>
      </c>
      <c r="DP160" s="19" t="str">
        <f>IF(BA160="","","INSERT INTO imeprezime_alias(id,alias,imeprezime_id) VALUES ("&amp;BB160&amp;",'"&amp;BA160&amp;"',"&amp;IF(BC160="NEMA",BD160,BC160)&amp;");")</f>
        <v/>
      </c>
      <c r="DQ160" s="47" t="s">
        <v>0</v>
      </c>
      <c r="DR160" s="52" t="str">
        <f>IF(AL160="","",DU160 &amp; IF(Q160="",""," – " &amp; Q160))</f>
        <v>Saša – Horvat – OK Maksimir – M55</v>
      </c>
      <c r="DS160" s="53">
        <f t="shared" si="144"/>
        <v>351</v>
      </c>
      <c r="DT160" s="47" t="s">
        <v>0</v>
      </c>
      <c r="DU160" s="52" t="str">
        <f>IF(AL160="","",DX160 &amp; IF(CR160="",""," – " &amp; CR160))</f>
        <v>Saša – Horvat – OK Maksimir</v>
      </c>
      <c r="DV160" s="53">
        <f t="shared" si="145"/>
        <v>351</v>
      </c>
      <c r="DW160" s="47" t="s">
        <v>0</v>
      </c>
      <c r="DX160" s="52" t="str">
        <f>IF(BG160="","",BF160&amp;" – "&amp;BG160)</f>
        <v>Saša – Horvat</v>
      </c>
      <c r="DY160" s="53">
        <f t="shared" si="146"/>
        <v>351</v>
      </c>
      <c r="DZ160" s="47" t="s">
        <v>0</v>
      </c>
      <c r="EA160" s="58">
        <f t="shared" si="175"/>
        <v>351</v>
      </c>
      <c r="EB160" s="53" cm="1">
        <f t="array" ref="EB160">IF(EA160&lt;&gt;"",INDEX(regNatjecatelj_id,EA160,0),IF(BD160&lt;&gt;"",BD160,""))</f>
        <v>1109</v>
      </c>
      <c r="EC160" s="47" t="s">
        <v>0</v>
      </c>
      <c r="ED160" s="58" t="str">
        <f>IF(AL160="","",IF(BD160&lt;&gt;"","novo",IF(AN160="","imepre","imepre(ali)")))</f>
        <v>imepre</v>
      </c>
      <c r="EE160" s="73" t="str">
        <f>IF(AL160="","",IF(BL160="",IF(IFERROR(INDEX(regNatjecatelj_klub,MATCH(EB160,regNatjecatelj_id,0)),"NEMA")="","klu",""),IF(OR(AND(BN160&lt;&gt;"",BN160&lt;&gt;"NEMA"),CD160&lt;&gt;""),"klu(ali)",IF(AND(BP160&lt;&gt;"",BP160&lt;&gt;BO160),"(raz-klu)","klu"))))</f>
        <v>klu</v>
      </c>
      <c r="EF160" s="73" t="str">
        <f>IF(AL160="","","kat"&amp;IF(AND(W160&lt;&gt;Q160,Q160&lt;&gt;"Open"),"(ali)",""))</f>
        <v>kat</v>
      </c>
      <c r="EG160" s="73" t="str">
        <f t="shared" si="147"/>
        <v/>
      </c>
      <c r="EH160" s="66" t="str">
        <f>IF(AL160="","",ED160&amp;IF(ED160="novo","","-"&amp;EE160&amp;"-"&amp;EF160)&amp;IF(EG160="","","-"&amp;EG160))</f>
        <v>imepre-klu-kat</v>
      </c>
      <c r="EI160" s="47" t="s">
        <v>0</v>
      </c>
      <c r="EJ160" s="58">
        <f>IF(AL160="","",MAX(EJ$12:EJ159)+1)</f>
        <v>325</v>
      </c>
      <c r="EK160" s="73">
        <f>IF(AO160="","",X160)</f>
        <v>31</v>
      </c>
      <c r="EL160" s="73">
        <f t="shared" si="176"/>
        <v>1109</v>
      </c>
      <c r="EM160" s="73">
        <f t="shared" si="148"/>
        <v>2472</v>
      </c>
      <c r="EN160" s="73">
        <f t="shared" si="149"/>
        <v>1</v>
      </c>
      <c r="EO160" s="73">
        <f t="shared" si="177"/>
        <v>1</v>
      </c>
      <c r="EP160" s="73">
        <f t="shared" si="178"/>
        <v>1</v>
      </c>
      <c r="EQ160" s="73" t="str">
        <f t="shared" si="150"/>
        <v>0</v>
      </c>
      <c r="ER160" s="73" t="str">
        <f>IF(OR(AN160="",AN160="NEMA"),BB160,AN160)</f>
        <v/>
      </c>
      <c r="ES160" s="73" t="str">
        <f>IF(AND(BN160&lt;&gt;"",BN160&lt;&gt;"NEMA"),BN160,IF(CG160&lt;&gt;"",CG160,IF(AND(CL160&lt;&gt;"",CL160&lt;&gt;"NEMA"),CL160,IF(CM160&lt;&gt;"",CM160,""))))</f>
        <v/>
      </c>
      <c r="ET160" s="53" t="str">
        <f>IF(INDEX(natKategorija_alias_Id,MATCH(S160,natKategorija_katRegId,0))="","",INDEX(natKategorija_alias_Id,MATCH(S160,natKategorija_katRegId,0)))</f>
        <v/>
      </c>
      <c r="EU160" s="47" t="s">
        <v>0</v>
      </c>
      <c r="EV160" s="19" t="str">
        <f t="shared" si="179"/>
        <v>INSERT INTO rezultat(id,stazakategorija_id,imeprezime_id,vrijeme_sec,status_id,registracija,uparivanje_id,originalstatus_id,imeprezimealias_id,klubalias_id,kategorijaalias_id) VALUES (325,31,1109,2472,1,1,1,0,Null,Null,Null);</v>
      </c>
      <c r="EW160" s="47" t="s">
        <v>0</v>
      </c>
      <c r="EX160" s="19" t="str">
        <f t="shared" si="180"/>
        <v>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0" s="47" t="s">
        <v>0</v>
      </c>
      <c r="EZ160" s="180" t="str">
        <f>AG160&amp;IF(CP160="","","
")&amp;CP160&amp;IF(CI160="","","
")&amp;CI160&amp;IF(DN160="","","
")&amp;DN160&amp;IF(DP160="","","
")&amp;DP160&amp;IF(EV160="","","
")&amp;EV160&amp;IF(EX160="","","
")&amp;EX160</f>
        <v xml:space="preserve">
INSERT INTO rezultat(id,stazakategorija_id,imeprezime_id,vrijeme_sec,status_id,registracija,uparivanje_id,originalstatus_id,imeprezimealias_id,klubalias_id,kategorijaalias_id) VALUES (325,31,1109,2472,1,1,1,0,Null,Null,Null);
UPDATE
	registar
SET
	potvrda = 1
WHERE
	imeprezime_id=1109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0" s="47" t="s">
        <v>0</v>
      </c>
    </row>
    <row r="161" spans="1:157" x14ac:dyDescent="0.25">
      <c r="A161" t="s">
        <v>0</v>
      </c>
      <c r="B161" s="52" t="str">
        <f>IF(csv!F151="","",csv!T151)</f>
        <v>M55</v>
      </c>
      <c r="C161" s="31" t="s">
        <v>0</v>
      </c>
      <c r="D161" s="31" t="str">
        <f>IF(csv!F151="","",csv!F151)</f>
        <v>Karlo</v>
      </c>
      <c r="E161" s="31" t="str">
        <f>IF(csv!E151="","",csv!E151)</f>
        <v>Gobec</v>
      </c>
      <c r="F161" s="31" t="s">
        <v>0</v>
      </c>
      <c r="G161" s="73" t="str">
        <f>IF(csv!M151="","",csv!M151)</f>
        <v>41:31</v>
      </c>
      <c r="H161" s="73" t="str">
        <f>IF(csv!N151="","",csv!N151)</f>
        <v>0</v>
      </c>
      <c r="I161" s="31" t="s">
        <v>0</v>
      </c>
      <c r="J161" s="31" t="str">
        <f>IF(csv!P151="","",csv!P151)</f>
        <v>Vihor</v>
      </c>
      <c r="K161" s="31" t="str">
        <f>IF(csv!Q151="","",csv!Q151)</f>
        <v>OK Vihor</v>
      </c>
      <c r="L161" s="31" t="s">
        <v>0</v>
      </c>
      <c r="M161" s="66" t="str">
        <f>IF(csv!R151="","",csv!R151)</f>
        <v>CRO</v>
      </c>
      <c r="N161" s="47" t="s">
        <v>0</v>
      </c>
      <c r="O161" s="243" t="str">
        <f t="shared" si="151"/>
        <v>ok</v>
      </c>
      <c r="P161" s="47"/>
      <c r="Q161" s="52" t="str">
        <f t="shared" si="152"/>
        <v>M55</v>
      </c>
      <c r="R161" s="73">
        <f>IF(Q161="","",IF(COUNTIF(Q$12:Q160,Q161)=0,R160+1,R160))</f>
        <v>9</v>
      </c>
      <c r="S161" s="73">
        <f t="shared" si="153"/>
        <v>105</v>
      </c>
      <c r="T161" s="73">
        <f t="shared" si="128"/>
        <v>16</v>
      </c>
      <c r="U161" s="66" t="str">
        <f t="shared" si="129"/>
        <v>M55</v>
      </c>
      <c r="V161" s="47" t="s">
        <v>0</v>
      </c>
      <c r="W161" s="222" t="str">
        <f t="shared" si="130"/>
        <v>M55</v>
      </c>
      <c r="X161" s="223">
        <f t="shared" si="131"/>
        <v>31</v>
      </c>
      <c r="Y161" s="47" t="s">
        <v>0</v>
      </c>
      <c r="Z161" s="52" t="str">
        <f t="shared" si="154"/>
        <v>CRO</v>
      </c>
      <c r="AA161" s="73">
        <f t="shared" si="132"/>
        <v>1</v>
      </c>
      <c r="AB161" s="31" t="str">
        <f t="shared" si="155"/>
        <v/>
      </c>
      <c r="AC161" s="66" t="str">
        <f>IF(AB161="","",MAX(AC$12:AC160)+1)</f>
        <v/>
      </c>
      <c r="AD161" s="47" t="s">
        <v>0</v>
      </c>
      <c r="AE161" s="125"/>
      <c r="AF161" s="47" t="s">
        <v>0</v>
      </c>
      <c r="AG161" s="19" t="str">
        <f t="shared" si="156"/>
        <v/>
      </c>
      <c r="AH161" s="47" t="s">
        <v>0</v>
      </c>
      <c r="AI161" s="143" t="str">
        <f t="shared" si="157"/>
        <v>CRO</v>
      </c>
      <c r="AJ161" s="47"/>
      <c r="AK161" s="52" t="str">
        <f t="shared" si="158"/>
        <v>Karlo</v>
      </c>
      <c r="AL161" s="31" t="str">
        <f t="shared" si="159"/>
        <v>Gobec</v>
      </c>
      <c r="AM161" s="73">
        <f t="shared" si="160"/>
        <v>1494</v>
      </c>
      <c r="AN161" s="73" t="str">
        <f t="shared" si="161"/>
        <v/>
      </c>
      <c r="AO161" s="31" t="str">
        <f t="shared" si="133"/>
        <v>Karlo</v>
      </c>
      <c r="AP161" s="66" t="str">
        <f t="shared" si="134"/>
        <v>Gobec</v>
      </c>
      <c r="AQ161" s="47" t="s">
        <v>0</v>
      </c>
      <c r="AR161" s="82" t="str">
        <f t="shared" si="162"/>
        <v/>
      </c>
      <c r="AS161" s="47" t="s">
        <v>0</v>
      </c>
      <c r="AT161" s="19" t="str">
        <f t="shared" si="163"/>
        <v/>
      </c>
      <c r="AU161" s="47" t="s">
        <v>0</v>
      </c>
      <c r="AV161" s="103"/>
      <c r="AW161" s="105"/>
      <c r="AX161" s="47" t="s">
        <v>0</v>
      </c>
      <c r="AY161" s="256" t="str">
        <f t="shared" si="181"/>
        <v/>
      </c>
      <c r="AZ161" s="47" t="s">
        <v>0</v>
      </c>
      <c r="BA161" s="52" t="str">
        <f t="shared" si="135"/>
        <v/>
      </c>
      <c r="BB161" s="73" t="str">
        <f>IF(AV161&amp;AW161="","",MAX(BB$12:BB160)+1)</f>
        <v/>
      </c>
      <c r="BC161" s="268" t="str">
        <f t="shared" si="136"/>
        <v/>
      </c>
      <c r="BD161" s="53" t="str">
        <f>IF(AND(AM161="NEMA",AN161="NEMA",OR(AV161&amp;AW161="",BC161="NEMA")),MAX(BD$12:BD160)+1,"")</f>
        <v/>
      </c>
      <c r="BE161" s="47" t="s">
        <v>0</v>
      </c>
      <c r="BF161" s="52" t="str">
        <f t="shared" si="137"/>
        <v>Karlo</v>
      </c>
      <c r="BG161" s="31" t="str">
        <f t="shared" si="138"/>
        <v>Gobec</v>
      </c>
      <c r="BH161" s="73" t="str">
        <f t="shared" si="164"/>
        <v/>
      </c>
      <c r="BI161" s="53">
        <f t="shared" si="165"/>
        <v>1494</v>
      </c>
      <c r="BJ161" s="47" t="s">
        <v>0</v>
      </c>
      <c r="BK161" s="52" t="str">
        <f t="shared" si="139"/>
        <v>Vihor</v>
      </c>
      <c r="BL161" s="31" t="str">
        <f t="shared" si="140"/>
        <v>OK Vihor</v>
      </c>
      <c r="BM161" s="73">
        <f t="shared" si="141"/>
        <v>12</v>
      </c>
      <c r="BN161" s="73" t="str">
        <f t="shared" si="142"/>
        <v/>
      </c>
      <c r="BO161" s="31" t="str" cm="1">
        <f t="array" ref="BO161">IF(BN161="",""&amp;BL161,IF(BN161="NEMA",BL161,INDEX(regKlub_naziv,MATCH(INDEX(regKlub_alias_klubId,BN161),regKlub_id,0))))</f>
        <v>OK Vihor</v>
      </c>
      <c r="BP161" s="31" t="str" cm="1">
        <f t="array" ref="BP161">IFERROR(""&amp;INDEX(regNatjecatelj_klub,DY161),"")</f>
        <v>OK Vihor</v>
      </c>
      <c r="BQ161" s="88" t="str">
        <f t="shared" si="166"/>
        <v/>
      </c>
      <c r="BR161" s="66" t="str">
        <f t="shared" si="167"/>
        <v>OK Vihor</v>
      </c>
      <c r="BS161" s="47" t="s">
        <v>0</v>
      </c>
      <c r="BT161" s="82" t="str">
        <f>IF(BN161&lt;&gt;"NEMA","",IF(IFERROR(MATCH(BL161,BL$12:BL160,0),0)&lt;&gt;0,"",BL161))</f>
        <v/>
      </c>
      <c r="BU161" s="47" t="s">
        <v>0</v>
      </c>
      <c r="BV161" s="125"/>
      <c r="BW161" s="47" t="s">
        <v>0</v>
      </c>
      <c r="BX161" s="58" t="str">
        <f t="shared" si="168"/>
        <v/>
      </c>
      <c r="BY161" s="31" t="str">
        <f t="shared" si="169"/>
        <v/>
      </c>
      <c r="BZ161" s="31" t="str">
        <f>IF(BY161="","",MAX(BZ$12:BZ160)+1)</f>
        <v/>
      </c>
      <c r="CA161" s="31" t="str">
        <f>IF(BY161="","",IF(AA161="","",IF(AA161="NEMA",AC161,AA161)))</f>
        <v/>
      </c>
      <c r="CB161" s="31" t="str">
        <f t="shared" si="170"/>
        <v/>
      </c>
      <c r="CC161" s="31" t="str">
        <f>IF(BV161="","",MAX(CC$12:CC160)+1)</f>
        <v/>
      </c>
      <c r="CD161" s="31" t="str">
        <f t="shared" si="171"/>
        <v/>
      </c>
      <c r="CE161" s="66" t="str">
        <f t="shared" si="172"/>
        <v/>
      </c>
      <c r="CF161" s="47" t="s">
        <v>0</v>
      </c>
      <c r="CG161" s="73" t="str">
        <f>IF(BN161="","",IF(BN161&lt;&gt;"NEMA","",IFERROR(INDEX(nat_klubAliasId,MATCH(BL161,nat_noviKluboviAliasi,0)),"")))</f>
        <v/>
      </c>
      <c r="CH161" s="47"/>
      <c r="CI161" s="19" t="str">
        <f t="shared" si="173"/>
        <v/>
      </c>
      <c r="CJ161" s="47" t="s">
        <v>0</v>
      </c>
      <c r="CK161" s="52" t="str">
        <f>IF(X161&lt;&gt;"NEMA","",IF(IFERROR(MATCH(W161,W$12:W160,0),0)&lt;&gt;0,"",W161))</f>
        <v/>
      </c>
      <c r="CL161" s="73" t="str">
        <f>IF(CK161="","",IFERROR(INDEX(regKlub_alias_id,MATCH(CK161,regKlub_alias_alias,0)),"NEMA"))</f>
        <v/>
      </c>
      <c r="CM161" s="31" t="str">
        <f>IF(OR(CL161="",CL161&lt;&gt;"NEMA"),"",MAX(CM$12:CM160)+1)</f>
        <v/>
      </c>
      <c r="CN161" s="66" t="str">
        <f>IF(OR(CL161="",CL161&lt;&gt;"NEMA"),"",INDEX(regKlub_id,MATCH(CK161,regKlub_naziv,0)))</f>
        <v/>
      </c>
      <c r="CO161" s="47" t="s">
        <v>0</v>
      </c>
      <c r="CP161" s="19" t="str">
        <f>IF(OR(CL161="",CL161&lt;&gt;"NEMA"),"","INSERT INTO klub_alias(id,alias,klub_id) VALUES ("&amp;CM161&amp;",'"&amp;CK161&amp;"',"&amp;CN161&amp;");")</f>
        <v/>
      </c>
      <c r="CQ161" s="47" t="s">
        <v>0</v>
      </c>
      <c r="CR161" s="143" t="str">
        <f>IF(BR161="","",IF(BV161="",IF(IFERROR(MATCH(BR161,nat_noviKluboviAliasi,0),0)&gt;0,INDEX(nat_kluboviAliasi,MATCH(BR161,nat_noviKluboviAliasi,0)),BR161),BV161))</f>
        <v>OK Vihor</v>
      </c>
      <c r="CS161" s="47" t="s">
        <v>0</v>
      </c>
      <c r="CT161" s="58" t="str">
        <f>IF(G161="","",G161)</f>
        <v>41:31</v>
      </c>
      <c r="CU161" s="73" t="str">
        <f>IF(H161="","",H161)</f>
        <v>0</v>
      </c>
      <c r="CV161" s="229" t="str">
        <f>IF(CT161="",IF(OR(AL161="",CU161&lt;&gt;"0"),"","GREŠKA"),IF(AND(65535&gt;=VALUE(LEFT(CT161,SEARCH(":",CT161)-1))*60+VALUE(RIGHT(CT161,2)),OR(CU161="0",CU161="1",CU161="2",CU161="3",CU161="4")),"","GREŠKA"))</f>
        <v/>
      </c>
      <c r="CW161" s="230">
        <f t="shared" si="127"/>
        <v>2491</v>
      </c>
      <c r="CX161" s="163">
        <f t="shared" si="143"/>
        <v>1</v>
      </c>
      <c r="CY161" s="47" t="s">
        <v>0</v>
      </c>
      <c r="CZ161" s="222" t="str">
        <f>IF(CV161&lt;&gt;"GREŠKA","",AK161&amp;" "&amp;AL161&amp;" – Molim u OEventu provjeriti i ispraviti rezultat – vrijeme ("&amp;IF(CT161="","nije upisano",CT161)&amp;") i classifier ("&amp;CU161&amp;").")&amp;IF(OR(CV161&lt;&gt;"GREŠKA",CX161&lt;&gt;5),"
","")&amp;IF(CX161&lt;&gt;5,"",AK161&amp;" "&amp;AL161&amp;" – Molim u provjeriti je li natjecatelj zaista diskvalificiran. Ako je koje je obrazloženje, ako nije molim u OEventu ispraviti rezultat")</f>
        <v xml:space="preserve">
</v>
      </c>
      <c r="DA161" s="223">
        <f t="shared" si="174"/>
        <v>6</v>
      </c>
      <c r="DB161" s="47" t="s">
        <v>0</v>
      </c>
      <c r="DC161" s="47"/>
      <c r="DD161" s="47"/>
      <c r="DE161" s="47"/>
      <c r="DF161" s="47" t="s">
        <v>0</v>
      </c>
      <c r="DG161" s="53" t="str">
        <f>IF(BD161="","",IF(DI161="O",1,""))</f>
        <v/>
      </c>
      <c r="DH161" t="s">
        <v>0</v>
      </c>
      <c r="DI161" s="128" t="str">
        <f>IF(Q161="","",LEFT(INDEX(regKategorija_oznaka,MATCH(S161,regKategorija_id,0)),1))</f>
        <v>M</v>
      </c>
      <c r="DJ161" t="s">
        <v>0</v>
      </c>
      <c r="DK161" s="52" t="str">
        <f>IF(BD161="","",IF(M161&lt;&gt;"CRO","","INSERT INTO osoba (id,reg_broj,oib,spol_id,dat_rodjenja) VALUES ("&amp;BD161&amp;",(SELECT max(os.reg_broj)+1 FROM osoba AS os),Null,'"&amp;DI161&amp;"',Null); INSERT INTO osoba_log (id,reg_broj,oib,spol_id,dat_rodjenja,dnevnik_id) SELECT id,reg_broj,oib,spol_id,dat_rodjenja,"&amp;data_dnevnik_id&amp;" FROM osoba WHERE id = "&amp;BD161&amp;";"))</f>
        <v/>
      </c>
      <c r="DL161" s="66" t="str">
        <f>IF(BD161="","","INSERT INTO imeprezime (id,osoba_id,rbr,ime,prezime,klub_id,identitet_id,sintaksa_id,info,aktivno,dnevnik_id) VALUES ("&amp;BD161&amp;","&amp;IF(DK161="","Null",BD161)&amp;",1,'"&amp;IF(AV161&lt;&gt;"",AV161,AK161)&amp;"','"&amp;IF(AW161&lt;&gt;"",AW161,AL161)&amp;"',(SELECT id FROM klub WHERE naziv = '"&amp;CR161&amp;"'),Null,1,'',1,"&amp;data_dnevnik_id&amp;");")</f>
        <v/>
      </c>
      <c r="DM161" t="s">
        <v>0</v>
      </c>
      <c r="DN161" s="19" t="str">
        <f t="shared" si="182"/>
        <v/>
      </c>
      <c r="DO161" s="47" t="s">
        <v>0</v>
      </c>
      <c r="DP161" s="19" t="str">
        <f>IF(BA161="","","INSERT INTO imeprezime_alias(id,alias,imeprezime_id) VALUES ("&amp;BB161&amp;",'"&amp;BA161&amp;"',"&amp;IF(BC161="NEMA",BD161,BC161)&amp;");")</f>
        <v/>
      </c>
      <c r="DQ161" s="47" t="s">
        <v>0</v>
      </c>
      <c r="DR161" s="52" t="str">
        <f>IF(AL161="","",DU161 &amp; IF(Q161="",""," – " &amp; Q161))</f>
        <v>Karlo – Gobec – OK Vihor – M55</v>
      </c>
      <c r="DS161" s="53">
        <f t="shared" si="144"/>
        <v>675</v>
      </c>
      <c r="DT161" s="47" t="s">
        <v>0</v>
      </c>
      <c r="DU161" s="52" t="str">
        <f>IF(AL161="","",DX161 &amp; IF(CR161="",""," – " &amp; CR161))</f>
        <v>Karlo – Gobec – OK Vihor</v>
      </c>
      <c r="DV161" s="53">
        <f t="shared" si="145"/>
        <v>675</v>
      </c>
      <c r="DW161" s="47" t="s">
        <v>0</v>
      </c>
      <c r="DX161" s="52" t="str">
        <f>IF(BG161="","",BF161&amp;" – "&amp;BG161)</f>
        <v>Karlo – Gobec</v>
      </c>
      <c r="DY161" s="53">
        <f t="shared" si="146"/>
        <v>675</v>
      </c>
      <c r="DZ161" s="47" t="s">
        <v>0</v>
      </c>
      <c r="EA161" s="58">
        <f t="shared" si="175"/>
        <v>675</v>
      </c>
      <c r="EB161" s="53" cm="1">
        <f t="array" ref="EB161">IF(EA161&lt;&gt;"",INDEX(regNatjecatelj_id,EA161,0),IF(BD161&lt;&gt;"",BD161,""))</f>
        <v>1494</v>
      </c>
      <c r="EC161" s="47" t="s">
        <v>0</v>
      </c>
      <c r="ED161" s="58" t="str">
        <f>IF(AL161="","",IF(BD161&lt;&gt;"","novo",IF(AN161="","imepre","imepre(ali)")))</f>
        <v>imepre</v>
      </c>
      <c r="EE161" s="73" t="str">
        <f>IF(AL161="","",IF(BL161="",IF(IFERROR(INDEX(regNatjecatelj_klub,MATCH(EB161,regNatjecatelj_id,0)),"NEMA")="","klu",""),IF(OR(AND(BN161&lt;&gt;"",BN161&lt;&gt;"NEMA"),CD161&lt;&gt;""),"klu(ali)",IF(AND(BP161&lt;&gt;"",BP161&lt;&gt;BO161),"(raz-klu)","klu"))))</f>
        <v>klu</v>
      </c>
      <c r="EF161" s="73" t="str">
        <f>IF(AL161="","","kat"&amp;IF(AND(W161&lt;&gt;Q161,Q161&lt;&gt;"Open"),"(ali)",""))</f>
        <v>kat</v>
      </c>
      <c r="EG161" s="73" t="str">
        <f t="shared" si="147"/>
        <v/>
      </c>
      <c r="EH161" s="66" t="str">
        <f>IF(AL161="","",ED161&amp;IF(ED161="novo","","-"&amp;EE161&amp;"-"&amp;EF161)&amp;IF(EG161="","","-"&amp;EG161))</f>
        <v>imepre-klu-kat</v>
      </c>
      <c r="EI161" s="47" t="s">
        <v>0</v>
      </c>
      <c r="EJ161" s="58">
        <f>IF(AL161="","",MAX(EJ$12:EJ160)+1)</f>
        <v>326</v>
      </c>
      <c r="EK161" s="73">
        <f>IF(AO161="","",X161)</f>
        <v>31</v>
      </c>
      <c r="EL161" s="73">
        <f t="shared" si="176"/>
        <v>1494</v>
      </c>
      <c r="EM161" s="73">
        <f t="shared" si="148"/>
        <v>2491</v>
      </c>
      <c r="EN161" s="73">
        <f t="shared" si="149"/>
        <v>1</v>
      </c>
      <c r="EO161" s="73">
        <f t="shared" si="177"/>
        <v>1</v>
      </c>
      <c r="EP161" s="73">
        <f t="shared" si="178"/>
        <v>1</v>
      </c>
      <c r="EQ161" s="73" t="str">
        <f t="shared" si="150"/>
        <v>0</v>
      </c>
      <c r="ER161" s="73" t="str">
        <f>IF(OR(AN161="",AN161="NEMA"),BB161,AN161)</f>
        <v/>
      </c>
      <c r="ES161" s="73" t="str">
        <f>IF(AND(BN161&lt;&gt;"",BN161&lt;&gt;"NEMA"),BN161,IF(CG161&lt;&gt;"",CG161,IF(AND(CL161&lt;&gt;"",CL161&lt;&gt;"NEMA"),CL161,IF(CM161&lt;&gt;"",CM161,""))))</f>
        <v/>
      </c>
      <c r="ET161" s="53" t="str">
        <f>IF(INDEX(natKategorija_alias_Id,MATCH(S161,natKategorija_katRegId,0))="","",INDEX(natKategorija_alias_Id,MATCH(S161,natKategorija_katRegId,0)))</f>
        <v/>
      </c>
      <c r="EU161" s="47" t="s">
        <v>0</v>
      </c>
      <c r="EV161" s="19" t="str">
        <f t="shared" si="179"/>
        <v>INSERT INTO rezultat(id,stazakategorija_id,imeprezime_id,vrijeme_sec,status_id,registracija,uparivanje_id,originalstatus_id,imeprezimealias_id,klubalias_id,kategorijaalias_id) VALUES (326,31,1494,2491,1,1,1,0,Null,Null,Null);</v>
      </c>
      <c r="EW161" s="47" t="s">
        <v>0</v>
      </c>
      <c r="EX161" s="19" t="str">
        <f t="shared" si="180"/>
        <v>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1" s="47" t="s">
        <v>0</v>
      </c>
      <c r="EZ161" s="180" t="str">
        <f>AG161&amp;IF(CP161="","","
")&amp;CP161&amp;IF(CI161="","","
")&amp;CI161&amp;IF(DN161="","","
")&amp;DN161&amp;IF(DP161="","","
")&amp;DP161&amp;IF(EV161="","","
")&amp;EV161&amp;IF(EX161="","","
")&amp;EX161</f>
        <v xml:space="preserve">
INSERT INTO rezultat(id,stazakategorija_id,imeprezime_id,vrijeme_sec,status_id,registracija,uparivanje_id,originalstatus_id,imeprezimealias_id,klubalias_id,kategorijaalias_id) VALUES (326,31,1494,2491,1,1,1,0,Null,Null,Null);
UPDATE
	registar
SET
	potvrda = 1
WHERE
	imeprezime_id=1494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1" s="47" t="s">
        <v>0</v>
      </c>
    </row>
    <row r="162" spans="1:157" x14ac:dyDescent="0.25">
      <c r="A162" t="s">
        <v>0</v>
      </c>
      <c r="B162" s="52" t="str">
        <f>IF(csv!F152="","",csv!T152)</f>
        <v>M55</v>
      </c>
      <c r="C162" s="31" t="s">
        <v>0</v>
      </c>
      <c r="D162" s="31" t="str">
        <f>IF(csv!F152="","",csv!F152)</f>
        <v>Mile</v>
      </c>
      <c r="E162" s="31" t="str">
        <f>IF(csv!E152="","",csv!E152)</f>
        <v>Mioković</v>
      </c>
      <c r="F162" s="31" t="s">
        <v>0</v>
      </c>
      <c r="G162" s="73" t="str">
        <f>IF(csv!M152="","",csv!M152)</f>
        <v>42:22</v>
      </c>
      <c r="H162" s="73" t="str">
        <f>IF(csv!N152="","",csv!N152)</f>
        <v>0</v>
      </c>
      <c r="I162" s="31" t="s">
        <v>0</v>
      </c>
      <c r="J162" s="31" t="str">
        <f>IF(csv!P152="","",csv!P152)</f>
        <v>KAP</v>
      </c>
      <c r="K162" s="31" t="str">
        <f>IF(csv!Q152="","",csv!Q152)</f>
        <v>OK Kapela</v>
      </c>
      <c r="L162" s="31" t="s">
        <v>0</v>
      </c>
      <c r="M162" s="66" t="str">
        <f>IF(csv!R152="","",csv!R152)</f>
        <v>CRO</v>
      </c>
      <c r="N162" s="47" t="s">
        <v>0</v>
      </c>
      <c r="O162" s="243" t="str">
        <f t="shared" si="151"/>
        <v>ok</v>
      </c>
      <c r="P162" s="47"/>
      <c r="Q162" s="52" t="str">
        <f t="shared" si="152"/>
        <v>M55</v>
      </c>
      <c r="R162" s="73">
        <f>IF(Q162="","",IF(COUNTIF(Q$12:Q161,Q162)=0,R161+1,R161))</f>
        <v>9</v>
      </c>
      <c r="S162" s="73">
        <f t="shared" si="153"/>
        <v>105</v>
      </c>
      <c r="T162" s="73">
        <f t="shared" si="128"/>
        <v>16</v>
      </c>
      <c r="U162" s="66" t="str">
        <f t="shared" si="129"/>
        <v>M55</v>
      </c>
      <c r="V162" s="47" t="s">
        <v>0</v>
      </c>
      <c r="W162" s="222" t="str">
        <f t="shared" si="130"/>
        <v>M55</v>
      </c>
      <c r="X162" s="223">
        <f t="shared" si="131"/>
        <v>31</v>
      </c>
      <c r="Y162" s="47" t="s">
        <v>0</v>
      </c>
      <c r="Z162" s="52" t="str">
        <f t="shared" si="154"/>
        <v>CRO</v>
      </c>
      <c r="AA162" s="73">
        <f t="shared" si="132"/>
        <v>1</v>
      </c>
      <c r="AB162" s="31" t="str">
        <f t="shared" si="155"/>
        <v/>
      </c>
      <c r="AC162" s="66" t="str">
        <f>IF(AB162="","",MAX(AC$12:AC161)+1)</f>
        <v/>
      </c>
      <c r="AD162" s="47" t="s">
        <v>0</v>
      </c>
      <c r="AE162" s="125"/>
      <c r="AF162" s="47" t="s">
        <v>0</v>
      </c>
      <c r="AG162" s="19" t="str">
        <f t="shared" si="156"/>
        <v/>
      </c>
      <c r="AH162" s="47" t="s">
        <v>0</v>
      </c>
      <c r="AI162" s="143" t="str">
        <f t="shared" si="157"/>
        <v>CRO</v>
      </c>
      <c r="AJ162" s="47"/>
      <c r="AK162" s="52" t="str">
        <f t="shared" si="158"/>
        <v>Mile</v>
      </c>
      <c r="AL162" s="31" t="str">
        <f t="shared" si="159"/>
        <v>Mioković</v>
      </c>
      <c r="AM162" s="73">
        <f t="shared" si="160"/>
        <v>1430</v>
      </c>
      <c r="AN162" s="73" t="str">
        <f t="shared" si="161"/>
        <v/>
      </c>
      <c r="AO162" s="31" t="str">
        <f t="shared" si="133"/>
        <v>Mile</v>
      </c>
      <c r="AP162" s="66" t="str">
        <f t="shared" si="134"/>
        <v>Mioković</v>
      </c>
      <c r="AQ162" s="47" t="s">
        <v>0</v>
      </c>
      <c r="AR162" s="82" t="str">
        <f t="shared" si="162"/>
        <v/>
      </c>
      <c r="AS162" s="47" t="s">
        <v>0</v>
      </c>
      <c r="AT162" s="19" t="str">
        <f t="shared" si="163"/>
        <v/>
      </c>
      <c r="AU162" s="47" t="s">
        <v>0</v>
      </c>
      <c r="AV162" s="103"/>
      <c r="AW162" s="105"/>
      <c r="AX162" s="47" t="s">
        <v>0</v>
      </c>
      <c r="AY162" s="256" t="str">
        <f t="shared" si="181"/>
        <v/>
      </c>
      <c r="AZ162" s="47" t="s">
        <v>0</v>
      </c>
      <c r="BA162" s="52" t="str">
        <f t="shared" si="135"/>
        <v/>
      </c>
      <c r="BB162" s="73" t="str">
        <f>IF(AV162&amp;AW162="","",MAX(BB$12:BB161)+1)</f>
        <v/>
      </c>
      <c r="BC162" s="268" t="str">
        <f t="shared" si="136"/>
        <v/>
      </c>
      <c r="BD162" s="53" t="str">
        <f>IF(AND(AM162="NEMA",AN162="NEMA",OR(AV162&amp;AW162="",BC162="NEMA")),MAX(BD$12:BD161)+1,"")</f>
        <v/>
      </c>
      <c r="BE162" s="47" t="s">
        <v>0</v>
      </c>
      <c r="BF162" s="52" t="str">
        <f t="shared" si="137"/>
        <v>Mile</v>
      </c>
      <c r="BG162" s="31" t="str">
        <f t="shared" si="138"/>
        <v>Mioković</v>
      </c>
      <c r="BH162" s="73" t="str">
        <f t="shared" si="164"/>
        <v/>
      </c>
      <c r="BI162" s="53">
        <f t="shared" si="165"/>
        <v>1430</v>
      </c>
      <c r="BJ162" s="47" t="s">
        <v>0</v>
      </c>
      <c r="BK162" s="52" t="str">
        <f t="shared" si="139"/>
        <v>KAP</v>
      </c>
      <c r="BL162" s="31" t="str">
        <f t="shared" si="140"/>
        <v>OK Kapela</v>
      </c>
      <c r="BM162" s="73">
        <f t="shared" si="141"/>
        <v>5</v>
      </c>
      <c r="BN162" s="73" t="str">
        <f t="shared" si="142"/>
        <v/>
      </c>
      <c r="BO162" s="31" t="str" cm="1">
        <f t="array" ref="BO162">IF(BN162="",""&amp;BL162,IF(BN162="NEMA",BL162,INDEX(regKlub_naziv,MATCH(INDEX(regKlub_alias_klubId,BN162),regKlub_id,0))))</f>
        <v>OK Kapela</v>
      </c>
      <c r="BP162" s="31" t="str" cm="1">
        <f t="array" ref="BP162">IFERROR(""&amp;INDEX(regNatjecatelj_klub,DY162),"")</f>
        <v>OK Kapela</v>
      </c>
      <c r="BQ162" s="88" t="str">
        <f t="shared" si="166"/>
        <v/>
      </c>
      <c r="BR162" s="66" t="str">
        <f t="shared" si="167"/>
        <v>OK Kapela</v>
      </c>
      <c r="BS162" s="47" t="s">
        <v>0</v>
      </c>
      <c r="BT162" s="82" t="str">
        <f>IF(BN162&lt;&gt;"NEMA","",IF(IFERROR(MATCH(BL162,BL$12:BL161,0),0)&lt;&gt;0,"",BL162))</f>
        <v/>
      </c>
      <c r="BU162" s="47" t="s">
        <v>0</v>
      </c>
      <c r="BV162" s="125"/>
      <c r="BW162" s="47" t="s">
        <v>0</v>
      </c>
      <c r="BX162" s="58" t="str">
        <f t="shared" si="168"/>
        <v/>
      </c>
      <c r="BY162" s="31" t="str">
        <f t="shared" si="169"/>
        <v/>
      </c>
      <c r="BZ162" s="31" t="str">
        <f>IF(BY162="","",MAX(BZ$12:BZ161)+1)</f>
        <v/>
      </c>
      <c r="CA162" s="31" t="str">
        <f>IF(BY162="","",IF(AA162="","",IF(AA162="NEMA",AC162,AA162)))</f>
        <v/>
      </c>
      <c r="CB162" s="31" t="str">
        <f t="shared" si="170"/>
        <v/>
      </c>
      <c r="CC162" s="31" t="str">
        <f>IF(BV162="","",MAX(CC$12:CC161)+1)</f>
        <v/>
      </c>
      <c r="CD162" s="31" t="str">
        <f t="shared" si="171"/>
        <v/>
      </c>
      <c r="CE162" s="66" t="str">
        <f t="shared" si="172"/>
        <v/>
      </c>
      <c r="CF162" s="47" t="s">
        <v>0</v>
      </c>
      <c r="CG162" s="73" t="str">
        <f>IF(BN162="","",IF(BN162&lt;&gt;"NEMA","",IFERROR(INDEX(nat_klubAliasId,MATCH(BL162,nat_noviKluboviAliasi,0)),"")))</f>
        <v/>
      </c>
      <c r="CH162" s="47"/>
      <c r="CI162" s="19" t="str">
        <f t="shared" si="173"/>
        <v/>
      </c>
      <c r="CJ162" s="47" t="s">
        <v>0</v>
      </c>
      <c r="CK162" s="52" t="str">
        <f>IF(X162&lt;&gt;"NEMA","",IF(IFERROR(MATCH(W162,W$12:W161,0),0)&lt;&gt;0,"",W162))</f>
        <v/>
      </c>
      <c r="CL162" s="73" t="str">
        <f>IF(CK162="","",IFERROR(INDEX(regKlub_alias_id,MATCH(CK162,regKlub_alias_alias,0)),"NEMA"))</f>
        <v/>
      </c>
      <c r="CM162" s="31" t="str">
        <f>IF(OR(CL162="",CL162&lt;&gt;"NEMA"),"",MAX(CM$12:CM161)+1)</f>
        <v/>
      </c>
      <c r="CN162" s="66" t="str">
        <f>IF(OR(CL162="",CL162&lt;&gt;"NEMA"),"",INDEX(regKlub_id,MATCH(CK162,regKlub_naziv,0)))</f>
        <v/>
      </c>
      <c r="CO162" s="47" t="s">
        <v>0</v>
      </c>
      <c r="CP162" s="19" t="str">
        <f>IF(OR(CL162="",CL162&lt;&gt;"NEMA"),"","INSERT INTO klub_alias(id,alias,klub_id) VALUES ("&amp;CM162&amp;",'"&amp;CK162&amp;"',"&amp;CN162&amp;");")</f>
        <v/>
      </c>
      <c r="CQ162" s="47" t="s">
        <v>0</v>
      </c>
      <c r="CR162" s="143" t="str">
        <f>IF(BR162="","",IF(BV162="",IF(IFERROR(MATCH(BR162,nat_noviKluboviAliasi,0),0)&gt;0,INDEX(nat_kluboviAliasi,MATCH(BR162,nat_noviKluboviAliasi,0)),BR162),BV162))</f>
        <v>OK Kapela</v>
      </c>
      <c r="CS162" s="47" t="s">
        <v>0</v>
      </c>
      <c r="CT162" s="58" t="str">
        <f>IF(G162="","",G162)</f>
        <v>42:22</v>
      </c>
      <c r="CU162" s="73" t="str">
        <f>IF(H162="","",H162)</f>
        <v>0</v>
      </c>
      <c r="CV162" s="229" t="str">
        <f>IF(CT162="",IF(OR(AL162="",CU162&lt;&gt;"0"),"","GREŠKA"),IF(AND(65535&gt;=VALUE(LEFT(CT162,SEARCH(":",CT162)-1))*60+VALUE(RIGHT(CT162,2)),OR(CU162="0",CU162="1",CU162="2",CU162="3",CU162="4")),"","GREŠKA"))</f>
        <v/>
      </c>
      <c r="CW162" s="230">
        <f t="shared" si="127"/>
        <v>2542</v>
      </c>
      <c r="CX162" s="163">
        <f t="shared" si="143"/>
        <v>1</v>
      </c>
      <c r="CY162" s="47" t="s">
        <v>0</v>
      </c>
      <c r="CZ162" s="222" t="str">
        <f>IF(CV162&lt;&gt;"GREŠKA","",AK162&amp;" "&amp;AL162&amp;" – Molim u OEventu provjeriti i ispraviti rezultat – vrijeme ("&amp;IF(CT162="","nije upisano",CT162)&amp;") i classifier ("&amp;CU162&amp;").")&amp;IF(OR(CV162&lt;&gt;"GREŠKA",CX162&lt;&gt;5),"
","")&amp;IF(CX162&lt;&gt;5,"",AK162&amp;" "&amp;AL162&amp;" – Molim u provjeriti je li natjecatelj zaista diskvalificiran. Ako je koje je obrazloženje, ako nije molim u OEventu ispraviti rezultat")</f>
        <v xml:space="preserve">
</v>
      </c>
      <c r="DA162" s="223">
        <f t="shared" si="174"/>
        <v>6</v>
      </c>
      <c r="DB162" s="47" t="s">
        <v>0</v>
      </c>
      <c r="DC162" s="47"/>
      <c r="DD162" s="47"/>
      <c r="DE162" s="47"/>
      <c r="DF162" s="47" t="s">
        <v>0</v>
      </c>
      <c r="DG162" s="53" t="str">
        <f>IF(BD162="","",IF(DI162="O",1,""))</f>
        <v/>
      </c>
      <c r="DH162" t="s">
        <v>0</v>
      </c>
      <c r="DI162" s="128" t="str">
        <f>IF(Q162="","",LEFT(INDEX(regKategorija_oznaka,MATCH(S162,regKategorija_id,0)),1))</f>
        <v>M</v>
      </c>
      <c r="DJ162" t="s">
        <v>0</v>
      </c>
      <c r="DK162" s="52" t="str">
        <f>IF(BD162="","",IF(M162&lt;&gt;"CRO","","INSERT INTO osoba (id,reg_broj,oib,spol_id,dat_rodjenja) VALUES ("&amp;BD162&amp;",(SELECT max(os.reg_broj)+1 FROM osoba AS os),Null,'"&amp;DI162&amp;"',Null); INSERT INTO osoba_log (id,reg_broj,oib,spol_id,dat_rodjenja,dnevnik_id) SELECT id,reg_broj,oib,spol_id,dat_rodjenja,"&amp;data_dnevnik_id&amp;" FROM osoba WHERE id = "&amp;BD162&amp;";"))</f>
        <v/>
      </c>
      <c r="DL162" s="66" t="str">
        <f>IF(BD162="","","INSERT INTO imeprezime (id,osoba_id,rbr,ime,prezime,klub_id,identitet_id,sintaksa_id,info,aktivno,dnevnik_id) VALUES ("&amp;BD162&amp;","&amp;IF(DK162="","Null",BD162)&amp;",1,'"&amp;IF(AV162&lt;&gt;"",AV162,AK162)&amp;"','"&amp;IF(AW162&lt;&gt;"",AW162,AL162)&amp;"',(SELECT id FROM klub WHERE naziv = '"&amp;CR162&amp;"'),Null,1,'',1,"&amp;data_dnevnik_id&amp;");")</f>
        <v/>
      </c>
      <c r="DM162" t="s">
        <v>0</v>
      </c>
      <c r="DN162" s="19" t="str">
        <f t="shared" si="182"/>
        <v/>
      </c>
      <c r="DO162" s="47" t="s">
        <v>0</v>
      </c>
      <c r="DP162" s="19" t="str">
        <f>IF(BA162="","","INSERT INTO imeprezime_alias(id,alias,imeprezime_id) VALUES ("&amp;BB162&amp;",'"&amp;BA162&amp;"',"&amp;IF(BC162="NEMA",BD162,BC162)&amp;");")</f>
        <v/>
      </c>
      <c r="DQ162" s="47" t="s">
        <v>0</v>
      </c>
      <c r="DR162" s="52" t="str">
        <f>IF(AL162="","",DU162 &amp; IF(Q162="",""," – " &amp; Q162))</f>
        <v>Mile – Mioković – OK Kapela – M55</v>
      </c>
      <c r="DS162" s="53">
        <f t="shared" si="144"/>
        <v>285</v>
      </c>
      <c r="DT162" s="47" t="s">
        <v>0</v>
      </c>
      <c r="DU162" s="52" t="str">
        <f>IF(AL162="","",DX162 &amp; IF(CR162="",""," – " &amp; CR162))</f>
        <v>Mile – Mioković – OK Kapela</v>
      </c>
      <c r="DV162" s="53">
        <f t="shared" si="145"/>
        <v>285</v>
      </c>
      <c r="DW162" s="47" t="s">
        <v>0</v>
      </c>
      <c r="DX162" s="52" t="str">
        <f>IF(BG162="","",BF162&amp;" – "&amp;BG162)</f>
        <v>Mile – Mioković</v>
      </c>
      <c r="DY162" s="53">
        <f t="shared" si="146"/>
        <v>285</v>
      </c>
      <c r="DZ162" s="47" t="s">
        <v>0</v>
      </c>
      <c r="EA162" s="58">
        <f t="shared" si="175"/>
        <v>285</v>
      </c>
      <c r="EB162" s="53" cm="1">
        <f t="array" ref="EB162">IF(EA162&lt;&gt;"",INDEX(regNatjecatelj_id,EA162,0),IF(BD162&lt;&gt;"",BD162,""))</f>
        <v>1430</v>
      </c>
      <c r="EC162" s="47" t="s">
        <v>0</v>
      </c>
      <c r="ED162" s="58" t="str">
        <f>IF(AL162="","",IF(BD162&lt;&gt;"","novo",IF(AN162="","imepre","imepre(ali)")))</f>
        <v>imepre</v>
      </c>
      <c r="EE162" s="73" t="str">
        <f>IF(AL162="","",IF(BL162="",IF(IFERROR(INDEX(regNatjecatelj_klub,MATCH(EB162,regNatjecatelj_id,0)),"NEMA")="","klu",""),IF(OR(AND(BN162&lt;&gt;"",BN162&lt;&gt;"NEMA"),CD162&lt;&gt;""),"klu(ali)",IF(AND(BP162&lt;&gt;"",BP162&lt;&gt;BO162),"(raz-klu)","klu"))))</f>
        <v>klu</v>
      </c>
      <c r="EF162" s="73" t="str">
        <f>IF(AL162="","","kat"&amp;IF(AND(W162&lt;&gt;Q162,Q162&lt;&gt;"Open"),"(ali)",""))</f>
        <v>kat</v>
      </c>
      <c r="EG162" s="73" t="str">
        <f t="shared" si="147"/>
        <v/>
      </c>
      <c r="EH162" s="66" t="str">
        <f>IF(AL162="","",ED162&amp;IF(ED162="novo","","-"&amp;EE162&amp;"-"&amp;EF162)&amp;IF(EG162="","","-"&amp;EG162))</f>
        <v>imepre-klu-kat</v>
      </c>
      <c r="EI162" s="47" t="s">
        <v>0</v>
      </c>
      <c r="EJ162" s="58">
        <f>IF(AL162="","",MAX(EJ$12:EJ161)+1)</f>
        <v>327</v>
      </c>
      <c r="EK162" s="73">
        <f>IF(AO162="","",X162)</f>
        <v>31</v>
      </c>
      <c r="EL162" s="73">
        <f t="shared" si="176"/>
        <v>1430</v>
      </c>
      <c r="EM162" s="73">
        <f t="shared" si="148"/>
        <v>2542</v>
      </c>
      <c r="EN162" s="73">
        <f t="shared" si="149"/>
        <v>1</v>
      </c>
      <c r="EO162" s="73">
        <f t="shared" si="177"/>
        <v>1</v>
      </c>
      <c r="EP162" s="73">
        <f t="shared" si="178"/>
        <v>1</v>
      </c>
      <c r="EQ162" s="73" t="str">
        <f t="shared" si="150"/>
        <v>0</v>
      </c>
      <c r="ER162" s="73" t="str">
        <f>IF(OR(AN162="",AN162="NEMA"),BB162,AN162)</f>
        <v/>
      </c>
      <c r="ES162" s="73" t="str">
        <f>IF(AND(BN162&lt;&gt;"",BN162&lt;&gt;"NEMA"),BN162,IF(CG162&lt;&gt;"",CG162,IF(AND(CL162&lt;&gt;"",CL162&lt;&gt;"NEMA"),CL162,IF(CM162&lt;&gt;"",CM162,""))))</f>
        <v/>
      </c>
      <c r="ET162" s="53" t="str">
        <f>IF(INDEX(natKategorija_alias_Id,MATCH(S162,natKategorija_katRegId,0))="","",INDEX(natKategorija_alias_Id,MATCH(S162,natKategorija_katRegId,0)))</f>
        <v/>
      </c>
      <c r="EU162" s="47" t="s">
        <v>0</v>
      </c>
      <c r="EV162" s="19" t="str">
        <f t="shared" si="179"/>
        <v>INSERT INTO rezultat(id,stazakategorija_id,imeprezime_id,vrijeme_sec,status_id,registracija,uparivanje_id,originalstatus_id,imeprezimealias_id,klubalias_id,kategorijaalias_id) VALUES (327,31,1430,2542,1,1,1,0,Null,Null,Null);</v>
      </c>
      <c r="EW162" s="47" t="s">
        <v>0</v>
      </c>
      <c r="EX162" s="19" t="str">
        <f t="shared" si="180"/>
        <v>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2" s="47" t="s">
        <v>0</v>
      </c>
      <c r="EZ162" s="180" t="str">
        <f>AG162&amp;IF(CP162="","","
")&amp;CP162&amp;IF(CI162="","","
")&amp;CI162&amp;IF(DN162="","","
")&amp;DN162&amp;IF(DP162="","","
")&amp;DP162&amp;IF(EV162="","","
")&amp;EV162&amp;IF(EX162="","","
")&amp;EX162</f>
        <v xml:space="preserve">
INSERT INTO rezultat(id,stazakategorija_id,imeprezime_id,vrijeme_sec,status_id,registracija,uparivanje_id,originalstatus_id,imeprezimealias_id,klubalias_id,kategorijaalias_id) VALUES (327,31,1430,2542,1,1,1,0,Null,Null,Null);
UPDATE
	registar
SET
	potvrda = 1
WHERE
	imeprezime_id=1430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2" s="47" t="s">
        <v>0</v>
      </c>
    </row>
    <row r="163" spans="1:157" x14ac:dyDescent="0.25">
      <c r="A163" t="s">
        <v>0</v>
      </c>
      <c r="B163" s="52" t="str">
        <f>IF(csv!F153="","",csv!T153)</f>
        <v>M55</v>
      </c>
      <c r="C163" s="31" t="s">
        <v>0</v>
      </c>
      <c r="D163" s="31" t="str">
        <f>IF(csv!F153="","",csv!F153)</f>
        <v>Krešo</v>
      </c>
      <c r="E163" s="31" t="str">
        <f>IF(csv!E153="","",csv!E153)</f>
        <v>Špoljar</v>
      </c>
      <c r="F163" s="31" t="s">
        <v>0</v>
      </c>
      <c r="G163" s="73" t="str">
        <f>IF(csv!M153="","",csv!M153)</f>
        <v>45:13</v>
      </c>
      <c r="H163" s="73" t="str">
        <f>IF(csv!N153="","",csv!N153)</f>
        <v>0</v>
      </c>
      <c r="I163" s="31" t="s">
        <v>0</v>
      </c>
      <c r="J163" s="31" t="str">
        <f>IF(csv!P153="","",csv!P153)</f>
        <v>KAP</v>
      </c>
      <c r="K163" s="31" t="str">
        <f>IF(csv!Q153="","",csv!Q153)</f>
        <v>OK Kapela</v>
      </c>
      <c r="L163" s="31" t="s">
        <v>0</v>
      </c>
      <c r="M163" s="66" t="str">
        <f>IF(csv!R153="","",csv!R153)</f>
        <v>CRO</v>
      </c>
      <c r="N163" s="47" t="s">
        <v>0</v>
      </c>
      <c r="O163" s="243" t="str">
        <f t="shared" si="151"/>
        <v>ok</v>
      </c>
      <c r="P163" s="47"/>
      <c r="Q163" s="52" t="str">
        <f t="shared" si="152"/>
        <v>M55</v>
      </c>
      <c r="R163" s="73">
        <f>IF(Q163="","",IF(COUNTIF(Q$12:Q162,Q163)=0,R162+1,R162))</f>
        <v>9</v>
      </c>
      <c r="S163" s="73">
        <f t="shared" si="153"/>
        <v>105</v>
      </c>
      <c r="T163" s="73">
        <f t="shared" si="128"/>
        <v>16</v>
      </c>
      <c r="U163" s="66" t="str">
        <f t="shared" si="129"/>
        <v>M55</v>
      </c>
      <c r="V163" s="47" t="s">
        <v>0</v>
      </c>
      <c r="W163" s="222" t="str">
        <f t="shared" si="130"/>
        <v>M55</v>
      </c>
      <c r="X163" s="223">
        <f t="shared" si="131"/>
        <v>31</v>
      </c>
      <c r="Y163" s="47" t="s">
        <v>0</v>
      </c>
      <c r="Z163" s="52" t="str">
        <f t="shared" si="154"/>
        <v>CRO</v>
      </c>
      <c r="AA163" s="73">
        <f t="shared" si="132"/>
        <v>1</v>
      </c>
      <c r="AB163" s="31" t="str">
        <f t="shared" si="155"/>
        <v/>
      </c>
      <c r="AC163" s="66" t="str">
        <f>IF(AB163="","",MAX(AC$12:AC162)+1)</f>
        <v/>
      </c>
      <c r="AD163" s="47" t="s">
        <v>0</v>
      </c>
      <c r="AE163" s="125"/>
      <c r="AF163" s="47" t="s">
        <v>0</v>
      </c>
      <c r="AG163" s="19" t="str">
        <f t="shared" si="156"/>
        <v/>
      </c>
      <c r="AH163" s="47" t="s">
        <v>0</v>
      </c>
      <c r="AI163" s="143" t="str">
        <f t="shared" si="157"/>
        <v>CRO</v>
      </c>
      <c r="AJ163" s="47"/>
      <c r="AK163" s="52" t="str">
        <f t="shared" si="158"/>
        <v>Krešo</v>
      </c>
      <c r="AL163" s="31" t="str">
        <f t="shared" si="159"/>
        <v>Špoljar</v>
      </c>
      <c r="AM163" s="73">
        <f t="shared" si="160"/>
        <v>1358</v>
      </c>
      <c r="AN163" s="73" t="str">
        <f t="shared" si="161"/>
        <v/>
      </c>
      <c r="AO163" s="31" t="str">
        <f t="shared" si="133"/>
        <v>Krešo</v>
      </c>
      <c r="AP163" s="66" t="str">
        <f t="shared" si="134"/>
        <v>Špoljar</v>
      </c>
      <c r="AQ163" s="47" t="s">
        <v>0</v>
      </c>
      <c r="AR163" s="82" t="str">
        <f t="shared" si="162"/>
        <v/>
      </c>
      <c r="AS163" s="47" t="s">
        <v>0</v>
      </c>
      <c r="AT163" s="19" t="str">
        <f t="shared" si="163"/>
        <v/>
      </c>
      <c r="AU163" s="47" t="s">
        <v>0</v>
      </c>
      <c r="AV163" s="103"/>
      <c r="AW163" s="105"/>
      <c r="AX163" s="47" t="s">
        <v>0</v>
      </c>
      <c r="AY163" s="256" t="str">
        <f t="shared" si="181"/>
        <v/>
      </c>
      <c r="AZ163" s="47" t="s">
        <v>0</v>
      </c>
      <c r="BA163" s="52" t="str">
        <f t="shared" si="135"/>
        <v/>
      </c>
      <c r="BB163" s="73" t="str">
        <f>IF(AV163&amp;AW163="","",MAX(BB$12:BB162)+1)</f>
        <v/>
      </c>
      <c r="BC163" s="268" t="str">
        <f t="shared" si="136"/>
        <v/>
      </c>
      <c r="BD163" s="53" t="str">
        <f>IF(AND(AM163="NEMA",AN163="NEMA",OR(AV163&amp;AW163="",BC163="NEMA")),MAX(BD$12:BD162)+1,"")</f>
        <v/>
      </c>
      <c r="BE163" s="47" t="s">
        <v>0</v>
      </c>
      <c r="BF163" s="52" t="str">
        <f t="shared" si="137"/>
        <v>Krešo</v>
      </c>
      <c r="BG163" s="31" t="str">
        <f t="shared" si="138"/>
        <v>Špoljar</v>
      </c>
      <c r="BH163" s="73" t="str">
        <f t="shared" si="164"/>
        <v/>
      </c>
      <c r="BI163" s="53">
        <f t="shared" si="165"/>
        <v>1358</v>
      </c>
      <c r="BJ163" s="47" t="s">
        <v>0</v>
      </c>
      <c r="BK163" s="52" t="str">
        <f t="shared" si="139"/>
        <v>KAP</v>
      </c>
      <c r="BL163" s="31" t="str">
        <f t="shared" si="140"/>
        <v>OK Kapela</v>
      </c>
      <c r="BM163" s="73">
        <f t="shared" si="141"/>
        <v>5</v>
      </c>
      <c r="BN163" s="73" t="str">
        <f t="shared" si="142"/>
        <v/>
      </c>
      <c r="BO163" s="31" t="str" cm="1">
        <f t="array" ref="BO163">IF(BN163="",""&amp;BL163,IF(BN163="NEMA",BL163,INDEX(regKlub_naziv,MATCH(INDEX(regKlub_alias_klubId,BN163),regKlub_id,0))))</f>
        <v>OK Kapela</v>
      </c>
      <c r="BP163" s="31" t="str" cm="1">
        <f t="array" ref="BP163">IFERROR(""&amp;INDEX(regNatjecatelj_klub,DY163),"")</f>
        <v>OK Kapela</v>
      </c>
      <c r="BQ163" s="88" t="str">
        <f t="shared" si="166"/>
        <v/>
      </c>
      <c r="BR163" s="66" t="str">
        <f t="shared" si="167"/>
        <v>OK Kapela</v>
      </c>
      <c r="BS163" s="47" t="s">
        <v>0</v>
      </c>
      <c r="BT163" s="82" t="str">
        <f>IF(BN163&lt;&gt;"NEMA","",IF(IFERROR(MATCH(BL163,BL$12:BL162,0),0)&lt;&gt;0,"",BL163))</f>
        <v/>
      </c>
      <c r="BU163" s="47" t="s">
        <v>0</v>
      </c>
      <c r="BV163" s="125"/>
      <c r="BW163" s="47" t="s">
        <v>0</v>
      </c>
      <c r="BX163" s="58" t="str">
        <f t="shared" si="168"/>
        <v/>
      </c>
      <c r="BY163" s="31" t="str">
        <f t="shared" si="169"/>
        <v/>
      </c>
      <c r="BZ163" s="31" t="str">
        <f>IF(BY163="","",MAX(BZ$12:BZ162)+1)</f>
        <v/>
      </c>
      <c r="CA163" s="31" t="str">
        <f>IF(BY163="","",IF(AA163="","",IF(AA163="NEMA",AC163,AA163)))</f>
        <v/>
      </c>
      <c r="CB163" s="31" t="str">
        <f t="shared" si="170"/>
        <v/>
      </c>
      <c r="CC163" s="31" t="str">
        <f>IF(BV163="","",MAX(CC$12:CC162)+1)</f>
        <v/>
      </c>
      <c r="CD163" s="31" t="str">
        <f t="shared" si="171"/>
        <v/>
      </c>
      <c r="CE163" s="66" t="str">
        <f t="shared" si="172"/>
        <v/>
      </c>
      <c r="CF163" s="47" t="s">
        <v>0</v>
      </c>
      <c r="CG163" s="73" t="str">
        <f>IF(BN163="","",IF(BN163&lt;&gt;"NEMA","",IFERROR(INDEX(nat_klubAliasId,MATCH(BL163,nat_noviKluboviAliasi,0)),"")))</f>
        <v/>
      </c>
      <c r="CH163" s="47"/>
      <c r="CI163" s="19" t="str">
        <f t="shared" si="173"/>
        <v/>
      </c>
      <c r="CJ163" s="47" t="s">
        <v>0</v>
      </c>
      <c r="CK163" s="52" t="str">
        <f>IF(X163&lt;&gt;"NEMA","",IF(IFERROR(MATCH(W163,W$12:W162,0),0)&lt;&gt;0,"",W163))</f>
        <v/>
      </c>
      <c r="CL163" s="73" t="str">
        <f>IF(CK163="","",IFERROR(INDEX(regKlub_alias_id,MATCH(CK163,regKlub_alias_alias,0)),"NEMA"))</f>
        <v/>
      </c>
      <c r="CM163" s="31" t="str">
        <f>IF(OR(CL163="",CL163&lt;&gt;"NEMA"),"",MAX(CM$12:CM162)+1)</f>
        <v/>
      </c>
      <c r="CN163" s="66" t="str">
        <f>IF(OR(CL163="",CL163&lt;&gt;"NEMA"),"",INDEX(regKlub_id,MATCH(CK163,regKlub_naziv,0)))</f>
        <v/>
      </c>
      <c r="CO163" s="47" t="s">
        <v>0</v>
      </c>
      <c r="CP163" s="19" t="str">
        <f>IF(OR(CL163="",CL163&lt;&gt;"NEMA"),"","INSERT INTO klub_alias(id,alias,klub_id) VALUES ("&amp;CM163&amp;",'"&amp;CK163&amp;"',"&amp;CN163&amp;");")</f>
        <v/>
      </c>
      <c r="CQ163" s="47" t="s">
        <v>0</v>
      </c>
      <c r="CR163" s="143" t="str">
        <f>IF(BR163="","",IF(BV163="",IF(IFERROR(MATCH(BR163,nat_noviKluboviAliasi,0),0)&gt;0,INDEX(nat_kluboviAliasi,MATCH(BR163,nat_noviKluboviAliasi,0)),BR163),BV163))</f>
        <v>OK Kapela</v>
      </c>
      <c r="CS163" s="47" t="s">
        <v>0</v>
      </c>
      <c r="CT163" s="58" t="str">
        <f>IF(G163="","",G163)</f>
        <v>45:13</v>
      </c>
      <c r="CU163" s="73" t="str">
        <f>IF(H163="","",H163)</f>
        <v>0</v>
      </c>
      <c r="CV163" s="229" t="str">
        <f>IF(CT163="",IF(OR(AL163="",CU163&lt;&gt;"0"),"","GREŠKA"),IF(AND(65535&gt;=VALUE(LEFT(CT163,SEARCH(":",CT163)-1))*60+VALUE(RIGHT(CT163,2)),OR(CU163="0",CU163="1",CU163="2",CU163="3",CU163="4")),"","GREŠKA"))</f>
        <v/>
      </c>
      <c r="CW163" s="230">
        <f t="shared" si="127"/>
        <v>2713</v>
      </c>
      <c r="CX163" s="163">
        <f t="shared" si="143"/>
        <v>1</v>
      </c>
      <c r="CY163" s="47" t="s">
        <v>0</v>
      </c>
      <c r="CZ163" s="222" t="str">
        <f>IF(CV163&lt;&gt;"GREŠKA","",AK163&amp;" "&amp;AL163&amp;" – Molim u OEventu provjeriti i ispraviti rezultat – vrijeme ("&amp;IF(CT163="","nije upisano",CT163)&amp;") i classifier ("&amp;CU163&amp;").")&amp;IF(OR(CV163&lt;&gt;"GREŠKA",CX163&lt;&gt;5),"
","")&amp;IF(CX163&lt;&gt;5,"",AK163&amp;" "&amp;AL163&amp;" – Molim u provjeriti je li natjecatelj zaista diskvalificiran. Ako je koje je obrazloženje, ako nije molim u OEventu ispraviti rezultat")</f>
        <v xml:space="preserve">
</v>
      </c>
      <c r="DA163" s="223">
        <f t="shared" si="174"/>
        <v>6</v>
      </c>
      <c r="DB163" s="47" t="s">
        <v>0</v>
      </c>
      <c r="DC163" s="47"/>
      <c r="DD163" s="47"/>
      <c r="DE163" s="47"/>
      <c r="DF163" s="47" t="s">
        <v>0</v>
      </c>
      <c r="DG163" s="53" t="str">
        <f>IF(BD163="","",IF(DI163="O",1,""))</f>
        <v/>
      </c>
      <c r="DH163" t="s">
        <v>0</v>
      </c>
      <c r="DI163" s="128" t="str">
        <f>IF(Q163="","",LEFT(INDEX(regKategorija_oznaka,MATCH(S163,regKategorija_id,0)),1))</f>
        <v>M</v>
      </c>
      <c r="DJ163" t="s">
        <v>0</v>
      </c>
      <c r="DK163" s="52" t="str">
        <f>IF(BD163="","",IF(M163&lt;&gt;"CRO","","INSERT INTO osoba (id,reg_broj,oib,spol_id,dat_rodjenja) VALUES ("&amp;BD163&amp;",(SELECT max(os.reg_broj)+1 FROM osoba AS os),Null,'"&amp;DI163&amp;"',Null); INSERT INTO osoba_log (id,reg_broj,oib,spol_id,dat_rodjenja,dnevnik_id) SELECT id,reg_broj,oib,spol_id,dat_rodjenja,"&amp;data_dnevnik_id&amp;" FROM osoba WHERE id = "&amp;BD163&amp;";"))</f>
        <v/>
      </c>
      <c r="DL163" s="66" t="str">
        <f>IF(BD163="","","INSERT INTO imeprezime (id,osoba_id,rbr,ime,prezime,klub_id,identitet_id,sintaksa_id,info,aktivno,dnevnik_id) VALUES ("&amp;BD163&amp;","&amp;IF(DK163="","Null",BD163)&amp;",1,'"&amp;IF(AV163&lt;&gt;"",AV163,AK163)&amp;"','"&amp;IF(AW163&lt;&gt;"",AW163,AL163)&amp;"',(SELECT id FROM klub WHERE naziv = '"&amp;CR163&amp;"'),Null,1,'',1,"&amp;data_dnevnik_id&amp;");")</f>
        <v/>
      </c>
      <c r="DM163" t="s">
        <v>0</v>
      </c>
      <c r="DN163" s="19" t="str">
        <f t="shared" si="182"/>
        <v/>
      </c>
      <c r="DO163" s="47" t="s">
        <v>0</v>
      </c>
      <c r="DP163" s="19" t="str">
        <f>IF(BA163="","","INSERT INTO imeprezime_alias(id,alias,imeprezime_id) VALUES ("&amp;BB163&amp;",'"&amp;BA163&amp;"',"&amp;IF(BC163="NEMA",BD163,BC163)&amp;");")</f>
        <v/>
      </c>
      <c r="DQ163" s="47" t="s">
        <v>0</v>
      </c>
      <c r="DR163" s="52" t="str">
        <f>IF(AL163="","",DU163 &amp; IF(Q163="",""," – " &amp; Q163))</f>
        <v>Krešo – Špoljar – OK Kapela – M55</v>
      </c>
      <c r="DS163" s="53">
        <f t="shared" si="144"/>
        <v>313</v>
      </c>
      <c r="DT163" s="47" t="s">
        <v>0</v>
      </c>
      <c r="DU163" s="52" t="str">
        <f>IF(AL163="","",DX163 &amp; IF(CR163="",""," – " &amp; CR163))</f>
        <v>Krešo – Špoljar – OK Kapela</v>
      </c>
      <c r="DV163" s="53">
        <f t="shared" si="145"/>
        <v>313</v>
      </c>
      <c r="DW163" s="47" t="s">
        <v>0</v>
      </c>
      <c r="DX163" s="52" t="str">
        <f>IF(BG163="","",BF163&amp;" – "&amp;BG163)</f>
        <v>Krešo – Špoljar</v>
      </c>
      <c r="DY163" s="53">
        <f t="shared" si="146"/>
        <v>313</v>
      </c>
      <c r="DZ163" s="47" t="s">
        <v>0</v>
      </c>
      <c r="EA163" s="58">
        <f t="shared" si="175"/>
        <v>313</v>
      </c>
      <c r="EB163" s="53" cm="1">
        <f t="array" ref="EB163">IF(EA163&lt;&gt;"",INDEX(regNatjecatelj_id,EA163,0),IF(BD163&lt;&gt;"",BD163,""))</f>
        <v>1358</v>
      </c>
      <c r="EC163" s="47" t="s">
        <v>0</v>
      </c>
      <c r="ED163" s="58" t="str">
        <f>IF(AL163="","",IF(BD163&lt;&gt;"","novo",IF(AN163="","imepre","imepre(ali)")))</f>
        <v>imepre</v>
      </c>
      <c r="EE163" s="73" t="str">
        <f>IF(AL163="","",IF(BL163="",IF(IFERROR(INDEX(regNatjecatelj_klub,MATCH(EB163,regNatjecatelj_id,0)),"NEMA")="","klu",""),IF(OR(AND(BN163&lt;&gt;"",BN163&lt;&gt;"NEMA"),CD163&lt;&gt;""),"klu(ali)",IF(AND(BP163&lt;&gt;"",BP163&lt;&gt;BO163),"(raz-klu)","klu"))))</f>
        <v>klu</v>
      </c>
      <c r="EF163" s="73" t="str">
        <f>IF(AL163="","","kat"&amp;IF(AND(W163&lt;&gt;Q163,Q163&lt;&gt;"Open"),"(ali)",""))</f>
        <v>kat</v>
      </c>
      <c r="EG163" s="73" t="str">
        <f t="shared" si="147"/>
        <v/>
      </c>
      <c r="EH163" s="66" t="str">
        <f>IF(AL163="","",ED163&amp;IF(ED163="novo","","-"&amp;EE163&amp;"-"&amp;EF163)&amp;IF(EG163="","","-"&amp;EG163))</f>
        <v>imepre-klu-kat</v>
      </c>
      <c r="EI163" s="47" t="s">
        <v>0</v>
      </c>
      <c r="EJ163" s="58">
        <f>IF(AL163="","",MAX(EJ$12:EJ162)+1)</f>
        <v>328</v>
      </c>
      <c r="EK163" s="73">
        <f>IF(AO163="","",X163)</f>
        <v>31</v>
      </c>
      <c r="EL163" s="73">
        <f t="shared" si="176"/>
        <v>1358</v>
      </c>
      <c r="EM163" s="73">
        <f t="shared" si="148"/>
        <v>2713</v>
      </c>
      <c r="EN163" s="73">
        <f t="shared" si="149"/>
        <v>1</v>
      </c>
      <c r="EO163" s="73">
        <f t="shared" si="177"/>
        <v>1</v>
      </c>
      <c r="EP163" s="73">
        <f t="shared" si="178"/>
        <v>1</v>
      </c>
      <c r="EQ163" s="73" t="str">
        <f t="shared" si="150"/>
        <v>0</v>
      </c>
      <c r="ER163" s="73" t="str">
        <f>IF(OR(AN163="",AN163="NEMA"),BB163,AN163)</f>
        <v/>
      </c>
      <c r="ES163" s="73" t="str">
        <f>IF(AND(BN163&lt;&gt;"",BN163&lt;&gt;"NEMA"),BN163,IF(CG163&lt;&gt;"",CG163,IF(AND(CL163&lt;&gt;"",CL163&lt;&gt;"NEMA"),CL163,IF(CM163&lt;&gt;"",CM163,""))))</f>
        <v/>
      </c>
      <c r="ET163" s="53" t="str">
        <f>IF(INDEX(natKategorija_alias_Id,MATCH(S163,natKategorija_katRegId,0))="","",INDEX(natKategorija_alias_Id,MATCH(S163,natKategorija_katRegId,0)))</f>
        <v/>
      </c>
      <c r="EU163" s="47" t="s">
        <v>0</v>
      </c>
      <c r="EV163" s="19" t="str">
        <f t="shared" si="179"/>
        <v>INSERT INTO rezultat(id,stazakategorija_id,imeprezime_id,vrijeme_sec,status_id,registracija,uparivanje_id,originalstatus_id,imeprezimealias_id,klubalias_id,kategorijaalias_id) VALUES (328,31,1358,2713,1,1,1,0,Null,Null,Null);</v>
      </c>
      <c r="EW163" s="47" t="s">
        <v>0</v>
      </c>
      <c r="EX163" s="19" t="str">
        <f t="shared" si="180"/>
        <v>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3" s="47" t="s">
        <v>0</v>
      </c>
      <c r="EZ163" s="180" t="str">
        <f>AG163&amp;IF(CP163="","","
")&amp;CP163&amp;IF(CI163="","","
")&amp;CI163&amp;IF(DN163="","","
")&amp;DN163&amp;IF(DP163="","","
")&amp;DP163&amp;IF(EV163="","","
")&amp;EV163&amp;IF(EX163="","","
")&amp;EX163</f>
        <v xml:space="preserve">
INSERT INTO rezultat(id,stazakategorija_id,imeprezime_id,vrijeme_sec,status_id,registracija,uparivanje_id,originalstatus_id,imeprezimealias_id,klubalias_id,kategorijaalias_id) VALUES (328,31,1358,2713,1,1,1,0,Null,Null,Null);
UPDATE
	registar
SET
	potvrda = 1
WHERE
	imeprezime_id=1358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3" s="47" t="s">
        <v>0</v>
      </c>
    </row>
    <row r="164" spans="1:157" x14ac:dyDescent="0.25">
      <c r="A164" t="s">
        <v>0</v>
      </c>
      <c r="B164" s="52" t="str">
        <f>IF(csv!F154="","",csv!T154)</f>
        <v>M55</v>
      </c>
      <c r="C164" s="31" t="s">
        <v>0</v>
      </c>
      <c r="D164" s="31" t="str">
        <f>IF(csv!F154="","",csv!F154)</f>
        <v>Milan</v>
      </c>
      <c r="E164" s="31" t="str">
        <f>IF(csv!E154="","",csv!E154)</f>
        <v>Radočaj</v>
      </c>
      <c r="F164" s="31" t="s">
        <v>0</v>
      </c>
      <c r="G164" s="73" t="str">
        <f>IF(csv!M154="","",csv!M154)</f>
        <v>48:26</v>
      </c>
      <c r="H164" s="73" t="str">
        <f>IF(csv!N154="","",csv!N154)</f>
        <v>0</v>
      </c>
      <c r="I164" s="31" t="s">
        <v>0</v>
      </c>
      <c r="J164" s="31" t="str">
        <f>IF(csv!P154="","",csv!P154)</f>
        <v>BJE</v>
      </c>
      <c r="K164" s="31" t="str">
        <f>IF(csv!Q154="","",csv!Q154)</f>
        <v>OK Bjelovar</v>
      </c>
      <c r="L164" s="31" t="s">
        <v>0</v>
      </c>
      <c r="M164" s="66" t="str">
        <f>IF(csv!R154="","",csv!R154)</f>
        <v>CRO</v>
      </c>
      <c r="N164" s="47" t="s">
        <v>0</v>
      </c>
      <c r="O164" s="243" t="str">
        <f t="shared" si="151"/>
        <v>ok</v>
      </c>
      <c r="P164" s="47"/>
      <c r="Q164" s="52" t="str">
        <f t="shared" si="152"/>
        <v>M55</v>
      </c>
      <c r="R164" s="73">
        <f>IF(Q164="","",IF(COUNTIF(Q$12:Q163,Q164)=0,R163+1,R163))</f>
        <v>9</v>
      </c>
      <c r="S164" s="73">
        <f t="shared" si="153"/>
        <v>105</v>
      </c>
      <c r="T164" s="73">
        <f t="shared" si="128"/>
        <v>16</v>
      </c>
      <c r="U164" s="66" t="str">
        <f t="shared" si="129"/>
        <v>M55</v>
      </c>
      <c r="V164" s="47" t="s">
        <v>0</v>
      </c>
      <c r="W164" s="222" t="str">
        <f t="shared" si="130"/>
        <v>M55</v>
      </c>
      <c r="X164" s="223">
        <f t="shared" si="131"/>
        <v>31</v>
      </c>
      <c r="Y164" s="47" t="s">
        <v>0</v>
      </c>
      <c r="Z164" s="52" t="str">
        <f t="shared" si="154"/>
        <v>CRO</v>
      </c>
      <c r="AA164" s="73">
        <f t="shared" si="132"/>
        <v>1</v>
      </c>
      <c r="AB164" s="31" t="str">
        <f t="shared" si="155"/>
        <v/>
      </c>
      <c r="AC164" s="66" t="str">
        <f>IF(AB164="","",MAX(AC$12:AC163)+1)</f>
        <v/>
      </c>
      <c r="AD164" s="47" t="s">
        <v>0</v>
      </c>
      <c r="AE164" s="125"/>
      <c r="AF164" s="47" t="s">
        <v>0</v>
      </c>
      <c r="AG164" s="19" t="str">
        <f t="shared" si="156"/>
        <v/>
      </c>
      <c r="AH164" s="47" t="s">
        <v>0</v>
      </c>
      <c r="AI164" s="143" t="str">
        <f t="shared" si="157"/>
        <v>CRO</v>
      </c>
      <c r="AJ164" s="47"/>
      <c r="AK164" s="52" t="str">
        <f t="shared" si="158"/>
        <v>Milan</v>
      </c>
      <c r="AL164" s="31" t="str">
        <f t="shared" si="159"/>
        <v>Radočaj</v>
      </c>
      <c r="AM164" s="73">
        <f t="shared" si="160"/>
        <v>1490</v>
      </c>
      <c r="AN164" s="73" t="str">
        <f t="shared" si="161"/>
        <v/>
      </c>
      <c r="AO164" s="31" t="str">
        <f t="shared" si="133"/>
        <v>Milan</v>
      </c>
      <c r="AP164" s="66" t="str">
        <f t="shared" si="134"/>
        <v>Radočaj</v>
      </c>
      <c r="AQ164" s="47" t="s">
        <v>0</v>
      </c>
      <c r="AR164" s="82" t="str">
        <f t="shared" si="162"/>
        <v/>
      </c>
      <c r="AS164" s="47" t="s">
        <v>0</v>
      </c>
      <c r="AT164" s="19" t="str">
        <f t="shared" si="163"/>
        <v/>
      </c>
      <c r="AU164" s="47" t="s">
        <v>0</v>
      </c>
      <c r="AV164" s="103"/>
      <c r="AW164" s="105"/>
      <c r="AX164" s="47" t="s">
        <v>0</v>
      </c>
      <c r="AY164" s="256" t="str">
        <f t="shared" si="181"/>
        <v/>
      </c>
      <c r="AZ164" s="47" t="s">
        <v>0</v>
      </c>
      <c r="BA164" s="52" t="str">
        <f t="shared" si="135"/>
        <v/>
      </c>
      <c r="BB164" s="73" t="str">
        <f>IF(AV164&amp;AW164="","",MAX(BB$12:BB163)+1)</f>
        <v/>
      </c>
      <c r="BC164" s="268" t="str">
        <f t="shared" si="136"/>
        <v/>
      </c>
      <c r="BD164" s="53" t="str">
        <f>IF(AND(AM164="NEMA",AN164="NEMA",OR(AV164&amp;AW164="",BC164="NEMA")),MAX(BD$12:BD163)+1,"")</f>
        <v/>
      </c>
      <c r="BE164" s="47" t="s">
        <v>0</v>
      </c>
      <c r="BF164" s="52" t="str">
        <f t="shared" si="137"/>
        <v>Milan</v>
      </c>
      <c r="BG164" s="31" t="str">
        <f t="shared" si="138"/>
        <v>Radočaj</v>
      </c>
      <c r="BH164" s="73" t="str">
        <f t="shared" si="164"/>
        <v/>
      </c>
      <c r="BI164" s="53">
        <f t="shared" si="165"/>
        <v>1490</v>
      </c>
      <c r="BJ164" s="47" t="s">
        <v>0</v>
      </c>
      <c r="BK164" s="52" t="str">
        <f t="shared" si="139"/>
        <v>BJE</v>
      </c>
      <c r="BL164" s="31" t="str">
        <f t="shared" si="140"/>
        <v>OK Bjelovar</v>
      </c>
      <c r="BM164" s="73">
        <f t="shared" si="141"/>
        <v>1</v>
      </c>
      <c r="BN164" s="73" t="str">
        <f t="shared" si="142"/>
        <v/>
      </c>
      <c r="BO164" s="31" t="str" cm="1">
        <f t="array" ref="BO164">IF(BN164="",""&amp;BL164,IF(BN164="NEMA",BL164,INDEX(regKlub_naziv,MATCH(INDEX(regKlub_alias_klubId,BN164),regKlub_id,0))))</f>
        <v>OK Bjelovar</v>
      </c>
      <c r="BP164" s="31" t="str" cm="1">
        <f t="array" ref="BP164">IFERROR(""&amp;INDEX(regNatjecatelj_klub,DY164),"")</f>
        <v>OK Bjelovar</v>
      </c>
      <c r="BQ164" s="88" t="str">
        <f t="shared" si="166"/>
        <v/>
      </c>
      <c r="BR164" s="66" t="str">
        <f t="shared" si="167"/>
        <v>OK Bjelovar</v>
      </c>
      <c r="BS164" s="47" t="s">
        <v>0</v>
      </c>
      <c r="BT164" s="82" t="str">
        <f>IF(BN164&lt;&gt;"NEMA","",IF(IFERROR(MATCH(BL164,BL$12:BL163,0),0)&lt;&gt;0,"",BL164))</f>
        <v/>
      </c>
      <c r="BU164" s="47" t="s">
        <v>0</v>
      </c>
      <c r="BV164" s="125"/>
      <c r="BW164" s="47" t="s">
        <v>0</v>
      </c>
      <c r="BX164" s="58" t="str">
        <f t="shared" si="168"/>
        <v/>
      </c>
      <c r="BY164" s="31" t="str">
        <f t="shared" si="169"/>
        <v/>
      </c>
      <c r="BZ164" s="31" t="str">
        <f>IF(BY164="","",MAX(BZ$12:BZ163)+1)</f>
        <v/>
      </c>
      <c r="CA164" s="31" t="str">
        <f>IF(BY164="","",IF(AA164="","",IF(AA164="NEMA",AC164,AA164)))</f>
        <v/>
      </c>
      <c r="CB164" s="31" t="str">
        <f t="shared" si="170"/>
        <v/>
      </c>
      <c r="CC164" s="31" t="str">
        <f>IF(BV164="","",MAX(CC$12:CC163)+1)</f>
        <v/>
      </c>
      <c r="CD164" s="31" t="str">
        <f t="shared" si="171"/>
        <v/>
      </c>
      <c r="CE164" s="66" t="str">
        <f t="shared" si="172"/>
        <v/>
      </c>
      <c r="CF164" s="47" t="s">
        <v>0</v>
      </c>
      <c r="CG164" s="73" t="str">
        <f>IF(BN164="","",IF(BN164&lt;&gt;"NEMA","",IFERROR(INDEX(nat_klubAliasId,MATCH(BL164,nat_noviKluboviAliasi,0)),"")))</f>
        <v/>
      </c>
      <c r="CH164" s="47"/>
      <c r="CI164" s="19" t="str">
        <f t="shared" si="173"/>
        <v/>
      </c>
      <c r="CJ164" s="47" t="s">
        <v>0</v>
      </c>
      <c r="CK164" s="52" t="str">
        <f>IF(X164&lt;&gt;"NEMA","",IF(IFERROR(MATCH(W164,W$12:W163,0),0)&lt;&gt;0,"",W164))</f>
        <v/>
      </c>
      <c r="CL164" s="73" t="str">
        <f>IF(CK164="","",IFERROR(INDEX(regKlub_alias_id,MATCH(CK164,regKlub_alias_alias,0)),"NEMA"))</f>
        <v/>
      </c>
      <c r="CM164" s="31" t="str">
        <f>IF(OR(CL164="",CL164&lt;&gt;"NEMA"),"",MAX(CM$12:CM163)+1)</f>
        <v/>
      </c>
      <c r="CN164" s="66" t="str">
        <f>IF(OR(CL164="",CL164&lt;&gt;"NEMA"),"",INDEX(regKlub_id,MATCH(CK164,regKlub_naziv,0)))</f>
        <v/>
      </c>
      <c r="CO164" s="47" t="s">
        <v>0</v>
      </c>
      <c r="CP164" s="19" t="str">
        <f>IF(OR(CL164="",CL164&lt;&gt;"NEMA"),"","INSERT INTO klub_alias(id,alias,klub_id) VALUES ("&amp;CM164&amp;",'"&amp;CK164&amp;"',"&amp;CN164&amp;");")</f>
        <v/>
      </c>
      <c r="CQ164" s="47" t="s">
        <v>0</v>
      </c>
      <c r="CR164" s="143" t="str">
        <f>IF(BR164="","",IF(BV164="",IF(IFERROR(MATCH(BR164,nat_noviKluboviAliasi,0),0)&gt;0,INDEX(nat_kluboviAliasi,MATCH(BR164,nat_noviKluboviAliasi,0)),BR164),BV164))</f>
        <v>OK Bjelovar</v>
      </c>
      <c r="CS164" s="47" t="s">
        <v>0</v>
      </c>
      <c r="CT164" s="58" t="str">
        <f>IF(G164="","",G164)</f>
        <v>48:26</v>
      </c>
      <c r="CU164" s="73" t="str">
        <f>IF(H164="","",H164)</f>
        <v>0</v>
      </c>
      <c r="CV164" s="229" t="str">
        <f>IF(CT164="",IF(OR(AL164="",CU164&lt;&gt;"0"),"","GREŠKA"),IF(AND(65535&gt;=VALUE(LEFT(CT164,SEARCH(":",CT164)-1))*60+VALUE(RIGHT(CT164,2)),OR(CU164="0",CU164="1",CU164="2",CU164="3",CU164="4")),"","GREŠKA"))</f>
        <v/>
      </c>
      <c r="CW164" s="230">
        <f t="shared" si="127"/>
        <v>2906</v>
      </c>
      <c r="CX164" s="163">
        <f t="shared" si="143"/>
        <v>1</v>
      </c>
      <c r="CY164" s="47" t="s">
        <v>0</v>
      </c>
      <c r="CZ164" s="222" t="str">
        <f>IF(CV164&lt;&gt;"GREŠKA","",AK164&amp;" "&amp;AL164&amp;" – Molim u OEventu provjeriti i ispraviti rezultat – vrijeme ("&amp;IF(CT164="","nije upisano",CT164)&amp;") i classifier ("&amp;CU164&amp;").")&amp;IF(OR(CV164&lt;&gt;"GREŠKA",CX164&lt;&gt;5),"
","")&amp;IF(CX164&lt;&gt;5,"",AK164&amp;" "&amp;AL164&amp;" – Molim u provjeriti je li natjecatelj zaista diskvalificiran. Ako je koje je obrazloženje, ako nije molim u OEventu ispraviti rezultat")</f>
        <v xml:space="preserve">
</v>
      </c>
      <c r="DA164" s="223">
        <f t="shared" si="174"/>
        <v>6</v>
      </c>
      <c r="DB164" s="47" t="s">
        <v>0</v>
      </c>
      <c r="DC164" s="47"/>
      <c r="DD164" s="47"/>
      <c r="DE164" s="47"/>
      <c r="DF164" s="47" t="s">
        <v>0</v>
      </c>
      <c r="DG164" s="53" t="str">
        <f>IF(BD164="","",IF(DI164="O",1,""))</f>
        <v/>
      </c>
      <c r="DH164" t="s">
        <v>0</v>
      </c>
      <c r="DI164" s="128" t="str">
        <f>IF(Q164="","",LEFT(INDEX(regKategorija_oznaka,MATCH(S164,regKategorija_id,0)),1))</f>
        <v>M</v>
      </c>
      <c r="DJ164" t="s">
        <v>0</v>
      </c>
      <c r="DK164" s="52" t="str">
        <f>IF(BD164="","",IF(M164&lt;&gt;"CRO","","INSERT INTO osoba (id,reg_broj,oib,spol_id,dat_rodjenja) VALUES ("&amp;BD164&amp;",(SELECT max(os.reg_broj)+1 FROM osoba AS os),Null,'"&amp;DI164&amp;"',Null); INSERT INTO osoba_log (id,reg_broj,oib,spol_id,dat_rodjenja,dnevnik_id) SELECT id,reg_broj,oib,spol_id,dat_rodjenja,"&amp;data_dnevnik_id&amp;" FROM osoba WHERE id = "&amp;BD164&amp;";"))</f>
        <v/>
      </c>
      <c r="DL164" s="66" t="str">
        <f>IF(BD164="","","INSERT INTO imeprezime (id,osoba_id,rbr,ime,prezime,klub_id,identitet_id,sintaksa_id,info,aktivno,dnevnik_id) VALUES ("&amp;BD164&amp;","&amp;IF(DK164="","Null",BD164)&amp;",1,'"&amp;IF(AV164&lt;&gt;"",AV164,AK164)&amp;"','"&amp;IF(AW164&lt;&gt;"",AW164,AL164)&amp;"',(SELECT id FROM klub WHERE naziv = '"&amp;CR164&amp;"'),Null,1,'',1,"&amp;data_dnevnik_id&amp;");")</f>
        <v/>
      </c>
      <c r="DM164" t="s">
        <v>0</v>
      </c>
      <c r="DN164" s="19" t="str">
        <f t="shared" si="182"/>
        <v/>
      </c>
      <c r="DO164" s="47" t="s">
        <v>0</v>
      </c>
      <c r="DP164" s="19" t="str">
        <f>IF(BA164="","","INSERT INTO imeprezime_alias(id,alias,imeprezime_id) VALUES ("&amp;BB164&amp;",'"&amp;BA164&amp;"',"&amp;IF(BC164="NEMA",BD164,BC164)&amp;");")</f>
        <v/>
      </c>
      <c r="DQ164" s="47" t="s">
        <v>0</v>
      </c>
      <c r="DR164" s="52" t="str">
        <f>IF(AL164="","",DU164 &amp; IF(Q164="",""," – " &amp; Q164))</f>
        <v>Milan – Radočaj – OK Bjelovar – M55</v>
      </c>
      <c r="DS164" s="53">
        <f t="shared" si="144"/>
        <v>21</v>
      </c>
      <c r="DT164" s="47" t="s">
        <v>0</v>
      </c>
      <c r="DU164" s="52" t="str">
        <f>IF(AL164="","",DX164 &amp; IF(CR164="",""," – " &amp; CR164))</f>
        <v>Milan – Radočaj – OK Bjelovar</v>
      </c>
      <c r="DV164" s="53">
        <f t="shared" si="145"/>
        <v>21</v>
      </c>
      <c r="DW164" s="47" t="s">
        <v>0</v>
      </c>
      <c r="DX164" s="52" t="str">
        <f>IF(BG164="","",BF164&amp;" – "&amp;BG164)</f>
        <v>Milan – Radočaj</v>
      </c>
      <c r="DY164" s="53">
        <f t="shared" si="146"/>
        <v>21</v>
      </c>
      <c r="DZ164" s="47" t="s">
        <v>0</v>
      </c>
      <c r="EA164" s="58">
        <f t="shared" si="175"/>
        <v>21</v>
      </c>
      <c r="EB164" s="53" cm="1">
        <f t="array" ref="EB164">IF(EA164&lt;&gt;"",INDEX(regNatjecatelj_id,EA164,0),IF(BD164&lt;&gt;"",BD164,""))</f>
        <v>1490</v>
      </c>
      <c r="EC164" s="47" t="s">
        <v>0</v>
      </c>
      <c r="ED164" s="58" t="str">
        <f>IF(AL164="","",IF(BD164&lt;&gt;"","novo",IF(AN164="","imepre","imepre(ali)")))</f>
        <v>imepre</v>
      </c>
      <c r="EE164" s="73" t="str">
        <f>IF(AL164="","",IF(BL164="",IF(IFERROR(INDEX(regNatjecatelj_klub,MATCH(EB164,regNatjecatelj_id,0)),"NEMA")="","klu",""),IF(OR(AND(BN164&lt;&gt;"",BN164&lt;&gt;"NEMA"),CD164&lt;&gt;""),"klu(ali)",IF(AND(BP164&lt;&gt;"",BP164&lt;&gt;BO164),"(raz-klu)","klu"))))</f>
        <v>klu</v>
      </c>
      <c r="EF164" s="73" t="str">
        <f>IF(AL164="","","kat"&amp;IF(AND(W164&lt;&gt;Q164,Q164&lt;&gt;"Open"),"(ali)",""))</f>
        <v>kat</v>
      </c>
      <c r="EG164" s="73" t="str">
        <f t="shared" si="147"/>
        <v/>
      </c>
      <c r="EH164" s="66" t="str">
        <f>IF(AL164="","",ED164&amp;IF(ED164="novo","","-"&amp;EE164&amp;"-"&amp;EF164)&amp;IF(EG164="","","-"&amp;EG164))</f>
        <v>imepre-klu-kat</v>
      </c>
      <c r="EI164" s="47" t="s">
        <v>0</v>
      </c>
      <c r="EJ164" s="58">
        <f>IF(AL164="","",MAX(EJ$12:EJ163)+1)</f>
        <v>329</v>
      </c>
      <c r="EK164" s="73">
        <f>IF(AO164="","",X164)</f>
        <v>31</v>
      </c>
      <c r="EL164" s="73">
        <f t="shared" si="176"/>
        <v>1490</v>
      </c>
      <c r="EM164" s="73">
        <f t="shared" si="148"/>
        <v>2906</v>
      </c>
      <c r="EN164" s="73">
        <f t="shared" si="149"/>
        <v>1</v>
      </c>
      <c r="EO164" s="73">
        <f t="shared" si="177"/>
        <v>1</v>
      </c>
      <c r="EP164" s="73">
        <f t="shared" si="178"/>
        <v>1</v>
      </c>
      <c r="EQ164" s="73" t="str">
        <f t="shared" si="150"/>
        <v>0</v>
      </c>
      <c r="ER164" s="73" t="str">
        <f>IF(OR(AN164="",AN164="NEMA"),BB164,AN164)</f>
        <v/>
      </c>
      <c r="ES164" s="73" t="str">
        <f>IF(AND(BN164&lt;&gt;"",BN164&lt;&gt;"NEMA"),BN164,IF(CG164&lt;&gt;"",CG164,IF(AND(CL164&lt;&gt;"",CL164&lt;&gt;"NEMA"),CL164,IF(CM164&lt;&gt;"",CM164,""))))</f>
        <v/>
      </c>
      <c r="ET164" s="53" t="str">
        <f>IF(INDEX(natKategorija_alias_Id,MATCH(S164,natKategorija_katRegId,0))="","",INDEX(natKategorija_alias_Id,MATCH(S164,natKategorija_katRegId,0)))</f>
        <v/>
      </c>
      <c r="EU164" s="47" t="s">
        <v>0</v>
      </c>
      <c r="EV164" s="19" t="str">
        <f t="shared" si="179"/>
        <v>INSERT INTO rezultat(id,stazakategorija_id,imeprezime_id,vrijeme_sec,status_id,registracija,uparivanje_id,originalstatus_id,imeprezimealias_id,klubalias_id,kategorijaalias_id) VALUES (329,31,1490,2906,1,1,1,0,Null,Null,Null);</v>
      </c>
      <c r="EW164" s="47" t="s">
        <v>0</v>
      </c>
      <c r="EX164" s="19" t="str">
        <f t="shared" si="180"/>
        <v>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4" s="47" t="s">
        <v>0</v>
      </c>
      <c r="EZ164" s="180" t="str">
        <f>AG164&amp;IF(CP164="","","
")&amp;CP164&amp;IF(CI164="","","
")&amp;CI164&amp;IF(DN164="","","
")&amp;DN164&amp;IF(DP164="","","
")&amp;DP164&amp;IF(EV164="","","
")&amp;EV164&amp;IF(EX164="","","
")&amp;EX164</f>
        <v xml:space="preserve">
INSERT INTO rezultat(id,stazakategorija_id,imeprezime_id,vrijeme_sec,status_id,registracija,uparivanje_id,originalstatus_id,imeprezimealias_id,klubalias_id,kategorijaalias_id) VALUES (329,31,1490,2906,1,1,1,0,Null,Null,Null);
UPDATE
	registar
SET
	potvrda = 1
WHERE
	imeprezime_id=1490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4" s="47" t="s">
        <v>0</v>
      </c>
    </row>
    <row r="165" spans="1:157" x14ac:dyDescent="0.25">
      <c r="A165" t="s">
        <v>0</v>
      </c>
      <c r="B165" s="52" t="str">
        <f>IF(csv!F155="","",csv!T155)</f>
        <v>M55</v>
      </c>
      <c r="C165" s="31" t="s">
        <v>0</v>
      </c>
      <c r="D165" s="31" t="str">
        <f>IF(csv!F155="","",csv!F155)</f>
        <v>Darko</v>
      </c>
      <c r="E165" s="31" t="str">
        <f>IF(csv!E155="","",csv!E155)</f>
        <v>Raškaj</v>
      </c>
      <c r="F165" s="31" t="s">
        <v>0</v>
      </c>
      <c r="G165" s="73" t="str">
        <f>IF(csv!M155="","",csv!M155)</f>
        <v>48:41</v>
      </c>
      <c r="H165" s="73" t="str">
        <f>IF(csv!N155="","",csv!N155)</f>
        <v>0</v>
      </c>
      <c r="I165" s="31" t="s">
        <v>0</v>
      </c>
      <c r="J165" s="31" t="str">
        <f>IF(csv!P155="","",csv!P155)</f>
        <v>KAP</v>
      </c>
      <c r="K165" s="31" t="str">
        <f>IF(csv!Q155="","",csv!Q155)</f>
        <v>OK Kapela</v>
      </c>
      <c r="L165" s="31" t="s">
        <v>0</v>
      </c>
      <c r="M165" s="66" t="str">
        <f>IF(csv!R155="","",csv!R155)</f>
        <v>CRO</v>
      </c>
      <c r="N165" s="47" t="s">
        <v>0</v>
      </c>
      <c r="O165" s="243" t="str">
        <f t="shared" si="151"/>
        <v>ok</v>
      </c>
      <c r="P165" s="47"/>
      <c r="Q165" s="52" t="str">
        <f t="shared" si="152"/>
        <v>M55</v>
      </c>
      <c r="R165" s="73">
        <f>IF(Q165="","",IF(COUNTIF(Q$12:Q164,Q165)=0,R164+1,R164))</f>
        <v>9</v>
      </c>
      <c r="S165" s="73">
        <f t="shared" si="153"/>
        <v>105</v>
      </c>
      <c r="T165" s="73">
        <f t="shared" si="128"/>
        <v>16</v>
      </c>
      <c r="U165" s="66" t="str">
        <f t="shared" si="129"/>
        <v>M55</v>
      </c>
      <c r="V165" s="47" t="s">
        <v>0</v>
      </c>
      <c r="W165" s="222" t="str">
        <f t="shared" si="130"/>
        <v>M55</v>
      </c>
      <c r="X165" s="223">
        <f t="shared" si="131"/>
        <v>31</v>
      </c>
      <c r="Y165" s="47" t="s">
        <v>0</v>
      </c>
      <c r="Z165" s="52" t="str">
        <f t="shared" si="154"/>
        <v>CRO</v>
      </c>
      <c r="AA165" s="73">
        <f t="shared" si="132"/>
        <v>1</v>
      </c>
      <c r="AB165" s="31" t="str">
        <f t="shared" si="155"/>
        <v/>
      </c>
      <c r="AC165" s="66" t="str">
        <f>IF(AB165="","",MAX(AC$12:AC164)+1)</f>
        <v/>
      </c>
      <c r="AD165" s="47" t="s">
        <v>0</v>
      </c>
      <c r="AE165" s="125"/>
      <c r="AF165" s="47" t="s">
        <v>0</v>
      </c>
      <c r="AG165" s="19" t="str">
        <f t="shared" si="156"/>
        <v/>
      </c>
      <c r="AH165" s="47" t="s">
        <v>0</v>
      </c>
      <c r="AI165" s="143" t="str">
        <f t="shared" si="157"/>
        <v>CRO</v>
      </c>
      <c r="AJ165" s="47"/>
      <c r="AK165" s="52" t="str">
        <f t="shared" si="158"/>
        <v>Darko</v>
      </c>
      <c r="AL165" s="31" t="str">
        <f t="shared" si="159"/>
        <v>Raškaj</v>
      </c>
      <c r="AM165" s="73">
        <f t="shared" si="160"/>
        <v>1363</v>
      </c>
      <c r="AN165" s="73" t="str">
        <f t="shared" si="161"/>
        <v/>
      </c>
      <c r="AO165" s="31" t="str">
        <f t="shared" si="133"/>
        <v>Darko</v>
      </c>
      <c r="AP165" s="66" t="str">
        <f t="shared" si="134"/>
        <v>Raškaj</v>
      </c>
      <c r="AQ165" s="47" t="s">
        <v>0</v>
      </c>
      <c r="AR165" s="82" t="str">
        <f t="shared" si="162"/>
        <v/>
      </c>
      <c r="AS165" s="47" t="s">
        <v>0</v>
      </c>
      <c r="AT165" s="19" t="str">
        <f t="shared" si="163"/>
        <v/>
      </c>
      <c r="AU165" s="47" t="s">
        <v>0</v>
      </c>
      <c r="AV165" s="103"/>
      <c r="AW165" s="105"/>
      <c r="AX165" s="47" t="s">
        <v>0</v>
      </c>
      <c r="AY165" s="256" t="str">
        <f t="shared" si="181"/>
        <v/>
      </c>
      <c r="AZ165" s="47" t="s">
        <v>0</v>
      </c>
      <c r="BA165" s="52" t="str">
        <f t="shared" si="135"/>
        <v/>
      </c>
      <c r="BB165" s="73" t="str">
        <f>IF(AV165&amp;AW165="","",MAX(BB$12:BB164)+1)</f>
        <v/>
      </c>
      <c r="BC165" s="268" t="str">
        <f t="shared" si="136"/>
        <v/>
      </c>
      <c r="BD165" s="53" t="str">
        <f>IF(AND(AM165="NEMA",AN165="NEMA",OR(AV165&amp;AW165="",BC165="NEMA")),MAX(BD$12:BD164)+1,"")</f>
        <v/>
      </c>
      <c r="BE165" s="47" t="s">
        <v>0</v>
      </c>
      <c r="BF165" s="52" t="str">
        <f t="shared" si="137"/>
        <v>Darko</v>
      </c>
      <c r="BG165" s="31" t="str">
        <f t="shared" si="138"/>
        <v>Raškaj</v>
      </c>
      <c r="BH165" s="73" t="str">
        <f t="shared" si="164"/>
        <v/>
      </c>
      <c r="BI165" s="53">
        <f t="shared" si="165"/>
        <v>1363</v>
      </c>
      <c r="BJ165" s="47" t="s">
        <v>0</v>
      </c>
      <c r="BK165" s="52" t="str">
        <f t="shared" si="139"/>
        <v>KAP</v>
      </c>
      <c r="BL165" s="31" t="str">
        <f t="shared" si="140"/>
        <v>OK Kapela</v>
      </c>
      <c r="BM165" s="73">
        <f t="shared" si="141"/>
        <v>5</v>
      </c>
      <c r="BN165" s="73" t="str">
        <f t="shared" si="142"/>
        <v/>
      </c>
      <c r="BO165" s="31" t="str" cm="1">
        <f t="array" ref="BO165">IF(BN165="",""&amp;BL165,IF(BN165="NEMA",BL165,INDEX(regKlub_naziv,MATCH(INDEX(regKlub_alias_klubId,BN165),regKlub_id,0))))</f>
        <v>OK Kapela</v>
      </c>
      <c r="BP165" s="31" t="str" cm="1">
        <f t="array" ref="BP165">IFERROR(""&amp;INDEX(regNatjecatelj_klub,DY165),"")</f>
        <v>OK Kapela</v>
      </c>
      <c r="BQ165" s="88" t="str">
        <f t="shared" si="166"/>
        <v/>
      </c>
      <c r="BR165" s="66" t="str">
        <f t="shared" si="167"/>
        <v>OK Kapela</v>
      </c>
      <c r="BS165" s="47" t="s">
        <v>0</v>
      </c>
      <c r="BT165" s="82" t="str">
        <f>IF(BN165&lt;&gt;"NEMA","",IF(IFERROR(MATCH(BL165,BL$12:BL164,0),0)&lt;&gt;0,"",BL165))</f>
        <v/>
      </c>
      <c r="BU165" s="47" t="s">
        <v>0</v>
      </c>
      <c r="BV165" s="125"/>
      <c r="BW165" s="47" t="s">
        <v>0</v>
      </c>
      <c r="BX165" s="58" t="str">
        <f t="shared" si="168"/>
        <v/>
      </c>
      <c r="BY165" s="31" t="str">
        <f t="shared" si="169"/>
        <v/>
      </c>
      <c r="BZ165" s="31" t="str">
        <f>IF(BY165="","",MAX(BZ$12:BZ164)+1)</f>
        <v/>
      </c>
      <c r="CA165" s="31" t="str">
        <f>IF(BY165="","",IF(AA165="","",IF(AA165="NEMA",AC165,AA165)))</f>
        <v/>
      </c>
      <c r="CB165" s="31" t="str">
        <f t="shared" si="170"/>
        <v/>
      </c>
      <c r="CC165" s="31" t="str">
        <f>IF(BV165="","",MAX(CC$12:CC164)+1)</f>
        <v/>
      </c>
      <c r="CD165" s="31" t="str">
        <f t="shared" si="171"/>
        <v/>
      </c>
      <c r="CE165" s="66" t="str">
        <f t="shared" si="172"/>
        <v/>
      </c>
      <c r="CF165" s="47" t="s">
        <v>0</v>
      </c>
      <c r="CG165" s="73" t="str">
        <f>IF(BN165="","",IF(BN165&lt;&gt;"NEMA","",IFERROR(INDEX(nat_klubAliasId,MATCH(BL165,nat_noviKluboviAliasi,0)),"")))</f>
        <v/>
      </c>
      <c r="CH165" s="47"/>
      <c r="CI165" s="19" t="str">
        <f t="shared" si="173"/>
        <v/>
      </c>
      <c r="CJ165" s="47" t="s">
        <v>0</v>
      </c>
      <c r="CK165" s="52" t="str">
        <f>IF(X165&lt;&gt;"NEMA","",IF(IFERROR(MATCH(W165,W$12:W164,0),0)&lt;&gt;0,"",W165))</f>
        <v/>
      </c>
      <c r="CL165" s="73" t="str">
        <f>IF(CK165="","",IFERROR(INDEX(regKlub_alias_id,MATCH(CK165,regKlub_alias_alias,0)),"NEMA"))</f>
        <v/>
      </c>
      <c r="CM165" s="31" t="str">
        <f>IF(OR(CL165="",CL165&lt;&gt;"NEMA"),"",MAX(CM$12:CM164)+1)</f>
        <v/>
      </c>
      <c r="CN165" s="66" t="str">
        <f>IF(OR(CL165="",CL165&lt;&gt;"NEMA"),"",INDEX(regKlub_id,MATCH(CK165,regKlub_naziv,0)))</f>
        <v/>
      </c>
      <c r="CO165" s="47" t="s">
        <v>0</v>
      </c>
      <c r="CP165" s="19" t="str">
        <f>IF(OR(CL165="",CL165&lt;&gt;"NEMA"),"","INSERT INTO klub_alias(id,alias,klub_id) VALUES ("&amp;CM165&amp;",'"&amp;CK165&amp;"',"&amp;CN165&amp;");")</f>
        <v/>
      </c>
      <c r="CQ165" s="47" t="s">
        <v>0</v>
      </c>
      <c r="CR165" s="143" t="str">
        <f>IF(BR165="","",IF(BV165="",IF(IFERROR(MATCH(BR165,nat_noviKluboviAliasi,0),0)&gt;0,INDEX(nat_kluboviAliasi,MATCH(BR165,nat_noviKluboviAliasi,0)),BR165),BV165))</f>
        <v>OK Kapela</v>
      </c>
      <c r="CS165" s="47" t="s">
        <v>0</v>
      </c>
      <c r="CT165" s="58" t="str">
        <f>IF(G165="","",G165)</f>
        <v>48:41</v>
      </c>
      <c r="CU165" s="73" t="str">
        <f>IF(H165="","",H165)</f>
        <v>0</v>
      </c>
      <c r="CV165" s="229" t="str">
        <f>IF(CT165="",IF(OR(AL165="",CU165&lt;&gt;"0"),"","GREŠKA"),IF(AND(65535&gt;=VALUE(LEFT(CT165,SEARCH(":",CT165)-1))*60+VALUE(RIGHT(CT165,2)),OR(CU165="0",CU165="1",CU165="2",CU165="3",CU165="4")),"","GREŠKA"))</f>
        <v/>
      </c>
      <c r="CW165" s="230">
        <f t="shared" si="127"/>
        <v>2921</v>
      </c>
      <c r="CX165" s="163">
        <f t="shared" si="143"/>
        <v>1</v>
      </c>
      <c r="CY165" s="47" t="s">
        <v>0</v>
      </c>
      <c r="CZ165" s="222" t="str">
        <f>IF(CV165&lt;&gt;"GREŠKA","",AK165&amp;" "&amp;AL165&amp;" – Molim u OEventu provjeriti i ispraviti rezultat – vrijeme ("&amp;IF(CT165="","nije upisano",CT165)&amp;") i classifier ("&amp;CU165&amp;").")&amp;IF(OR(CV165&lt;&gt;"GREŠKA",CX165&lt;&gt;5),"
","")&amp;IF(CX165&lt;&gt;5,"",AK165&amp;" "&amp;AL165&amp;" – Molim u provjeriti je li natjecatelj zaista diskvalificiran. Ako je koje je obrazloženje, ako nije molim u OEventu ispraviti rezultat")</f>
        <v xml:space="preserve">
</v>
      </c>
      <c r="DA165" s="223">
        <f t="shared" si="174"/>
        <v>6</v>
      </c>
      <c r="DB165" s="47" t="s">
        <v>0</v>
      </c>
      <c r="DC165" s="47"/>
      <c r="DD165" s="47"/>
      <c r="DE165" s="47"/>
      <c r="DF165" s="47" t="s">
        <v>0</v>
      </c>
      <c r="DG165" s="53" t="str">
        <f>IF(BD165="","",IF(DI165="O",1,""))</f>
        <v/>
      </c>
      <c r="DH165" t="s">
        <v>0</v>
      </c>
      <c r="DI165" s="128" t="str">
        <f>IF(Q165="","",LEFT(INDEX(regKategorija_oznaka,MATCH(S165,regKategorija_id,0)),1))</f>
        <v>M</v>
      </c>
      <c r="DJ165" t="s">
        <v>0</v>
      </c>
      <c r="DK165" s="52" t="str">
        <f>IF(BD165="","",IF(M165&lt;&gt;"CRO","","INSERT INTO osoba (id,reg_broj,oib,spol_id,dat_rodjenja) VALUES ("&amp;BD165&amp;",(SELECT max(os.reg_broj)+1 FROM osoba AS os),Null,'"&amp;DI165&amp;"',Null); INSERT INTO osoba_log (id,reg_broj,oib,spol_id,dat_rodjenja,dnevnik_id) SELECT id,reg_broj,oib,spol_id,dat_rodjenja,"&amp;data_dnevnik_id&amp;" FROM osoba WHERE id = "&amp;BD165&amp;";"))</f>
        <v/>
      </c>
      <c r="DL165" s="66" t="str">
        <f>IF(BD165="","","INSERT INTO imeprezime (id,osoba_id,rbr,ime,prezime,klub_id,identitet_id,sintaksa_id,info,aktivno,dnevnik_id) VALUES ("&amp;BD165&amp;","&amp;IF(DK165="","Null",BD165)&amp;",1,'"&amp;IF(AV165&lt;&gt;"",AV165,AK165)&amp;"','"&amp;IF(AW165&lt;&gt;"",AW165,AL165)&amp;"',(SELECT id FROM klub WHERE naziv = '"&amp;CR165&amp;"'),Null,1,'',1,"&amp;data_dnevnik_id&amp;");")</f>
        <v/>
      </c>
      <c r="DM165" t="s">
        <v>0</v>
      </c>
      <c r="DN165" s="19" t="str">
        <f t="shared" si="182"/>
        <v/>
      </c>
      <c r="DO165" s="47" t="s">
        <v>0</v>
      </c>
      <c r="DP165" s="19" t="str">
        <f>IF(BA165="","","INSERT INTO imeprezime_alias(id,alias,imeprezime_id) VALUES ("&amp;BB165&amp;",'"&amp;BA165&amp;"',"&amp;IF(BC165="NEMA",BD165,BC165)&amp;");")</f>
        <v/>
      </c>
      <c r="DQ165" s="47" t="s">
        <v>0</v>
      </c>
      <c r="DR165" s="52" t="str">
        <f>IF(AL165="","",DU165 &amp; IF(Q165="",""," – " &amp; Q165))</f>
        <v>Darko – Raškaj – OK Kapela – M55</v>
      </c>
      <c r="DS165" s="53">
        <f t="shared" si="144"/>
        <v>301</v>
      </c>
      <c r="DT165" s="47" t="s">
        <v>0</v>
      </c>
      <c r="DU165" s="52" t="str">
        <f>IF(AL165="","",DX165 &amp; IF(CR165="",""," – " &amp; CR165))</f>
        <v>Darko – Raškaj – OK Kapela</v>
      </c>
      <c r="DV165" s="53">
        <f t="shared" si="145"/>
        <v>301</v>
      </c>
      <c r="DW165" s="47" t="s">
        <v>0</v>
      </c>
      <c r="DX165" s="52" t="str">
        <f>IF(BG165="","",BF165&amp;" – "&amp;BG165)</f>
        <v>Darko – Raškaj</v>
      </c>
      <c r="DY165" s="53">
        <f t="shared" si="146"/>
        <v>301</v>
      </c>
      <c r="DZ165" s="47" t="s">
        <v>0</v>
      </c>
      <c r="EA165" s="58">
        <f t="shared" si="175"/>
        <v>301</v>
      </c>
      <c r="EB165" s="53" cm="1">
        <f t="array" ref="EB165">IF(EA165&lt;&gt;"",INDEX(regNatjecatelj_id,EA165,0),IF(BD165&lt;&gt;"",BD165,""))</f>
        <v>1363</v>
      </c>
      <c r="EC165" s="47" t="s">
        <v>0</v>
      </c>
      <c r="ED165" s="58" t="str">
        <f>IF(AL165="","",IF(BD165&lt;&gt;"","novo",IF(AN165="","imepre","imepre(ali)")))</f>
        <v>imepre</v>
      </c>
      <c r="EE165" s="73" t="str">
        <f>IF(AL165="","",IF(BL165="",IF(IFERROR(INDEX(regNatjecatelj_klub,MATCH(EB165,regNatjecatelj_id,0)),"NEMA")="","klu",""),IF(OR(AND(BN165&lt;&gt;"",BN165&lt;&gt;"NEMA"),CD165&lt;&gt;""),"klu(ali)",IF(AND(BP165&lt;&gt;"",BP165&lt;&gt;BO165),"(raz-klu)","klu"))))</f>
        <v>klu</v>
      </c>
      <c r="EF165" s="73" t="str">
        <f>IF(AL165="","","kat"&amp;IF(AND(W165&lt;&gt;Q165,Q165&lt;&gt;"Open"),"(ali)",""))</f>
        <v>kat</v>
      </c>
      <c r="EG165" s="73" t="str">
        <f t="shared" si="147"/>
        <v/>
      </c>
      <c r="EH165" s="66" t="str">
        <f>IF(AL165="","",ED165&amp;IF(ED165="novo","","-"&amp;EE165&amp;"-"&amp;EF165)&amp;IF(EG165="","","-"&amp;EG165))</f>
        <v>imepre-klu-kat</v>
      </c>
      <c r="EI165" s="47" t="s">
        <v>0</v>
      </c>
      <c r="EJ165" s="58">
        <f>IF(AL165="","",MAX(EJ$12:EJ164)+1)</f>
        <v>330</v>
      </c>
      <c r="EK165" s="73">
        <f>IF(AO165="","",X165)</f>
        <v>31</v>
      </c>
      <c r="EL165" s="73">
        <f t="shared" si="176"/>
        <v>1363</v>
      </c>
      <c r="EM165" s="73">
        <f t="shared" si="148"/>
        <v>2921</v>
      </c>
      <c r="EN165" s="73">
        <f t="shared" si="149"/>
        <v>1</v>
      </c>
      <c r="EO165" s="73">
        <f t="shared" si="177"/>
        <v>1</v>
      </c>
      <c r="EP165" s="73">
        <f t="shared" si="178"/>
        <v>1</v>
      </c>
      <c r="EQ165" s="73" t="str">
        <f t="shared" si="150"/>
        <v>0</v>
      </c>
      <c r="ER165" s="73" t="str">
        <f>IF(OR(AN165="",AN165="NEMA"),BB165,AN165)</f>
        <v/>
      </c>
      <c r="ES165" s="73" t="str">
        <f>IF(AND(BN165&lt;&gt;"",BN165&lt;&gt;"NEMA"),BN165,IF(CG165&lt;&gt;"",CG165,IF(AND(CL165&lt;&gt;"",CL165&lt;&gt;"NEMA"),CL165,IF(CM165&lt;&gt;"",CM165,""))))</f>
        <v/>
      </c>
      <c r="ET165" s="53" t="str">
        <f>IF(INDEX(natKategorija_alias_Id,MATCH(S165,natKategorija_katRegId,0))="","",INDEX(natKategorija_alias_Id,MATCH(S165,natKategorija_katRegId,0)))</f>
        <v/>
      </c>
      <c r="EU165" s="47" t="s">
        <v>0</v>
      </c>
      <c r="EV165" s="19" t="str">
        <f t="shared" si="179"/>
        <v>INSERT INTO rezultat(id,stazakategorija_id,imeprezime_id,vrijeme_sec,status_id,registracija,uparivanje_id,originalstatus_id,imeprezimealias_id,klubalias_id,kategorijaalias_id) VALUES (330,31,1363,2921,1,1,1,0,Null,Null,Null);</v>
      </c>
      <c r="EW165" s="47" t="s">
        <v>0</v>
      </c>
      <c r="EX165" s="19" t="str">
        <f t="shared" si="180"/>
        <v>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5" s="47" t="s">
        <v>0</v>
      </c>
      <c r="EZ165" s="180" t="str">
        <f>AG165&amp;IF(CP165="","","
")&amp;CP165&amp;IF(CI165="","","
")&amp;CI165&amp;IF(DN165="","","
")&amp;DN165&amp;IF(DP165="","","
")&amp;DP165&amp;IF(EV165="","","
")&amp;EV165&amp;IF(EX165="","","
")&amp;EX165</f>
        <v xml:space="preserve">
INSERT INTO rezultat(id,stazakategorija_id,imeprezime_id,vrijeme_sec,status_id,registracija,uparivanje_id,originalstatus_id,imeprezimealias_id,klubalias_id,kategorijaalias_id) VALUES (330,31,1363,2921,1,1,1,0,Null,Null,Null);
UPDATE
	registar
SET
	potvrda = 1
WHERE
	imeprezime_id=1363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5" s="47" t="s">
        <v>0</v>
      </c>
    </row>
    <row r="166" spans="1:157" x14ac:dyDescent="0.25">
      <c r="A166" t="s">
        <v>0</v>
      </c>
      <c r="B166" s="52" t="str">
        <f>IF(csv!F156="","",csv!T156)</f>
        <v>M55</v>
      </c>
      <c r="C166" s="31" t="s">
        <v>0</v>
      </c>
      <c r="D166" s="31" t="str">
        <f>IF(csv!F156="","",csv!F156)</f>
        <v>Mladen</v>
      </c>
      <c r="E166" s="31" t="str">
        <f>IF(csv!E156="","",csv!E156)</f>
        <v>Jelić</v>
      </c>
      <c r="F166" s="31" t="s">
        <v>0</v>
      </c>
      <c r="G166" s="73" t="str">
        <f>IF(csv!M156="","",csv!M156)</f>
        <v>57:17</v>
      </c>
      <c r="H166" s="73" t="str">
        <f>IF(csv!N156="","",csv!N156)</f>
        <v>0</v>
      </c>
      <c r="I166" s="31" t="s">
        <v>0</v>
      </c>
      <c r="J166" s="31" t="str">
        <f>IF(csv!P156="","",csv!P156)</f>
        <v>KAP</v>
      </c>
      <c r="K166" s="31" t="str">
        <f>IF(csv!Q156="","",csv!Q156)</f>
        <v>OK Kapela</v>
      </c>
      <c r="L166" s="31" t="s">
        <v>0</v>
      </c>
      <c r="M166" s="66" t="str">
        <f>IF(csv!R156="","",csv!R156)</f>
        <v>CRO</v>
      </c>
      <c r="N166" s="47" t="s">
        <v>0</v>
      </c>
      <c r="O166" s="243" t="str">
        <f t="shared" si="151"/>
        <v>ok</v>
      </c>
      <c r="P166" s="47"/>
      <c r="Q166" s="52" t="str">
        <f t="shared" si="152"/>
        <v>M55</v>
      </c>
      <c r="R166" s="73">
        <f>IF(Q166="","",IF(COUNTIF(Q$12:Q165,Q166)=0,R165+1,R165))</f>
        <v>9</v>
      </c>
      <c r="S166" s="73">
        <f t="shared" si="153"/>
        <v>105</v>
      </c>
      <c r="T166" s="73">
        <f t="shared" si="128"/>
        <v>16</v>
      </c>
      <c r="U166" s="66" t="str">
        <f t="shared" si="129"/>
        <v>M55</v>
      </c>
      <c r="V166" s="47" t="s">
        <v>0</v>
      </c>
      <c r="W166" s="222" t="str">
        <f t="shared" si="130"/>
        <v>M55</v>
      </c>
      <c r="X166" s="223">
        <f t="shared" si="131"/>
        <v>31</v>
      </c>
      <c r="Y166" s="47" t="s">
        <v>0</v>
      </c>
      <c r="Z166" s="52" t="str">
        <f t="shared" si="154"/>
        <v>CRO</v>
      </c>
      <c r="AA166" s="73">
        <f t="shared" si="132"/>
        <v>1</v>
      </c>
      <c r="AB166" s="31" t="str">
        <f t="shared" si="155"/>
        <v/>
      </c>
      <c r="AC166" s="66" t="str">
        <f>IF(AB166="","",MAX(AC$12:AC165)+1)</f>
        <v/>
      </c>
      <c r="AD166" s="47" t="s">
        <v>0</v>
      </c>
      <c r="AE166" s="125"/>
      <c r="AF166" s="47" t="s">
        <v>0</v>
      </c>
      <c r="AG166" s="19" t="str">
        <f t="shared" si="156"/>
        <v/>
      </c>
      <c r="AH166" s="47" t="s">
        <v>0</v>
      </c>
      <c r="AI166" s="143" t="str">
        <f t="shared" si="157"/>
        <v>CRO</v>
      </c>
      <c r="AJ166" s="47"/>
      <c r="AK166" s="52" t="str">
        <f t="shared" si="158"/>
        <v>Mladen</v>
      </c>
      <c r="AL166" s="31" t="str">
        <f t="shared" si="159"/>
        <v>Jelić</v>
      </c>
      <c r="AM166" s="73">
        <f t="shared" si="160"/>
        <v>1188</v>
      </c>
      <c r="AN166" s="73" t="str">
        <f t="shared" si="161"/>
        <v/>
      </c>
      <c r="AO166" s="31" t="str">
        <f t="shared" si="133"/>
        <v>Mladen</v>
      </c>
      <c r="AP166" s="66" t="str">
        <f t="shared" si="134"/>
        <v>Jelić</v>
      </c>
      <c r="AQ166" s="47" t="s">
        <v>0</v>
      </c>
      <c r="AR166" s="82" t="str">
        <f t="shared" si="162"/>
        <v/>
      </c>
      <c r="AS166" s="47" t="s">
        <v>0</v>
      </c>
      <c r="AT166" s="19" t="str">
        <f t="shared" si="163"/>
        <v/>
      </c>
      <c r="AU166" s="47" t="s">
        <v>0</v>
      </c>
      <c r="AV166" s="103"/>
      <c r="AW166" s="105"/>
      <c r="AX166" s="47" t="s">
        <v>0</v>
      </c>
      <c r="AY166" s="256" t="str">
        <f t="shared" si="181"/>
        <v/>
      </c>
      <c r="AZ166" s="47" t="s">
        <v>0</v>
      </c>
      <c r="BA166" s="52" t="str">
        <f t="shared" si="135"/>
        <v/>
      </c>
      <c r="BB166" s="73" t="str">
        <f>IF(AV166&amp;AW166="","",MAX(BB$12:BB165)+1)</f>
        <v/>
      </c>
      <c r="BC166" s="268" t="str">
        <f t="shared" si="136"/>
        <v/>
      </c>
      <c r="BD166" s="53" t="str">
        <f>IF(AND(AM166="NEMA",AN166="NEMA",OR(AV166&amp;AW166="",BC166="NEMA")),MAX(BD$12:BD165)+1,"")</f>
        <v/>
      </c>
      <c r="BE166" s="47" t="s">
        <v>0</v>
      </c>
      <c r="BF166" s="52" t="str">
        <f t="shared" si="137"/>
        <v>Mladen</v>
      </c>
      <c r="BG166" s="31" t="str">
        <f t="shared" si="138"/>
        <v>Jelić</v>
      </c>
      <c r="BH166" s="73" t="str">
        <f t="shared" si="164"/>
        <v/>
      </c>
      <c r="BI166" s="53">
        <f t="shared" si="165"/>
        <v>1188</v>
      </c>
      <c r="BJ166" s="47" t="s">
        <v>0</v>
      </c>
      <c r="BK166" s="52" t="str">
        <f t="shared" si="139"/>
        <v>KAP</v>
      </c>
      <c r="BL166" s="31" t="str">
        <f t="shared" si="140"/>
        <v>OK Kapela</v>
      </c>
      <c r="BM166" s="73">
        <f t="shared" si="141"/>
        <v>5</v>
      </c>
      <c r="BN166" s="73" t="str">
        <f t="shared" si="142"/>
        <v/>
      </c>
      <c r="BO166" s="31" t="str" cm="1">
        <f t="array" ref="BO166">IF(BN166="",""&amp;BL166,IF(BN166="NEMA",BL166,INDEX(regKlub_naziv,MATCH(INDEX(regKlub_alias_klubId,BN166),regKlub_id,0))))</f>
        <v>OK Kapela</v>
      </c>
      <c r="BP166" s="31" t="str" cm="1">
        <f t="array" ref="BP166">IFERROR(""&amp;INDEX(regNatjecatelj_klub,DY166),"")</f>
        <v>OK Kapela</v>
      </c>
      <c r="BQ166" s="88" t="str">
        <f t="shared" si="166"/>
        <v/>
      </c>
      <c r="BR166" s="66" t="str">
        <f t="shared" si="167"/>
        <v>OK Kapela</v>
      </c>
      <c r="BS166" s="47" t="s">
        <v>0</v>
      </c>
      <c r="BT166" s="82" t="str">
        <f>IF(BN166&lt;&gt;"NEMA","",IF(IFERROR(MATCH(BL166,BL$12:BL165,0),0)&lt;&gt;0,"",BL166))</f>
        <v/>
      </c>
      <c r="BU166" s="47" t="s">
        <v>0</v>
      </c>
      <c r="BV166" s="125"/>
      <c r="BW166" s="47" t="s">
        <v>0</v>
      </c>
      <c r="BX166" s="58" t="str">
        <f t="shared" si="168"/>
        <v/>
      </c>
      <c r="BY166" s="31" t="str">
        <f t="shared" si="169"/>
        <v/>
      </c>
      <c r="BZ166" s="31" t="str">
        <f>IF(BY166="","",MAX(BZ$12:BZ165)+1)</f>
        <v/>
      </c>
      <c r="CA166" s="31" t="str">
        <f>IF(BY166="","",IF(AA166="","",IF(AA166="NEMA",AC166,AA166)))</f>
        <v/>
      </c>
      <c r="CB166" s="31" t="str">
        <f t="shared" si="170"/>
        <v/>
      </c>
      <c r="CC166" s="31" t="str">
        <f>IF(BV166="","",MAX(CC$12:CC165)+1)</f>
        <v/>
      </c>
      <c r="CD166" s="31" t="str">
        <f t="shared" si="171"/>
        <v/>
      </c>
      <c r="CE166" s="66" t="str">
        <f t="shared" si="172"/>
        <v/>
      </c>
      <c r="CF166" s="47" t="s">
        <v>0</v>
      </c>
      <c r="CG166" s="73" t="str">
        <f>IF(BN166="","",IF(BN166&lt;&gt;"NEMA","",IFERROR(INDEX(nat_klubAliasId,MATCH(BL166,nat_noviKluboviAliasi,0)),"")))</f>
        <v/>
      </c>
      <c r="CH166" s="47"/>
      <c r="CI166" s="19" t="str">
        <f t="shared" si="173"/>
        <v/>
      </c>
      <c r="CJ166" s="47" t="s">
        <v>0</v>
      </c>
      <c r="CK166" s="52" t="str">
        <f>IF(X166&lt;&gt;"NEMA","",IF(IFERROR(MATCH(W166,W$12:W165,0),0)&lt;&gt;0,"",W166))</f>
        <v/>
      </c>
      <c r="CL166" s="73" t="str">
        <f>IF(CK166="","",IFERROR(INDEX(regKlub_alias_id,MATCH(CK166,regKlub_alias_alias,0)),"NEMA"))</f>
        <v/>
      </c>
      <c r="CM166" s="31" t="str">
        <f>IF(OR(CL166="",CL166&lt;&gt;"NEMA"),"",MAX(CM$12:CM165)+1)</f>
        <v/>
      </c>
      <c r="CN166" s="66" t="str">
        <f>IF(OR(CL166="",CL166&lt;&gt;"NEMA"),"",INDEX(regKlub_id,MATCH(CK166,regKlub_naziv,0)))</f>
        <v/>
      </c>
      <c r="CO166" s="47" t="s">
        <v>0</v>
      </c>
      <c r="CP166" s="19" t="str">
        <f>IF(OR(CL166="",CL166&lt;&gt;"NEMA"),"","INSERT INTO klub_alias(id,alias,klub_id) VALUES ("&amp;CM166&amp;",'"&amp;CK166&amp;"',"&amp;CN166&amp;");")</f>
        <v/>
      </c>
      <c r="CQ166" s="47" t="s">
        <v>0</v>
      </c>
      <c r="CR166" s="143" t="str">
        <f>IF(BR166="","",IF(BV166="",IF(IFERROR(MATCH(BR166,nat_noviKluboviAliasi,0),0)&gt;0,INDEX(nat_kluboviAliasi,MATCH(BR166,nat_noviKluboviAliasi,0)),BR166),BV166))</f>
        <v>OK Kapela</v>
      </c>
      <c r="CS166" s="47" t="s">
        <v>0</v>
      </c>
      <c r="CT166" s="58" t="str">
        <f>IF(G166="","",G166)</f>
        <v>57:17</v>
      </c>
      <c r="CU166" s="73" t="str">
        <f>IF(H166="","",H166)</f>
        <v>0</v>
      </c>
      <c r="CV166" s="229" t="str">
        <f>IF(CT166="",IF(OR(AL166="",CU166&lt;&gt;"0"),"","GREŠKA"),IF(AND(65535&gt;=VALUE(LEFT(CT166,SEARCH(":",CT166)-1))*60+VALUE(RIGHT(CT166,2)),OR(CU166="0",CU166="1",CU166="2",CU166="3",CU166="4")),"","GREŠKA"))</f>
        <v/>
      </c>
      <c r="CW166" s="230">
        <f t="shared" si="127"/>
        <v>3437</v>
      </c>
      <c r="CX166" s="163">
        <f t="shared" si="143"/>
        <v>1</v>
      </c>
      <c r="CY166" s="47" t="s">
        <v>0</v>
      </c>
      <c r="CZ166" s="222" t="str">
        <f>IF(CV166&lt;&gt;"GREŠKA","",AK166&amp;" "&amp;AL166&amp;" – Molim u OEventu provjeriti i ispraviti rezultat – vrijeme ("&amp;IF(CT166="","nije upisano",CT166)&amp;") i classifier ("&amp;CU166&amp;").")&amp;IF(OR(CV166&lt;&gt;"GREŠKA",CX166&lt;&gt;5),"
","")&amp;IF(CX166&lt;&gt;5,"",AK166&amp;" "&amp;AL166&amp;" – Molim u provjeriti je li natjecatelj zaista diskvalificiran. Ako je koje je obrazloženje, ako nije molim u OEventu ispraviti rezultat")</f>
        <v xml:space="preserve">
</v>
      </c>
      <c r="DA166" s="223">
        <f t="shared" si="174"/>
        <v>6</v>
      </c>
      <c r="DB166" s="47" t="s">
        <v>0</v>
      </c>
      <c r="DC166" s="47"/>
      <c r="DD166" s="47"/>
      <c r="DE166" s="47"/>
      <c r="DF166" s="47" t="s">
        <v>0</v>
      </c>
      <c r="DG166" s="53" t="str">
        <f>IF(BD166="","",IF(DI166="O",1,""))</f>
        <v/>
      </c>
      <c r="DH166" t="s">
        <v>0</v>
      </c>
      <c r="DI166" s="128" t="str">
        <f>IF(Q166="","",LEFT(INDEX(regKategorija_oznaka,MATCH(S166,regKategorija_id,0)),1))</f>
        <v>M</v>
      </c>
      <c r="DJ166" t="s">
        <v>0</v>
      </c>
      <c r="DK166" s="52" t="str">
        <f>IF(BD166="","",IF(M166&lt;&gt;"CRO","","INSERT INTO osoba (id,reg_broj,oib,spol_id,dat_rodjenja) VALUES ("&amp;BD166&amp;",(SELECT max(os.reg_broj)+1 FROM osoba AS os),Null,'"&amp;DI166&amp;"',Null); INSERT INTO osoba_log (id,reg_broj,oib,spol_id,dat_rodjenja,dnevnik_id) SELECT id,reg_broj,oib,spol_id,dat_rodjenja,"&amp;data_dnevnik_id&amp;" FROM osoba WHERE id = "&amp;BD166&amp;";"))</f>
        <v/>
      </c>
      <c r="DL166" s="66" t="str">
        <f>IF(BD166="","","INSERT INTO imeprezime (id,osoba_id,rbr,ime,prezime,klub_id,identitet_id,sintaksa_id,info,aktivno,dnevnik_id) VALUES ("&amp;BD166&amp;","&amp;IF(DK166="","Null",BD166)&amp;",1,'"&amp;IF(AV166&lt;&gt;"",AV166,AK166)&amp;"','"&amp;IF(AW166&lt;&gt;"",AW166,AL166)&amp;"',(SELECT id FROM klub WHERE naziv = '"&amp;CR166&amp;"'),Null,1,'',1,"&amp;data_dnevnik_id&amp;");")</f>
        <v/>
      </c>
      <c r="DM166" t="s">
        <v>0</v>
      </c>
      <c r="DN166" s="19" t="str">
        <f t="shared" si="182"/>
        <v/>
      </c>
      <c r="DO166" s="47" t="s">
        <v>0</v>
      </c>
      <c r="DP166" s="19" t="str">
        <f>IF(BA166="","","INSERT INTO imeprezime_alias(id,alias,imeprezime_id) VALUES ("&amp;BB166&amp;",'"&amp;BA166&amp;"',"&amp;IF(BC166="NEMA",BD166,BC166)&amp;");")</f>
        <v/>
      </c>
      <c r="DQ166" s="47" t="s">
        <v>0</v>
      </c>
      <c r="DR166" s="52" t="str">
        <f>IF(AL166="","",DU166 &amp; IF(Q166="",""," – " &amp; Q166))</f>
        <v>Mladen – Jelić – OK Kapela – M55</v>
      </c>
      <c r="DS166" s="53">
        <f t="shared" si="144"/>
        <v>260</v>
      </c>
      <c r="DT166" s="47" t="s">
        <v>0</v>
      </c>
      <c r="DU166" s="52" t="str">
        <f>IF(AL166="","",DX166 &amp; IF(CR166="",""," – " &amp; CR166))</f>
        <v>Mladen – Jelić – OK Kapela</v>
      </c>
      <c r="DV166" s="53">
        <f t="shared" si="145"/>
        <v>260</v>
      </c>
      <c r="DW166" s="47" t="s">
        <v>0</v>
      </c>
      <c r="DX166" s="52" t="str">
        <f>IF(BG166="","",BF166&amp;" – "&amp;BG166)</f>
        <v>Mladen – Jelić</v>
      </c>
      <c r="DY166" s="53">
        <f t="shared" si="146"/>
        <v>260</v>
      </c>
      <c r="DZ166" s="47" t="s">
        <v>0</v>
      </c>
      <c r="EA166" s="58">
        <f t="shared" si="175"/>
        <v>260</v>
      </c>
      <c r="EB166" s="53" cm="1">
        <f t="array" ref="EB166">IF(EA166&lt;&gt;"",INDEX(regNatjecatelj_id,EA166,0),IF(BD166&lt;&gt;"",BD166,""))</f>
        <v>1188</v>
      </c>
      <c r="EC166" s="47" t="s">
        <v>0</v>
      </c>
      <c r="ED166" s="58" t="str">
        <f>IF(AL166="","",IF(BD166&lt;&gt;"","novo",IF(AN166="","imepre","imepre(ali)")))</f>
        <v>imepre</v>
      </c>
      <c r="EE166" s="73" t="str">
        <f>IF(AL166="","",IF(BL166="",IF(IFERROR(INDEX(regNatjecatelj_klub,MATCH(EB166,regNatjecatelj_id,0)),"NEMA")="","klu",""),IF(OR(AND(BN166&lt;&gt;"",BN166&lt;&gt;"NEMA"),CD166&lt;&gt;""),"klu(ali)",IF(AND(BP166&lt;&gt;"",BP166&lt;&gt;BO166),"(raz-klu)","klu"))))</f>
        <v>klu</v>
      </c>
      <c r="EF166" s="73" t="str">
        <f>IF(AL166="","","kat"&amp;IF(AND(W166&lt;&gt;Q166,Q166&lt;&gt;"Open"),"(ali)",""))</f>
        <v>kat</v>
      </c>
      <c r="EG166" s="73" t="str">
        <f t="shared" si="147"/>
        <v/>
      </c>
      <c r="EH166" s="66" t="str">
        <f>IF(AL166="","",ED166&amp;IF(ED166="novo","","-"&amp;EE166&amp;"-"&amp;EF166)&amp;IF(EG166="","","-"&amp;EG166))</f>
        <v>imepre-klu-kat</v>
      </c>
      <c r="EI166" s="47" t="s">
        <v>0</v>
      </c>
      <c r="EJ166" s="58">
        <f>IF(AL166="","",MAX(EJ$12:EJ165)+1)</f>
        <v>331</v>
      </c>
      <c r="EK166" s="73">
        <f>IF(AO166="","",X166)</f>
        <v>31</v>
      </c>
      <c r="EL166" s="73">
        <f t="shared" si="176"/>
        <v>1188</v>
      </c>
      <c r="EM166" s="73">
        <f t="shared" si="148"/>
        <v>3437</v>
      </c>
      <c r="EN166" s="73">
        <f t="shared" si="149"/>
        <v>1</v>
      </c>
      <c r="EO166" s="73">
        <f t="shared" si="177"/>
        <v>1</v>
      </c>
      <c r="EP166" s="73">
        <f t="shared" si="178"/>
        <v>1</v>
      </c>
      <c r="EQ166" s="73" t="str">
        <f t="shared" si="150"/>
        <v>0</v>
      </c>
      <c r="ER166" s="73" t="str">
        <f>IF(OR(AN166="",AN166="NEMA"),BB166,AN166)</f>
        <v/>
      </c>
      <c r="ES166" s="73" t="str">
        <f>IF(AND(BN166&lt;&gt;"",BN166&lt;&gt;"NEMA"),BN166,IF(CG166&lt;&gt;"",CG166,IF(AND(CL166&lt;&gt;"",CL166&lt;&gt;"NEMA"),CL166,IF(CM166&lt;&gt;"",CM166,""))))</f>
        <v/>
      </c>
      <c r="ET166" s="53" t="str">
        <f>IF(INDEX(natKategorija_alias_Id,MATCH(S166,natKategorija_katRegId,0))="","",INDEX(natKategorija_alias_Id,MATCH(S166,natKategorija_katRegId,0)))</f>
        <v/>
      </c>
      <c r="EU166" s="47" t="s">
        <v>0</v>
      </c>
      <c r="EV166" s="19" t="str">
        <f t="shared" si="179"/>
        <v>INSERT INTO rezultat(id,stazakategorija_id,imeprezime_id,vrijeme_sec,status_id,registracija,uparivanje_id,originalstatus_id,imeprezimealias_id,klubalias_id,kategorijaalias_id) VALUES (331,31,1188,3437,1,1,1,0,Null,Null,Null);</v>
      </c>
      <c r="EW166" s="47" t="s">
        <v>0</v>
      </c>
      <c r="EX166" s="19" t="str">
        <f t="shared" si="180"/>
        <v>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6" s="47" t="s">
        <v>0</v>
      </c>
      <c r="EZ166" s="180" t="str">
        <f>AG166&amp;IF(CP166="","","
")&amp;CP166&amp;IF(CI166="","","
")&amp;CI166&amp;IF(DN166="","","
")&amp;DN166&amp;IF(DP166="","","
")&amp;DP166&amp;IF(EV166="","","
")&amp;EV166&amp;IF(EX166="","","
")&amp;EX166</f>
        <v xml:space="preserve">
INSERT INTO rezultat(id,stazakategorija_id,imeprezime_id,vrijeme_sec,status_id,registracija,uparivanje_id,originalstatus_id,imeprezimealias_id,klubalias_id,kategorijaalias_id) VALUES (331,31,1188,3437,1,1,1,0,Null,Null,Null);
UPDATE
	registar
SET
	potvrda = 1
WHERE
	imeprezime_id=1188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6" s="47" t="s">
        <v>0</v>
      </c>
    </row>
    <row r="167" spans="1:157" x14ac:dyDescent="0.25">
      <c r="A167" t="s">
        <v>0</v>
      </c>
      <c r="B167" s="52" t="str">
        <f>IF(csv!F157="","",csv!T157)</f>
        <v>M55</v>
      </c>
      <c r="C167" s="31" t="s">
        <v>0</v>
      </c>
      <c r="D167" s="31" t="str">
        <f>IF(csv!F157="","",csv!F157)</f>
        <v>Robert</v>
      </c>
      <c r="E167" s="31" t="str">
        <f>IF(csv!E157="","",csv!E157)</f>
        <v>Vuk</v>
      </c>
      <c r="F167" s="31" t="s">
        <v>0</v>
      </c>
      <c r="G167" s="73" t="str">
        <f>IF(csv!M157="","",csv!M157)</f>
        <v>64:26</v>
      </c>
      <c r="H167" s="73" t="str">
        <f>IF(csv!N157="","",csv!N157)</f>
        <v>0</v>
      </c>
      <c r="I167" s="31" t="s">
        <v>0</v>
      </c>
      <c r="J167" s="31" t="str">
        <f>IF(csv!P157="","",csv!P157)</f>
        <v>KAP</v>
      </c>
      <c r="K167" s="31" t="str">
        <f>IF(csv!Q157="","",csv!Q157)</f>
        <v>OK Kapela</v>
      </c>
      <c r="L167" s="31" t="s">
        <v>0</v>
      </c>
      <c r="M167" s="66" t="str">
        <f>IF(csv!R157="","",csv!R157)</f>
        <v>CRO</v>
      </c>
      <c r="N167" s="47" t="s">
        <v>0</v>
      </c>
      <c r="O167" s="243" t="str">
        <f t="shared" si="151"/>
        <v>ok</v>
      </c>
      <c r="P167" s="47"/>
      <c r="Q167" s="52" t="str">
        <f t="shared" si="152"/>
        <v>M55</v>
      </c>
      <c r="R167" s="73">
        <f>IF(Q167="","",IF(COUNTIF(Q$12:Q166,Q167)=0,R166+1,R166))</f>
        <v>9</v>
      </c>
      <c r="S167" s="73">
        <f t="shared" si="153"/>
        <v>105</v>
      </c>
      <c r="T167" s="73">
        <f t="shared" si="128"/>
        <v>16</v>
      </c>
      <c r="U167" s="66" t="str">
        <f t="shared" si="129"/>
        <v>M55</v>
      </c>
      <c r="V167" s="47" t="s">
        <v>0</v>
      </c>
      <c r="W167" s="222" t="str">
        <f t="shared" si="130"/>
        <v>M55</v>
      </c>
      <c r="X167" s="223">
        <f t="shared" si="131"/>
        <v>31</v>
      </c>
      <c r="Y167" s="47" t="s">
        <v>0</v>
      </c>
      <c r="Z167" s="52" t="str">
        <f t="shared" si="154"/>
        <v>CRO</v>
      </c>
      <c r="AA167" s="73">
        <f t="shared" si="132"/>
        <v>1</v>
      </c>
      <c r="AB167" s="31" t="str">
        <f t="shared" si="155"/>
        <v/>
      </c>
      <c r="AC167" s="66" t="str">
        <f>IF(AB167="","",MAX(AC$12:AC166)+1)</f>
        <v/>
      </c>
      <c r="AD167" s="47" t="s">
        <v>0</v>
      </c>
      <c r="AE167" s="125"/>
      <c r="AF167" s="47" t="s">
        <v>0</v>
      </c>
      <c r="AG167" s="19" t="str">
        <f t="shared" si="156"/>
        <v/>
      </c>
      <c r="AH167" s="47" t="s">
        <v>0</v>
      </c>
      <c r="AI167" s="143" t="str">
        <f t="shared" si="157"/>
        <v>CRO</v>
      </c>
      <c r="AJ167" s="47"/>
      <c r="AK167" s="52" t="str">
        <f t="shared" si="158"/>
        <v>Robert</v>
      </c>
      <c r="AL167" s="31" t="str">
        <f t="shared" si="159"/>
        <v>Vuk</v>
      </c>
      <c r="AM167" s="73">
        <f t="shared" si="160"/>
        <v>1388</v>
      </c>
      <c r="AN167" s="73" t="str">
        <f t="shared" si="161"/>
        <v/>
      </c>
      <c r="AO167" s="31" t="str">
        <f t="shared" si="133"/>
        <v>Robert</v>
      </c>
      <c r="AP167" s="66" t="str">
        <f t="shared" si="134"/>
        <v>Vuk</v>
      </c>
      <c r="AQ167" s="47" t="s">
        <v>0</v>
      </c>
      <c r="AR167" s="82" t="str">
        <f t="shared" si="162"/>
        <v/>
      </c>
      <c r="AS167" s="47" t="s">
        <v>0</v>
      </c>
      <c r="AT167" s="19" t="str">
        <f t="shared" si="163"/>
        <v/>
      </c>
      <c r="AU167" s="47" t="s">
        <v>0</v>
      </c>
      <c r="AV167" s="103"/>
      <c r="AW167" s="105"/>
      <c r="AX167" s="47" t="s">
        <v>0</v>
      </c>
      <c r="AY167" s="256" t="str">
        <f t="shared" si="181"/>
        <v/>
      </c>
      <c r="AZ167" s="47" t="s">
        <v>0</v>
      </c>
      <c r="BA167" s="52" t="str">
        <f t="shared" si="135"/>
        <v/>
      </c>
      <c r="BB167" s="73" t="str">
        <f>IF(AV167&amp;AW167="","",MAX(BB$12:BB166)+1)</f>
        <v/>
      </c>
      <c r="BC167" s="268" t="str">
        <f t="shared" si="136"/>
        <v/>
      </c>
      <c r="BD167" s="53" t="str">
        <f>IF(AND(AM167="NEMA",AN167="NEMA",OR(AV167&amp;AW167="",BC167="NEMA")),MAX(BD$12:BD166)+1,"")</f>
        <v/>
      </c>
      <c r="BE167" s="47" t="s">
        <v>0</v>
      </c>
      <c r="BF167" s="52" t="str">
        <f t="shared" si="137"/>
        <v>Robert</v>
      </c>
      <c r="BG167" s="31" t="str">
        <f t="shared" si="138"/>
        <v>Vuk</v>
      </c>
      <c r="BH167" s="73" t="str">
        <f t="shared" si="164"/>
        <v/>
      </c>
      <c r="BI167" s="53">
        <f t="shared" si="165"/>
        <v>1388</v>
      </c>
      <c r="BJ167" s="47" t="s">
        <v>0</v>
      </c>
      <c r="BK167" s="52" t="str">
        <f t="shared" si="139"/>
        <v>KAP</v>
      </c>
      <c r="BL167" s="31" t="str">
        <f t="shared" si="140"/>
        <v>OK Kapela</v>
      </c>
      <c r="BM167" s="73">
        <f t="shared" si="141"/>
        <v>5</v>
      </c>
      <c r="BN167" s="73" t="str">
        <f t="shared" si="142"/>
        <v/>
      </c>
      <c r="BO167" s="31" t="str" cm="1">
        <f t="array" ref="BO167">IF(BN167="",""&amp;BL167,IF(BN167="NEMA",BL167,INDEX(regKlub_naziv,MATCH(INDEX(regKlub_alias_klubId,BN167),regKlub_id,0))))</f>
        <v>OK Kapela</v>
      </c>
      <c r="BP167" s="31" t="str" cm="1">
        <f t="array" ref="BP167">IFERROR(""&amp;INDEX(regNatjecatelj_klub,DY167),"")</f>
        <v>OK Kapela</v>
      </c>
      <c r="BQ167" s="88" t="str">
        <f t="shared" si="166"/>
        <v/>
      </c>
      <c r="BR167" s="66" t="str">
        <f t="shared" si="167"/>
        <v>OK Kapela</v>
      </c>
      <c r="BS167" s="47" t="s">
        <v>0</v>
      </c>
      <c r="BT167" s="82" t="str">
        <f>IF(BN167&lt;&gt;"NEMA","",IF(IFERROR(MATCH(BL167,BL$12:BL166,0),0)&lt;&gt;0,"",BL167))</f>
        <v/>
      </c>
      <c r="BU167" s="47" t="s">
        <v>0</v>
      </c>
      <c r="BV167" s="125"/>
      <c r="BW167" s="47" t="s">
        <v>0</v>
      </c>
      <c r="BX167" s="58" t="str">
        <f t="shared" si="168"/>
        <v/>
      </c>
      <c r="BY167" s="31" t="str">
        <f t="shared" si="169"/>
        <v/>
      </c>
      <c r="BZ167" s="31" t="str">
        <f>IF(BY167="","",MAX(BZ$12:BZ166)+1)</f>
        <v/>
      </c>
      <c r="CA167" s="31" t="str">
        <f>IF(BY167="","",IF(AA167="","",IF(AA167="NEMA",AC167,AA167)))</f>
        <v/>
      </c>
      <c r="CB167" s="31" t="str">
        <f t="shared" si="170"/>
        <v/>
      </c>
      <c r="CC167" s="31" t="str">
        <f>IF(BV167="","",MAX(CC$12:CC166)+1)</f>
        <v/>
      </c>
      <c r="CD167" s="31" t="str">
        <f t="shared" si="171"/>
        <v/>
      </c>
      <c r="CE167" s="66" t="str">
        <f t="shared" si="172"/>
        <v/>
      </c>
      <c r="CF167" s="47" t="s">
        <v>0</v>
      </c>
      <c r="CG167" s="73" t="str">
        <f>IF(BN167="","",IF(BN167&lt;&gt;"NEMA","",IFERROR(INDEX(nat_klubAliasId,MATCH(BL167,nat_noviKluboviAliasi,0)),"")))</f>
        <v/>
      </c>
      <c r="CH167" s="47"/>
      <c r="CI167" s="19" t="str">
        <f t="shared" si="173"/>
        <v/>
      </c>
      <c r="CJ167" s="47" t="s">
        <v>0</v>
      </c>
      <c r="CK167" s="52" t="str">
        <f>IF(X167&lt;&gt;"NEMA","",IF(IFERROR(MATCH(W167,W$12:W166,0),0)&lt;&gt;0,"",W167))</f>
        <v/>
      </c>
      <c r="CL167" s="73" t="str">
        <f>IF(CK167="","",IFERROR(INDEX(regKlub_alias_id,MATCH(CK167,regKlub_alias_alias,0)),"NEMA"))</f>
        <v/>
      </c>
      <c r="CM167" s="31" t="str">
        <f>IF(OR(CL167="",CL167&lt;&gt;"NEMA"),"",MAX(CM$12:CM166)+1)</f>
        <v/>
      </c>
      <c r="CN167" s="66" t="str">
        <f>IF(OR(CL167="",CL167&lt;&gt;"NEMA"),"",INDEX(regKlub_id,MATCH(CK167,regKlub_naziv,0)))</f>
        <v/>
      </c>
      <c r="CO167" s="47" t="s">
        <v>0</v>
      </c>
      <c r="CP167" s="19" t="str">
        <f>IF(OR(CL167="",CL167&lt;&gt;"NEMA"),"","INSERT INTO klub_alias(id,alias,klub_id) VALUES ("&amp;CM167&amp;",'"&amp;CK167&amp;"',"&amp;CN167&amp;");")</f>
        <v/>
      </c>
      <c r="CQ167" s="47" t="s">
        <v>0</v>
      </c>
      <c r="CR167" s="143" t="str">
        <f>IF(BR167="","",IF(BV167="",IF(IFERROR(MATCH(BR167,nat_noviKluboviAliasi,0),0)&gt;0,INDEX(nat_kluboviAliasi,MATCH(BR167,nat_noviKluboviAliasi,0)),BR167),BV167))</f>
        <v>OK Kapela</v>
      </c>
      <c r="CS167" s="47" t="s">
        <v>0</v>
      </c>
      <c r="CT167" s="58" t="str">
        <f>IF(G167="","",G167)</f>
        <v>64:26</v>
      </c>
      <c r="CU167" s="73" t="str">
        <f>IF(H167="","",H167)</f>
        <v>0</v>
      </c>
      <c r="CV167" s="229" t="str">
        <f>IF(CT167="",IF(OR(AL167="",CU167&lt;&gt;"0"),"","GREŠKA"),IF(AND(65535&gt;=VALUE(LEFT(CT167,SEARCH(":",CT167)-1))*60+VALUE(RIGHT(CT167,2)),OR(CU167="0",CU167="1",CU167="2",CU167="3",CU167="4")),"","GREŠKA"))</f>
        <v/>
      </c>
      <c r="CW167" s="230">
        <f t="shared" si="127"/>
        <v>3866</v>
      </c>
      <c r="CX167" s="163">
        <f t="shared" si="143"/>
        <v>1</v>
      </c>
      <c r="CY167" s="47" t="s">
        <v>0</v>
      </c>
      <c r="CZ167" s="222" t="str">
        <f>IF(CV167&lt;&gt;"GREŠKA","",AK167&amp;" "&amp;AL167&amp;" – Molim u OEventu provjeriti i ispraviti rezultat – vrijeme ("&amp;IF(CT167="","nije upisano",CT167)&amp;") i classifier ("&amp;CU167&amp;").")&amp;IF(OR(CV167&lt;&gt;"GREŠKA",CX167&lt;&gt;5),"
","")&amp;IF(CX167&lt;&gt;5,"",AK167&amp;" "&amp;AL167&amp;" – Molim u provjeriti je li natjecatelj zaista diskvalificiran. Ako je koje je obrazloženje, ako nije molim u OEventu ispraviti rezultat")</f>
        <v xml:space="preserve">
</v>
      </c>
      <c r="DA167" s="223">
        <f t="shared" si="174"/>
        <v>6</v>
      </c>
      <c r="DB167" s="47" t="s">
        <v>0</v>
      </c>
      <c r="DC167" s="47"/>
      <c r="DD167" s="47"/>
      <c r="DE167" s="47"/>
      <c r="DF167" s="47" t="s">
        <v>0</v>
      </c>
      <c r="DG167" s="53" t="str">
        <f>IF(BD167="","",IF(DI167="O",1,""))</f>
        <v/>
      </c>
      <c r="DH167" t="s">
        <v>0</v>
      </c>
      <c r="DI167" s="128" t="str">
        <f>IF(Q167="","",LEFT(INDEX(regKategorija_oznaka,MATCH(S167,regKategorija_id,0)),1))</f>
        <v>M</v>
      </c>
      <c r="DJ167" t="s">
        <v>0</v>
      </c>
      <c r="DK167" s="52" t="str">
        <f>IF(BD167="","",IF(M167&lt;&gt;"CRO","","INSERT INTO osoba (id,reg_broj,oib,spol_id,dat_rodjenja) VALUES ("&amp;BD167&amp;",(SELECT max(os.reg_broj)+1 FROM osoba AS os),Null,'"&amp;DI167&amp;"',Null); INSERT INTO osoba_log (id,reg_broj,oib,spol_id,dat_rodjenja,dnevnik_id) SELECT id,reg_broj,oib,spol_id,dat_rodjenja,"&amp;data_dnevnik_id&amp;" FROM osoba WHERE id = "&amp;BD167&amp;";"))</f>
        <v/>
      </c>
      <c r="DL167" s="66" t="str">
        <f>IF(BD167="","","INSERT INTO imeprezime (id,osoba_id,rbr,ime,prezime,klub_id,identitet_id,sintaksa_id,info,aktivno,dnevnik_id) VALUES ("&amp;BD167&amp;","&amp;IF(DK167="","Null",BD167)&amp;",1,'"&amp;IF(AV167&lt;&gt;"",AV167,AK167)&amp;"','"&amp;IF(AW167&lt;&gt;"",AW167,AL167)&amp;"',(SELECT id FROM klub WHERE naziv = '"&amp;CR167&amp;"'),Null,1,'',1,"&amp;data_dnevnik_id&amp;");")</f>
        <v/>
      </c>
      <c r="DM167" t="s">
        <v>0</v>
      </c>
      <c r="DN167" s="19" t="str">
        <f t="shared" si="182"/>
        <v/>
      </c>
      <c r="DO167" s="47" t="s">
        <v>0</v>
      </c>
      <c r="DP167" s="19" t="str">
        <f>IF(BA167="","","INSERT INTO imeprezime_alias(id,alias,imeprezime_id) VALUES ("&amp;BB167&amp;",'"&amp;BA167&amp;"',"&amp;IF(BC167="NEMA",BD167,BC167)&amp;");")</f>
        <v/>
      </c>
      <c r="DQ167" s="47" t="s">
        <v>0</v>
      </c>
      <c r="DR167" s="52" t="str">
        <f>IF(AL167="","",DU167 &amp; IF(Q167="",""," – " &amp; Q167))</f>
        <v>Robert – Vuk – OK Kapela – M55</v>
      </c>
      <c r="DS167" s="53">
        <f t="shared" si="144"/>
        <v>328</v>
      </c>
      <c r="DT167" s="47" t="s">
        <v>0</v>
      </c>
      <c r="DU167" s="52" t="str">
        <f>IF(AL167="","",DX167 &amp; IF(CR167="",""," – " &amp; CR167))</f>
        <v>Robert – Vuk – OK Kapela</v>
      </c>
      <c r="DV167" s="53">
        <f t="shared" si="145"/>
        <v>328</v>
      </c>
      <c r="DW167" s="47" t="s">
        <v>0</v>
      </c>
      <c r="DX167" s="52" t="str">
        <f>IF(BG167="","",BF167&amp;" – "&amp;BG167)</f>
        <v>Robert – Vuk</v>
      </c>
      <c r="DY167" s="53">
        <f t="shared" si="146"/>
        <v>328</v>
      </c>
      <c r="DZ167" s="47" t="s">
        <v>0</v>
      </c>
      <c r="EA167" s="58">
        <f t="shared" si="175"/>
        <v>328</v>
      </c>
      <c r="EB167" s="53" cm="1">
        <f t="array" ref="EB167">IF(EA167&lt;&gt;"",INDEX(regNatjecatelj_id,EA167,0),IF(BD167&lt;&gt;"",BD167,""))</f>
        <v>1388</v>
      </c>
      <c r="EC167" s="47" t="s">
        <v>0</v>
      </c>
      <c r="ED167" s="58" t="str">
        <f>IF(AL167="","",IF(BD167&lt;&gt;"","novo",IF(AN167="","imepre","imepre(ali)")))</f>
        <v>imepre</v>
      </c>
      <c r="EE167" s="73" t="str">
        <f>IF(AL167="","",IF(BL167="",IF(IFERROR(INDEX(regNatjecatelj_klub,MATCH(EB167,regNatjecatelj_id,0)),"NEMA")="","klu",""),IF(OR(AND(BN167&lt;&gt;"",BN167&lt;&gt;"NEMA"),CD167&lt;&gt;""),"klu(ali)",IF(AND(BP167&lt;&gt;"",BP167&lt;&gt;BO167),"(raz-klu)","klu"))))</f>
        <v>klu</v>
      </c>
      <c r="EF167" s="73" t="str">
        <f>IF(AL167="","","kat"&amp;IF(AND(W167&lt;&gt;Q167,Q167&lt;&gt;"Open"),"(ali)",""))</f>
        <v>kat</v>
      </c>
      <c r="EG167" s="73" t="str">
        <f t="shared" si="147"/>
        <v/>
      </c>
      <c r="EH167" s="66" t="str">
        <f>IF(AL167="","",ED167&amp;IF(ED167="novo","","-"&amp;EE167&amp;"-"&amp;EF167)&amp;IF(EG167="","","-"&amp;EG167))</f>
        <v>imepre-klu-kat</v>
      </c>
      <c r="EI167" s="47" t="s">
        <v>0</v>
      </c>
      <c r="EJ167" s="58">
        <f>IF(AL167="","",MAX(EJ$12:EJ166)+1)</f>
        <v>332</v>
      </c>
      <c r="EK167" s="73">
        <f>IF(AO167="","",X167)</f>
        <v>31</v>
      </c>
      <c r="EL167" s="73">
        <f t="shared" si="176"/>
        <v>1388</v>
      </c>
      <c r="EM167" s="73">
        <f t="shared" si="148"/>
        <v>3866</v>
      </c>
      <c r="EN167" s="73">
        <f t="shared" si="149"/>
        <v>1</v>
      </c>
      <c r="EO167" s="73">
        <f t="shared" si="177"/>
        <v>1</v>
      </c>
      <c r="EP167" s="73">
        <f t="shared" si="178"/>
        <v>1</v>
      </c>
      <c r="EQ167" s="73" t="str">
        <f t="shared" si="150"/>
        <v>0</v>
      </c>
      <c r="ER167" s="73" t="str">
        <f>IF(OR(AN167="",AN167="NEMA"),BB167,AN167)</f>
        <v/>
      </c>
      <c r="ES167" s="73" t="str">
        <f>IF(AND(BN167&lt;&gt;"",BN167&lt;&gt;"NEMA"),BN167,IF(CG167&lt;&gt;"",CG167,IF(AND(CL167&lt;&gt;"",CL167&lt;&gt;"NEMA"),CL167,IF(CM167&lt;&gt;"",CM167,""))))</f>
        <v/>
      </c>
      <c r="ET167" s="53" t="str">
        <f>IF(INDEX(natKategorija_alias_Id,MATCH(S167,natKategorija_katRegId,0))="","",INDEX(natKategorija_alias_Id,MATCH(S167,natKategorija_katRegId,0)))</f>
        <v/>
      </c>
      <c r="EU167" s="47" t="s">
        <v>0</v>
      </c>
      <c r="EV167" s="19" t="str">
        <f t="shared" si="179"/>
        <v>INSERT INTO rezultat(id,stazakategorija_id,imeprezime_id,vrijeme_sec,status_id,registracija,uparivanje_id,originalstatus_id,imeprezimealias_id,klubalias_id,kategorijaalias_id) VALUES (332,31,1388,3866,1,1,1,0,Null,Null,Null);</v>
      </c>
      <c r="EW167" s="47" t="s">
        <v>0</v>
      </c>
      <c r="EX167" s="19" t="str">
        <f t="shared" si="180"/>
        <v>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7" s="47" t="s">
        <v>0</v>
      </c>
      <c r="EZ167" s="180" t="str">
        <f>AG167&amp;IF(CP167="","","
")&amp;CP167&amp;IF(CI167="","","
")&amp;CI167&amp;IF(DN167="","","
")&amp;DN167&amp;IF(DP167="","","
")&amp;DP167&amp;IF(EV167="","","
")&amp;EV167&amp;IF(EX167="","","
")&amp;EX167</f>
        <v xml:space="preserve">
INSERT INTO rezultat(id,stazakategorija_id,imeprezime_id,vrijeme_sec,status_id,registracija,uparivanje_id,originalstatus_id,imeprezimealias_id,klubalias_id,kategorijaalias_id) VALUES (332,31,1388,3866,1,1,1,0,Null,Null,Null);
UPDATE
	registar
SET
	potvrda = 1
WHERE
	imeprezime_id=1388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7" s="47" t="s">
        <v>0</v>
      </c>
    </row>
    <row r="168" spans="1:157" x14ac:dyDescent="0.25">
      <c r="A168" t="s">
        <v>0</v>
      </c>
      <c r="B168" s="52" t="str">
        <f>IF(csv!F158="","",csv!T158)</f>
        <v>M55</v>
      </c>
      <c r="C168" s="31" t="s">
        <v>0</v>
      </c>
      <c r="D168" s="31" t="str">
        <f>IF(csv!F158="","",csv!F158)</f>
        <v>Nenad</v>
      </c>
      <c r="E168" s="31" t="str">
        <f>IF(csv!E158="","",csv!E158)</f>
        <v>Mihaljević</v>
      </c>
      <c r="F168" s="31" t="s">
        <v>0</v>
      </c>
      <c r="G168" s="73" t="str">
        <f>IF(csv!M158="","",csv!M158)</f>
        <v>67:35</v>
      </c>
      <c r="H168" s="73" t="str">
        <f>IF(csv!N158="","",csv!N158)</f>
        <v>0</v>
      </c>
      <c r="I168" s="31" t="s">
        <v>0</v>
      </c>
      <c r="J168" s="31" t="str">
        <f>IF(csv!P158="","",csv!P158)</f>
        <v>Vihor</v>
      </c>
      <c r="K168" s="31" t="str">
        <f>IF(csv!Q158="","",csv!Q158)</f>
        <v>OK Vihor</v>
      </c>
      <c r="L168" s="31" t="s">
        <v>0</v>
      </c>
      <c r="M168" s="66" t="str">
        <f>IF(csv!R158="","",csv!R158)</f>
        <v>CRO</v>
      </c>
      <c r="N168" s="47" t="s">
        <v>0</v>
      </c>
      <c r="O168" s="243" t="str">
        <f t="shared" si="151"/>
        <v>ok</v>
      </c>
      <c r="P168" s="47"/>
      <c r="Q168" s="52" t="str">
        <f t="shared" si="152"/>
        <v>M55</v>
      </c>
      <c r="R168" s="73">
        <f>IF(Q168="","",IF(COUNTIF(Q$12:Q167,Q168)=0,R167+1,R167))</f>
        <v>9</v>
      </c>
      <c r="S168" s="73">
        <f t="shared" si="153"/>
        <v>105</v>
      </c>
      <c r="T168" s="73">
        <f t="shared" si="128"/>
        <v>16</v>
      </c>
      <c r="U168" s="66" t="str">
        <f t="shared" si="129"/>
        <v>M55</v>
      </c>
      <c r="V168" s="47" t="s">
        <v>0</v>
      </c>
      <c r="W168" s="222" t="str">
        <f t="shared" si="130"/>
        <v>M55</v>
      </c>
      <c r="X168" s="223">
        <f t="shared" si="131"/>
        <v>31</v>
      </c>
      <c r="Y168" s="47" t="s">
        <v>0</v>
      </c>
      <c r="Z168" s="52" t="str">
        <f t="shared" si="154"/>
        <v>CRO</v>
      </c>
      <c r="AA168" s="73">
        <f t="shared" si="132"/>
        <v>1</v>
      </c>
      <c r="AB168" s="31" t="str">
        <f t="shared" si="155"/>
        <v/>
      </c>
      <c r="AC168" s="66" t="str">
        <f>IF(AB168="","",MAX(AC$12:AC167)+1)</f>
        <v/>
      </c>
      <c r="AD168" s="47" t="s">
        <v>0</v>
      </c>
      <c r="AE168" s="125"/>
      <c r="AF168" s="47" t="s">
        <v>0</v>
      </c>
      <c r="AG168" s="19" t="str">
        <f t="shared" si="156"/>
        <v/>
      </c>
      <c r="AH168" s="47" t="s">
        <v>0</v>
      </c>
      <c r="AI168" s="143" t="str">
        <f t="shared" si="157"/>
        <v>CRO</v>
      </c>
      <c r="AJ168" s="47"/>
      <c r="AK168" s="52" t="str">
        <f t="shared" si="158"/>
        <v>Nenad</v>
      </c>
      <c r="AL168" s="31" t="str">
        <f t="shared" si="159"/>
        <v>Mihaljević</v>
      </c>
      <c r="AM168" s="73">
        <f t="shared" si="160"/>
        <v>1533</v>
      </c>
      <c r="AN168" s="73" t="str">
        <f t="shared" si="161"/>
        <v/>
      </c>
      <c r="AO168" s="31" t="str">
        <f t="shared" si="133"/>
        <v>Nenad</v>
      </c>
      <c r="AP168" s="66" t="str">
        <f t="shared" si="134"/>
        <v>Mihaljević</v>
      </c>
      <c r="AQ168" s="47" t="s">
        <v>0</v>
      </c>
      <c r="AR168" s="82" t="str">
        <f t="shared" si="162"/>
        <v/>
      </c>
      <c r="AS168" s="47" t="s">
        <v>0</v>
      </c>
      <c r="AT168" s="19" t="str">
        <f t="shared" si="163"/>
        <v/>
      </c>
      <c r="AU168" s="47" t="s">
        <v>0</v>
      </c>
      <c r="AV168" s="103"/>
      <c r="AW168" s="105"/>
      <c r="AX168" s="47" t="s">
        <v>0</v>
      </c>
      <c r="AY168" s="256" t="str">
        <f t="shared" si="181"/>
        <v/>
      </c>
      <c r="AZ168" s="47" t="s">
        <v>0</v>
      </c>
      <c r="BA168" s="52" t="str">
        <f t="shared" si="135"/>
        <v/>
      </c>
      <c r="BB168" s="73" t="str">
        <f>IF(AV168&amp;AW168="","",MAX(BB$12:BB167)+1)</f>
        <v/>
      </c>
      <c r="BC168" s="268" t="str">
        <f t="shared" si="136"/>
        <v/>
      </c>
      <c r="BD168" s="53" t="str">
        <f>IF(AND(AM168="NEMA",AN168="NEMA",OR(AV168&amp;AW168="",BC168="NEMA")),MAX(BD$12:BD167)+1,"")</f>
        <v/>
      </c>
      <c r="BE168" s="47" t="s">
        <v>0</v>
      </c>
      <c r="BF168" s="52" t="str">
        <f t="shared" si="137"/>
        <v>Nenad</v>
      </c>
      <c r="BG168" s="31" t="str">
        <f t="shared" si="138"/>
        <v>Mihaljević</v>
      </c>
      <c r="BH168" s="73" t="str">
        <f t="shared" si="164"/>
        <v/>
      </c>
      <c r="BI168" s="53">
        <f t="shared" si="165"/>
        <v>1533</v>
      </c>
      <c r="BJ168" s="47" t="s">
        <v>0</v>
      </c>
      <c r="BK168" s="52" t="str">
        <f t="shared" si="139"/>
        <v>Vihor</v>
      </c>
      <c r="BL168" s="31" t="str">
        <f t="shared" si="140"/>
        <v>OK Vihor</v>
      </c>
      <c r="BM168" s="73">
        <f t="shared" si="141"/>
        <v>12</v>
      </c>
      <c r="BN168" s="73" t="str">
        <f t="shared" si="142"/>
        <v/>
      </c>
      <c r="BO168" s="31" t="str" cm="1">
        <f t="array" ref="BO168">IF(BN168="",""&amp;BL168,IF(BN168="NEMA",BL168,INDEX(regKlub_naziv,MATCH(INDEX(regKlub_alias_klubId,BN168),regKlub_id,0))))</f>
        <v>OK Vihor</v>
      </c>
      <c r="BP168" s="31" t="str" cm="1">
        <f t="array" ref="BP168">IFERROR(""&amp;INDEX(regNatjecatelj_klub,DY168),"")</f>
        <v>OK Vihor</v>
      </c>
      <c r="BQ168" s="88" t="str">
        <f t="shared" si="166"/>
        <v/>
      </c>
      <c r="BR168" s="66" t="str">
        <f t="shared" si="167"/>
        <v>OK Vihor</v>
      </c>
      <c r="BS168" s="47" t="s">
        <v>0</v>
      </c>
      <c r="BT168" s="82" t="str">
        <f>IF(BN168&lt;&gt;"NEMA","",IF(IFERROR(MATCH(BL168,BL$12:BL167,0),0)&lt;&gt;0,"",BL168))</f>
        <v/>
      </c>
      <c r="BU168" s="47" t="s">
        <v>0</v>
      </c>
      <c r="BV168" s="125"/>
      <c r="BW168" s="47" t="s">
        <v>0</v>
      </c>
      <c r="BX168" s="58" t="str">
        <f t="shared" si="168"/>
        <v/>
      </c>
      <c r="BY168" s="31" t="str">
        <f t="shared" si="169"/>
        <v/>
      </c>
      <c r="BZ168" s="31" t="str">
        <f>IF(BY168="","",MAX(BZ$12:BZ167)+1)</f>
        <v/>
      </c>
      <c r="CA168" s="31" t="str">
        <f>IF(BY168="","",IF(AA168="","",IF(AA168="NEMA",AC168,AA168)))</f>
        <v/>
      </c>
      <c r="CB168" s="31" t="str">
        <f t="shared" si="170"/>
        <v/>
      </c>
      <c r="CC168" s="31" t="str">
        <f>IF(BV168="","",MAX(CC$12:CC167)+1)</f>
        <v/>
      </c>
      <c r="CD168" s="31" t="str">
        <f t="shared" si="171"/>
        <v/>
      </c>
      <c r="CE168" s="66" t="str">
        <f t="shared" si="172"/>
        <v/>
      </c>
      <c r="CF168" s="47" t="s">
        <v>0</v>
      </c>
      <c r="CG168" s="73" t="str">
        <f>IF(BN168="","",IF(BN168&lt;&gt;"NEMA","",IFERROR(INDEX(nat_klubAliasId,MATCH(BL168,nat_noviKluboviAliasi,0)),"")))</f>
        <v/>
      </c>
      <c r="CH168" s="47"/>
      <c r="CI168" s="19" t="str">
        <f t="shared" si="173"/>
        <v/>
      </c>
      <c r="CJ168" s="47" t="s">
        <v>0</v>
      </c>
      <c r="CK168" s="52" t="str">
        <f>IF(X168&lt;&gt;"NEMA","",IF(IFERROR(MATCH(W168,W$12:W167,0),0)&lt;&gt;0,"",W168))</f>
        <v/>
      </c>
      <c r="CL168" s="73" t="str">
        <f>IF(CK168="","",IFERROR(INDEX(regKlub_alias_id,MATCH(CK168,regKlub_alias_alias,0)),"NEMA"))</f>
        <v/>
      </c>
      <c r="CM168" s="31" t="str">
        <f>IF(OR(CL168="",CL168&lt;&gt;"NEMA"),"",MAX(CM$12:CM167)+1)</f>
        <v/>
      </c>
      <c r="CN168" s="66" t="str">
        <f>IF(OR(CL168="",CL168&lt;&gt;"NEMA"),"",INDEX(regKlub_id,MATCH(CK168,regKlub_naziv,0)))</f>
        <v/>
      </c>
      <c r="CO168" s="47" t="s">
        <v>0</v>
      </c>
      <c r="CP168" s="19" t="str">
        <f>IF(OR(CL168="",CL168&lt;&gt;"NEMA"),"","INSERT INTO klub_alias(id,alias,klub_id) VALUES ("&amp;CM168&amp;",'"&amp;CK168&amp;"',"&amp;CN168&amp;");")</f>
        <v/>
      </c>
      <c r="CQ168" s="47" t="s">
        <v>0</v>
      </c>
      <c r="CR168" s="143" t="str">
        <f>IF(BR168="","",IF(BV168="",IF(IFERROR(MATCH(BR168,nat_noviKluboviAliasi,0),0)&gt;0,INDEX(nat_kluboviAliasi,MATCH(BR168,nat_noviKluboviAliasi,0)),BR168),BV168))</f>
        <v>OK Vihor</v>
      </c>
      <c r="CS168" s="47" t="s">
        <v>0</v>
      </c>
      <c r="CT168" s="58" t="str">
        <f>IF(G168="","",G168)</f>
        <v>67:35</v>
      </c>
      <c r="CU168" s="73" t="str">
        <f>IF(H168="","",H168)</f>
        <v>0</v>
      </c>
      <c r="CV168" s="229" t="str">
        <f>IF(CT168="",IF(OR(AL168="",CU168&lt;&gt;"0"),"","GREŠKA"),IF(AND(65535&gt;=VALUE(LEFT(CT168,SEARCH(":",CT168)-1))*60+VALUE(RIGHT(CT168,2)),OR(CU168="0",CU168="1",CU168="2",CU168="3",CU168="4")),"","GREŠKA"))</f>
        <v/>
      </c>
      <c r="CW168" s="230">
        <f t="shared" si="127"/>
        <v>4055</v>
      </c>
      <c r="CX168" s="163">
        <f t="shared" si="143"/>
        <v>1</v>
      </c>
      <c r="CY168" s="47" t="s">
        <v>0</v>
      </c>
      <c r="CZ168" s="222" t="str">
        <f>IF(CV168&lt;&gt;"GREŠKA","",AK168&amp;" "&amp;AL168&amp;" – Molim u OEventu provjeriti i ispraviti rezultat – vrijeme ("&amp;IF(CT168="","nije upisano",CT168)&amp;") i classifier ("&amp;CU168&amp;").")&amp;IF(OR(CV168&lt;&gt;"GREŠKA",CX168&lt;&gt;5),"
","")&amp;IF(CX168&lt;&gt;5,"",AK168&amp;" "&amp;AL168&amp;" – Molim u provjeriti je li natjecatelj zaista diskvalificiran. Ako je koje je obrazloženje, ako nije molim u OEventu ispraviti rezultat")</f>
        <v xml:space="preserve">
</v>
      </c>
      <c r="DA168" s="223">
        <f t="shared" si="174"/>
        <v>6</v>
      </c>
      <c r="DB168" s="47" t="s">
        <v>0</v>
      </c>
      <c r="DC168" s="47"/>
      <c r="DD168" s="47"/>
      <c r="DE168" s="47"/>
      <c r="DF168" s="47" t="s">
        <v>0</v>
      </c>
      <c r="DG168" s="53" t="str">
        <f>IF(BD168="","",IF(DI168="O",1,""))</f>
        <v/>
      </c>
      <c r="DH168" t="s">
        <v>0</v>
      </c>
      <c r="DI168" s="128" t="str">
        <f>IF(Q168="","",LEFT(INDEX(regKategorija_oznaka,MATCH(S168,regKategorija_id,0)),1))</f>
        <v>M</v>
      </c>
      <c r="DJ168" t="s">
        <v>0</v>
      </c>
      <c r="DK168" s="52" t="str">
        <f>IF(BD168="","",IF(M168&lt;&gt;"CRO","","INSERT INTO osoba (id,reg_broj,oib,spol_id,dat_rodjenja) VALUES ("&amp;BD168&amp;",(SELECT max(os.reg_broj)+1 FROM osoba AS os),Null,'"&amp;DI168&amp;"',Null); INSERT INTO osoba_log (id,reg_broj,oib,spol_id,dat_rodjenja,dnevnik_id) SELECT id,reg_broj,oib,spol_id,dat_rodjenja,"&amp;data_dnevnik_id&amp;" FROM osoba WHERE id = "&amp;BD168&amp;";"))</f>
        <v/>
      </c>
      <c r="DL168" s="66" t="str">
        <f>IF(BD168="","","INSERT INTO imeprezime (id,osoba_id,rbr,ime,prezime,klub_id,identitet_id,sintaksa_id,info,aktivno,dnevnik_id) VALUES ("&amp;BD168&amp;","&amp;IF(DK168="","Null",BD168)&amp;",1,'"&amp;IF(AV168&lt;&gt;"",AV168,AK168)&amp;"','"&amp;IF(AW168&lt;&gt;"",AW168,AL168)&amp;"',(SELECT id FROM klub WHERE naziv = '"&amp;CR168&amp;"'),Null,1,'',1,"&amp;data_dnevnik_id&amp;");")</f>
        <v/>
      </c>
      <c r="DM168" t="s">
        <v>0</v>
      </c>
      <c r="DN168" s="19" t="str">
        <f t="shared" si="182"/>
        <v/>
      </c>
      <c r="DO168" s="47" t="s">
        <v>0</v>
      </c>
      <c r="DP168" s="19" t="str">
        <f>IF(BA168="","","INSERT INTO imeprezime_alias(id,alias,imeprezime_id) VALUES ("&amp;BB168&amp;",'"&amp;BA168&amp;"',"&amp;IF(BC168="NEMA",BD168,BC168)&amp;");")</f>
        <v/>
      </c>
      <c r="DQ168" s="47" t="s">
        <v>0</v>
      </c>
      <c r="DR168" s="52" t="str">
        <f>IF(AL168="","",DU168 &amp; IF(Q168="",""," – " &amp; Q168))</f>
        <v>Nenad – Mihaljević – OK Vihor – M55</v>
      </c>
      <c r="DS168" s="53">
        <f t="shared" si="144"/>
        <v>806</v>
      </c>
      <c r="DT168" s="47" t="s">
        <v>0</v>
      </c>
      <c r="DU168" s="52" t="str">
        <f>IF(AL168="","",DX168 &amp; IF(CR168="",""," – " &amp; CR168))</f>
        <v>Nenad – Mihaljević – OK Vihor</v>
      </c>
      <c r="DV168" s="53">
        <f t="shared" si="145"/>
        <v>806</v>
      </c>
      <c r="DW168" s="47" t="s">
        <v>0</v>
      </c>
      <c r="DX168" s="52" t="str">
        <f>IF(BG168="","",BF168&amp;" – "&amp;BG168)</f>
        <v>Nenad – Mihaljević</v>
      </c>
      <c r="DY168" s="53">
        <f t="shared" si="146"/>
        <v>806</v>
      </c>
      <c r="DZ168" s="47" t="s">
        <v>0</v>
      </c>
      <c r="EA168" s="58">
        <f t="shared" si="175"/>
        <v>806</v>
      </c>
      <c r="EB168" s="53" cm="1">
        <f t="array" ref="EB168">IF(EA168&lt;&gt;"",INDEX(regNatjecatelj_id,EA168,0),IF(BD168&lt;&gt;"",BD168,""))</f>
        <v>1533</v>
      </c>
      <c r="EC168" s="47" t="s">
        <v>0</v>
      </c>
      <c r="ED168" s="58" t="str">
        <f>IF(AL168="","",IF(BD168&lt;&gt;"","novo",IF(AN168="","imepre","imepre(ali)")))</f>
        <v>imepre</v>
      </c>
      <c r="EE168" s="73" t="str">
        <f>IF(AL168="","",IF(BL168="",IF(IFERROR(INDEX(regNatjecatelj_klub,MATCH(EB168,regNatjecatelj_id,0)),"NEMA")="","klu",""),IF(OR(AND(BN168&lt;&gt;"",BN168&lt;&gt;"NEMA"),CD168&lt;&gt;""),"klu(ali)",IF(AND(BP168&lt;&gt;"",BP168&lt;&gt;BO168),"(raz-klu)","klu"))))</f>
        <v>klu</v>
      </c>
      <c r="EF168" s="73" t="str">
        <f>IF(AL168="","","kat"&amp;IF(AND(W168&lt;&gt;Q168,Q168&lt;&gt;"Open"),"(ali)",""))</f>
        <v>kat</v>
      </c>
      <c r="EG168" s="73" t="str">
        <f t="shared" si="147"/>
        <v/>
      </c>
      <c r="EH168" s="66" t="str">
        <f>IF(AL168="","",ED168&amp;IF(ED168="novo","","-"&amp;EE168&amp;"-"&amp;EF168)&amp;IF(EG168="","","-"&amp;EG168))</f>
        <v>imepre-klu-kat</v>
      </c>
      <c r="EI168" s="47" t="s">
        <v>0</v>
      </c>
      <c r="EJ168" s="58">
        <f>IF(AL168="","",MAX(EJ$12:EJ167)+1)</f>
        <v>333</v>
      </c>
      <c r="EK168" s="73">
        <f>IF(AO168="","",X168)</f>
        <v>31</v>
      </c>
      <c r="EL168" s="73">
        <f t="shared" si="176"/>
        <v>1533</v>
      </c>
      <c r="EM168" s="73">
        <f t="shared" si="148"/>
        <v>4055</v>
      </c>
      <c r="EN168" s="73">
        <f t="shared" si="149"/>
        <v>1</v>
      </c>
      <c r="EO168" s="73">
        <f t="shared" si="177"/>
        <v>1</v>
      </c>
      <c r="EP168" s="73">
        <f t="shared" si="178"/>
        <v>1</v>
      </c>
      <c r="EQ168" s="73" t="str">
        <f t="shared" si="150"/>
        <v>0</v>
      </c>
      <c r="ER168" s="73" t="str">
        <f>IF(OR(AN168="",AN168="NEMA"),BB168,AN168)</f>
        <v/>
      </c>
      <c r="ES168" s="73" t="str">
        <f>IF(AND(BN168&lt;&gt;"",BN168&lt;&gt;"NEMA"),BN168,IF(CG168&lt;&gt;"",CG168,IF(AND(CL168&lt;&gt;"",CL168&lt;&gt;"NEMA"),CL168,IF(CM168&lt;&gt;"",CM168,""))))</f>
        <v/>
      </c>
      <c r="ET168" s="53" t="str">
        <f>IF(INDEX(natKategorija_alias_Id,MATCH(S168,natKategorija_katRegId,0))="","",INDEX(natKategorija_alias_Id,MATCH(S168,natKategorija_katRegId,0)))</f>
        <v/>
      </c>
      <c r="EU168" s="47" t="s">
        <v>0</v>
      </c>
      <c r="EV168" s="19" t="str">
        <f t="shared" si="179"/>
        <v>INSERT INTO rezultat(id,stazakategorija_id,imeprezime_id,vrijeme_sec,status_id,registracija,uparivanje_id,originalstatus_id,imeprezimealias_id,klubalias_id,kategorijaalias_id) VALUES (333,31,1533,4055,1,1,1,0,Null,Null,Null);</v>
      </c>
      <c r="EW168" s="47" t="s">
        <v>0</v>
      </c>
      <c r="EX168" s="19" t="str">
        <f t="shared" si="180"/>
        <v>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8" s="47" t="s">
        <v>0</v>
      </c>
      <c r="EZ168" s="180" t="str">
        <f>AG168&amp;IF(CP168="","","
")&amp;CP168&amp;IF(CI168="","","
")&amp;CI168&amp;IF(DN168="","","
")&amp;DN168&amp;IF(DP168="","","
")&amp;DP168&amp;IF(EV168="","","
")&amp;EV168&amp;IF(EX168="","","
")&amp;EX168</f>
        <v xml:space="preserve">
INSERT INTO rezultat(id,stazakategorija_id,imeprezime_id,vrijeme_sec,status_id,registracija,uparivanje_id,originalstatus_id,imeprezimealias_id,klubalias_id,kategorijaalias_id) VALUES (333,31,1533,4055,1,1,1,0,Null,Null,Null);
UPDATE
	registar
SET
	potvrda = 1
WHERE
	imeprezime_id=1533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8" s="47" t="s">
        <v>0</v>
      </c>
    </row>
    <row r="169" spans="1:157" x14ac:dyDescent="0.25">
      <c r="A169" t="s">
        <v>0</v>
      </c>
      <c r="B169" s="52" t="str">
        <f>IF(csv!F159="","",csv!T159)</f>
        <v>M55</v>
      </c>
      <c r="C169" s="31" t="s">
        <v>0</v>
      </c>
      <c r="D169" s="31" t="str">
        <f>IF(csv!F159="","",csv!F159)</f>
        <v>Josip</v>
      </c>
      <c r="E169" s="31" t="str">
        <f>IF(csv!E159="","",csv!E159)</f>
        <v>Matijašić</v>
      </c>
      <c r="F169" s="31" t="s">
        <v>0</v>
      </c>
      <c r="G169" s="73" t="str">
        <f>IF(csv!M159="","",csv!M159)</f>
        <v>70:40</v>
      </c>
      <c r="H169" s="73" t="str">
        <f>IF(csv!N159="","",csv!N159)</f>
        <v>0</v>
      </c>
      <c r="I169" s="31" t="s">
        <v>0</v>
      </c>
      <c r="J169" s="31" t="str">
        <f>IF(csv!P159="","",csv!P159)</f>
        <v>Vihor</v>
      </c>
      <c r="K169" s="31" t="str">
        <f>IF(csv!Q159="","",csv!Q159)</f>
        <v>OK Vihor</v>
      </c>
      <c r="L169" s="31" t="s">
        <v>0</v>
      </c>
      <c r="M169" s="66" t="str">
        <f>IF(csv!R159="","",csv!R159)</f>
        <v>CRO</v>
      </c>
      <c r="N169" s="47" t="s">
        <v>0</v>
      </c>
      <c r="O169" s="243" t="str">
        <f t="shared" si="151"/>
        <v>ok</v>
      </c>
      <c r="P169" s="47"/>
      <c r="Q169" s="52" t="str">
        <f t="shared" si="152"/>
        <v>M55</v>
      </c>
      <c r="R169" s="73">
        <f>IF(Q169="","",IF(COUNTIF(Q$12:Q168,Q169)=0,R168+1,R168))</f>
        <v>9</v>
      </c>
      <c r="S169" s="73">
        <f t="shared" si="153"/>
        <v>105</v>
      </c>
      <c r="T169" s="73">
        <f t="shared" si="128"/>
        <v>16</v>
      </c>
      <c r="U169" s="66" t="str">
        <f t="shared" si="129"/>
        <v>M55</v>
      </c>
      <c r="V169" s="47" t="s">
        <v>0</v>
      </c>
      <c r="W169" s="222" t="str">
        <f t="shared" si="130"/>
        <v>M55</v>
      </c>
      <c r="X169" s="223">
        <f t="shared" si="131"/>
        <v>31</v>
      </c>
      <c r="Y169" s="47" t="s">
        <v>0</v>
      </c>
      <c r="Z169" s="52" t="str">
        <f t="shared" si="154"/>
        <v>CRO</v>
      </c>
      <c r="AA169" s="73">
        <f t="shared" si="132"/>
        <v>1</v>
      </c>
      <c r="AB169" s="31" t="str">
        <f t="shared" si="155"/>
        <v/>
      </c>
      <c r="AC169" s="66" t="str">
        <f>IF(AB169="","",MAX(AC$12:AC168)+1)</f>
        <v/>
      </c>
      <c r="AD169" s="47" t="s">
        <v>0</v>
      </c>
      <c r="AE169" s="125"/>
      <c r="AF169" s="47" t="s">
        <v>0</v>
      </c>
      <c r="AG169" s="19" t="str">
        <f t="shared" si="156"/>
        <v/>
      </c>
      <c r="AH169" s="47" t="s">
        <v>0</v>
      </c>
      <c r="AI169" s="143" t="str">
        <f t="shared" si="157"/>
        <v>CRO</v>
      </c>
      <c r="AJ169" s="47"/>
      <c r="AK169" s="52" t="str">
        <f t="shared" si="158"/>
        <v>Josip</v>
      </c>
      <c r="AL169" s="31" t="str">
        <f t="shared" si="159"/>
        <v>Matijašić</v>
      </c>
      <c r="AM169" s="73">
        <f t="shared" si="160"/>
        <v>1271</v>
      </c>
      <c r="AN169" s="73" t="str">
        <f t="shared" si="161"/>
        <v/>
      </c>
      <c r="AO169" s="31" t="str">
        <f t="shared" si="133"/>
        <v>Josip</v>
      </c>
      <c r="AP169" s="66" t="str">
        <f t="shared" si="134"/>
        <v>Matijašić</v>
      </c>
      <c r="AQ169" s="47" t="s">
        <v>0</v>
      </c>
      <c r="AR169" s="82" t="str">
        <f t="shared" si="162"/>
        <v/>
      </c>
      <c r="AS169" s="47" t="s">
        <v>0</v>
      </c>
      <c r="AT169" s="19" t="str">
        <f t="shared" si="163"/>
        <v/>
      </c>
      <c r="AU169" s="47" t="s">
        <v>0</v>
      </c>
      <c r="AV169" s="103"/>
      <c r="AW169" s="105"/>
      <c r="AX169" s="47" t="s">
        <v>0</v>
      </c>
      <c r="AY169" s="256" t="str">
        <f t="shared" si="181"/>
        <v/>
      </c>
      <c r="AZ169" s="47" t="s">
        <v>0</v>
      </c>
      <c r="BA169" s="52" t="str">
        <f t="shared" si="135"/>
        <v/>
      </c>
      <c r="BB169" s="73" t="str">
        <f>IF(AV169&amp;AW169="","",MAX(BB$12:BB168)+1)</f>
        <v/>
      </c>
      <c r="BC169" s="268" t="str">
        <f t="shared" si="136"/>
        <v/>
      </c>
      <c r="BD169" s="53" t="str">
        <f>IF(AND(AM169="NEMA",AN169="NEMA",OR(AV169&amp;AW169="",BC169="NEMA")),MAX(BD$12:BD168)+1,"")</f>
        <v/>
      </c>
      <c r="BE169" s="47" t="s">
        <v>0</v>
      </c>
      <c r="BF169" s="52" t="str">
        <f t="shared" si="137"/>
        <v>Josip</v>
      </c>
      <c r="BG169" s="31" t="str">
        <f t="shared" si="138"/>
        <v>Matijašić</v>
      </c>
      <c r="BH169" s="73" t="str">
        <f t="shared" si="164"/>
        <v/>
      </c>
      <c r="BI169" s="53">
        <f t="shared" si="165"/>
        <v>1271</v>
      </c>
      <c r="BJ169" s="47" t="s">
        <v>0</v>
      </c>
      <c r="BK169" s="52" t="str">
        <f t="shared" si="139"/>
        <v>Vihor</v>
      </c>
      <c r="BL169" s="31" t="str">
        <f t="shared" si="140"/>
        <v>OK Vihor</v>
      </c>
      <c r="BM169" s="73">
        <f t="shared" si="141"/>
        <v>12</v>
      </c>
      <c r="BN169" s="73" t="str">
        <f t="shared" si="142"/>
        <v/>
      </c>
      <c r="BO169" s="31" t="str" cm="1">
        <f t="array" ref="BO169">IF(BN169="",""&amp;BL169,IF(BN169="NEMA",BL169,INDEX(regKlub_naziv,MATCH(INDEX(regKlub_alias_klubId,BN169),regKlub_id,0))))</f>
        <v>OK Vihor</v>
      </c>
      <c r="BP169" s="31" t="str" cm="1">
        <f t="array" ref="BP169">IFERROR(""&amp;INDEX(regNatjecatelj_klub,DY169),"")</f>
        <v>OK Vihor</v>
      </c>
      <c r="BQ169" s="88" t="str">
        <f t="shared" si="166"/>
        <v/>
      </c>
      <c r="BR169" s="66" t="str">
        <f t="shared" si="167"/>
        <v>OK Vihor</v>
      </c>
      <c r="BS169" s="47" t="s">
        <v>0</v>
      </c>
      <c r="BT169" s="82" t="str">
        <f>IF(BN169&lt;&gt;"NEMA","",IF(IFERROR(MATCH(BL169,BL$12:BL168,0),0)&lt;&gt;0,"",BL169))</f>
        <v/>
      </c>
      <c r="BU169" s="47" t="s">
        <v>0</v>
      </c>
      <c r="BV169" s="125"/>
      <c r="BW169" s="47" t="s">
        <v>0</v>
      </c>
      <c r="BX169" s="58" t="str">
        <f t="shared" si="168"/>
        <v/>
      </c>
      <c r="BY169" s="31" t="str">
        <f t="shared" si="169"/>
        <v/>
      </c>
      <c r="BZ169" s="31" t="str">
        <f>IF(BY169="","",MAX(BZ$12:BZ168)+1)</f>
        <v/>
      </c>
      <c r="CA169" s="31" t="str">
        <f>IF(BY169="","",IF(AA169="","",IF(AA169="NEMA",AC169,AA169)))</f>
        <v/>
      </c>
      <c r="CB169" s="31" t="str">
        <f t="shared" si="170"/>
        <v/>
      </c>
      <c r="CC169" s="31" t="str">
        <f>IF(BV169="","",MAX(CC$12:CC168)+1)</f>
        <v/>
      </c>
      <c r="CD169" s="31" t="str">
        <f t="shared" si="171"/>
        <v/>
      </c>
      <c r="CE169" s="66" t="str">
        <f t="shared" si="172"/>
        <v/>
      </c>
      <c r="CF169" s="47" t="s">
        <v>0</v>
      </c>
      <c r="CG169" s="73" t="str">
        <f>IF(BN169="","",IF(BN169&lt;&gt;"NEMA","",IFERROR(INDEX(nat_klubAliasId,MATCH(BL169,nat_noviKluboviAliasi,0)),"")))</f>
        <v/>
      </c>
      <c r="CH169" s="47"/>
      <c r="CI169" s="19" t="str">
        <f t="shared" si="173"/>
        <v/>
      </c>
      <c r="CJ169" s="47" t="s">
        <v>0</v>
      </c>
      <c r="CK169" s="52" t="str">
        <f>IF(X169&lt;&gt;"NEMA","",IF(IFERROR(MATCH(W169,W$12:W168,0),0)&lt;&gt;0,"",W169))</f>
        <v/>
      </c>
      <c r="CL169" s="73" t="str">
        <f>IF(CK169="","",IFERROR(INDEX(regKlub_alias_id,MATCH(CK169,regKlub_alias_alias,0)),"NEMA"))</f>
        <v/>
      </c>
      <c r="CM169" s="31" t="str">
        <f>IF(OR(CL169="",CL169&lt;&gt;"NEMA"),"",MAX(CM$12:CM168)+1)</f>
        <v/>
      </c>
      <c r="CN169" s="66" t="str">
        <f>IF(OR(CL169="",CL169&lt;&gt;"NEMA"),"",INDEX(regKlub_id,MATCH(CK169,regKlub_naziv,0)))</f>
        <v/>
      </c>
      <c r="CO169" s="47" t="s">
        <v>0</v>
      </c>
      <c r="CP169" s="19" t="str">
        <f>IF(OR(CL169="",CL169&lt;&gt;"NEMA"),"","INSERT INTO klub_alias(id,alias,klub_id) VALUES ("&amp;CM169&amp;",'"&amp;CK169&amp;"',"&amp;CN169&amp;");")</f>
        <v/>
      </c>
      <c r="CQ169" s="47" t="s">
        <v>0</v>
      </c>
      <c r="CR169" s="143" t="str">
        <f>IF(BR169="","",IF(BV169="",IF(IFERROR(MATCH(BR169,nat_noviKluboviAliasi,0),0)&gt;0,INDEX(nat_kluboviAliasi,MATCH(BR169,nat_noviKluboviAliasi,0)),BR169),BV169))</f>
        <v>OK Vihor</v>
      </c>
      <c r="CS169" s="47" t="s">
        <v>0</v>
      </c>
      <c r="CT169" s="58" t="str">
        <f>IF(G169="","",G169)</f>
        <v>70:40</v>
      </c>
      <c r="CU169" s="73" t="str">
        <f>IF(H169="","",H169)</f>
        <v>0</v>
      </c>
      <c r="CV169" s="229" t="str">
        <f>IF(CT169="",IF(OR(AL169="",CU169&lt;&gt;"0"),"","GREŠKA"),IF(AND(65535&gt;=VALUE(LEFT(CT169,SEARCH(":",CT169)-1))*60+VALUE(RIGHT(CT169,2)),OR(CU169="0",CU169="1",CU169="2",CU169="3",CU169="4")),"","GREŠKA"))</f>
        <v/>
      </c>
      <c r="CW169" s="230">
        <f t="shared" si="127"/>
        <v>4240</v>
      </c>
      <c r="CX169" s="163">
        <f t="shared" si="143"/>
        <v>1</v>
      </c>
      <c r="CY169" s="47" t="s">
        <v>0</v>
      </c>
      <c r="CZ169" s="222" t="str">
        <f>IF(CV169&lt;&gt;"GREŠKA","",AK169&amp;" "&amp;AL169&amp;" – Molim u OEventu provjeriti i ispraviti rezultat – vrijeme ("&amp;IF(CT169="","nije upisano",CT169)&amp;") i classifier ("&amp;CU169&amp;").")&amp;IF(OR(CV169&lt;&gt;"GREŠKA",CX169&lt;&gt;5),"
","")&amp;IF(CX169&lt;&gt;5,"",AK169&amp;" "&amp;AL169&amp;" – Molim u provjeriti je li natjecatelj zaista diskvalificiran. Ako je koje je obrazloženje, ako nije molim u OEventu ispraviti rezultat")</f>
        <v xml:space="preserve">
</v>
      </c>
      <c r="DA169" s="223">
        <f t="shared" si="174"/>
        <v>6</v>
      </c>
      <c r="DB169" s="47" t="s">
        <v>0</v>
      </c>
      <c r="DC169" s="47"/>
      <c r="DD169" s="47"/>
      <c r="DE169" s="47"/>
      <c r="DF169" s="47" t="s">
        <v>0</v>
      </c>
      <c r="DG169" s="53" t="str">
        <f>IF(BD169="","",IF(DI169="O",1,""))</f>
        <v/>
      </c>
      <c r="DH169" t="s">
        <v>0</v>
      </c>
      <c r="DI169" s="128" t="str">
        <f>IF(Q169="","",LEFT(INDEX(regKategorija_oznaka,MATCH(S169,regKategorija_id,0)),1))</f>
        <v>M</v>
      </c>
      <c r="DJ169" t="s">
        <v>0</v>
      </c>
      <c r="DK169" s="52" t="str">
        <f>IF(BD169="","",IF(M169&lt;&gt;"CRO","","INSERT INTO osoba (id,reg_broj,oib,spol_id,dat_rodjenja) VALUES ("&amp;BD169&amp;",(SELECT max(os.reg_broj)+1 FROM osoba AS os),Null,'"&amp;DI169&amp;"',Null); INSERT INTO osoba_log (id,reg_broj,oib,spol_id,dat_rodjenja,dnevnik_id) SELECT id,reg_broj,oib,spol_id,dat_rodjenja,"&amp;data_dnevnik_id&amp;" FROM osoba WHERE id = "&amp;BD169&amp;";"))</f>
        <v/>
      </c>
      <c r="DL169" s="66" t="str">
        <f>IF(BD169="","","INSERT INTO imeprezime (id,osoba_id,rbr,ime,prezime,klub_id,identitet_id,sintaksa_id,info,aktivno,dnevnik_id) VALUES ("&amp;BD169&amp;","&amp;IF(DK169="","Null",BD169)&amp;",1,'"&amp;IF(AV169&lt;&gt;"",AV169,AK169)&amp;"','"&amp;IF(AW169&lt;&gt;"",AW169,AL169)&amp;"',(SELECT id FROM klub WHERE naziv = '"&amp;CR169&amp;"'),Null,1,'',1,"&amp;data_dnevnik_id&amp;");")</f>
        <v/>
      </c>
      <c r="DM169" t="s">
        <v>0</v>
      </c>
      <c r="DN169" s="19" t="str">
        <f t="shared" si="182"/>
        <v/>
      </c>
      <c r="DO169" s="47" t="s">
        <v>0</v>
      </c>
      <c r="DP169" s="19" t="str">
        <f>IF(BA169="","","INSERT INTO imeprezime_alias(id,alias,imeprezime_id) VALUES ("&amp;BB169&amp;",'"&amp;BA169&amp;"',"&amp;IF(BC169="NEMA",BD169,BC169)&amp;");")</f>
        <v/>
      </c>
      <c r="DQ169" s="47" t="s">
        <v>0</v>
      </c>
      <c r="DR169" s="52" t="str">
        <f>IF(AL169="","",DU169 &amp; IF(Q169="",""," – " &amp; Q169))</f>
        <v>Josip – Matijašić – OK Vihor – M55</v>
      </c>
      <c r="DS169" s="53">
        <f t="shared" si="144"/>
        <v>796</v>
      </c>
      <c r="DT169" s="47" t="s">
        <v>0</v>
      </c>
      <c r="DU169" s="52" t="str">
        <f>IF(AL169="","",DX169 &amp; IF(CR169="",""," – " &amp; CR169))</f>
        <v>Josip – Matijašić – OK Vihor</v>
      </c>
      <c r="DV169" s="53">
        <f t="shared" si="145"/>
        <v>796</v>
      </c>
      <c r="DW169" s="47" t="s">
        <v>0</v>
      </c>
      <c r="DX169" s="52" t="str">
        <f>IF(BG169="","",BF169&amp;" – "&amp;BG169)</f>
        <v>Josip – Matijašić</v>
      </c>
      <c r="DY169" s="53">
        <f t="shared" si="146"/>
        <v>796</v>
      </c>
      <c r="DZ169" s="47" t="s">
        <v>0</v>
      </c>
      <c r="EA169" s="58">
        <f t="shared" si="175"/>
        <v>796</v>
      </c>
      <c r="EB169" s="53" cm="1">
        <f t="array" ref="EB169">IF(EA169&lt;&gt;"",INDEX(regNatjecatelj_id,EA169,0),IF(BD169&lt;&gt;"",BD169,""))</f>
        <v>1271</v>
      </c>
      <c r="EC169" s="47" t="s">
        <v>0</v>
      </c>
      <c r="ED169" s="58" t="str">
        <f>IF(AL169="","",IF(BD169&lt;&gt;"","novo",IF(AN169="","imepre","imepre(ali)")))</f>
        <v>imepre</v>
      </c>
      <c r="EE169" s="73" t="str">
        <f>IF(AL169="","",IF(BL169="",IF(IFERROR(INDEX(regNatjecatelj_klub,MATCH(EB169,regNatjecatelj_id,0)),"NEMA")="","klu",""),IF(OR(AND(BN169&lt;&gt;"",BN169&lt;&gt;"NEMA"),CD169&lt;&gt;""),"klu(ali)",IF(AND(BP169&lt;&gt;"",BP169&lt;&gt;BO169),"(raz-klu)","klu"))))</f>
        <v>klu</v>
      </c>
      <c r="EF169" s="73" t="str">
        <f>IF(AL169="","","kat"&amp;IF(AND(W169&lt;&gt;Q169,Q169&lt;&gt;"Open"),"(ali)",""))</f>
        <v>kat</v>
      </c>
      <c r="EG169" s="73" t="str">
        <f t="shared" si="147"/>
        <v/>
      </c>
      <c r="EH169" s="66" t="str">
        <f>IF(AL169="","",ED169&amp;IF(ED169="novo","","-"&amp;EE169&amp;"-"&amp;EF169)&amp;IF(EG169="","","-"&amp;EG169))</f>
        <v>imepre-klu-kat</v>
      </c>
      <c r="EI169" s="47" t="s">
        <v>0</v>
      </c>
      <c r="EJ169" s="58">
        <f>IF(AL169="","",MAX(EJ$12:EJ168)+1)</f>
        <v>334</v>
      </c>
      <c r="EK169" s="73">
        <f>IF(AO169="","",X169)</f>
        <v>31</v>
      </c>
      <c r="EL169" s="73">
        <f t="shared" si="176"/>
        <v>1271</v>
      </c>
      <c r="EM169" s="73">
        <f t="shared" si="148"/>
        <v>4240</v>
      </c>
      <c r="EN169" s="73">
        <f t="shared" si="149"/>
        <v>1</v>
      </c>
      <c r="EO169" s="73">
        <f t="shared" si="177"/>
        <v>1</v>
      </c>
      <c r="EP169" s="73">
        <f t="shared" si="178"/>
        <v>1</v>
      </c>
      <c r="EQ169" s="73" t="str">
        <f t="shared" si="150"/>
        <v>0</v>
      </c>
      <c r="ER169" s="73" t="str">
        <f>IF(OR(AN169="",AN169="NEMA"),BB169,AN169)</f>
        <v/>
      </c>
      <c r="ES169" s="73" t="str">
        <f>IF(AND(BN169&lt;&gt;"",BN169&lt;&gt;"NEMA"),BN169,IF(CG169&lt;&gt;"",CG169,IF(AND(CL169&lt;&gt;"",CL169&lt;&gt;"NEMA"),CL169,IF(CM169&lt;&gt;"",CM169,""))))</f>
        <v/>
      </c>
      <c r="ET169" s="53" t="str">
        <f>IF(INDEX(natKategorija_alias_Id,MATCH(S169,natKategorija_katRegId,0))="","",INDEX(natKategorija_alias_Id,MATCH(S169,natKategorija_katRegId,0)))</f>
        <v/>
      </c>
      <c r="EU169" s="47" t="s">
        <v>0</v>
      </c>
      <c r="EV169" s="19" t="str">
        <f t="shared" si="179"/>
        <v>INSERT INTO rezultat(id,stazakategorija_id,imeprezime_id,vrijeme_sec,status_id,registracija,uparivanje_id,originalstatus_id,imeprezimealias_id,klubalias_id,kategorijaalias_id) VALUES (334,31,1271,4240,1,1,1,0,Null,Null,Null);</v>
      </c>
      <c r="EW169" s="47" t="s">
        <v>0</v>
      </c>
      <c r="EX169" s="19" t="str">
        <f t="shared" si="180"/>
        <v>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69" s="47" t="s">
        <v>0</v>
      </c>
      <c r="EZ169" s="180" t="str">
        <f>AG169&amp;IF(CP169="","","
")&amp;CP169&amp;IF(CI169="","","
")&amp;CI169&amp;IF(DN169="","","
")&amp;DN169&amp;IF(DP169="","","
")&amp;DP169&amp;IF(EV169="","","
")&amp;EV169&amp;IF(EX169="","","
")&amp;EX169</f>
        <v xml:space="preserve">
INSERT INTO rezultat(id,stazakategorija_id,imeprezime_id,vrijeme_sec,status_id,registracija,uparivanje_id,originalstatus_id,imeprezimealias_id,klubalias_id,kategorijaalias_id) VALUES (334,31,1271,4240,1,1,1,0,Null,Null,Null);
UPDATE
	registar
SET
	potvrda = 1
WHERE
	imeprezime_id=1271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69" s="47" t="s">
        <v>0</v>
      </c>
    </row>
    <row r="170" spans="1:157" x14ac:dyDescent="0.25">
      <c r="A170" t="s">
        <v>0</v>
      </c>
      <c r="B170" s="52" t="str">
        <f>IF(csv!F160="","",csv!T160)</f>
        <v>M55</v>
      </c>
      <c r="C170" s="31" t="s">
        <v>0</v>
      </c>
      <c r="D170" s="31" t="str">
        <f>IF(csv!F160="","",csv!F160)</f>
        <v>Ivo</v>
      </c>
      <c r="E170" s="31" t="str">
        <f>IF(csv!E160="","",csv!E160)</f>
        <v>Lukačić</v>
      </c>
      <c r="F170" s="31" t="s">
        <v>0</v>
      </c>
      <c r="G170" s="73" t="str">
        <f>IF(csv!M160="","",csv!M160)</f>
        <v>78:18</v>
      </c>
      <c r="H170" s="73" t="str">
        <f>IF(csv!N160="","",csv!N160)</f>
        <v>0</v>
      </c>
      <c r="I170" s="31" t="s">
        <v>0</v>
      </c>
      <c r="J170" s="31" t="str">
        <f>IF(csv!P160="","",csv!P160)</f>
        <v/>
      </c>
      <c r="K170" s="31" t="str">
        <f>IF(csv!Q160="","",csv!Q160)</f>
        <v/>
      </c>
      <c r="L170" s="31" t="s">
        <v>0</v>
      </c>
      <c r="M170" s="66" t="str">
        <f>IF(csv!R160="","",csv!R160)</f>
        <v/>
      </c>
      <c r="N170" s="47" t="s">
        <v>0</v>
      </c>
      <c r="O170" s="243" t="str">
        <f t="shared" si="151"/>
        <v>ok</v>
      </c>
      <c r="P170" s="47"/>
      <c r="Q170" s="52" t="str">
        <f t="shared" si="152"/>
        <v>M55</v>
      </c>
      <c r="R170" s="73">
        <f>IF(Q170="","",IF(COUNTIF(Q$12:Q169,Q170)=0,R169+1,R169))</f>
        <v>9</v>
      </c>
      <c r="S170" s="73">
        <f t="shared" si="153"/>
        <v>105</v>
      </c>
      <c r="T170" s="73">
        <f t="shared" si="128"/>
        <v>16</v>
      </c>
      <c r="U170" s="66" t="str">
        <f t="shared" si="129"/>
        <v>M55</v>
      </c>
      <c r="V170" s="47" t="s">
        <v>0</v>
      </c>
      <c r="W170" s="222" t="str">
        <f t="shared" si="130"/>
        <v>M55</v>
      </c>
      <c r="X170" s="223">
        <f t="shared" si="131"/>
        <v>31</v>
      </c>
      <c r="Y170" s="47" t="s">
        <v>0</v>
      </c>
      <c r="Z170" s="52" t="str">
        <f t="shared" si="154"/>
        <v/>
      </c>
      <c r="AA170" s="73" t="str">
        <f t="shared" si="132"/>
        <v/>
      </c>
      <c r="AB170" s="31" t="str">
        <f t="shared" si="155"/>
        <v/>
      </c>
      <c r="AC170" s="66" t="str">
        <f>IF(AB170="","",MAX(AC$12:AC169)+1)</f>
        <v/>
      </c>
      <c r="AD170" s="47" t="s">
        <v>0</v>
      </c>
      <c r="AE170" s="125"/>
      <c r="AF170" s="47" t="s">
        <v>0</v>
      </c>
      <c r="AG170" s="19" t="str">
        <f t="shared" si="156"/>
        <v/>
      </c>
      <c r="AH170" s="47" t="s">
        <v>0</v>
      </c>
      <c r="AI170" s="143" t="str">
        <f t="shared" si="157"/>
        <v/>
      </c>
      <c r="AJ170" s="47"/>
      <c r="AK170" s="52" t="str">
        <f t="shared" si="158"/>
        <v>Ivo</v>
      </c>
      <c r="AL170" s="31" t="str">
        <f t="shared" si="159"/>
        <v>Lukačić</v>
      </c>
      <c r="AM170" s="73">
        <f t="shared" si="160"/>
        <v>1952</v>
      </c>
      <c r="AN170" s="73" t="str">
        <f t="shared" si="161"/>
        <v/>
      </c>
      <c r="AO170" s="31" t="str">
        <f t="shared" si="133"/>
        <v>Ivo</v>
      </c>
      <c r="AP170" s="66" t="str">
        <f t="shared" si="134"/>
        <v>Lukačić</v>
      </c>
      <c r="AQ170" s="47" t="s">
        <v>0</v>
      </c>
      <c r="AR170" s="82" t="str">
        <f t="shared" si="162"/>
        <v/>
      </c>
      <c r="AS170" s="47" t="s">
        <v>0</v>
      </c>
      <c r="AT170" s="19" t="str">
        <f t="shared" si="163"/>
        <v/>
      </c>
      <c r="AU170" s="47" t="s">
        <v>0</v>
      </c>
      <c r="AV170" s="103"/>
      <c r="AW170" s="105"/>
      <c r="AX170" s="47" t="s">
        <v>0</v>
      </c>
      <c r="AY170" s="256" t="str">
        <f t="shared" si="181"/>
        <v/>
      </c>
      <c r="AZ170" s="47" t="s">
        <v>0</v>
      </c>
      <c r="BA170" s="52" t="str">
        <f t="shared" si="135"/>
        <v/>
      </c>
      <c r="BB170" s="73" t="str">
        <f>IF(AV170&amp;AW170="","",MAX(BB$12:BB169)+1)</f>
        <v/>
      </c>
      <c r="BC170" s="268" t="str">
        <f t="shared" si="136"/>
        <v/>
      </c>
      <c r="BD170" s="53" t="str">
        <f>IF(AND(AM170="NEMA",AN170="NEMA",OR(AV170&amp;AW170="",BC170="NEMA")),MAX(BD$12:BD169)+1,"")</f>
        <v/>
      </c>
      <c r="BE170" s="47" t="s">
        <v>0</v>
      </c>
      <c r="BF170" s="52" t="str">
        <f t="shared" si="137"/>
        <v>Ivo</v>
      </c>
      <c r="BG170" s="31" t="str">
        <f t="shared" si="138"/>
        <v>Lukačić</v>
      </c>
      <c r="BH170" s="73" t="str">
        <f t="shared" si="164"/>
        <v/>
      </c>
      <c r="BI170" s="53">
        <f t="shared" si="165"/>
        <v>1952</v>
      </c>
      <c r="BJ170" s="47" t="s">
        <v>0</v>
      </c>
      <c r="BK170" s="52" t="str">
        <f t="shared" si="139"/>
        <v/>
      </c>
      <c r="BL170" s="31" t="str">
        <f t="shared" si="140"/>
        <v/>
      </c>
      <c r="BM170" s="73" t="str">
        <f t="shared" si="141"/>
        <v/>
      </c>
      <c r="BN170" s="73" t="str">
        <f t="shared" si="142"/>
        <v/>
      </c>
      <c r="BO170" s="31" t="str" cm="1">
        <f t="array" ref="BO170">IF(BN170="",""&amp;BL170,IF(BN170="NEMA",BL170,INDEX(regKlub_naziv,MATCH(INDEX(regKlub_alias_klubId,BN170),regKlub_id,0))))</f>
        <v/>
      </c>
      <c r="BP170" s="31" t="str" cm="1">
        <f t="array" ref="BP170">IFERROR(""&amp;INDEX(regNatjecatelj_klub,DY170),"")</f>
        <v/>
      </c>
      <c r="BQ170" s="88" t="str">
        <f t="shared" si="166"/>
        <v/>
      </c>
      <c r="BR170" s="66" t="str">
        <f t="shared" si="167"/>
        <v/>
      </c>
      <c r="BS170" s="47" t="s">
        <v>0</v>
      </c>
      <c r="BT170" s="82" t="str">
        <f>IF(BN170&lt;&gt;"NEMA","",IF(IFERROR(MATCH(BL170,BL$12:BL169,0),0)&lt;&gt;0,"",BL170))</f>
        <v/>
      </c>
      <c r="BU170" s="47" t="s">
        <v>0</v>
      </c>
      <c r="BV170" s="125"/>
      <c r="BW170" s="47" t="s">
        <v>0</v>
      </c>
      <c r="BX170" s="58" t="str">
        <f t="shared" si="168"/>
        <v/>
      </c>
      <c r="BY170" s="31" t="str">
        <f t="shared" si="169"/>
        <v/>
      </c>
      <c r="BZ170" s="31" t="str">
        <f>IF(BY170="","",MAX(BZ$12:BZ169)+1)</f>
        <v/>
      </c>
      <c r="CA170" s="31" t="str">
        <f>IF(BY170="","",IF(AA170="","",IF(AA170="NEMA",AC170,AA170)))</f>
        <v/>
      </c>
      <c r="CB170" s="31" t="str">
        <f t="shared" si="170"/>
        <v/>
      </c>
      <c r="CC170" s="31" t="str">
        <f>IF(BV170="","",MAX(CC$12:CC169)+1)</f>
        <v/>
      </c>
      <c r="CD170" s="31" t="str">
        <f t="shared" si="171"/>
        <v/>
      </c>
      <c r="CE170" s="66" t="str">
        <f t="shared" si="172"/>
        <v/>
      </c>
      <c r="CF170" s="47" t="s">
        <v>0</v>
      </c>
      <c r="CG170" s="73" t="str">
        <f>IF(BN170="","",IF(BN170&lt;&gt;"NEMA","",IFERROR(INDEX(nat_klubAliasId,MATCH(BL170,nat_noviKluboviAliasi,0)),"")))</f>
        <v/>
      </c>
      <c r="CH170" s="47"/>
      <c r="CI170" s="19" t="str">
        <f t="shared" si="173"/>
        <v/>
      </c>
      <c r="CJ170" s="47" t="s">
        <v>0</v>
      </c>
      <c r="CK170" s="52" t="str">
        <f>IF(X170&lt;&gt;"NEMA","",IF(IFERROR(MATCH(W170,W$12:W169,0),0)&lt;&gt;0,"",W170))</f>
        <v/>
      </c>
      <c r="CL170" s="73" t="str">
        <f>IF(CK170="","",IFERROR(INDEX(regKlub_alias_id,MATCH(CK170,regKlub_alias_alias,0)),"NEMA"))</f>
        <v/>
      </c>
      <c r="CM170" s="31" t="str">
        <f>IF(OR(CL170="",CL170&lt;&gt;"NEMA"),"",MAX(CM$12:CM169)+1)</f>
        <v/>
      </c>
      <c r="CN170" s="66" t="str">
        <f>IF(OR(CL170="",CL170&lt;&gt;"NEMA"),"",INDEX(regKlub_id,MATCH(CK170,regKlub_naziv,0)))</f>
        <v/>
      </c>
      <c r="CO170" s="47" t="s">
        <v>0</v>
      </c>
      <c r="CP170" s="19" t="str">
        <f>IF(OR(CL170="",CL170&lt;&gt;"NEMA"),"","INSERT INTO klub_alias(id,alias,klub_id) VALUES ("&amp;CM170&amp;",'"&amp;CK170&amp;"',"&amp;CN170&amp;");")</f>
        <v/>
      </c>
      <c r="CQ170" s="47" t="s">
        <v>0</v>
      </c>
      <c r="CR170" s="143" t="str">
        <f>IF(BR170="","",IF(BV170="",IF(IFERROR(MATCH(BR170,nat_noviKluboviAliasi,0),0)&gt;0,INDEX(nat_kluboviAliasi,MATCH(BR170,nat_noviKluboviAliasi,0)),BR170),BV170))</f>
        <v/>
      </c>
      <c r="CS170" s="47" t="s">
        <v>0</v>
      </c>
      <c r="CT170" s="58" t="str">
        <f>IF(G170="","",G170)</f>
        <v>78:18</v>
      </c>
      <c r="CU170" s="73" t="str">
        <f>IF(H170="","",H170)</f>
        <v>0</v>
      </c>
      <c r="CV170" s="229" t="str">
        <f>IF(CT170="",IF(OR(AL170="",CU170&lt;&gt;"0"),"","GREŠKA"),IF(AND(65535&gt;=VALUE(LEFT(CT170,SEARCH(":",CT170)-1))*60+VALUE(RIGHT(CT170,2)),OR(CU170="0",CU170="1",CU170="2",CU170="3",CU170="4")),"","GREŠKA"))</f>
        <v/>
      </c>
      <c r="CW170" s="230">
        <f t="shared" si="127"/>
        <v>4698</v>
      </c>
      <c r="CX170" s="163">
        <f t="shared" si="143"/>
        <v>1</v>
      </c>
      <c r="CY170" s="47" t="s">
        <v>0</v>
      </c>
      <c r="CZ170" s="222" t="str">
        <f>IF(CV170&lt;&gt;"GREŠKA","",AK170&amp;" "&amp;AL170&amp;" – Molim u OEventu provjeriti i ispraviti rezultat – vrijeme ("&amp;IF(CT170="","nije upisano",CT170)&amp;") i classifier ("&amp;CU170&amp;").")&amp;IF(OR(CV170&lt;&gt;"GREŠKA",CX170&lt;&gt;5),"
","")&amp;IF(CX170&lt;&gt;5,"",AK170&amp;" "&amp;AL170&amp;" – Molim u provjeriti je li natjecatelj zaista diskvalificiran. Ako je koje je obrazloženje, ako nije molim u OEventu ispraviti rezultat")</f>
        <v xml:space="preserve">
</v>
      </c>
      <c r="DA170" s="223">
        <f t="shared" si="174"/>
        <v>6</v>
      </c>
      <c r="DB170" s="47" t="s">
        <v>0</v>
      </c>
      <c r="DC170" s="47"/>
      <c r="DD170" s="47"/>
      <c r="DE170" s="47"/>
      <c r="DF170" s="47" t="s">
        <v>0</v>
      </c>
      <c r="DG170" s="53" t="str">
        <f>IF(BD170="","",IF(DI170="O",1,""))</f>
        <v/>
      </c>
      <c r="DH170" t="s">
        <v>0</v>
      </c>
      <c r="DI170" s="128" t="str">
        <f>IF(Q170="","",LEFT(INDEX(regKategorija_oznaka,MATCH(S170,regKategorija_id,0)),1))</f>
        <v>M</v>
      </c>
      <c r="DJ170" t="s">
        <v>0</v>
      </c>
      <c r="DK170" s="52" t="str">
        <f>IF(BD170="","",IF(M170&lt;&gt;"CRO","","INSERT INTO osoba (id,reg_broj,oib,spol_id,dat_rodjenja) VALUES ("&amp;BD170&amp;",(SELECT max(os.reg_broj)+1 FROM osoba AS os),Null,'"&amp;DI170&amp;"',Null); INSERT INTO osoba_log (id,reg_broj,oib,spol_id,dat_rodjenja,dnevnik_id) SELECT id,reg_broj,oib,spol_id,dat_rodjenja,"&amp;data_dnevnik_id&amp;" FROM osoba WHERE id = "&amp;BD170&amp;";"))</f>
        <v/>
      </c>
      <c r="DL170" s="66" t="str">
        <f>IF(BD170="","","INSERT INTO imeprezime (id,osoba_id,rbr,ime,prezime,klub_id,identitet_id,sintaksa_id,info,aktivno,dnevnik_id) VALUES ("&amp;BD170&amp;","&amp;IF(DK170="","Null",BD170)&amp;",1,'"&amp;IF(AV170&lt;&gt;"",AV170,AK170)&amp;"','"&amp;IF(AW170&lt;&gt;"",AW170,AL170)&amp;"',(SELECT id FROM klub WHERE naziv = '"&amp;CR170&amp;"'),Null,1,'',1,"&amp;data_dnevnik_id&amp;");")</f>
        <v/>
      </c>
      <c r="DM170" t="s">
        <v>0</v>
      </c>
      <c r="DN170" s="19" t="str">
        <f t="shared" si="182"/>
        <v/>
      </c>
      <c r="DO170" s="47" t="s">
        <v>0</v>
      </c>
      <c r="DP170" s="19" t="str">
        <f>IF(BA170="","","INSERT INTO imeprezime_alias(id,alias,imeprezime_id) VALUES ("&amp;BB170&amp;",'"&amp;BA170&amp;"',"&amp;IF(BC170="NEMA",BD170,BC170)&amp;");")</f>
        <v/>
      </c>
      <c r="DQ170" s="47" t="s">
        <v>0</v>
      </c>
      <c r="DR170" s="52" t="str">
        <f>IF(AL170="","",DU170 &amp; IF(Q170="",""," – " &amp; Q170))</f>
        <v>Ivo – Lukačić – M55</v>
      </c>
      <c r="DS170" s="53" t="str">
        <f t="shared" si="144"/>
        <v>NEMA</v>
      </c>
      <c r="DT170" s="47" t="s">
        <v>0</v>
      </c>
      <c r="DU170" s="52" t="str">
        <f>IF(AL170="","",DX170 &amp; IF(CR170="",""," – " &amp; CR170))</f>
        <v>Ivo – Lukačić</v>
      </c>
      <c r="DV170" s="53">
        <f t="shared" si="145"/>
        <v>2</v>
      </c>
      <c r="DW170" s="47" t="s">
        <v>0</v>
      </c>
      <c r="DX170" s="52" t="str">
        <f>IF(BG170="","",BF170&amp;" – "&amp;BG170)</f>
        <v>Ivo – Lukačić</v>
      </c>
      <c r="DY170" s="53">
        <f t="shared" si="146"/>
        <v>2</v>
      </c>
      <c r="DZ170" s="47" t="s">
        <v>0</v>
      </c>
      <c r="EA170" s="58">
        <f t="shared" si="175"/>
        <v>2</v>
      </c>
      <c r="EB170" s="53" cm="1">
        <f t="array" ref="EB170">IF(EA170&lt;&gt;"",INDEX(regNatjecatelj_id,EA170,0),IF(BD170&lt;&gt;"",BD170,""))</f>
        <v>1952</v>
      </c>
      <c r="EC170" s="47" t="s">
        <v>0</v>
      </c>
      <c r="ED170" s="58" t="str">
        <f>IF(AL170="","",IF(BD170&lt;&gt;"","novo",IF(AN170="","imepre","imepre(ali)")))</f>
        <v>imepre</v>
      </c>
      <c r="EE170" s="73" t="str">
        <f>IF(AL170="","",IF(BL170="",IF(IFERROR(INDEX(regNatjecatelj_klub,MATCH(EB170,regNatjecatelj_id,0)),"NEMA")="","klu",""),IF(OR(AND(BN170&lt;&gt;"",BN170&lt;&gt;"NEMA"),CD170&lt;&gt;""),"klu(ali)",IF(AND(BP170&lt;&gt;"",BP170&lt;&gt;BO170),"(raz-klu)","klu"))))</f>
        <v>klu</v>
      </c>
      <c r="EF170" s="73" t="str">
        <f>IF(AL170="","","kat"&amp;IF(AND(W170&lt;&gt;Q170,Q170&lt;&gt;"Open"),"(ali)",""))</f>
        <v>kat</v>
      </c>
      <c r="EG170" s="73" t="str">
        <f t="shared" si="147"/>
        <v/>
      </c>
      <c r="EH170" s="66" t="str">
        <f>IF(AL170="","",ED170&amp;IF(ED170="novo","","-"&amp;EE170&amp;"-"&amp;EF170)&amp;IF(EG170="","","-"&amp;EG170))</f>
        <v>imepre-klu-kat</v>
      </c>
      <c r="EI170" s="47" t="s">
        <v>0</v>
      </c>
      <c r="EJ170" s="58">
        <f>IF(AL170="","",MAX(EJ$12:EJ169)+1)</f>
        <v>335</v>
      </c>
      <c r="EK170" s="73">
        <f>IF(AO170="","",X170)</f>
        <v>31</v>
      </c>
      <c r="EL170" s="73">
        <f t="shared" si="176"/>
        <v>1952</v>
      </c>
      <c r="EM170" s="73">
        <f t="shared" si="148"/>
        <v>4698</v>
      </c>
      <c r="EN170" s="73">
        <f t="shared" si="149"/>
        <v>1</v>
      </c>
      <c r="EO170" s="73">
        <f t="shared" si="177"/>
        <v>0</v>
      </c>
      <c r="EP170" s="73">
        <f t="shared" si="178"/>
        <v>1</v>
      </c>
      <c r="EQ170" s="73" t="str">
        <f t="shared" si="150"/>
        <v>0</v>
      </c>
      <c r="ER170" s="73" t="str">
        <f>IF(OR(AN170="",AN170="NEMA"),BB170,AN170)</f>
        <v/>
      </c>
      <c r="ES170" s="73" t="str">
        <f>IF(AND(BN170&lt;&gt;"",BN170&lt;&gt;"NEMA"),BN170,IF(CG170&lt;&gt;"",CG170,IF(AND(CL170&lt;&gt;"",CL170&lt;&gt;"NEMA"),CL170,IF(CM170&lt;&gt;"",CM170,""))))</f>
        <v/>
      </c>
      <c r="ET170" s="53" t="str">
        <f>IF(INDEX(natKategorija_alias_Id,MATCH(S170,natKategorija_katRegId,0))="","",INDEX(natKategorija_alias_Id,MATCH(S170,natKategorija_katRegId,0)))</f>
        <v/>
      </c>
      <c r="EU170" s="47" t="s">
        <v>0</v>
      </c>
      <c r="EV170" s="19" t="str">
        <f t="shared" si="179"/>
        <v>INSERT INTO rezultat(id,stazakategorija_id,imeprezime_id,vrijeme_sec,status_id,registracija,uparivanje_id,originalstatus_id,imeprezimealias_id,klubalias_id,kategorijaalias_id) VALUES (335,31,1952,4698,1,0,1,0,Null,Null,Null);</v>
      </c>
      <c r="EW170" s="47" t="s">
        <v>0</v>
      </c>
      <c r="EX170" s="19" t="str">
        <f t="shared" si="180"/>
        <v/>
      </c>
      <c r="EY170" s="47" t="s">
        <v>0</v>
      </c>
      <c r="EZ170" s="180" t="str">
        <f>AG170&amp;IF(CP170="","","
")&amp;CP170&amp;IF(CI170="","","
")&amp;CI170&amp;IF(DN170="","","
")&amp;DN170&amp;IF(DP170="","","
")&amp;DP170&amp;IF(EV170="","","
")&amp;EV170&amp;IF(EX170="","","
")&amp;EX170</f>
        <v xml:space="preserve">
INSERT INTO rezultat(id,stazakategorija_id,imeprezime_id,vrijeme_sec,status_id,registracija,uparivanje_id,originalstatus_id,imeprezimealias_id,klubalias_id,kategorijaalias_id) VALUES (335,31,1952,4698,1,0,1,0,Null,Null,Null);</v>
      </c>
      <c r="FA170" s="47" t="s">
        <v>0</v>
      </c>
    </row>
    <row r="171" spans="1:157" x14ac:dyDescent="0.25">
      <c r="A171" t="s">
        <v>0</v>
      </c>
      <c r="B171" s="52" t="str">
        <f>IF(csv!F161="","",csv!T161)</f>
        <v>M55</v>
      </c>
      <c r="C171" s="31" t="s">
        <v>0</v>
      </c>
      <c r="D171" s="31" t="str">
        <f>IF(csv!F161="","",csv!F161)</f>
        <v>Damir</v>
      </c>
      <c r="E171" s="31" t="str">
        <f>IF(csv!E161="","",csv!E161)</f>
        <v>Ćurić</v>
      </c>
      <c r="F171" s="31" t="s">
        <v>0</v>
      </c>
      <c r="G171" s="73" t="str">
        <f>IF(csv!M161="","",csv!M161)</f>
        <v>89:48</v>
      </c>
      <c r="H171" s="73" t="str">
        <f>IF(csv!N161="","",csv!N161)</f>
        <v>0</v>
      </c>
      <c r="I171" s="31" t="s">
        <v>0</v>
      </c>
      <c r="J171" s="31" t="str">
        <f>IF(csv!P161="","",csv!P161)</f>
        <v>KAP</v>
      </c>
      <c r="K171" s="31" t="str">
        <f>IF(csv!Q161="","",csv!Q161)</f>
        <v>OK Kapela</v>
      </c>
      <c r="L171" s="31" t="s">
        <v>0</v>
      </c>
      <c r="M171" s="66" t="str">
        <f>IF(csv!R161="","",csv!R161)</f>
        <v>CRO</v>
      </c>
      <c r="N171" s="47" t="s">
        <v>0</v>
      </c>
      <c r="O171" s="243" t="str">
        <f t="shared" si="151"/>
        <v>ok</v>
      </c>
      <c r="P171" s="47"/>
      <c r="Q171" s="52" t="str">
        <f t="shared" si="152"/>
        <v>M55</v>
      </c>
      <c r="R171" s="73">
        <f>IF(Q171="","",IF(COUNTIF(Q$12:Q170,Q171)=0,R170+1,R170))</f>
        <v>9</v>
      </c>
      <c r="S171" s="73">
        <f t="shared" si="153"/>
        <v>105</v>
      </c>
      <c r="T171" s="73">
        <f t="shared" si="128"/>
        <v>16</v>
      </c>
      <c r="U171" s="66" t="str">
        <f t="shared" si="129"/>
        <v>M55</v>
      </c>
      <c r="V171" s="47" t="s">
        <v>0</v>
      </c>
      <c r="W171" s="222" t="str">
        <f t="shared" si="130"/>
        <v>M55</v>
      </c>
      <c r="X171" s="223">
        <f t="shared" si="131"/>
        <v>31</v>
      </c>
      <c r="Y171" s="47" t="s">
        <v>0</v>
      </c>
      <c r="Z171" s="52" t="str">
        <f t="shared" si="154"/>
        <v>CRO</v>
      </c>
      <c r="AA171" s="73">
        <f t="shared" si="132"/>
        <v>1</v>
      </c>
      <c r="AB171" s="31" t="str">
        <f t="shared" si="155"/>
        <v/>
      </c>
      <c r="AC171" s="66" t="str">
        <f>IF(AB171="","",MAX(AC$12:AC170)+1)</f>
        <v/>
      </c>
      <c r="AD171" s="47" t="s">
        <v>0</v>
      </c>
      <c r="AE171" s="125"/>
      <c r="AF171" s="47" t="s">
        <v>0</v>
      </c>
      <c r="AG171" s="19" t="str">
        <f t="shared" si="156"/>
        <v/>
      </c>
      <c r="AH171" s="47" t="s">
        <v>0</v>
      </c>
      <c r="AI171" s="143" t="str">
        <f t="shared" si="157"/>
        <v>CRO</v>
      </c>
      <c r="AJ171" s="47"/>
      <c r="AK171" s="52" t="str">
        <f t="shared" si="158"/>
        <v>Damir</v>
      </c>
      <c r="AL171" s="31" t="str">
        <f t="shared" si="159"/>
        <v>Ćurić</v>
      </c>
      <c r="AM171" s="73">
        <f t="shared" si="160"/>
        <v>1868</v>
      </c>
      <c r="AN171" s="73" t="str">
        <f t="shared" si="161"/>
        <v/>
      </c>
      <c r="AO171" s="31" t="str">
        <f t="shared" si="133"/>
        <v>Damir</v>
      </c>
      <c r="AP171" s="66" t="str">
        <f t="shared" si="134"/>
        <v>Ćurić</v>
      </c>
      <c r="AQ171" s="47" t="s">
        <v>0</v>
      </c>
      <c r="AR171" s="82" t="str">
        <f t="shared" si="162"/>
        <v/>
      </c>
      <c r="AS171" s="47" t="s">
        <v>0</v>
      </c>
      <c r="AT171" s="19" t="str">
        <f t="shared" si="163"/>
        <v/>
      </c>
      <c r="AU171" s="47" t="s">
        <v>0</v>
      </c>
      <c r="AV171" s="103"/>
      <c r="AW171" s="105"/>
      <c r="AX171" s="47" t="s">
        <v>0</v>
      </c>
      <c r="AY171" s="256" t="str">
        <f t="shared" si="181"/>
        <v/>
      </c>
      <c r="AZ171" s="47" t="s">
        <v>0</v>
      </c>
      <c r="BA171" s="52" t="str">
        <f t="shared" si="135"/>
        <v/>
      </c>
      <c r="BB171" s="73" t="str">
        <f>IF(AV171&amp;AW171="","",MAX(BB$12:BB170)+1)</f>
        <v/>
      </c>
      <c r="BC171" s="268" t="str">
        <f t="shared" si="136"/>
        <v/>
      </c>
      <c r="BD171" s="53" t="str">
        <f>IF(AND(AM171="NEMA",AN171="NEMA",OR(AV171&amp;AW171="",BC171="NEMA")),MAX(BD$12:BD170)+1,"")</f>
        <v/>
      </c>
      <c r="BE171" s="47" t="s">
        <v>0</v>
      </c>
      <c r="BF171" s="52" t="str">
        <f t="shared" si="137"/>
        <v>Damir</v>
      </c>
      <c r="BG171" s="31" t="str">
        <f t="shared" si="138"/>
        <v>Ćurić</v>
      </c>
      <c r="BH171" s="73" t="str">
        <f t="shared" si="164"/>
        <v/>
      </c>
      <c r="BI171" s="53">
        <f t="shared" si="165"/>
        <v>1868</v>
      </c>
      <c r="BJ171" s="47" t="s">
        <v>0</v>
      </c>
      <c r="BK171" s="52" t="str">
        <f t="shared" si="139"/>
        <v>KAP</v>
      </c>
      <c r="BL171" s="31" t="str">
        <f t="shared" si="140"/>
        <v>OK Kapela</v>
      </c>
      <c r="BM171" s="73">
        <f t="shared" si="141"/>
        <v>5</v>
      </c>
      <c r="BN171" s="73" t="str">
        <f t="shared" si="142"/>
        <v/>
      </c>
      <c r="BO171" s="31" t="str" cm="1">
        <f t="array" ref="BO171">IF(BN171="",""&amp;BL171,IF(BN171="NEMA",BL171,INDEX(regKlub_naziv,MATCH(INDEX(regKlub_alias_klubId,BN171),regKlub_id,0))))</f>
        <v>OK Kapela</v>
      </c>
      <c r="BP171" s="31" t="str" cm="1">
        <f t="array" ref="BP171">IFERROR(""&amp;INDEX(regNatjecatelj_klub,DY171),"")</f>
        <v>OK Kapela</v>
      </c>
      <c r="BQ171" s="88" t="str">
        <f t="shared" si="166"/>
        <v/>
      </c>
      <c r="BR171" s="66" t="str">
        <f t="shared" si="167"/>
        <v>OK Kapela</v>
      </c>
      <c r="BS171" s="47" t="s">
        <v>0</v>
      </c>
      <c r="BT171" s="82" t="str">
        <f>IF(BN171&lt;&gt;"NEMA","",IF(IFERROR(MATCH(BL171,BL$12:BL170,0),0)&lt;&gt;0,"",BL171))</f>
        <v/>
      </c>
      <c r="BU171" s="47" t="s">
        <v>0</v>
      </c>
      <c r="BV171" s="125"/>
      <c r="BW171" s="47" t="s">
        <v>0</v>
      </c>
      <c r="BX171" s="58" t="str">
        <f t="shared" si="168"/>
        <v/>
      </c>
      <c r="BY171" s="31" t="str">
        <f t="shared" si="169"/>
        <v/>
      </c>
      <c r="BZ171" s="31" t="str">
        <f>IF(BY171="","",MAX(BZ$12:BZ170)+1)</f>
        <v/>
      </c>
      <c r="CA171" s="31" t="str">
        <f>IF(BY171="","",IF(AA171="","",IF(AA171="NEMA",AC171,AA171)))</f>
        <v/>
      </c>
      <c r="CB171" s="31" t="str">
        <f t="shared" si="170"/>
        <v/>
      </c>
      <c r="CC171" s="31" t="str">
        <f>IF(BV171="","",MAX(CC$12:CC170)+1)</f>
        <v/>
      </c>
      <c r="CD171" s="31" t="str">
        <f t="shared" si="171"/>
        <v/>
      </c>
      <c r="CE171" s="66" t="str">
        <f t="shared" si="172"/>
        <v/>
      </c>
      <c r="CF171" s="47" t="s">
        <v>0</v>
      </c>
      <c r="CG171" s="73" t="str">
        <f>IF(BN171="","",IF(BN171&lt;&gt;"NEMA","",IFERROR(INDEX(nat_klubAliasId,MATCH(BL171,nat_noviKluboviAliasi,0)),"")))</f>
        <v/>
      </c>
      <c r="CH171" s="47"/>
      <c r="CI171" s="19" t="str">
        <f t="shared" si="173"/>
        <v/>
      </c>
      <c r="CJ171" s="47" t="s">
        <v>0</v>
      </c>
      <c r="CK171" s="52" t="str">
        <f>IF(X171&lt;&gt;"NEMA","",IF(IFERROR(MATCH(W171,W$12:W170,0),0)&lt;&gt;0,"",W171))</f>
        <v/>
      </c>
      <c r="CL171" s="73" t="str">
        <f>IF(CK171="","",IFERROR(INDEX(regKlub_alias_id,MATCH(CK171,regKlub_alias_alias,0)),"NEMA"))</f>
        <v/>
      </c>
      <c r="CM171" s="31" t="str">
        <f>IF(OR(CL171="",CL171&lt;&gt;"NEMA"),"",MAX(CM$12:CM170)+1)</f>
        <v/>
      </c>
      <c r="CN171" s="66" t="str">
        <f>IF(OR(CL171="",CL171&lt;&gt;"NEMA"),"",INDEX(regKlub_id,MATCH(CK171,regKlub_naziv,0)))</f>
        <v/>
      </c>
      <c r="CO171" s="47" t="s">
        <v>0</v>
      </c>
      <c r="CP171" s="19" t="str">
        <f>IF(OR(CL171="",CL171&lt;&gt;"NEMA"),"","INSERT INTO klub_alias(id,alias,klub_id) VALUES ("&amp;CM171&amp;",'"&amp;CK171&amp;"',"&amp;CN171&amp;");")</f>
        <v/>
      </c>
      <c r="CQ171" s="47" t="s">
        <v>0</v>
      </c>
      <c r="CR171" s="143" t="str">
        <f>IF(BR171="","",IF(BV171="",IF(IFERROR(MATCH(BR171,nat_noviKluboviAliasi,0),0)&gt;0,INDEX(nat_kluboviAliasi,MATCH(BR171,nat_noviKluboviAliasi,0)),BR171),BV171))</f>
        <v>OK Kapela</v>
      </c>
      <c r="CS171" s="47" t="s">
        <v>0</v>
      </c>
      <c r="CT171" s="58" t="str">
        <f>IF(G171="","",G171)</f>
        <v>89:48</v>
      </c>
      <c r="CU171" s="73" t="str">
        <f>IF(H171="","",H171)</f>
        <v>0</v>
      </c>
      <c r="CV171" s="229" t="str">
        <f>IF(CT171="",IF(OR(AL171="",CU171&lt;&gt;"0"),"","GREŠKA"),IF(AND(65535&gt;=VALUE(LEFT(CT171,SEARCH(":",CT171)-1))*60+VALUE(RIGHT(CT171,2)),OR(CU171="0",CU171="1",CU171="2",CU171="3",CU171="4")),"","GREŠKA"))</f>
        <v/>
      </c>
      <c r="CW171" s="230">
        <f t="shared" si="127"/>
        <v>5388</v>
      </c>
      <c r="CX171" s="163">
        <f t="shared" si="143"/>
        <v>1</v>
      </c>
      <c r="CY171" s="47" t="s">
        <v>0</v>
      </c>
      <c r="CZ171" s="222" t="str">
        <f>IF(CV171&lt;&gt;"GREŠKA","",AK171&amp;" "&amp;AL171&amp;" – Molim u OEventu provjeriti i ispraviti rezultat – vrijeme ("&amp;IF(CT171="","nije upisano",CT171)&amp;") i classifier ("&amp;CU171&amp;").")&amp;IF(OR(CV171&lt;&gt;"GREŠKA",CX171&lt;&gt;5),"
","")&amp;IF(CX171&lt;&gt;5,"",AK171&amp;" "&amp;AL171&amp;" – Molim u provjeriti je li natjecatelj zaista diskvalificiran. Ako je koje je obrazloženje, ako nije molim u OEventu ispraviti rezultat")</f>
        <v xml:space="preserve">
</v>
      </c>
      <c r="DA171" s="223">
        <f t="shared" si="174"/>
        <v>6</v>
      </c>
      <c r="DB171" s="47" t="s">
        <v>0</v>
      </c>
      <c r="DC171" s="47"/>
      <c r="DD171" s="47"/>
      <c r="DE171" s="47"/>
      <c r="DF171" s="47" t="s">
        <v>0</v>
      </c>
      <c r="DG171" s="53" t="str">
        <f>IF(BD171="","",IF(DI171="O",1,""))</f>
        <v/>
      </c>
      <c r="DH171" t="s">
        <v>0</v>
      </c>
      <c r="DI171" s="128" t="str">
        <f>IF(Q171="","",LEFT(INDEX(regKategorija_oznaka,MATCH(S171,regKategorija_id,0)),1))</f>
        <v>M</v>
      </c>
      <c r="DJ171" t="s">
        <v>0</v>
      </c>
      <c r="DK171" s="52" t="str">
        <f>IF(BD171="","",IF(M171&lt;&gt;"CRO","","INSERT INTO osoba (id,reg_broj,oib,spol_id,dat_rodjenja) VALUES ("&amp;BD171&amp;",(SELECT max(os.reg_broj)+1 FROM osoba AS os),Null,'"&amp;DI171&amp;"',Null); INSERT INTO osoba_log (id,reg_broj,oib,spol_id,dat_rodjenja,dnevnik_id) SELECT id,reg_broj,oib,spol_id,dat_rodjenja,"&amp;data_dnevnik_id&amp;" FROM osoba WHERE id = "&amp;BD171&amp;";"))</f>
        <v/>
      </c>
      <c r="DL171" s="66" t="str">
        <f>IF(BD171="","","INSERT INTO imeprezime (id,osoba_id,rbr,ime,prezime,klub_id,identitet_id,sintaksa_id,info,aktivno,dnevnik_id) VALUES ("&amp;BD171&amp;","&amp;IF(DK171="","Null",BD171)&amp;",1,'"&amp;IF(AV171&lt;&gt;"",AV171,AK171)&amp;"','"&amp;IF(AW171&lt;&gt;"",AW171,AL171)&amp;"',(SELECT id FROM klub WHERE naziv = '"&amp;CR171&amp;"'),Null,1,'',1,"&amp;data_dnevnik_id&amp;");")</f>
        <v/>
      </c>
      <c r="DM171" t="s">
        <v>0</v>
      </c>
      <c r="DN171" s="19" t="str">
        <f t="shared" si="182"/>
        <v/>
      </c>
      <c r="DO171" s="47" t="s">
        <v>0</v>
      </c>
      <c r="DP171" s="19" t="str">
        <f>IF(BA171="","","INSERT INTO imeprezime_alias(id,alias,imeprezime_id) VALUES ("&amp;BB171&amp;",'"&amp;BA171&amp;"',"&amp;IF(BC171="NEMA",BD171,BC171)&amp;");")</f>
        <v/>
      </c>
      <c r="DQ171" s="47" t="s">
        <v>0</v>
      </c>
      <c r="DR171" s="52" t="str">
        <f>IF(AL171="","",DU171 &amp; IF(Q171="",""," – " &amp; Q171))</f>
        <v>Damir – Ćurić – OK Kapela – M55</v>
      </c>
      <c r="DS171" s="53">
        <f t="shared" si="144"/>
        <v>223</v>
      </c>
      <c r="DT171" s="47" t="s">
        <v>0</v>
      </c>
      <c r="DU171" s="52" t="str">
        <f>IF(AL171="","",DX171 &amp; IF(CR171="",""," – " &amp; CR171))</f>
        <v>Damir – Ćurić – OK Kapela</v>
      </c>
      <c r="DV171" s="53">
        <f t="shared" si="145"/>
        <v>223</v>
      </c>
      <c r="DW171" s="47" t="s">
        <v>0</v>
      </c>
      <c r="DX171" s="52" t="str">
        <f>IF(BG171="","",BF171&amp;" – "&amp;BG171)</f>
        <v>Damir – Ćurić</v>
      </c>
      <c r="DY171" s="53">
        <f t="shared" si="146"/>
        <v>223</v>
      </c>
      <c r="DZ171" s="47" t="s">
        <v>0</v>
      </c>
      <c r="EA171" s="58">
        <f t="shared" si="175"/>
        <v>223</v>
      </c>
      <c r="EB171" s="53" cm="1">
        <f t="array" ref="EB171">IF(EA171&lt;&gt;"",INDEX(regNatjecatelj_id,EA171,0),IF(BD171&lt;&gt;"",BD171,""))</f>
        <v>1868</v>
      </c>
      <c r="EC171" s="47" t="s">
        <v>0</v>
      </c>
      <c r="ED171" s="58" t="str">
        <f>IF(AL171="","",IF(BD171&lt;&gt;"","novo",IF(AN171="","imepre","imepre(ali)")))</f>
        <v>imepre</v>
      </c>
      <c r="EE171" s="73" t="str">
        <f>IF(AL171="","",IF(BL171="",IF(IFERROR(INDEX(regNatjecatelj_klub,MATCH(EB171,regNatjecatelj_id,0)),"NEMA")="","klu",""),IF(OR(AND(BN171&lt;&gt;"",BN171&lt;&gt;"NEMA"),CD171&lt;&gt;""),"klu(ali)",IF(AND(BP171&lt;&gt;"",BP171&lt;&gt;BO171),"(raz-klu)","klu"))))</f>
        <v>klu</v>
      </c>
      <c r="EF171" s="73" t="str">
        <f>IF(AL171="","","kat"&amp;IF(AND(W171&lt;&gt;Q171,Q171&lt;&gt;"Open"),"(ali)",""))</f>
        <v>kat</v>
      </c>
      <c r="EG171" s="73" t="str">
        <f t="shared" si="147"/>
        <v/>
      </c>
      <c r="EH171" s="66" t="str">
        <f>IF(AL171="","",ED171&amp;IF(ED171="novo","","-"&amp;EE171&amp;"-"&amp;EF171)&amp;IF(EG171="","","-"&amp;EG171))</f>
        <v>imepre-klu-kat</v>
      </c>
      <c r="EI171" s="47" t="s">
        <v>0</v>
      </c>
      <c r="EJ171" s="58">
        <f>IF(AL171="","",MAX(EJ$12:EJ170)+1)</f>
        <v>336</v>
      </c>
      <c r="EK171" s="73">
        <f>IF(AO171="","",X171)</f>
        <v>31</v>
      </c>
      <c r="EL171" s="73">
        <f t="shared" si="176"/>
        <v>1868</v>
      </c>
      <c r="EM171" s="73">
        <f t="shared" si="148"/>
        <v>5388</v>
      </c>
      <c r="EN171" s="73">
        <f t="shared" si="149"/>
        <v>1</v>
      </c>
      <c r="EO171" s="73">
        <f t="shared" si="177"/>
        <v>1</v>
      </c>
      <c r="EP171" s="73">
        <f t="shared" si="178"/>
        <v>1</v>
      </c>
      <c r="EQ171" s="73" t="str">
        <f t="shared" si="150"/>
        <v>0</v>
      </c>
      <c r="ER171" s="73" t="str">
        <f>IF(OR(AN171="",AN171="NEMA"),BB171,AN171)</f>
        <v/>
      </c>
      <c r="ES171" s="73" t="str">
        <f>IF(AND(BN171&lt;&gt;"",BN171&lt;&gt;"NEMA"),BN171,IF(CG171&lt;&gt;"",CG171,IF(AND(CL171&lt;&gt;"",CL171&lt;&gt;"NEMA"),CL171,IF(CM171&lt;&gt;"",CM171,""))))</f>
        <v/>
      </c>
      <c r="ET171" s="53" t="str">
        <f>IF(INDEX(natKategorija_alias_Id,MATCH(S171,natKategorija_katRegId,0))="","",INDEX(natKategorija_alias_Id,MATCH(S171,natKategorija_katRegId,0)))</f>
        <v/>
      </c>
      <c r="EU171" s="47" t="s">
        <v>0</v>
      </c>
      <c r="EV171" s="19" t="str">
        <f t="shared" si="179"/>
        <v>INSERT INTO rezultat(id,stazakategorija_id,imeprezime_id,vrijeme_sec,status_id,registracija,uparivanje_id,originalstatus_id,imeprezimealias_id,klubalias_id,kategorijaalias_id) VALUES (336,31,1868,5388,1,1,1,0,Null,Null,Null);</v>
      </c>
      <c r="EW171" s="47" t="s">
        <v>0</v>
      </c>
      <c r="EX171" s="19" t="str">
        <f t="shared" si="180"/>
        <v>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71" s="47" t="s">
        <v>0</v>
      </c>
      <c r="EZ171" s="180" t="str">
        <f>AG171&amp;IF(CP171="","","
")&amp;CP171&amp;IF(CI171="","","
")&amp;CI171&amp;IF(DN171="","","
")&amp;DN171&amp;IF(DP171="","","
")&amp;DP171&amp;IF(EV171="","","
")&amp;EV171&amp;IF(EX171="","","
")&amp;EX171</f>
        <v xml:space="preserve">
INSERT INTO rezultat(id,stazakategorija_id,imeprezime_id,vrijeme_sec,status_id,registracija,uparivanje_id,originalstatus_id,imeprezimealias_id,klubalias_id,kategorijaalias_id) VALUES (336,31,1868,5388,1,1,1,0,Null,Null,Null);
UPDATE
	registar
SET
	potvrda = 1
WHERE
	imeprezime_id=1868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71" s="47" t="s">
        <v>0</v>
      </c>
    </row>
    <row r="172" spans="1:157" x14ac:dyDescent="0.25">
      <c r="A172" t="s">
        <v>0</v>
      </c>
      <c r="B172" s="52" t="str">
        <f>IF(csv!F162="","",csv!T162)</f>
        <v>M55</v>
      </c>
      <c r="C172" s="31" t="s">
        <v>0</v>
      </c>
      <c r="D172" s="31" t="str">
        <f>IF(csv!F162="","",csv!F162)</f>
        <v>Predrag</v>
      </c>
      <c r="E172" s="31" t="str">
        <f>IF(csv!E162="","",csv!E162)</f>
        <v>Labaš</v>
      </c>
      <c r="F172" s="31" t="s">
        <v>0</v>
      </c>
      <c r="G172" s="73" t="str">
        <f>IF(csv!M162="","",csv!M162)</f>
        <v>172:23</v>
      </c>
      <c r="H172" s="73" t="str">
        <f>IF(csv!N162="","",csv!N162)</f>
        <v>0</v>
      </c>
      <c r="I172" s="31" t="s">
        <v>0</v>
      </c>
      <c r="J172" s="31" t="str">
        <f>IF(csv!P162="","",csv!P162)</f>
        <v>OK Varaždin</v>
      </c>
      <c r="K172" s="31" t="str">
        <f>IF(csv!Q162="","",csv!Q162)</f>
        <v>OK Varaždin</v>
      </c>
      <c r="L172" s="31" t="s">
        <v>0</v>
      </c>
      <c r="M172" s="66" t="str">
        <f>IF(csv!R162="","",csv!R162)</f>
        <v>CRO</v>
      </c>
      <c r="N172" s="47" t="s">
        <v>0</v>
      </c>
      <c r="O172" s="243" t="str">
        <f t="shared" si="151"/>
        <v>ok</v>
      </c>
      <c r="P172" s="47"/>
      <c r="Q172" s="52" t="str">
        <f t="shared" si="152"/>
        <v>M55</v>
      </c>
      <c r="R172" s="73">
        <f>IF(Q172="","",IF(COUNTIF(Q$12:Q171,Q172)=0,R171+1,R171))</f>
        <v>9</v>
      </c>
      <c r="S172" s="73">
        <f t="shared" si="153"/>
        <v>105</v>
      </c>
      <c r="T172" s="73">
        <f t="shared" si="128"/>
        <v>16</v>
      </c>
      <c r="U172" s="66" t="str">
        <f t="shared" si="129"/>
        <v>M55</v>
      </c>
      <c r="V172" s="47" t="s">
        <v>0</v>
      </c>
      <c r="W172" s="222" t="str">
        <f t="shared" si="130"/>
        <v>M55</v>
      </c>
      <c r="X172" s="223">
        <f t="shared" si="131"/>
        <v>31</v>
      </c>
      <c r="Y172" s="47" t="s">
        <v>0</v>
      </c>
      <c r="Z172" s="52" t="str">
        <f t="shared" si="154"/>
        <v>CRO</v>
      </c>
      <c r="AA172" s="73">
        <f t="shared" si="132"/>
        <v>1</v>
      </c>
      <c r="AB172" s="31" t="str">
        <f t="shared" si="155"/>
        <v/>
      </c>
      <c r="AC172" s="66" t="str">
        <f>IF(AB172="","",MAX(AC$12:AC171)+1)</f>
        <v/>
      </c>
      <c r="AD172" s="47" t="s">
        <v>0</v>
      </c>
      <c r="AE172" s="125"/>
      <c r="AF172" s="47" t="s">
        <v>0</v>
      </c>
      <c r="AG172" s="19" t="str">
        <f t="shared" si="156"/>
        <v/>
      </c>
      <c r="AH172" s="47" t="s">
        <v>0</v>
      </c>
      <c r="AI172" s="143" t="str">
        <f t="shared" si="157"/>
        <v>CRO</v>
      </c>
      <c r="AJ172" s="47"/>
      <c r="AK172" s="52" t="str">
        <f t="shared" si="158"/>
        <v>Predrag</v>
      </c>
      <c r="AL172" s="31" t="str">
        <f t="shared" si="159"/>
        <v>Labaš</v>
      </c>
      <c r="AM172" s="73">
        <f t="shared" si="160"/>
        <v>1274</v>
      </c>
      <c r="AN172" s="73" t="str">
        <f t="shared" si="161"/>
        <v/>
      </c>
      <c r="AO172" s="31" t="str">
        <f t="shared" si="133"/>
        <v>Predrag</v>
      </c>
      <c r="AP172" s="66" t="str">
        <f t="shared" si="134"/>
        <v>Labaš</v>
      </c>
      <c r="AQ172" s="47" t="s">
        <v>0</v>
      </c>
      <c r="AR172" s="82" t="str">
        <f t="shared" si="162"/>
        <v/>
      </c>
      <c r="AS172" s="47" t="s">
        <v>0</v>
      </c>
      <c r="AT172" s="19" t="str">
        <f t="shared" si="163"/>
        <v/>
      </c>
      <c r="AU172" s="47" t="s">
        <v>0</v>
      </c>
      <c r="AV172" s="103"/>
      <c r="AW172" s="105"/>
      <c r="AX172" s="47" t="s">
        <v>0</v>
      </c>
      <c r="AY172" s="256" t="str">
        <f t="shared" si="181"/>
        <v/>
      </c>
      <c r="AZ172" s="47" t="s">
        <v>0</v>
      </c>
      <c r="BA172" s="52" t="str">
        <f t="shared" si="135"/>
        <v/>
      </c>
      <c r="BB172" s="73" t="str">
        <f>IF(AV172&amp;AW172="","",MAX(BB$12:BB171)+1)</f>
        <v/>
      </c>
      <c r="BC172" s="268" t="str">
        <f t="shared" si="136"/>
        <v/>
      </c>
      <c r="BD172" s="53" t="str">
        <f>IF(AND(AM172="NEMA",AN172="NEMA",OR(AV172&amp;AW172="",BC172="NEMA")),MAX(BD$12:BD171)+1,"")</f>
        <v/>
      </c>
      <c r="BE172" s="47" t="s">
        <v>0</v>
      </c>
      <c r="BF172" s="52" t="str">
        <f t="shared" si="137"/>
        <v>Predrag</v>
      </c>
      <c r="BG172" s="31" t="str">
        <f t="shared" si="138"/>
        <v>Labaš</v>
      </c>
      <c r="BH172" s="73" t="str">
        <f t="shared" si="164"/>
        <v/>
      </c>
      <c r="BI172" s="53">
        <f t="shared" si="165"/>
        <v>1274</v>
      </c>
      <c r="BJ172" s="47" t="s">
        <v>0</v>
      </c>
      <c r="BK172" s="52" t="str">
        <f t="shared" si="139"/>
        <v>OK Varaždin</v>
      </c>
      <c r="BL172" s="31" t="str">
        <f t="shared" si="140"/>
        <v>OK Varaždin</v>
      </c>
      <c r="BM172" s="73">
        <f t="shared" si="141"/>
        <v>11</v>
      </c>
      <c r="BN172" s="73" t="str">
        <f t="shared" si="142"/>
        <v/>
      </c>
      <c r="BO172" s="31" t="str" cm="1">
        <f t="array" ref="BO172">IF(BN172="",""&amp;BL172,IF(BN172="NEMA",BL172,INDEX(regKlub_naziv,MATCH(INDEX(regKlub_alias_klubId,BN172),regKlub_id,0))))</f>
        <v>OK Varaždin</v>
      </c>
      <c r="BP172" s="31" t="str" cm="1">
        <f t="array" ref="BP172">IFERROR(""&amp;INDEX(regNatjecatelj_klub,DY172),"")</f>
        <v>OK Varaždin</v>
      </c>
      <c r="BQ172" s="88" t="str">
        <f t="shared" si="166"/>
        <v/>
      </c>
      <c r="BR172" s="66" t="str">
        <f t="shared" si="167"/>
        <v>OK Varaždin</v>
      </c>
      <c r="BS172" s="47" t="s">
        <v>0</v>
      </c>
      <c r="BT172" s="82" t="str">
        <f>IF(BN172&lt;&gt;"NEMA","",IF(IFERROR(MATCH(BL172,BL$12:BL171,0),0)&lt;&gt;0,"",BL172))</f>
        <v/>
      </c>
      <c r="BU172" s="47" t="s">
        <v>0</v>
      </c>
      <c r="BV172" s="125"/>
      <c r="BW172" s="47" t="s">
        <v>0</v>
      </c>
      <c r="BX172" s="58" t="str">
        <f t="shared" si="168"/>
        <v/>
      </c>
      <c r="BY172" s="31" t="str">
        <f t="shared" si="169"/>
        <v/>
      </c>
      <c r="BZ172" s="31" t="str">
        <f>IF(BY172="","",MAX(BZ$12:BZ171)+1)</f>
        <v/>
      </c>
      <c r="CA172" s="31" t="str">
        <f>IF(BY172="","",IF(AA172="","",IF(AA172="NEMA",AC172,AA172)))</f>
        <v/>
      </c>
      <c r="CB172" s="31" t="str">
        <f t="shared" si="170"/>
        <v/>
      </c>
      <c r="CC172" s="31" t="str">
        <f>IF(BV172="","",MAX(CC$12:CC171)+1)</f>
        <v/>
      </c>
      <c r="CD172" s="31" t="str">
        <f t="shared" si="171"/>
        <v/>
      </c>
      <c r="CE172" s="66" t="str">
        <f t="shared" si="172"/>
        <v/>
      </c>
      <c r="CF172" s="47" t="s">
        <v>0</v>
      </c>
      <c r="CG172" s="73" t="str">
        <f>IF(BN172="","",IF(BN172&lt;&gt;"NEMA","",IFERROR(INDEX(nat_klubAliasId,MATCH(BL172,nat_noviKluboviAliasi,0)),"")))</f>
        <v/>
      </c>
      <c r="CH172" s="47"/>
      <c r="CI172" s="19" t="str">
        <f t="shared" si="173"/>
        <v/>
      </c>
      <c r="CJ172" s="47" t="s">
        <v>0</v>
      </c>
      <c r="CK172" s="52" t="str">
        <f>IF(X172&lt;&gt;"NEMA","",IF(IFERROR(MATCH(W172,W$12:W171,0),0)&lt;&gt;0,"",W172))</f>
        <v/>
      </c>
      <c r="CL172" s="73" t="str">
        <f>IF(CK172="","",IFERROR(INDEX(regKlub_alias_id,MATCH(CK172,regKlub_alias_alias,0)),"NEMA"))</f>
        <v/>
      </c>
      <c r="CM172" s="31" t="str">
        <f>IF(OR(CL172="",CL172&lt;&gt;"NEMA"),"",MAX(CM$12:CM171)+1)</f>
        <v/>
      </c>
      <c r="CN172" s="66" t="str">
        <f>IF(OR(CL172="",CL172&lt;&gt;"NEMA"),"",INDEX(regKlub_id,MATCH(CK172,regKlub_naziv,0)))</f>
        <v/>
      </c>
      <c r="CO172" s="47" t="s">
        <v>0</v>
      </c>
      <c r="CP172" s="19" t="str">
        <f>IF(OR(CL172="",CL172&lt;&gt;"NEMA"),"","INSERT INTO klub_alias(id,alias,klub_id) VALUES ("&amp;CM172&amp;",'"&amp;CK172&amp;"',"&amp;CN172&amp;");")</f>
        <v/>
      </c>
      <c r="CQ172" s="47" t="s">
        <v>0</v>
      </c>
      <c r="CR172" s="143" t="str">
        <f>IF(BR172="","",IF(BV172="",IF(IFERROR(MATCH(BR172,nat_noviKluboviAliasi,0),0)&gt;0,INDEX(nat_kluboviAliasi,MATCH(BR172,nat_noviKluboviAliasi,0)),BR172),BV172))</f>
        <v>OK Varaždin</v>
      </c>
      <c r="CS172" s="47" t="s">
        <v>0</v>
      </c>
      <c r="CT172" s="58" t="str">
        <f>IF(G172="","",G172)</f>
        <v>172:23</v>
      </c>
      <c r="CU172" s="73" t="str">
        <f>IF(H172="","",H172)</f>
        <v>0</v>
      </c>
      <c r="CV172" s="229" t="str">
        <f>IF(CT172="",IF(OR(AL172="",CU172&lt;&gt;"0"),"","GREŠKA"),IF(AND(65535&gt;=VALUE(LEFT(CT172,SEARCH(":",CT172)-1))*60+VALUE(RIGHT(CT172,2)),OR(CU172="0",CU172="1",CU172="2",CU172="3",CU172="4")),"","GREŠKA"))</f>
        <v/>
      </c>
      <c r="CW172" s="230">
        <f t="shared" si="127"/>
        <v>10343</v>
      </c>
      <c r="CX172" s="163">
        <f t="shared" si="143"/>
        <v>1</v>
      </c>
      <c r="CY172" s="47" t="s">
        <v>0</v>
      </c>
      <c r="CZ172" s="222" t="str">
        <f>IF(CV172&lt;&gt;"GREŠKA","",AK172&amp;" "&amp;AL172&amp;" – Molim u OEventu provjeriti i ispraviti rezultat – vrijeme ("&amp;IF(CT172="","nije upisano",CT172)&amp;") i classifier ("&amp;CU172&amp;").")&amp;IF(OR(CV172&lt;&gt;"GREŠKA",CX172&lt;&gt;5),"
","")&amp;IF(CX172&lt;&gt;5,"",AK172&amp;" "&amp;AL172&amp;" – Molim u provjeriti je li natjecatelj zaista diskvalificiran. Ako je koje je obrazloženje, ako nije molim u OEventu ispraviti rezultat")</f>
        <v xml:space="preserve">
</v>
      </c>
      <c r="DA172" s="223">
        <f t="shared" si="174"/>
        <v>6</v>
      </c>
      <c r="DB172" s="47" t="s">
        <v>0</v>
      </c>
      <c r="DC172" s="47"/>
      <c r="DD172" s="47"/>
      <c r="DE172" s="47"/>
      <c r="DF172" s="47" t="s">
        <v>0</v>
      </c>
      <c r="DG172" s="53" t="str">
        <f>IF(BD172="","",IF(DI172="O",1,""))</f>
        <v/>
      </c>
      <c r="DH172" t="s">
        <v>0</v>
      </c>
      <c r="DI172" s="128" t="str">
        <f>IF(Q172="","",LEFT(INDEX(regKategorija_oznaka,MATCH(S172,regKategorija_id,0)),1))</f>
        <v>M</v>
      </c>
      <c r="DJ172" t="s">
        <v>0</v>
      </c>
      <c r="DK172" s="52" t="str">
        <f>IF(BD172="","",IF(M172&lt;&gt;"CRO","","INSERT INTO osoba (id,reg_broj,oib,spol_id,dat_rodjenja) VALUES ("&amp;BD172&amp;",(SELECT max(os.reg_broj)+1 FROM osoba AS os),Null,'"&amp;DI172&amp;"',Null); INSERT INTO osoba_log (id,reg_broj,oib,spol_id,dat_rodjenja,dnevnik_id) SELECT id,reg_broj,oib,spol_id,dat_rodjenja,"&amp;data_dnevnik_id&amp;" FROM osoba WHERE id = "&amp;BD172&amp;";"))</f>
        <v/>
      </c>
      <c r="DL172" s="66" t="str">
        <f>IF(BD172="","","INSERT INTO imeprezime (id,osoba_id,rbr,ime,prezime,klub_id,identitet_id,sintaksa_id,info,aktivno,dnevnik_id) VALUES ("&amp;BD172&amp;","&amp;IF(DK172="","Null",BD172)&amp;",1,'"&amp;IF(AV172&lt;&gt;"",AV172,AK172)&amp;"','"&amp;IF(AW172&lt;&gt;"",AW172,AL172)&amp;"',(SELECT id FROM klub WHERE naziv = '"&amp;CR172&amp;"'),Null,1,'',1,"&amp;data_dnevnik_id&amp;");")</f>
        <v/>
      </c>
      <c r="DM172" t="s">
        <v>0</v>
      </c>
      <c r="DN172" s="19" t="str">
        <f t="shared" si="182"/>
        <v/>
      </c>
      <c r="DO172" s="47" t="s">
        <v>0</v>
      </c>
      <c r="DP172" s="19" t="str">
        <f>IF(BA172="","","INSERT INTO imeprezime_alias(id,alias,imeprezime_id) VALUES ("&amp;BB172&amp;",'"&amp;BA172&amp;"',"&amp;IF(BC172="NEMA",BD172,BC172)&amp;");")</f>
        <v/>
      </c>
      <c r="DQ172" s="47" t="s">
        <v>0</v>
      </c>
      <c r="DR172" s="52" t="str">
        <f>IF(AL172="","",DU172 &amp; IF(Q172="",""," – " &amp; Q172))</f>
        <v>Predrag – Labaš – OK Varaždin – M55</v>
      </c>
      <c r="DS172" s="53">
        <f t="shared" si="144"/>
        <v>550</v>
      </c>
      <c r="DT172" s="47" t="s">
        <v>0</v>
      </c>
      <c r="DU172" s="52" t="str">
        <f>IF(AL172="","",DX172 &amp; IF(CR172="",""," – " &amp; CR172))</f>
        <v>Predrag – Labaš – OK Varaždin</v>
      </c>
      <c r="DV172" s="53">
        <f t="shared" si="145"/>
        <v>550</v>
      </c>
      <c r="DW172" s="47" t="s">
        <v>0</v>
      </c>
      <c r="DX172" s="52" t="str">
        <f>IF(BG172="","",BF172&amp;" – "&amp;BG172)</f>
        <v>Predrag – Labaš</v>
      </c>
      <c r="DY172" s="53">
        <f t="shared" si="146"/>
        <v>550</v>
      </c>
      <c r="DZ172" s="47" t="s">
        <v>0</v>
      </c>
      <c r="EA172" s="58">
        <f t="shared" si="175"/>
        <v>550</v>
      </c>
      <c r="EB172" s="53" cm="1">
        <f t="array" ref="EB172">IF(EA172&lt;&gt;"",INDEX(regNatjecatelj_id,EA172,0),IF(BD172&lt;&gt;"",BD172,""))</f>
        <v>1274</v>
      </c>
      <c r="EC172" s="47" t="s">
        <v>0</v>
      </c>
      <c r="ED172" s="58" t="str">
        <f>IF(AL172="","",IF(BD172&lt;&gt;"","novo",IF(AN172="","imepre","imepre(ali)")))</f>
        <v>imepre</v>
      </c>
      <c r="EE172" s="73" t="str">
        <f>IF(AL172="","",IF(BL172="",IF(IFERROR(INDEX(regNatjecatelj_klub,MATCH(EB172,regNatjecatelj_id,0)),"NEMA")="","klu",""),IF(OR(AND(BN172&lt;&gt;"",BN172&lt;&gt;"NEMA"),CD172&lt;&gt;""),"klu(ali)",IF(AND(BP172&lt;&gt;"",BP172&lt;&gt;BO172),"(raz-klu)","klu"))))</f>
        <v>klu</v>
      </c>
      <c r="EF172" s="73" t="str">
        <f>IF(AL172="","","kat"&amp;IF(AND(W172&lt;&gt;Q172,Q172&lt;&gt;"Open"),"(ali)",""))</f>
        <v>kat</v>
      </c>
      <c r="EG172" s="73" t="str">
        <f t="shared" si="147"/>
        <v/>
      </c>
      <c r="EH172" s="66" t="str">
        <f>IF(AL172="","",ED172&amp;IF(ED172="novo","","-"&amp;EE172&amp;"-"&amp;EF172)&amp;IF(EG172="","","-"&amp;EG172))</f>
        <v>imepre-klu-kat</v>
      </c>
      <c r="EI172" s="47" t="s">
        <v>0</v>
      </c>
      <c r="EJ172" s="58">
        <f>IF(AL172="","",MAX(EJ$12:EJ171)+1)</f>
        <v>337</v>
      </c>
      <c r="EK172" s="73">
        <f>IF(AO172="","",X172)</f>
        <v>31</v>
      </c>
      <c r="EL172" s="73">
        <f t="shared" si="176"/>
        <v>1274</v>
      </c>
      <c r="EM172" s="73">
        <f t="shared" si="148"/>
        <v>10343</v>
      </c>
      <c r="EN172" s="73">
        <f t="shared" si="149"/>
        <v>1</v>
      </c>
      <c r="EO172" s="73">
        <f t="shared" si="177"/>
        <v>1</v>
      </c>
      <c r="EP172" s="73">
        <f t="shared" si="178"/>
        <v>1</v>
      </c>
      <c r="EQ172" s="73" t="str">
        <f t="shared" si="150"/>
        <v>0</v>
      </c>
      <c r="ER172" s="73" t="str">
        <f>IF(OR(AN172="",AN172="NEMA"),BB172,AN172)</f>
        <v/>
      </c>
      <c r="ES172" s="73" t="str">
        <f>IF(AND(BN172&lt;&gt;"",BN172&lt;&gt;"NEMA"),BN172,IF(CG172&lt;&gt;"",CG172,IF(AND(CL172&lt;&gt;"",CL172&lt;&gt;"NEMA"),CL172,IF(CM172&lt;&gt;"",CM172,""))))</f>
        <v/>
      </c>
      <c r="ET172" s="53" t="str">
        <f>IF(INDEX(natKategorija_alias_Id,MATCH(S172,natKategorija_katRegId,0))="","",INDEX(natKategorija_alias_Id,MATCH(S172,natKategorija_katRegId,0)))</f>
        <v/>
      </c>
      <c r="EU172" s="47" t="s">
        <v>0</v>
      </c>
      <c r="EV172" s="19" t="str">
        <f t="shared" si="179"/>
        <v>INSERT INTO rezultat(id,stazakategorija_id,imeprezime_id,vrijeme_sec,status_id,registracija,uparivanje_id,originalstatus_id,imeprezimealias_id,klubalias_id,kategorijaalias_id) VALUES (337,31,1274,10343,1,1,1,0,Null,Null,Null);</v>
      </c>
      <c r="EW172" s="47" t="s">
        <v>0</v>
      </c>
      <c r="EX172" s="19" t="str">
        <f t="shared" si="180"/>
        <v>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72" s="47" t="s">
        <v>0</v>
      </c>
      <c r="EZ172" s="180" t="str">
        <f>AG172&amp;IF(CP172="","","
")&amp;CP172&amp;IF(CI172="","","
")&amp;CI172&amp;IF(DN172="","","
")&amp;DN172&amp;IF(DP172="","","
")&amp;DP172&amp;IF(EV172="","","
")&amp;EV172&amp;IF(EX172="","","
")&amp;EX172</f>
        <v xml:space="preserve">
INSERT INTO rezultat(id,stazakategorija_id,imeprezime_id,vrijeme_sec,status_id,registracija,uparivanje_id,originalstatus_id,imeprezimealias_id,klubalias_id,kategorijaalias_id) VALUES (337,31,1274,10343,1,1,1,0,Null,Null,Null);
UPDATE
	registar
SET
	potvrda = 1
WHERE
	imeprezime_id=1274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72" s="47" t="s">
        <v>0</v>
      </c>
    </row>
    <row r="173" spans="1:157" x14ac:dyDescent="0.25">
      <c r="A173" t="s">
        <v>0</v>
      </c>
      <c r="B173" s="52" t="str">
        <f>IF(csv!F163="","",csv!T163)</f>
        <v>M55</v>
      </c>
      <c r="C173" s="31" t="s">
        <v>0</v>
      </c>
      <c r="D173" s="31" t="str">
        <f>IF(csv!F163="","",csv!F163)</f>
        <v>Vacant</v>
      </c>
      <c r="E173" s="31" t="str">
        <f>IF(csv!E163="","",csv!E163)</f>
        <v/>
      </c>
      <c r="F173" s="31" t="s">
        <v>0</v>
      </c>
      <c r="G173" s="73" t="str">
        <f>IF(csv!M163="","",csv!M163)</f>
        <v/>
      </c>
      <c r="H173" s="73" t="str">
        <f>IF(csv!N163="","",csv!N163)</f>
        <v>0</v>
      </c>
      <c r="I173" s="31" t="s">
        <v>0</v>
      </c>
      <c r="J173" s="31" t="str">
        <f>IF(csv!P163="","",csv!P163)</f>
        <v/>
      </c>
      <c r="K173" s="31" t="str">
        <f>IF(csv!Q163="","",csv!Q163)</f>
        <v/>
      </c>
      <c r="L173" s="31" t="s">
        <v>0</v>
      </c>
      <c r="M173" s="66" t="str">
        <f>IF(csv!R163="","",csv!R163)</f>
        <v/>
      </c>
      <c r="N173" s="47" t="s">
        <v>0</v>
      </c>
      <c r="O173" s="243" t="str">
        <f t="shared" si="151"/>
        <v/>
      </c>
      <c r="P173" s="47"/>
      <c r="Q173" s="52" t="str">
        <f t="shared" si="152"/>
        <v>M55</v>
      </c>
      <c r="R173" s="73">
        <f>IF(Q173="","",IF(COUNTIF(Q$12:Q172,Q173)=0,R172+1,R172))</f>
        <v>9</v>
      </c>
      <c r="S173" s="73">
        <f t="shared" si="153"/>
        <v>105</v>
      </c>
      <c r="T173" s="73">
        <f t="shared" si="128"/>
        <v>16</v>
      </c>
      <c r="U173" s="66" t="str">
        <f t="shared" si="129"/>
        <v>M55</v>
      </c>
      <c r="V173" s="47" t="s">
        <v>0</v>
      </c>
      <c r="W173" s="222" t="str">
        <f t="shared" si="130"/>
        <v/>
      </c>
      <c r="X173" s="223" t="str">
        <f t="shared" si="131"/>
        <v/>
      </c>
      <c r="Y173" s="47" t="s">
        <v>0</v>
      </c>
      <c r="Z173" s="52" t="str">
        <f t="shared" si="154"/>
        <v/>
      </c>
      <c r="AA173" s="73" t="str">
        <f t="shared" si="132"/>
        <v/>
      </c>
      <c r="AB173" s="31" t="str">
        <f t="shared" si="155"/>
        <v/>
      </c>
      <c r="AC173" s="66" t="str">
        <f>IF(AB173="","",MAX(AC$12:AC172)+1)</f>
        <v/>
      </c>
      <c r="AD173" s="47" t="s">
        <v>0</v>
      </c>
      <c r="AE173" s="125"/>
      <c r="AF173" s="47" t="s">
        <v>0</v>
      </c>
      <c r="AG173" s="19" t="str">
        <f t="shared" si="156"/>
        <v/>
      </c>
      <c r="AH173" s="47" t="s">
        <v>0</v>
      </c>
      <c r="AI173" s="143" t="str">
        <f t="shared" si="157"/>
        <v/>
      </c>
      <c r="AJ173" s="47"/>
      <c r="AK173" s="52" t="str">
        <f t="shared" si="158"/>
        <v/>
      </c>
      <c r="AL173" s="31" t="str">
        <f t="shared" si="159"/>
        <v/>
      </c>
      <c r="AM173" s="73" t="str">
        <f t="shared" si="160"/>
        <v/>
      </c>
      <c r="AN173" s="73" t="str">
        <f t="shared" si="161"/>
        <v/>
      </c>
      <c r="AO173" s="31" t="str">
        <f t="shared" si="133"/>
        <v/>
      </c>
      <c r="AP173" s="66" t="str">
        <f t="shared" si="134"/>
        <v/>
      </c>
      <c r="AQ173" s="47" t="s">
        <v>0</v>
      </c>
      <c r="AR173" s="82" t="str">
        <f t="shared" si="162"/>
        <v/>
      </c>
      <c r="AS173" s="47" t="s">
        <v>0</v>
      </c>
      <c r="AT173" s="19" t="str">
        <f t="shared" si="163"/>
        <v/>
      </c>
      <c r="AU173" s="47" t="s">
        <v>0</v>
      </c>
      <c r="AV173" s="103"/>
      <c r="AW173" s="105"/>
      <c r="AX173" s="47" t="s">
        <v>0</v>
      </c>
      <c r="AY173" s="256" t="str">
        <f t="shared" si="181"/>
        <v/>
      </c>
      <c r="AZ173" s="47" t="s">
        <v>0</v>
      </c>
      <c r="BA173" s="52" t="str">
        <f t="shared" si="135"/>
        <v/>
      </c>
      <c r="BB173" s="73" t="str">
        <f>IF(AV173&amp;AW173="","",MAX(BB$12:BB172)+1)</f>
        <v/>
      </c>
      <c r="BC173" s="268" t="str">
        <f t="shared" si="136"/>
        <v/>
      </c>
      <c r="BD173" s="53" t="str">
        <f>IF(AND(AM173="NEMA",AN173="NEMA",OR(AV173&amp;AW173="",BC173="NEMA")),MAX(BD$12:BD172)+1,"")</f>
        <v/>
      </c>
      <c r="BE173" s="47" t="s">
        <v>0</v>
      </c>
      <c r="BF173" s="52" t="str">
        <f t="shared" si="137"/>
        <v/>
      </c>
      <c r="BG173" s="31" t="str">
        <f t="shared" si="138"/>
        <v/>
      </c>
      <c r="BH173" s="73" t="str">
        <f t="shared" si="164"/>
        <v/>
      </c>
      <c r="BI173" s="53" t="str">
        <f t="shared" si="165"/>
        <v/>
      </c>
      <c r="BJ173" s="47" t="s">
        <v>0</v>
      </c>
      <c r="BK173" s="52" t="str">
        <f t="shared" si="139"/>
        <v/>
      </c>
      <c r="BL173" s="31" t="str">
        <f t="shared" si="140"/>
        <v/>
      </c>
      <c r="BM173" s="73" t="str">
        <f t="shared" si="141"/>
        <v/>
      </c>
      <c r="BN173" s="73" t="str">
        <f t="shared" si="142"/>
        <v/>
      </c>
      <c r="BO173" s="31" t="str" cm="1">
        <f t="array" ref="BO173">IF(BN173="",""&amp;BL173,IF(BN173="NEMA",BL173,INDEX(regKlub_naziv,MATCH(INDEX(regKlub_alias_klubId,BN173),regKlub_id,0))))</f>
        <v/>
      </c>
      <c r="BP173" s="31" t="str" cm="1">
        <f t="array" ref="BP173">IFERROR(""&amp;INDEX(regNatjecatelj_klub,DY173),"")</f>
        <v/>
      </c>
      <c r="BQ173" s="88" t="str">
        <f t="shared" si="166"/>
        <v/>
      </c>
      <c r="BR173" s="66" t="str">
        <f t="shared" si="167"/>
        <v/>
      </c>
      <c r="BS173" s="47" t="s">
        <v>0</v>
      </c>
      <c r="BT173" s="82" t="str">
        <f>IF(BN173&lt;&gt;"NEMA","",IF(IFERROR(MATCH(BL173,BL$12:BL172,0),0)&lt;&gt;0,"",BL173))</f>
        <v/>
      </c>
      <c r="BU173" s="47" t="s">
        <v>0</v>
      </c>
      <c r="BV173" s="125"/>
      <c r="BW173" s="47" t="s">
        <v>0</v>
      </c>
      <c r="BX173" s="58" t="str">
        <f t="shared" si="168"/>
        <v/>
      </c>
      <c r="BY173" s="31" t="str">
        <f t="shared" si="169"/>
        <v/>
      </c>
      <c r="BZ173" s="31" t="str">
        <f>IF(BY173="","",MAX(BZ$12:BZ172)+1)</f>
        <v/>
      </c>
      <c r="CA173" s="31" t="str">
        <f>IF(BY173="","",IF(AA173="","",IF(AA173="NEMA",AC173,AA173)))</f>
        <v/>
      </c>
      <c r="CB173" s="31" t="str">
        <f t="shared" si="170"/>
        <v/>
      </c>
      <c r="CC173" s="31" t="str">
        <f>IF(BV173="","",MAX(CC$12:CC172)+1)</f>
        <v/>
      </c>
      <c r="CD173" s="31" t="str">
        <f t="shared" si="171"/>
        <v/>
      </c>
      <c r="CE173" s="66" t="str">
        <f t="shared" si="172"/>
        <v/>
      </c>
      <c r="CF173" s="47" t="s">
        <v>0</v>
      </c>
      <c r="CG173" s="73" t="str">
        <f>IF(BN173="","",IF(BN173&lt;&gt;"NEMA","",IFERROR(INDEX(nat_klubAliasId,MATCH(BL173,nat_noviKluboviAliasi,0)),"")))</f>
        <v/>
      </c>
      <c r="CH173" s="47"/>
      <c r="CI173" s="19" t="str">
        <f t="shared" si="173"/>
        <v/>
      </c>
      <c r="CJ173" s="47" t="s">
        <v>0</v>
      </c>
      <c r="CK173" s="52" t="str">
        <f>IF(X173&lt;&gt;"NEMA","",IF(IFERROR(MATCH(W173,W$12:W172,0),0)&lt;&gt;0,"",W173))</f>
        <v/>
      </c>
      <c r="CL173" s="73" t="str">
        <f>IF(CK173="","",IFERROR(INDEX(regKlub_alias_id,MATCH(CK173,regKlub_alias_alias,0)),"NEMA"))</f>
        <v/>
      </c>
      <c r="CM173" s="31" t="str">
        <f>IF(OR(CL173="",CL173&lt;&gt;"NEMA"),"",MAX(CM$12:CM172)+1)</f>
        <v/>
      </c>
      <c r="CN173" s="66" t="str">
        <f>IF(OR(CL173="",CL173&lt;&gt;"NEMA"),"",INDEX(regKlub_id,MATCH(CK173,regKlub_naziv,0)))</f>
        <v/>
      </c>
      <c r="CO173" s="47" t="s">
        <v>0</v>
      </c>
      <c r="CP173" s="19" t="str">
        <f>IF(OR(CL173="",CL173&lt;&gt;"NEMA"),"","INSERT INTO klub_alias(id,alias,klub_id) VALUES ("&amp;CM173&amp;",'"&amp;CK173&amp;"',"&amp;CN173&amp;");")</f>
        <v/>
      </c>
      <c r="CQ173" s="47" t="s">
        <v>0</v>
      </c>
      <c r="CR173" s="143" t="str">
        <f>IF(BR173="","",IF(BV173="",IF(IFERROR(MATCH(BR173,nat_noviKluboviAliasi,0),0)&gt;0,INDEX(nat_kluboviAliasi,MATCH(BR173,nat_noviKluboviAliasi,0)),BR173),BV173))</f>
        <v/>
      </c>
      <c r="CS173" s="47" t="s">
        <v>0</v>
      </c>
      <c r="CT173" s="58" t="str">
        <f>IF(G173="","",G173)</f>
        <v/>
      </c>
      <c r="CU173" s="73" t="str">
        <f>IF(H173="","",H173)</f>
        <v>0</v>
      </c>
      <c r="CV173" s="229" t="str">
        <f>IF(CT173="",IF(OR(AL173="",CU173&lt;&gt;"0"),"","GREŠKA"),IF(AND(65535&gt;=VALUE(LEFT(CT173,SEARCH(":",CT173)-1))*60+VALUE(RIGHT(CT173,2)),OR(CU173="0",CU173="1",CU173="2",CU173="3",CU173="4")),"","GREŠKA"))</f>
        <v/>
      </c>
      <c r="CW173" s="230" t="str">
        <f t="shared" si="127"/>
        <v/>
      </c>
      <c r="CX173" s="163" t="str">
        <f t="shared" si="143"/>
        <v/>
      </c>
      <c r="CY173" s="47" t="s">
        <v>0</v>
      </c>
      <c r="CZ173" s="222" t="str">
        <f>IF(CV173&lt;&gt;"GREŠKA","",AK173&amp;" "&amp;AL173&amp;" – Molim u OEventu provjeriti i ispraviti rezultat – vrijeme ("&amp;IF(CT173="","nije upisano",CT173)&amp;") i classifier ("&amp;CU173&amp;").")&amp;IF(OR(CV173&lt;&gt;"GREŠKA",CX173&lt;&gt;5),"
","")&amp;IF(CX173&lt;&gt;5,"",AK173&amp;" "&amp;AL173&amp;" – Molim u provjeriti je li natjecatelj zaista diskvalificiran. Ako je koje je obrazloženje, ako nije molim u OEventu ispraviti rezultat")</f>
        <v xml:space="preserve">
</v>
      </c>
      <c r="DA173" s="223" t="str">
        <f t="shared" si="174"/>
        <v/>
      </c>
      <c r="DB173" s="47" t="s">
        <v>0</v>
      </c>
      <c r="DC173" s="47"/>
      <c r="DD173" s="47"/>
      <c r="DE173" s="47"/>
      <c r="DF173" s="47" t="s">
        <v>0</v>
      </c>
      <c r="DG173" s="53" t="str">
        <f>IF(BD173="","",IF(DI173="O",1,""))</f>
        <v/>
      </c>
      <c r="DH173" t="s">
        <v>0</v>
      </c>
      <c r="DI173" s="128" t="str">
        <f>IF(Q173="","",LEFT(INDEX(regKategorija_oznaka,MATCH(S173,regKategorija_id,0)),1))</f>
        <v>M</v>
      </c>
      <c r="DJ173" t="s">
        <v>0</v>
      </c>
      <c r="DK173" s="52" t="str">
        <f>IF(BD173="","",IF(M173&lt;&gt;"CRO","","INSERT INTO osoba (id,reg_broj,oib,spol_id,dat_rodjenja) VALUES ("&amp;BD173&amp;",(SELECT max(os.reg_broj)+1 FROM osoba AS os),Null,'"&amp;DI173&amp;"',Null); INSERT INTO osoba_log (id,reg_broj,oib,spol_id,dat_rodjenja,dnevnik_id) SELECT id,reg_broj,oib,spol_id,dat_rodjenja,"&amp;data_dnevnik_id&amp;" FROM osoba WHERE id = "&amp;BD173&amp;";"))</f>
        <v/>
      </c>
      <c r="DL173" s="66" t="str">
        <f>IF(BD173="","","INSERT INTO imeprezime (id,osoba_id,rbr,ime,prezime,klub_id,identitet_id,sintaksa_id,info,aktivno,dnevnik_id) VALUES ("&amp;BD173&amp;","&amp;IF(DK173="","Null",BD173)&amp;",1,'"&amp;IF(AV173&lt;&gt;"",AV173,AK173)&amp;"','"&amp;IF(AW173&lt;&gt;"",AW173,AL173)&amp;"',(SELECT id FROM klub WHERE naziv = '"&amp;CR173&amp;"'),Null,1,'',1,"&amp;data_dnevnik_id&amp;");")</f>
        <v/>
      </c>
      <c r="DM173" t="s">
        <v>0</v>
      </c>
      <c r="DN173" s="19" t="str">
        <f t="shared" si="182"/>
        <v/>
      </c>
      <c r="DO173" s="47" t="s">
        <v>0</v>
      </c>
      <c r="DP173" s="19" t="str">
        <f>IF(BA173="","","INSERT INTO imeprezime_alias(id,alias,imeprezime_id) VALUES ("&amp;BB173&amp;",'"&amp;BA173&amp;"',"&amp;IF(BC173="NEMA",BD173,BC173)&amp;");")</f>
        <v/>
      </c>
      <c r="DQ173" s="47" t="s">
        <v>0</v>
      </c>
      <c r="DR173" s="52" t="str">
        <f>IF(AL173="","",DU173 &amp; IF(Q173="",""," – " &amp; Q173))</f>
        <v/>
      </c>
      <c r="DS173" s="53" t="str">
        <f t="shared" si="144"/>
        <v/>
      </c>
      <c r="DT173" s="47" t="s">
        <v>0</v>
      </c>
      <c r="DU173" s="52" t="str">
        <f>IF(AL173="","",DX173 &amp; IF(CR173="",""," – " &amp; CR173))</f>
        <v/>
      </c>
      <c r="DV173" s="53" t="str">
        <f t="shared" si="145"/>
        <v/>
      </c>
      <c r="DW173" s="47" t="s">
        <v>0</v>
      </c>
      <c r="DX173" s="52" t="str">
        <f>IF(BG173="","",BF173&amp;" – "&amp;BG173)</f>
        <v/>
      </c>
      <c r="DY173" s="53" t="str">
        <f t="shared" si="146"/>
        <v/>
      </c>
      <c r="DZ173" s="47" t="s">
        <v>0</v>
      </c>
      <c r="EA173" s="58" t="str">
        <f t="shared" si="175"/>
        <v/>
      </c>
      <c r="EB173" s="53" t="str" cm="1">
        <f t="array" ref="EB173">IF(EA173&lt;&gt;"",INDEX(regNatjecatelj_id,EA173,0),IF(BD173&lt;&gt;"",BD173,""))</f>
        <v/>
      </c>
      <c r="EC173" s="47" t="s">
        <v>0</v>
      </c>
      <c r="ED173" s="58" t="str">
        <f>IF(AL173="","",IF(BD173&lt;&gt;"","novo",IF(AN173="","imepre","imepre(ali)")))</f>
        <v/>
      </c>
      <c r="EE173" s="73" t="str">
        <f>IF(AL173="","",IF(BL173="",IF(IFERROR(INDEX(regNatjecatelj_klub,MATCH(EB173,regNatjecatelj_id,0)),"NEMA")="","klu",""),IF(OR(AND(BN173&lt;&gt;"",BN173&lt;&gt;"NEMA"),CD173&lt;&gt;""),"klu(ali)",IF(AND(BP173&lt;&gt;"",BP173&lt;&gt;BO173),"(raz-klu)","klu"))))</f>
        <v/>
      </c>
      <c r="EF173" s="73" t="str">
        <f>IF(AL173="","","kat"&amp;IF(AND(W173&lt;&gt;Q173,Q173&lt;&gt;"Open"),"(ali)",""))</f>
        <v/>
      </c>
      <c r="EG173" s="73" t="str">
        <f t="shared" si="147"/>
        <v/>
      </c>
      <c r="EH173" s="66" t="str">
        <f>IF(AL173="","",ED173&amp;IF(ED173="novo","","-"&amp;EE173&amp;"-"&amp;EF173)&amp;IF(EG173="","","-"&amp;EG173))</f>
        <v/>
      </c>
      <c r="EI173" s="47" t="s">
        <v>0</v>
      </c>
      <c r="EJ173" s="58" t="str">
        <f>IF(AL173="","",MAX(EJ$12:EJ172)+1)</f>
        <v/>
      </c>
      <c r="EK173" s="73" t="str">
        <f>IF(AO173="","",X173)</f>
        <v/>
      </c>
      <c r="EL173" s="73" t="str">
        <f t="shared" si="176"/>
        <v/>
      </c>
      <c r="EM173" s="73" t="str">
        <f t="shared" si="148"/>
        <v/>
      </c>
      <c r="EN173" s="73" t="str">
        <f t="shared" si="149"/>
        <v/>
      </c>
      <c r="EO173" s="73" t="str">
        <f t="shared" si="177"/>
        <v/>
      </c>
      <c r="EP173" s="73" t="str">
        <f t="shared" si="178"/>
        <v/>
      </c>
      <c r="EQ173" s="73" t="str">
        <f t="shared" si="150"/>
        <v/>
      </c>
      <c r="ER173" s="73" t="str">
        <f>IF(OR(AN173="",AN173="NEMA"),BB173,AN173)</f>
        <v/>
      </c>
      <c r="ES173" s="73" t="str">
        <f>IF(AND(BN173&lt;&gt;"",BN173&lt;&gt;"NEMA"),BN173,IF(CG173&lt;&gt;"",CG173,IF(AND(CL173&lt;&gt;"",CL173&lt;&gt;"NEMA"),CL173,IF(CM173&lt;&gt;"",CM173,""))))</f>
        <v/>
      </c>
      <c r="ET173" s="53" t="str">
        <f>IF(INDEX(natKategorija_alias_Id,MATCH(S173,natKategorija_katRegId,0))="","",INDEX(natKategorija_alias_Id,MATCH(S173,natKategorija_katRegId,0)))</f>
        <v/>
      </c>
      <c r="EU173" s="47" t="s">
        <v>0</v>
      </c>
      <c r="EV173" s="19" t="str">
        <f t="shared" si="179"/>
        <v/>
      </c>
      <c r="EW173" s="47" t="s">
        <v>0</v>
      </c>
      <c r="EX173" s="19" t="str">
        <f t="shared" si="180"/>
        <v/>
      </c>
      <c r="EY173" s="47" t="s">
        <v>0</v>
      </c>
      <c r="EZ173" s="180" t="str">
        <f>AG173&amp;IF(CP173="","","
")&amp;CP173&amp;IF(CI173="","","
")&amp;CI173&amp;IF(DN173="","","
")&amp;DN173&amp;IF(DP173="","","
")&amp;DP173&amp;IF(EV173="","","
")&amp;EV173&amp;IF(EX173="","","
")&amp;EX173</f>
        <v/>
      </c>
      <c r="FA173" s="47" t="s">
        <v>0</v>
      </c>
    </row>
    <row r="174" spans="1:157" x14ac:dyDescent="0.25">
      <c r="A174" t="s">
        <v>0</v>
      </c>
      <c r="B174" s="52" t="str">
        <f>IF(csv!F164="","",csv!T164)</f>
        <v>M55</v>
      </c>
      <c r="C174" s="31" t="s">
        <v>0</v>
      </c>
      <c r="D174" s="31" t="str">
        <f>IF(csv!F164="","",csv!F164)</f>
        <v>Mile</v>
      </c>
      <c r="E174" s="31" t="str">
        <f>IF(csv!E164="","",csv!E164)</f>
        <v>Boban</v>
      </c>
      <c r="F174" s="31" t="s">
        <v>0</v>
      </c>
      <c r="G174" s="73" t="str">
        <f>IF(csv!M164="","",csv!M164)</f>
        <v/>
      </c>
      <c r="H174" s="73" t="str">
        <f>IF(csv!N164="","",csv!N164)</f>
        <v>1</v>
      </c>
      <c r="I174" s="31" t="s">
        <v>0</v>
      </c>
      <c r="J174" s="31" t="str">
        <f>IF(csv!P164="","",csv!P164)</f>
        <v>OK MERZ CRO</v>
      </c>
      <c r="K174" s="31" t="str">
        <f>IF(csv!Q164="","",csv!Q164)</f>
        <v>OK Ivan Merz</v>
      </c>
      <c r="L174" s="31" t="s">
        <v>0</v>
      </c>
      <c r="M174" s="66" t="str">
        <f>IF(csv!R164="","",csv!R164)</f>
        <v>CRO</v>
      </c>
      <c r="N174" s="47" t="s">
        <v>0</v>
      </c>
      <c r="O174" s="243" t="str">
        <f t="shared" si="151"/>
        <v>ok</v>
      </c>
      <c r="P174" s="47"/>
      <c r="Q174" s="52" t="str">
        <f t="shared" si="152"/>
        <v>M55</v>
      </c>
      <c r="R174" s="73">
        <f>IF(Q174="","",IF(COUNTIF(Q$12:Q173,Q174)=0,R173+1,R173))</f>
        <v>9</v>
      </c>
      <c r="S174" s="73">
        <f t="shared" si="153"/>
        <v>105</v>
      </c>
      <c r="T174" s="73">
        <f t="shared" si="128"/>
        <v>16</v>
      </c>
      <c r="U174" s="66" t="str">
        <f t="shared" si="129"/>
        <v>M55</v>
      </c>
      <c r="V174" s="47" t="s">
        <v>0</v>
      </c>
      <c r="W174" s="222" t="str">
        <f t="shared" si="130"/>
        <v>M55</v>
      </c>
      <c r="X174" s="223">
        <f t="shared" si="131"/>
        <v>31</v>
      </c>
      <c r="Y174" s="47" t="s">
        <v>0</v>
      </c>
      <c r="Z174" s="52" t="str">
        <f t="shared" si="154"/>
        <v>CRO</v>
      </c>
      <c r="AA174" s="73">
        <f t="shared" si="132"/>
        <v>1</v>
      </c>
      <c r="AB174" s="31" t="str">
        <f t="shared" si="155"/>
        <v/>
      </c>
      <c r="AC174" s="66" t="str">
        <f>IF(AB174="","",MAX(AC$12:AC173)+1)</f>
        <v/>
      </c>
      <c r="AD174" s="47" t="s">
        <v>0</v>
      </c>
      <c r="AE174" s="125"/>
      <c r="AF174" s="47" t="s">
        <v>0</v>
      </c>
      <c r="AG174" s="19" t="str">
        <f t="shared" si="156"/>
        <v/>
      </c>
      <c r="AH174" s="47" t="s">
        <v>0</v>
      </c>
      <c r="AI174" s="143" t="str">
        <f t="shared" si="157"/>
        <v>CRO</v>
      </c>
      <c r="AJ174" s="47"/>
      <c r="AK174" s="52" t="str">
        <f t="shared" si="158"/>
        <v>Mile</v>
      </c>
      <c r="AL174" s="31" t="str">
        <f t="shared" si="159"/>
        <v>Boban</v>
      </c>
      <c r="AM174" s="73">
        <f t="shared" si="160"/>
        <v>1427</v>
      </c>
      <c r="AN174" s="73" t="str">
        <f t="shared" si="161"/>
        <v/>
      </c>
      <c r="AO174" s="31" t="str">
        <f t="shared" si="133"/>
        <v>Mile</v>
      </c>
      <c r="AP174" s="66" t="str">
        <f t="shared" si="134"/>
        <v>Boban</v>
      </c>
      <c r="AQ174" s="47" t="s">
        <v>0</v>
      </c>
      <c r="AR174" s="82" t="str">
        <f t="shared" si="162"/>
        <v/>
      </c>
      <c r="AS174" s="47" t="s">
        <v>0</v>
      </c>
      <c r="AT174" s="19" t="str">
        <f t="shared" si="163"/>
        <v/>
      </c>
      <c r="AU174" s="47" t="s">
        <v>0</v>
      </c>
      <c r="AV174" s="103"/>
      <c r="AW174" s="105"/>
      <c r="AX174" s="47" t="s">
        <v>0</v>
      </c>
      <c r="AY174" s="256" t="str">
        <f t="shared" si="181"/>
        <v/>
      </c>
      <c r="AZ174" s="47" t="s">
        <v>0</v>
      </c>
      <c r="BA174" s="52" t="str">
        <f t="shared" si="135"/>
        <v/>
      </c>
      <c r="BB174" s="73" t="str">
        <f>IF(AV174&amp;AW174="","",MAX(BB$12:BB173)+1)</f>
        <v/>
      </c>
      <c r="BC174" s="268" t="str">
        <f t="shared" si="136"/>
        <v/>
      </c>
      <c r="BD174" s="53" t="str">
        <f>IF(AND(AM174="NEMA",AN174="NEMA",OR(AV174&amp;AW174="",BC174="NEMA")),MAX(BD$12:BD173)+1,"")</f>
        <v/>
      </c>
      <c r="BE174" s="47" t="s">
        <v>0</v>
      </c>
      <c r="BF174" s="52" t="str">
        <f t="shared" si="137"/>
        <v>Mile</v>
      </c>
      <c r="BG174" s="31" t="str">
        <f t="shared" si="138"/>
        <v>Boban</v>
      </c>
      <c r="BH174" s="73" t="str">
        <f t="shared" si="164"/>
        <v/>
      </c>
      <c r="BI174" s="53">
        <f t="shared" si="165"/>
        <v>1427</v>
      </c>
      <c r="BJ174" s="47" t="s">
        <v>0</v>
      </c>
      <c r="BK174" s="52" t="str">
        <f t="shared" si="139"/>
        <v>OK MERZ CRO</v>
      </c>
      <c r="BL174" s="31" t="str">
        <f t="shared" si="140"/>
        <v>OK Ivan Merz</v>
      </c>
      <c r="BM174" s="73">
        <f t="shared" si="141"/>
        <v>2</v>
      </c>
      <c r="BN174" s="73" t="str">
        <f t="shared" si="142"/>
        <v/>
      </c>
      <c r="BO174" s="31" t="str" cm="1">
        <f t="array" ref="BO174">IF(BN174="",""&amp;BL174,IF(BN174="NEMA",BL174,INDEX(regKlub_naziv,MATCH(INDEX(regKlub_alias_klubId,BN174),regKlub_id,0))))</f>
        <v>OK Ivan Merz</v>
      </c>
      <c r="BP174" s="31" t="str" cm="1">
        <f t="array" ref="BP174">IFERROR(""&amp;INDEX(regNatjecatelj_klub,DY174),"")</f>
        <v>OK Ivan Merz</v>
      </c>
      <c r="BQ174" s="88" t="str">
        <f t="shared" si="166"/>
        <v/>
      </c>
      <c r="BR174" s="66" t="str">
        <f t="shared" si="167"/>
        <v>OK Ivan Merz</v>
      </c>
      <c r="BS174" s="47" t="s">
        <v>0</v>
      </c>
      <c r="BT174" s="82" t="str">
        <f>IF(BN174&lt;&gt;"NEMA","",IF(IFERROR(MATCH(BL174,BL$12:BL173,0),0)&lt;&gt;0,"",BL174))</f>
        <v/>
      </c>
      <c r="BU174" s="47" t="s">
        <v>0</v>
      </c>
      <c r="BV174" s="125"/>
      <c r="BW174" s="47" t="s">
        <v>0</v>
      </c>
      <c r="BX174" s="58" t="str">
        <f t="shared" si="168"/>
        <v/>
      </c>
      <c r="BY174" s="31" t="str">
        <f t="shared" si="169"/>
        <v/>
      </c>
      <c r="BZ174" s="31" t="str">
        <f>IF(BY174="","",MAX(BZ$12:BZ173)+1)</f>
        <v/>
      </c>
      <c r="CA174" s="31" t="str">
        <f>IF(BY174="","",IF(AA174="","",IF(AA174="NEMA",AC174,AA174)))</f>
        <v/>
      </c>
      <c r="CB174" s="31" t="str">
        <f t="shared" si="170"/>
        <v/>
      </c>
      <c r="CC174" s="31" t="str">
        <f>IF(BV174="","",MAX(CC$12:CC173)+1)</f>
        <v/>
      </c>
      <c r="CD174" s="31" t="str">
        <f t="shared" si="171"/>
        <v/>
      </c>
      <c r="CE174" s="66" t="str">
        <f t="shared" si="172"/>
        <v/>
      </c>
      <c r="CF174" s="47" t="s">
        <v>0</v>
      </c>
      <c r="CG174" s="73" t="str">
        <f>IF(BN174="","",IF(BN174&lt;&gt;"NEMA","",IFERROR(INDEX(nat_klubAliasId,MATCH(BL174,nat_noviKluboviAliasi,0)),"")))</f>
        <v/>
      </c>
      <c r="CH174" s="47"/>
      <c r="CI174" s="19" t="str">
        <f t="shared" si="173"/>
        <v/>
      </c>
      <c r="CJ174" s="47" t="s">
        <v>0</v>
      </c>
      <c r="CK174" s="52" t="str">
        <f>IF(X174&lt;&gt;"NEMA","",IF(IFERROR(MATCH(W174,W$12:W173,0),0)&lt;&gt;0,"",W174))</f>
        <v/>
      </c>
      <c r="CL174" s="73" t="str">
        <f>IF(CK174="","",IFERROR(INDEX(regKlub_alias_id,MATCH(CK174,regKlub_alias_alias,0)),"NEMA"))</f>
        <v/>
      </c>
      <c r="CM174" s="31" t="str">
        <f>IF(OR(CL174="",CL174&lt;&gt;"NEMA"),"",MAX(CM$12:CM173)+1)</f>
        <v/>
      </c>
      <c r="CN174" s="66" t="str">
        <f>IF(OR(CL174="",CL174&lt;&gt;"NEMA"),"",INDEX(regKlub_id,MATCH(CK174,regKlub_naziv,0)))</f>
        <v/>
      </c>
      <c r="CO174" s="47" t="s">
        <v>0</v>
      </c>
      <c r="CP174" s="19" t="str">
        <f>IF(OR(CL174="",CL174&lt;&gt;"NEMA"),"","INSERT INTO klub_alias(id,alias,klub_id) VALUES ("&amp;CM174&amp;",'"&amp;CK174&amp;"',"&amp;CN174&amp;");")</f>
        <v/>
      </c>
      <c r="CQ174" s="47" t="s">
        <v>0</v>
      </c>
      <c r="CR174" s="143" t="str">
        <f>IF(BR174="","",IF(BV174="",IF(IFERROR(MATCH(BR174,nat_noviKluboviAliasi,0),0)&gt;0,INDEX(nat_kluboviAliasi,MATCH(BR174,nat_noviKluboviAliasi,0)),BR174),BV174))</f>
        <v>OK Ivan Merz</v>
      </c>
      <c r="CS174" s="47" t="s">
        <v>0</v>
      </c>
      <c r="CT174" s="58" t="str">
        <f>IF(G174="","",G174)</f>
        <v/>
      </c>
      <c r="CU174" s="73" t="str">
        <f>IF(H174="","",H174)</f>
        <v>1</v>
      </c>
      <c r="CV174" s="229" t="str">
        <f>IF(CT174="",IF(OR(AL174="",CU174&lt;&gt;"0"),"","GREŠKA"),IF(AND(65535&gt;=VALUE(LEFT(CT174,SEARCH(":",CT174)-1))*60+VALUE(RIGHT(CT174,2)),OR(CU174="0",CU174="1",CU174="2",CU174="3",CU174="4")),"","GREŠKA"))</f>
        <v/>
      </c>
      <c r="CW174" s="230" t="str">
        <f t="shared" si="127"/>
        <v/>
      </c>
      <c r="CX174" s="163">
        <f t="shared" si="143"/>
        <v>6</v>
      </c>
      <c r="CY174" s="47" t="s">
        <v>0</v>
      </c>
      <c r="CZ174" s="222" t="str">
        <f>IF(CV174&lt;&gt;"GREŠKA","",AK174&amp;" "&amp;AL174&amp;" – Molim u OEventu provjeriti i ispraviti rezultat – vrijeme ("&amp;IF(CT174="","nije upisano",CT174)&amp;") i classifier ("&amp;CU174&amp;").")&amp;IF(OR(CV174&lt;&gt;"GREŠKA",CX174&lt;&gt;5),"
","")&amp;IF(CX174&lt;&gt;5,"",AK174&amp;" "&amp;AL174&amp;" – Molim u provjeriti je li natjecatelj zaista diskvalificiran. Ako je koje je obrazloženje, ako nije molim u OEventu ispraviti rezultat")</f>
        <v xml:space="preserve">
</v>
      </c>
      <c r="DA174" s="223" t="e">
        <f t="shared" si="174"/>
        <v>#N/A</v>
      </c>
      <c r="DB174" s="47" t="s">
        <v>0</v>
      </c>
      <c r="DC174" s="47"/>
      <c r="DD174" s="47"/>
      <c r="DE174" s="47"/>
      <c r="DF174" s="47" t="s">
        <v>0</v>
      </c>
      <c r="DG174" s="53" t="str">
        <f>IF(BD174="","",IF(DI174="O",1,""))</f>
        <v/>
      </c>
      <c r="DH174" t="s">
        <v>0</v>
      </c>
      <c r="DI174" s="128" t="str">
        <f>IF(Q174="","",LEFT(INDEX(regKategorija_oznaka,MATCH(S174,regKategorija_id,0)),1))</f>
        <v>M</v>
      </c>
      <c r="DJ174" t="s">
        <v>0</v>
      </c>
      <c r="DK174" s="52" t="str">
        <f>IF(BD174="","",IF(M174&lt;&gt;"CRO","","INSERT INTO osoba (id,reg_broj,oib,spol_id,dat_rodjenja) VALUES ("&amp;BD174&amp;",(SELECT max(os.reg_broj)+1 FROM osoba AS os),Null,'"&amp;DI174&amp;"',Null); INSERT INTO osoba_log (id,reg_broj,oib,spol_id,dat_rodjenja,dnevnik_id) SELECT id,reg_broj,oib,spol_id,dat_rodjenja,"&amp;data_dnevnik_id&amp;" FROM osoba WHERE id = "&amp;BD174&amp;";"))</f>
        <v/>
      </c>
      <c r="DL174" s="66" t="str">
        <f>IF(BD174="","","INSERT INTO imeprezime (id,osoba_id,rbr,ime,prezime,klub_id,identitet_id,sintaksa_id,info,aktivno,dnevnik_id) VALUES ("&amp;BD174&amp;","&amp;IF(DK174="","Null",BD174)&amp;",1,'"&amp;IF(AV174&lt;&gt;"",AV174,AK174)&amp;"','"&amp;IF(AW174&lt;&gt;"",AW174,AL174)&amp;"',(SELECT id FROM klub WHERE naziv = '"&amp;CR174&amp;"'),Null,1,'',1,"&amp;data_dnevnik_id&amp;");")</f>
        <v/>
      </c>
      <c r="DM174" t="s">
        <v>0</v>
      </c>
      <c r="DN174" s="19" t="str">
        <f t="shared" si="182"/>
        <v/>
      </c>
      <c r="DO174" s="47" t="s">
        <v>0</v>
      </c>
      <c r="DP174" s="19" t="str">
        <f>IF(BA174="","","INSERT INTO imeprezime_alias(id,alias,imeprezime_id) VALUES ("&amp;BB174&amp;",'"&amp;BA174&amp;"',"&amp;IF(BC174="NEMA",BD174,BC174)&amp;");")</f>
        <v/>
      </c>
      <c r="DQ174" s="47" t="s">
        <v>0</v>
      </c>
      <c r="DR174" s="52" t="str">
        <f>IF(AL174="","",DU174 &amp; IF(Q174="",""," – " &amp; Q174))</f>
        <v>Mile – Boban – OK Ivan Merz – M55</v>
      </c>
      <c r="DS174" s="53">
        <f t="shared" si="144"/>
        <v>36</v>
      </c>
      <c r="DT174" s="47" t="s">
        <v>0</v>
      </c>
      <c r="DU174" s="52" t="str">
        <f>IF(AL174="","",DX174 &amp; IF(CR174="",""," – " &amp; CR174))</f>
        <v>Mile – Boban – OK Ivan Merz</v>
      </c>
      <c r="DV174" s="53">
        <f t="shared" si="145"/>
        <v>36</v>
      </c>
      <c r="DW174" s="47" t="s">
        <v>0</v>
      </c>
      <c r="DX174" s="52" t="str">
        <f>IF(BG174="","",BF174&amp;" – "&amp;BG174)</f>
        <v>Mile – Boban</v>
      </c>
      <c r="DY174" s="53">
        <f t="shared" si="146"/>
        <v>36</v>
      </c>
      <c r="DZ174" s="47" t="s">
        <v>0</v>
      </c>
      <c r="EA174" s="58">
        <f t="shared" si="175"/>
        <v>36</v>
      </c>
      <c r="EB174" s="53" cm="1">
        <f t="array" ref="EB174">IF(EA174&lt;&gt;"",INDEX(regNatjecatelj_id,EA174,0),IF(BD174&lt;&gt;"",BD174,""))</f>
        <v>1427</v>
      </c>
      <c r="EC174" s="47" t="s">
        <v>0</v>
      </c>
      <c r="ED174" s="58" t="str">
        <f>IF(AL174="","",IF(BD174&lt;&gt;"","novo",IF(AN174="","imepre","imepre(ali)")))</f>
        <v>imepre</v>
      </c>
      <c r="EE174" s="73" t="str">
        <f>IF(AL174="","",IF(BL174="",IF(IFERROR(INDEX(regNatjecatelj_klub,MATCH(EB174,regNatjecatelj_id,0)),"NEMA")="","klu",""),IF(OR(AND(BN174&lt;&gt;"",BN174&lt;&gt;"NEMA"),CD174&lt;&gt;""),"klu(ali)",IF(AND(BP174&lt;&gt;"",BP174&lt;&gt;BO174),"(raz-klu)","klu"))))</f>
        <v>klu</v>
      </c>
      <c r="EF174" s="73" t="str">
        <f>IF(AL174="","","kat"&amp;IF(AND(W174&lt;&gt;Q174,Q174&lt;&gt;"Open"),"(ali)",""))</f>
        <v>kat</v>
      </c>
      <c r="EG174" s="73" t="str">
        <f t="shared" si="147"/>
        <v/>
      </c>
      <c r="EH174" s="66" t="str">
        <f>IF(AL174="","",ED174&amp;IF(ED174="novo","","-"&amp;EE174&amp;"-"&amp;EF174)&amp;IF(EG174="","","-"&amp;EG174))</f>
        <v>imepre-klu-kat</v>
      </c>
      <c r="EI174" s="47" t="s">
        <v>0</v>
      </c>
      <c r="EJ174" s="58">
        <f>IF(AL174="","",MAX(EJ$12:EJ173)+1)</f>
        <v>338</v>
      </c>
      <c r="EK174" s="73">
        <f>IF(AO174="","",X174)</f>
        <v>31</v>
      </c>
      <c r="EL174" s="73">
        <f t="shared" si="176"/>
        <v>1427</v>
      </c>
      <c r="EM174" s="73" t="str">
        <f t="shared" si="148"/>
        <v/>
      </c>
      <c r="EN174" s="73">
        <f t="shared" si="149"/>
        <v>6</v>
      </c>
      <c r="EO174" s="73">
        <f t="shared" si="177"/>
        <v>1</v>
      </c>
      <c r="EP174" s="73">
        <f t="shared" si="178"/>
        <v>1</v>
      </c>
      <c r="EQ174" s="73" t="str">
        <f t="shared" si="150"/>
        <v>1</v>
      </c>
      <c r="ER174" s="73" t="str">
        <f>IF(OR(AN174="",AN174="NEMA"),BB174,AN174)</f>
        <v/>
      </c>
      <c r="ES174" s="73" t="str">
        <f>IF(AND(BN174&lt;&gt;"",BN174&lt;&gt;"NEMA"),BN174,IF(CG174&lt;&gt;"",CG174,IF(AND(CL174&lt;&gt;"",CL174&lt;&gt;"NEMA"),CL174,IF(CM174&lt;&gt;"",CM174,""))))</f>
        <v/>
      </c>
      <c r="ET174" s="53" t="str">
        <f>IF(INDEX(natKategorija_alias_Id,MATCH(S174,natKategorija_katRegId,0))="","",INDEX(natKategorija_alias_Id,MATCH(S174,natKategorija_katRegId,0)))</f>
        <v/>
      </c>
      <c r="EU174" s="47" t="s">
        <v>0</v>
      </c>
      <c r="EV174" s="19" t="str">
        <f t="shared" si="179"/>
        <v>INSERT INTO rezultat(id,stazakategorija_id,imeprezime_id,vrijeme_sec,status_id,registracija,uparivanje_id,originalstatus_id,imeprezimealias_id,klubalias_id,kategorijaalias_id) VALUES (338,31,1427,Null,6,1,1,1,Null,Null,Null);</v>
      </c>
      <c r="EW174" s="47" t="s">
        <v>0</v>
      </c>
      <c r="EX174" s="19" t="str">
        <f t="shared" si="180"/>
        <v>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EY174" s="47" t="s">
        <v>0</v>
      </c>
      <c r="EZ174" s="180" t="str">
        <f>AG174&amp;IF(CP174="","","
")&amp;CP174&amp;IF(CI174="","","
")&amp;CI174&amp;IF(DN174="","","
")&amp;DN174&amp;IF(DP174="","","
")&amp;DP174&amp;IF(EV174="","","
")&amp;EV174&amp;IF(EX174="","","
")&amp;EX174</f>
        <v xml:space="preserve">
INSERT INTO rezultat(id,stazakategorija_id,imeprezime_id,vrijeme_sec,status_id,registracija,uparivanje_id,originalstatus_id,imeprezimealias_id,klubalias_id,kategorijaalias_id) VALUES (338,31,1427,Null,6,1,1,1,Null,Null,Null);
UPDATE
	registar
SET
	potvrda = 1
WHERE
	imeprezime_id=1427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31)
                         		AND
                         	kategorija_liga.liga_id = 101)
		AND
	datum_od &lt;= '2021-04-18'
    	AND
    datum_do is Null;</v>
      </c>
      <c r="FA174" s="47" t="s">
        <v>0</v>
      </c>
    </row>
    <row r="175" spans="1:157" x14ac:dyDescent="0.25">
      <c r="A175" t="s">
        <v>0</v>
      </c>
      <c r="B175" s="52" t="str">
        <f>IF(csv!F165="","",csv!T165)</f>
        <v>M65</v>
      </c>
      <c r="C175" s="31" t="s">
        <v>0</v>
      </c>
      <c r="D175" s="31" t="str">
        <f>IF(csv!F165="","",csv!F165)</f>
        <v>Ivan</v>
      </c>
      <c r="E175" s="31" t="str">
        <f>IF(csv!E165="","",csv!E165)</f>
        <v>Pongrac</v>
      </c>
      <c r="F175" s="31" t="s">
        <v>0</v>
      </c>
      <c r="G175" s="73" t="str">
        <f>IF(csv!M165="","",csv!M165)</f>
        <v>44:33</v>
      </c>
      <c r="H175" s="73" t="str">
        <f>IF(csv!N165="","",csv!N165)</f>
        <v>0</v>
      </c>
      <c r="I175" s="31" t="s">
        <v>0</v>
      </c>
      <c r="J175" s="31" t="str">
        <f>IF(csv!P165="","",csv!P165)</f>
        <v>JAP</v>
      </c>
      <c r="K175" s="31" t="str">
        <f>IF(csv!Q165="","",csv!Q165)</f>
        <v>OK Japetic</v>
      </c>
      <c r="L175" s="31" t="s">
        <v>0</v>
      </c>
      <c r="M175" s="66" t="str">
        <f>IF(csv!R165="","",csv!R165)</f>
        <v>CRO</v>
      </c>
      <c r="N175" s="47" t="s">
        <v>0</v>
      </c>
      <c r="O175" s="243" t="str">
        <f t="shared" si="151"/>
        <v>ok</v>
      </c>
      <c r="P175" s="47"/>
      <c r="Q175" s="52" t="str">
        <f t="shared" si="152"/>
        <v>M65</v>
      </c>
      <c r="R175" s="73">
        <f>IF(Q175="","",IF(COUNTIF(Q$12:Q174,Q175)=0,R174+1,R174))</f>
        <v>10</v>
      </c>
      <c r="S175" s="73">
        <f t="shared" si="153"/>
        <v>104</v>
      </c>
      <c r="T175" s="73">
        <f t="shared" si="128"/>
        <v>15</v>
      </c>
      <c r="U175" s="66" t="str">
        <f t="shared" si="129"/>
        <v>M70 – M65</v>
      </c>
      <c r="V175" s="47" t="s">
        <v>0</v>
      </c>
      <c r="W175" s="222" t="str">
        <f t="shared" si="130"/>
        <v>M65</v>
      </c>
      <c r="X175" s="223">
        <f t="shared" si="131"/>
        <v>32</v>
      </c>
      <c r="Y175" s="47" t="s">
        <v>0</v>
      </c>
      <c r="Z175" s="52" t="str">
        <f t="shared" si="154"/>
        <v>CRO</v>
      </c>
      <c r="AA175" s="73">
        <f t="shared" si="132"/>
        <v>1</v>
      </c>
      <c r="AB175" s="31" t="str">
        <f t="shared" si="155"/>
        <v/>
      </c>
      <c r="AC175" s="66" t="str">
        <f>IF(AB175="","",MAX(AC$12:AC174)+1)</f>
        <v/>
      </c>
      <c r="AD175" s="47" t="s">
        <v>0</v>
      </c>
      <c r="AE175" s="125"/>
      <c r="AF175" s="47" t="s">
        <v>0</v>
      </c>
      <c r="AG175" s="19" t="str">
        <f t="shared" si="156"/>
        <v/>
      </c>
      <c r="AH175" s="47" t="s">
        <v>0</v>
      </c>
      <c r="AI175" s="143" t="str">
        <f t="shared" si="157"/>
        <v>CRO</v>
      </c>
      <c r="AJ175" s="47"/>
      <c r="AK175" s="52" t="str">
        <f t="shared" si="158"/>
        <v>Ivan</v>
      </c>
      <c r="AL175" s="31" t="str">
        <f t="shared" si="159"/>
        <v>Pongrac</v>
      </c>
      <c r="AM175" s="73">
        <f t="shared" si="160"/>
        <v>1484</v>
      </c>
      <c r="AN175" s="73" t="str">
        <f t="shared" si="161"/>
        <v/>
      </c>
      <c r="AO175" s="31" t="str">
        <f t="shared" si="133"/>
        <v>Ivan</v>
      </c>
      <c r="AP175" s="66" t="str">
        <f t="shared" si="134"/>
        <v>Pongrac</v>
      </c>
      <c r="AQ175" s="47" t="s">
        <v>0</v>
      </c>
      <c r="AR175" s="82" t="str">
        <f t="shared" si="162"/>
        <v/>
      </c>
      <c r="AS175" s="47" t="s">
        <v>0</v>
      </c>
      <c r="AT175" s="19" t="str">
        <f t="shared" si="163"/>
        <v/>
      </c>
      <c r="AU175" s="47" t="s">
        <v>0</v>
      </c>
      <c r="AV175" s="103"/>
      <c r="AW175" s="105"/>
      <c r="AX175" s="47" t="s">
        <v>0</v>
      </c>
      <c r="AY175" s="256" t="str">
        <f t="shared" si="181"/>
        <v/>
      </c>
      <c r="AZ175" s="47" t="s">
        <v>0</v>
      </c>
      <c r="BA175" s="52" t="str">
        <f t="shared" si="135"/>
        <v/>
      </c>
      <c r="BB175" s="73" t="str">
        <f>IF(AV175&amp;AW175="","",MAX(BB$12:BB174)+1)</f>
        <v/>
      </c>
      <c r="BC175" s="268" t="str">
        <f t="shared" si="136"/>
        <v/>
      </c>
      <c r="BD175" s="53" t="str">
        <f>IF(AND(AM175="NEMA",AN175="NEMA",OR(AV175&amp;AW175="",BC175="NEMA")),MAX(BD$12:BD174)+1,"")</f>
        <v/>
      </c>
      <c r="BE175" s="47" t="s">
        <v>0</v>
      </c>
      <c r="BF175" s="52" t="str">
        <f t="shared" si="137"/>
        <v>Ivan</v>
      </c>
      <c r="BG175" s="31" t="str">
        <f t="shared" si="138"/>
        <v>Pongrac</v>
      </c>
      <c r="BH175" s="73" t="str">
        <f t="shared" si="164"/>
        <v/>
      </c>
      <c r="BI175" s="53">
        <f t="shared" si="165"/>
        <v>1484</v>
      </c>
      <c r="BJ175" s="47" t="s">
        <v>0</v>
      </c>
      <c r="BK175" s="52" t="str">
        <f t="shared" si="139"/>
        <v>JAP</v>
      </c>
      <c r="BL175" s="31" t="str">
        <f t="shared" si="140"/>
        <v>OK Japetic</v>
      </c>
      <c r="BM175" s="73" t="str">
        <f t="shared" si="141"/>
        <v>NEMA</v>
      </c>
      <c r="BN175" s="73">
        <f t="shared" si="142"/>
        <v>1</v>
      </c>
      <c r="BO175" s="31" t="str" cm="1">
        <f t="array" ref="BO175">IF(BN175="",""&amp;BL175,IF(BN175="NEMA",BL175,INDEX(regKlub_naziv,MATCH(INDEX(regKlub_alias_klubId,BN175),regKlub_id,0))))</f>
        <v>OK Japetić</v>
      </c>
      <c r="BP175" s="31" t="str" cm="1">
        <f t="array" ref="BP175">IFERROR(""&amp;INDEX(regNatjecatelj_klub,DY175),"")</f>
        <v>OK Japetić</v>
      </c>
      <c r="BQ175" s="88" t="str">
        <f t="shared" si="166"/>
        <v/>
      </c>
      <c r="BR175" s="66" t="str">
        <f t="shared" si="167"/>
        <v>OK Japetić</v>
      </c>
      <c r="BS175" s="47" t="s">
        <v>0</v>
      </c>
      <c r="BT175" s="82" t="str">
        <f>IF(BN175&lt;&gt;"NEMA","",IF(IFERROR(MATCH(BL175,BL$12:BL174,0),0)&lt;&gt;0,"",BL175))</f>
        <v/>
      </c>
      <c r="BU175" s="47" t="s">
        <v>0</v>
      </c>
      <c r="BV175" s="125"/>
      <c r="BW175" s="47" t="s">
        <v>0</v>
      </c>
      <c r="BX175" s="58" t="str">
        <f t="shared" si="168"/>
        <v/>
      </c>
      <c r="BY175" s="31" t="str">
        <f t="shared" si="169"/>
        <v/>
      </c>
      <c r="BZ175" s="31" t="str">
        <f>IF(BY175="","",MAX(BZ$12:BZ174)+1)</f>
        <v/>
      </c>
      <c r="CA175" s="31" t="str">
        <f>IF(BY175="","",IF(AA175="","",IF(AA175="NEMA",AC175,AA175)))</f>
        <v/>
      </c>
      <c r="CB175" s="31" t="str">
        <f t="shared" si="170"/>
        <v/>
      </c>
      <c r="CC175" s="31" t="str">
        <f>IF(BV175="","",MAX(CC$12:CC174)+1)</f>
        <v/>
      </c>
      <c r="CD175" s="31" t="str">
        <f t="shared" si="171"/>
        <v/>
      </c>
      <c r="CE175" s="66" t="str">
        <f t="shared" si="172"/>
        <v/>
      </c>
      <c r="CF175" s="47" t="s">
        <v>0</v>
      </c>
      <c r="CG175" s="73" t="str">
        <f>IF(BN175="","",IF(BN175&lt;&gt;"NEMA","",IFERROR(INDEX(nat_klubAliasId,MATCH(BL175,nat_noviKluboviAliasi,0)),"")))</f>
        <v/>
      </c>
      <c r="CH175" s="47"/>
      <c r="CI175" s="19" t="str">
        <f t="shared" si="173"/>
        <v/>
      </c>
      <c r="CJ175" s="47" t="s">
        <v>0</v>
      </c>
      <c r="CK175" s="52" t="str">
        <f>IF(X175&lt;&gt;"NEMA","",IF(IFERROR(MATCH(W175,W$12:W174,0),0)&lt;&gt;0,"",W175))</f>
        <v/>
      </c>
      <c r="CL175" s="73" t="str">
        <f>IF(CK175="","",IFERROR(INDEX(regKlub_alias_id,MATCH(CK175,regKlub_alias_alias,0)),"NEMA"))</f>
        <v/>
      </c>
      <c r="CM175" s="31" t="str">
        <f>IF(OR(CL175="",CL175&lt;&gt;"NEMA"),"",MAX(CM$12:CM174)+1)</f>
        <v/>
      </c>
      <c r="CN175" s="66" t="str">
        <f>IF(OR(CL175="",CL175&lt;&gt;"NEMA"),"",INDEX(regKlub_id,MATCH(CK175,regKlub_naziv,0)))</f>
        <v/>
      </c>
      <c r="CO175" s="47" t="s">
        <v>0</v>
      </c>
      <c r="CP175" s="19" t="str">
        <f>IF(OR(CL175="",CL175&lt;&gt;"NEMA"),"","INSERT INTO klub_alias(id,alias,klub_id) VALUES ("&amp;CM175&amp;",'"&amp;CK175&amp;"',"&amp;CN175&amp;");")</f>
        <v/>
      </c>
      <c r="CQ175" s="47" t="s">
        <v>0</v>
      </c>
      <c r="CR175" s="143" t="str">
        <f>IF(BR175="","",IF(BV175="",IF(IFERROR(MATCH(BR175,nat_noviKluboviAliasi,0),0)&gt;0,INDEX(nat_kluboviAliasi,MATCH(BR175,nat_noviKluboviAliasi,0)),BR175),BV175))</f>
        <v>OK Japetić</v>
      </c>
      <c r="CS175" s="47" t="s">
        <v>0</v>
      </c>
      <c r="CT175" s="58" t="str">
        <f>IF(G175="","",G175)</f>
        <v>44:33</v>
      </c>
      <c r="CU175" s="73" t="str">
        <f>IF(H175="","",H175)</f>
        <v>0</v>
      </c>
      <c r="CV175" s="229" t="str">
        <f>IF(CT175="",IF(OR(AL175="",CU175&lt;&gt;"0"),"","GREŠKA"),IF(AND(65535&gt;=VALUE(LEFT(CT175,SEARCH(":",CT175)-1))*60+VALUE(RIGHT(CT175,2)),OR(CU175="0",CU175="1",CU175="2",CU175="3",CU175="4")),"","GREŠKA"))</f>
        <v/>
      </c>
      <c r="CW175" s="230">
        <f t="shared" si="127"/>
        <v>2673</v>
      </c>
      <c r="CX175" s="163">
        <f t="shared" si="143"/>
        <v>1</v>
      </c>
      <c r="CY175" s="47" t="s">
        <v>0</v>
      </c>
      <c r="CZ175" s="222" t="str">
        <f>IF(CV175&lt;&gt;"GREŠKA","",AK175&amp;" "&amp;AL175&amp;" – Molim u OEventu provjeriti i ispraviti rezultat – vrijeme ("&amp;IF(CT175="","nije upisano",CT175)&amp;") i classifier ("&amp;CU175&amp;").")&amp;IF(OR(CV175&lt;&gt;"GREŠKA",CX175&lt;&gt;5),"
","")&amp;IF(CX175&lt;&gt;5,"",AK175&amp;" "&amp;AL175&amp;" – Molim u provjeriti je li natjecatelj zaista diskvalificiran. Ako je koje je obrazloženje, ako nije molim u OEventu ispraviti rezultat")</f>
        <v xml:space="preserve">
</v>
      </c>
      <c r="DA175" s="223">
        <f t="shared" si="174"/>
        <v>6</v>
      </c>
      <c r="DB175" s="47" t="s">
        <v>0</v>
      </c>
      <c r="DC175" s="47"/>
      <c r="DD175" s="47"/>
      <c r="DE175" s="47"/>
      <c r="DF175" s="47" t="s">
        <v>0</v>
      </c>
      <c r="DG175" s="53" t="str">
        <f>IF(BD175="","",IF(DI175="O",1,""))</f>
        <v/>
      </c>
      <c r="DH175" t="s">
        <v>0</v>
      </c>
      <c r="DI175" s="128" t="str">
        <f>IF(Q175="","",LEFT(INDEX(regKategorija_oznaka,MATCH(S175,regKategorija_id,0)),1))</f>
        <v>M</v>
      </c>
      <c r="DJ175" t="s">
        <v>0</v>
      </c>
      <c r="DK175" s="52" t="str">
        <f>IF(BD175="","",IF(M175&lt;&gt;"CRO","","INSERT INTO osoba (id,reg_broj,oib,spol_id,dat_rodjenja) VALUES ("&amp;BD175&amp;",(SELECT max(os.reg_broj)+1 FROM osoba AS os),Null,'"&amp;DI175&amp;"',Null); INSERT INTO osoba_log (id,reg_broj,oib,spol_id,dat_rodjenja,dnevnik_id) SELECT id,reg_broj,oib,spol_id,dat_rodjenja,"&amp;data_dnevnik_id&amp;" FROM osoba WHERE id = "&amp;BD175&amp;";"))</f>
        <v/>
      </c>
      <c r="DL175" s="66" t="str">
        <f>IF(BD175="","","INSERT INTO imeprezime (id,osoba_id,rbr,ime,prezime,klub_id,identitet_id,sintaksa_id,info,aktivno,dnevnik_id) VALUES ("&amp;BD175&amp;","&amp;IF(DK175="","Null",BD175)&amp;",1,'"&amp;IF(AV175&lt;&gt;"",AV175,AK175)&amp;"','"&amp;IF(AW175&lt;&gt;"",AW175,AL175)&amp;"',(SELECT id FROM klub WHERE naziv = '"&amp;CR175&amp;"'),Null,1,'',1,"&amp;data_dnevnik_id&amp;");")</f>
        <v/>
      </c>
      <c r="DM175" t="s">
        <v>0</v>
      </c>
      <c r="DN175" s="19" t="str">
        <f t="shared" si="182"/>
        <v/>
      </c>
      <c r="DO175" s="47" t="s">
        <v>0</v>
      </c>
      <c r="DP175" s="19" t="str">
        <f>IF(BA175="","","INSERT INTO imeprezime_alias(id,alias,imeprezime_id) VALUES ("&amp;BB175&amp;",'"&amp;BA175&amp;"',"&amp;IF(BC175="NEMA",BD175,BC175)&amp;");")</f>
        <v/>
      </c>
      <c r="DQ175" s="47" t="s">
        <v>0</v>
      </c>
      <c r="DR175" s="52" t="str">
        <f>IF(AL175="","",DU175 &amp; IF(Q175="",""," – " &amp; Q175))</f>
        <v>Ivan – Pongrac – OK Japetić – M65</v>
      </c>
      <c r="DS175" s="53">
        <f t="shared" si="144"/>
        <v>131</v>
      </c>
      <c r="DT175" s="47" t="s">
        <v>0</v>
      </c>
      <c r="DU175" s="52" t="str">
        <f>IF(AL175="","",DX175 &amp; IF(CR175="",""," – " &amp; CR175))</f>
        <v>Ivan – Pongrac – OK Japetić</v>
      </c>
      <c r="DV175" s="53">
        <f t="shared" si="145"/>
        <v>131</v>
      </c>
      <c r="DW175" s="47" t="s">
        <v>0</v>
      </c>
      <c r="DX175" s="52" t="str">
        <f>IF(BG175="","",BF175&amp;" – "&amp;BG175)</f>
        <v>Ivan – Pongrac</v>
      </c>
      <c r="DY175" s="53">
        <f t="shared" si="146"/>
        <v>131</v>
      </c>
      <c r="DZ175" s="47" t="s">
        <v>0</v>
      </c>
      <c r="EA175" s="58">
        <f t="shared" si="175"/>
        <v>131</v>
      </c>
      <c r="EB175" s="53" cm="1">
        <f t="array" ref="EB175">IF(EA175&lt;&gt;"",INDEX(regNatjecatelj_id,EA175,0),IF(BD175&lt;&gt;"",BD175,""))</f>
        <v>1484</v>
      </c>
      <c r="EC175" s="47" t="s">
        <v>0</v>
      </c>
      <c r="ED175" s="58" t="str">
        <f>IF(AL175="","",IF(BD175&lt;&gt;"","novo",IF(AN175="","imepre","imepre(ali)")))</f>
        <v>imepre</v>
      </c>
      <c r="EE175" s="73" t="str">
        <f>IF(AL175="","",IF(BL175="",IF(IFERROR(INDEX(regNatjecatelj_klub,MATCH(EB175,regNatjecatelj_id,0)),"NEMA")="","klu",""),IF(OR(AND(BN175&lt;&gt;"",BN175&lt;&gt;"NEMA"),CD175&lt;&gt;""),"klu(ali)",IF(AND(BP175&lt;&gt;"",BP175&lt;&gt;BO175),"(raz-klu)","klu"))))</f>
        <v>klu(ali)</v>
      </c>
      <c r="EF175" s="73" t="str">
        <f>IF(AL175="","","kat"&amp;IF(AND(W175&lt;&gt;Q175,Q175&lt;&gt;"Open"),"(ali)",""))</f>
        <v>kat</v>
      </c>
      <c r="EG175" s="73" t="str">
        <f t="shared" si="147"/>
        <v/>
      </c>
      <c r="EH175" s="66" t="str">
        <f>IF(AL175="","",ED175&amp;IF(ED175="novo","","-"&amp;EE175&amp;"-"&amp;EF175)&amp;IF(EG175="","","-"&amp;EG175))</f>
        <v>imepre-klu(ali)-kat</v>
      </c>
      <c r="EI175" s="47" t="s">
        <v>0</v>
      </c>
      <c r="EJ175" s="58">
        <f>IF(AL175="","",MAX(EJ$12:EJ174)+1)</f>
        <v>339</v>
      </c>
      <c r="EK175" s="73">
        <f>IF(AO175="","",X175)</f>
        <v>32</v>
      </c>
      <c r="EL175" s="73">
        <f t="shared" si="176"/>
        <v>1484</v>
      </c>
      <c r="EM175" s="73">
        <f t="shared" si="148"/>
        <v>2673</v>
      </c>
      <c r="EN175" s="73">
        <f t="shared" si="149"/>
        <v>1</v>
      </c>
      <c r="EO175" s="73">
        <f t="shared" si="177"/>
        <v>1</v>
      </c>
      <c r="EP175" s="73">
        <f t="shared" si="178"/>
        <v>3</v>
      </c>
      <c r="EQ175" s="73" t="str">
        <f t="shared" si="150"/>
        <v>0</v>
      </c>
      <c r="ER175" s="73" t="str">
        <f>IF(OR(AN175="",AN175="NEMA"),BB175,AN175)</f>
        <v/>
      </c>
      <c r="ES175" s="73">
        <f>IF(AND(BN175&lt;&gt;"",BN175&lt;&gt;"NEMA"),BN175,IF(CG175&lt;&gt;"",CG175,IF(AND(CL175&lt;&gt;"",CL175&lt;&gt;"NEMA"),CL175,IF(CM175&lt;&gt;"",CM175,""))))</f>
        <v>1</v>
      </c>
      <c r="ET175" s="53" t="str">
        <f>IF(INDEX(natKategorija_alias_Id,MATCH(S175,natKategorija_katRegId,0))="","",INDEX(natKategorija_alias_Id,MATCH(S175,natKategorija_katRegId,0)))</f>
        <v/>
      </c>
      <c r="EU175" s="47" t="s">
        <v>0</v>
      </c>
      <c r="EV175" s="19" t="str">
        <f t="shared" si="179"/>
        <v>INSERT INTO rezultat(id,stazakategorija_id,imeprezime_id,vrijeme_sec,status_id,registracija,uparivanje_id,originalstatus_id,imeprezimealias_id,klubalias_id,kategorijaalias_id) VALUES (339,32,1484,2673,1,1,3,0,Null,1,Null);</v>
      </c>
      <c r="EW175" s="47" t="s">
        <v>0</v>
      </c>
      <c r="EX175" s="19" t="str">
        <f t="shared" si="180"/>
        <v>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Y175" s="47" t="s">
        <v>0</v>
      </c>
      <c r="EZ175" s="180" t="str">
        <f>AG175&amp;IF(CP175="","","
")&amp;CP175&amp;IF(CI175="","","
")&amp;CI175&amp;IF(DN175="","","
")&amp;DN175&amp;IF(DP175="","","
")&amp;DP175&amp;IF(EV175="","","
")&amp;EV175&amp;IF(EX175="","","
")&amp;EX175</f>
        <v xml:space="preserve">
INSERT INTO rezultat(id,stazakategorija_id,imeprezime_id,vrijeme_sec,status_id,registracija,uparivanje_id,originalstatus_id,imeprezimealias_id,klubalias_id,kategorijaalias_id) VALUES (339,32,1484,2673,1,1,3,0,Null,1,Null);
UPDATE
	registar
SET
	potvrda = 1
WHERE
	imeprezime_id=1484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FA175" s="47" t="s">
        <v>0</v>
      </c>
    </row>
    <row r="176" spans="1:157" x14ac:dyDescent="0.25">
      <c r="A176" t="s">
        <v>0</v>
      </c>
      <c r="B176" s="52" t="str">
        <f>IF(csv!F166="","",csv!T166)</f>
        <v>M65</v>
      </c>
      <c r="C176" s="31" t="s">
        <v>0</v>
      </c>
      <c r="D176" s="31" t="str">
        <f>IF(csv!F166="","",csv!F166)</f>
        <v>Ivica</v>
      </c>
      <c r="E176" s="31" t="str">
        <f>IF(csv!E166="","",csv!E166)</f>
        <v>Mesić</v>
      </c>
      <c r="F176" s="31" t="s">
        <v>0</v>
      </c>
      <c r="G176" s="73" t="str">
        <f>IF(csv!M166="","",csv!M166)</f>
        <v>55:12</v>
      </c>
      <c r="H176" s="73" t="str">
        <f>IF(csv!N166="","",csv!N166)</f>
        <v>0</v>
      </c>
      <c r="I176" s="31" t="s">
        <v>0</v>
      </c>
      <c r="J176" s="31" t="str">
        <f>IF(csv!P166="","",csv!P166)</f>
        <v>Vihor</v>
      </c>
      <c r="K176" s="31" t="str">
        <f>IF(csv!Q166="","",csv!Q166)</f>
        <v>OK Vihor</v>
      </c>
      <c r="L176" s="31" t="s">
        <v>0</v>
      </c>
      <c r="M176" s="66" t="str">
        <f>IF(csv!R166="","",csv!R166)</f>
        <v>CRO</v>
      </c>
      <c r="N176" s="47" t="s">
        <v>0</v>
      </c>
      <c r="O176" s="243" t="str">
        <f t="shared" si="151"/>
        <v>ok</v>
      </c>
      <c r="P176" s="47"/>
      <c r="Q176" s="52" t="str">
        <f t="shared" si="152"/>
        <v>M65</v>
      </c>
      <c r="R176" s="73">
        <f>IF(Q176="","",IF(COUNTIF(Q$12:Q175,Q176)=0,R175+1,R175))</f>
        <v>10</v>
      </c>
      <c r="S176" s="73">
        <f t="shared" si="153"/>
        <v>104</v>
      </c>
      <c r="T176" s="73">
        <f t="shared" si="128"/>
        <v>15</v>
      </c>
      <c r="U176" s="66" t="str">
        <f t="shared" si="129"/>
        <v>M70 – M65</v>
      </c>
      <c r="V176" s="47" t="s">
        <v>0</v>
      </c>
      <c r="W176" s="222" t="str">
        <f t="shared" si="130"/>
        <v>M65</v>
      </c>
      <c r="X176" s="223">
        <f t="shared" si="131"/>
        <v>32</v>
      </c>
      <c r="Y176" s="47" t="s">
        <v>0</v>
      </c>
      <c r="Z176" s="52" t="str">
        <f t="shared" si="154"/>
        <v>CRO</v>
      </c>
      <c r="AA176" s="73">
        <f t="shared" si="132"/>
        <v>1</v>
      </c>
      <c r="AB176" s="31" t="str">
        <f t="shared" si="155"/>
        <v/>
      </c>
      <c r="AC176" s="66" t="str">
        <f>IF(AB176="","",MAX(AC$12:AC175)+1)</f>
        <v/>
      </c>
      <c r="AD176" s="47" t="s">
        <v>0</v>
      </c>
      <c r="AE176" s="125"/>
      <c r="AF176" s="47" t="s">
        <v>0</v>
      </c>
      <c r="AG176" s="19" t="str">
        <f t="shared" si="156"/>
        <v/>
      </c>
      <c r="AH176" s="47" t="s">
        <v>0</v>
      </c>
      <c r="AI176" s="143" t="str">
        <f t="shared" si="157"/>
        <v>CRO</v>
      </c>
      <c r="AJ176" s="47"/>
      <c r="AK176" s="52" t="str">
        <f t="shared" si="158"/>
        <v>Ivica</v>
      </c>
      <c r="AL176" s="31" t="str">
        <f t="shared" si="159"/>
        <v>Mesić</v>
      </c>
      <c r="AM176" s="73">
        <f t="shared" si="160"/>
        <v>1548</v>
      </c>
      <c r="AN176" s="73" t="str">
        <f t="shared" si="161"/>
        <v/>
      </c>
      <c r="AO176" s="31" t="str">
        <f t="shared" si="133"/>
        <v>Ivica</v>
      </c>
      <c r="AP176" s="66" t="str">
        <f t="shared" si="134"/>
        <v>Mesić</v>
      </c>
      <c r="AQ176" s="47" t="s">
        <v>0</v>
      </c>
      <c r="AR176" s="82" t="str">
        <f t="shared" si="162"/>
        <v/>
      </c>
      <c r="AS176" s="47" t="s">
        <v>0</v>
      </c>
      <c r="AT176" s="19" t="str">
        <f t="shared" si="163"/>
        <v/>
      </c>
      <c r="AU176" s="47" t="s">
        <v>0</v>
      </c>
      <c r="AV176" s="103"/>
      <c r="AW176" s="105"/>
      <c r="AX176" s="47" t="s">
        <v>0</v>
      </c>
      <c r="AY176" s="256" t="str">
        <f t="shared" si="181"/>
        <v/>
      </c>
      <c r="AZ176" s="47" t="s">
        <v>0</v>
      </c>
      <c r="BA176" s="52" t="str">
        <f t="shared" si="135"/>
        <v/>
      </c>
      <c r="BB176" s="73" t="str">
        <f>IF(AV176&amp;AW176="","",MAX(BB$12:BB175)+1)</f>
        <v/>
      </c>
      <c r="BC176" s="268" t="str">
        <f t="shared" si="136"/>
        <v/>
      </c>
      <c r="BD176" s="53" t="str">
        <f>IF(AND(AM176="NEMA",AN176="NEMA",OR(AV176&amp;AW176="",BC176="NEMA")),MAX(BD$12:BD175)+1,"")</f>
        <v/>
      </c>
      <c r="BE176" s="47" t="s">
        <v>0</v>
      </c>
      <c r="BF176" s="52" t="str">
        <f t="shared" si="137"/>
        <v>Ivica</v>
      </c>
      <c r="BG176" s="31" t="str">
        <f t="shared" si="138"/>
        <v>Mesić</v>
      </c>
      <c r="BH176" s="73" t="str">
        <f t="shared" si="164"/>
        <v/>
      </c>
      <c r="BI176" s="53">
        <f t="shared" si="165"/>
        <v>1548</v>
      </c>
      <c r="BJ176" s="47" t="s">
        <v>0</v>
      </c>
      <c r="BK176" s="52" t="str">
        <f t="shared" si="139"/>
        <v>Vihor</v>
      </c>
      <c r="BL176" s="31" t="str">
        <f t="shared" si="140"/>
        <v>OK Vihor</v>
      </c>
      <c r="BM176" s="73">
        <f t="shared" si="141"/>
        <v>12</v>
      </c>
      <c r="BN176" s="73" t="str">
        <f t="shared" si="142"/>
        <v/>
      </c>
      <c r="BO176" s="31" t="str" cm="1">
        <f t="array" ref="BO176">IF(BN176="",""&amp;BL176,IF(BN176="NEMA",BL176,INDEX(regKlub_naziv,MATCH(INDEX(regKlub_alias_klubId,BN176),regKlub_id,0))))</f>
        <v>OK Vihor</v>
      </c>
      <c r="BP176" s="31" t="str" cm="1">
        <f t="array" ref="BP176">IFERROR(""&amp;INDEX(regNatjecatelj_klub,DY176),"")</f>
        <v>OK Vihor</v>
      </c>
      <c r="BQ176" s="88" t="str">
        <f t="shared" si="166"/>
        <v/>
      </c>
      <c r="BR176" s="66" t="str">
        <f t="shared" si="167"/>
        <v>OK Vihor</v>
      </c>
      <c r="BS176" s="47" t="s">
        <v>0</v>
      </c>
      <c r="BT176" s="82" t="str">
        <f>IF(BN176&lt;&gt;"NEMA","",IF(IFERROR(MATCH(BL176,BL$12:BL175,0),0)&lt;&gt;0,"",BL176))</f>
        <v/>
      </c>
      <c r="BU176" s="47" t="s">
        <v>0</v>
      </c>
      <c r="BV176" s="125"/>
      <c r="BW176" s="47" t="s">
        <v>0</v>
      </c>
      <c r="BX176" s="58" t="str">
        <f t="shared" si="168"/>
        <v/>
      </c>
      <c r="BY176" s="31" t="str">
        <f t="shared" si="169"/>
        <v/>
      </c>
      <c r="BZ176" s="31" t="str">
        <f>IF(BY176="","",MAX(BZ$12:BZ175)+1)</f>
        <v/>
      </c>
      <c r="CA176" s="31" t="str">
        <f>IF(BY176="","",IF(AA176="","",IF(AA176="NEMA",AC176,AA176)))</f>
        <v/>
      </c>
      <c r="CB176" s="31" t="str">
        <f t="shared" si="170"/>
        <v/>
      </c>
      <c r="CC176" s="31" t="str">
        <f>IF(BV176="","",MAX(CC$12:CC175)+1)</f>
        <v/>
      </c>
      <c r="CD176" s="31" t="str">
        <f t="shared" si="171"/>
        <v/>
      </c>
      <c r="CE176" s="66" t="str">
        <f t="shared" si="172"/>
        <v/>
      </c>
      <c r="CF176" s="47" t="s">
        <v>0</v>
      </c>
      <c r="CG176" s="73" t="str">
        <f>IF(BN176="","",IF(BN176&lt;&gt;"NEMA","",IFERROR(INDEX(nat_klubAliasId,MATCH(BL176,nat_noviKluboviAliasi,0)),"")))</f>
        <v/>
      </c>
      <c r="CH176" s="47"/>
      <c r="CI176" s="19" t="str">
        <f t="shared" si="173"/>
        <v/>
      </c>
      <c r="CJ176" s="47" t="s">
        <v>0</v>
      </c>
      <c r="CK176" s="52" t="str">
        <f>IF(X176&lt;&gt;"NEMA","",IF(IFERROR(MATCH(W176,W$12:W175,0),0)&lt;&gt;0,"",W176))</f>
        <v/>
      </c>
      <c r="CL176" s="73" t="str">
        <f>IF(CK176="","",IFERROR(INDEX(regKlub_alias_id,MATCH(CK176,regKlub_alias_alias,0)),"NEMA"))</f>
        <v/>
      </c>
      <c r="CM176" s="31" t="str">
        <f>IF(OR(CL176="",CL176&lt;&gt;"NEMA"),"",MAX(CM$12:CM175)+1)</f>
        <v/>
      </c>
      <c r="CN176" s="66" t="str">
        <f>IF(OR(CL176="",CL176&lt;&gt;"NEMA"),"",INDEX(regKlub_id,MATCH(CK176,regKlub_naziv,0)))</f>
        <v/>
      </c>
      <c r="CO176" s="47" t="s">
        <v>0</v>
      </c>
      <c r="CP176" s="19" t="str">
        <f>IF(OR(CL176="",CL176&lt;&gt;"NEMA"),"","INSERT INTO klub_alias(id,alias,klub_id) VALUES ("&amp;CM176&amp;",'"&amp;CK176&amp;"',"&amp;CN176&amp;");")</f>
        <v/>
      </c>
      <c r="CQ176" s="47" t="s">
        <v>0</v>
      </c>
      <c r="CR176" s="143" t="str">
        <f>IF(BR176="","",IF(BV176="",IF(IFERROR(MATCH(BR176,nat_noviKluboviAliasi,0),0)&gt;0,INDEX(nat_kluboviAliasi,MATCH(BR176,nat_noviKluboviAliasi,0)),BR176),BV176))</f>
        <v>OK Vihor</v>
      </c>
      <c r="CS176" s="47" t="s">
        <v>0</v>
      </c>
      <c r="CT176" s="58" t="str">
        <f>IF(G176="","",G176)</f>
        <v>55:12</v>
      </c>
      <c r="CU176" s="73" t="str">
        <f>IF(H176="","",H176)</f>
        <v>0</v>
      </c>
      <c r="CV176" s="229" t="str">
        <f>IF(CT176="",IF(OR(AL176="",CU176&lt;&gt;"0"),"","GREŠKA"),IF(AND(65535&gt;=VALUE(LEFT(CT176,SEARCH(":",CT176)-1))*60+VALUE(RIGHT(CT176,2)),OR(CU176="0",CU176="1",CU176="2",CU176="3",CU176="4")),"","GREŠKA"))</f>
        <v/>
      </c>
      <c r="CW176" s="230">
        <f t="shared" si="127"/>
        <v>3312</v>
      </c>
      <c r="CX176" s="163">
        <f t="shared" si="143"/>
        <v>1</v>
      </c>
      <c r="CY176" s="47" t="s">
        <v>0</v>
      </c>
      <c r="CZ176" s="222" t="str">
        <f>IF(CV176&lt;&gt;"GREŠKA","",AK176&amp;" "&amp;AL176&amp;" – Molim u OEventu provjeriti i ispraviti rezultat – vrijeme ("&amp;IF(CT176="","nije upisano",CT176)&amp;") i classifier ("&amp;CU176&amp;").")&amp;IF(OR(CV176&lt;&gt;"GREŠKA",CX176&lt;&gt;5),"
","")&amp;IF(CX176&lt;&gt;5,"",AK176&amp;" "&amp;AL176&amp;" – Molim u provjeriti je li natjecatelj zaista diskvalificiran. Ako je koje je obrazloženje, ako nije molim u OEventu ispraviti rezultat")</f>
        <v xml:space="preserve">
</v>
      </c>
      <c r="DA176" s="223">
        <f t="shared" si="174"/>
        <v>6</v>
      </c>
      <c r="DB176" s="47" t="s">
        <v>0</v>
      </c>
      <c r="DC176" s="47"/>
      <c r="DD176" s="47"/>
      <c r="DE176" s="47"/>
      <c r="DF176" s="47" t="s">
        <v>0</v>
      </c>
      <c r="DG176" s="53" t="str">
        <f>IF(BD176="","",IF(DI176="O",1,""))</f>
        <v/>
      </c>
      <c r="DH176" t="s">
        <v>0</v>
      </c>
      <c r="DI176" s="128" t="str">
        <f>IF(Q176="","",LEFT(INDEX(regKategorija_oznaka,MATCH(S176,regKategorija_id,0)),1))</f>
        <v>M</v>
      </c>
      <c r="DJ176" t="s">
        <v>0</v>
      </c>
      <c r="DK176" s="52" t="str">
        <f>IF(BD176="","",IF(M176&lt;&gt;"CRO","","INSERT INTO osoba (id,reg_broj,oib,spol_id,dat_rodjenja) VALUES ("&amp;BD176&amp;",(SELECT max(os.reg_broj)+1 FROM osoba AS os),Null,'"&amp;DI176&amp;"',Null); INSERT INTO osoba_log (id,reg_broj,oib,spol_id,dat_rodjenja,dnevnik_id) SELECT id,reg_broj,oib,spol_id,dat_rodjenja,"&amp;data_dnevnik_id&amp;" FROM osoba WHERE id = "&amp;BD176&amp;";"))</f>
        <v/>
      </c>
      <c r="DL176" s="66" t="str">
        <f>IF(BD176="","","INSERT INTO imeprezime (id,osoba_id,rbr,ime,prezime,klub_id,identitet_id,sintaksa_id,info,aktivno,dnevnik_id) VALUES ("&amp;BD176&amp;","&amp;IF(DK176="","Null",BD176)&amp;",1,'"&amp;IF(AV176&lt;&gt;"",AV176,AK176)&amp;"','"&amp;IF(AW176&lt;&gt;"",AW176,AL176)&amp;"',(SELECT id FROM klub WHERE naziv = '"&amp;CR176&amp;"'),Null,1,'',1,"&amp;data_dnevnik_id&amp;");")</f>
        <v/>
      </c>
      <c r="DM176" t="s">
        <v>0</v>
      </c>
      <c r="DN176" s="19" t="str">
        <f t="shared" si="182"/>
        <v/>
      </c>
      <c r="DO176" s="47" t="s">
        <v>0</v>
      </c>
      <c r="DP176" s="19" t="str">
        <f>IF(BA176="","","INSERT INTO imeprezime_alias(id,alias,imeprezime_id) VALUES ("&amp;BB176&amp;",'"&amp;BA176&amp;"',"&amp;IF(BC176="NEMA",BD176,BC176)&amp;");")</f>
        <v/>
      </c>
      <c r="DQ176" s="47" t="s">
        <v>0</v>
      </c>
      <c r="DR176" s="52" t="str">
        <f>IF(AL176="","",DU176 &amp; IF(Q176="",""," – " &amp; Q176))</f>
        <v>Ivica – Mesić – OK Vihor – M65</v>
      </c>
      <c r="DS176" s="53">
        <f t="shared" si="144"/>
        <v>802</v>
      </c>
      <c r="DT176" s="47" t="s">
        <v>0</v>
      </c>
      <c r="DU176" s="52" t="str">
        <f>IF(AL176="","",DX176 &amp; IF(CR176="",""," – " &amp; CR176))</f>
        <v>Ivica – Mesić – OK Vihor</v>
      </c>
      <c r="DV176" s="53">
        <f t="shared" si="145"/>
        <v>802</v>
      </c>
      <c r="DW176" s="47" t="s">
        <v>0</v>
      </c>
      <c r="DX176" s="52" t="str">
        <f>IF(BG176="","",BF176&amp;" – "&amp;BG176)</f>
        <v>Ivica – Mesić</v>
      </c>
      <c r="DY176" s="53">
        <f t="shared" si="146"/>
        <v>802</v>
      </c>
      <c r="DZ176" s="47" t="s">
        <v>0</v>
      </c>
      <c r="EA176" s="58">
        <f t="shared" si="175"/>
        <v>802</v>
      </c>
      <c r="EB176" s="53" cm="1">
        <f t="array" ref="EB176">IF(EA176&lt;&gt;"",INDEX(regNatjecatelj_id,EA176,0),IF(BD176&lt;&gt;"",BD176,""))</f>
        <v>1548</v>
      </c>
      <c r="EC176" s="47" t="s">
        <v>0</v>
      </c>
      <c r="ED176" s="58" t="str">
        <f>IF(AL176="","",IF(BD176&lt;&gt;"","novo",IF(AN176="","imepre","imepre(ali)")))</f>
        <v>imepre</v>
      </c>
      <c r="EE176" s="73" t="str">
        <f>IF(AL176="","",IF(BL176="",IF(IFERROR(INDEX(regNatjecatelj_klub,MATCH(EB176,regNatjecatelj_id,0)),"NEMA")="","klu",""),IF(OR(AND(BN176&lt;&gt;"",BN176&lt;&gt;"NEMA"),CD176&lt;&gt;""),"klu(ali)",IF(AND(BP176&lt;&gt;"",BP176&lt;&gt;BO176),"(raz-klu)","klu"))))</f>
        <v>klu</v>
      </c>
      <c r="EF176" s="73" t="str">
        <f>IF(AL176="","","kat"&amp;IF(AND(W176&lt;&gt;Q176,Q176&lt;&gt;"Open"),"(ali)",""))</f>
        <v>kat</v>
      </c>
      <c r="EG176" s="73" t="str">
        <f t="shared" si="147"/>
        <v/>
      </c>
      <c r="EH176" s="66" t="str">
        <f>IF(AL176="","",ED176&amp;IF(ED176="novo","","-"&amp;EE176&amp;"-"&amp;EF176)&amp;IF(EG176="","","-"&amp;EG176))</f>
        <v>imepre-klu-kat</v>
      </c>
      <c r="EI176" s="47" t="s">
        <v>0</v>
      </c>
      <c r="EJ176" s="58">
        <f>IF(AL176="","",MAX(EJ$12:EJ175)+1)</f>
        <v>340</v>
      </c>
      <c r="EK176" s="73">
        <f>IF(AO176="","",X176)</f>
        <v>32</v>
      </c>
      <c r="EL176" s="73">
        <f t="shared" si="176"/>
        <v>1548</v>
      </c>
      <c r="EM176" s="73">
        <f t="shared" si="148"/>
        <v>3312</v>
      </c>
      <c r="EN176" s="73">
        <f t="shared" si="149"/>
        <v>1</v>
      </c>
      <c r="EO176" s="73">
        <f t="shared" si="177"/>
        <v>1</v>
      </c>
      <c r="EP176" s="73">
        <f t="shared" si="178"/>
        <v>1</v>
      </c>
      <c r="EQ176" s="73" t="str">
        <f t="shared" si="150"/>
        <v>0</v>
      </c>
      <c r="ER176" s="73" t="str">
        <f>IF(OR(AN176="",AN176="NEMA"),BB176,AN176)</f>
        <v/>
      </c>
      <c r="ES176" s="73" t="str">
        <f>IF(AND(BN176&lt;&gt;"",BN176&lt;&gt;"NEMA"),BN176,IF(CG176&lt;&gt;"",CG176,IF(AND(CL176&lt;&gt;"",CL176&lt;&gt;"NEMA"),CL176,IF(CM176&lt;&gt;"",CM176,""))))</f>
        <v/>
      </c>
      <c r="ET176" s="53" t="str">
        <f>IF(INDEX(natKategorija_alias_Id,MATCH(S176,natKategorija_katRegId,0))="","",INDEX(natKategorija_alias_Id,MATCH(S176,natKategorija_katRegId,0)))</f>
        <v/>
      </c>
      <c r="EU176" s="47" t="s">
        <v>0</v>
      </c>
      <c r="EV176" s="19" t="str">
        <f t="shared" si="179"/>
        <v>INSERT INTO rezultat(id,stazakategorija_id,imeprezime_id,vrijeme_sec,status_id,registracija,uparivanje_id,originalstatus_id,imeprezimealias_id,klubalias_id,kategorijaalias_id) VALUES (340,32,1548,3312,1,1,1,0,Null,Null,Null);</v>
      </c>
      <c r="EW176" s="47" t="s">
        <v>0</v>
      </c>
      <c r="EX176" s="19" t="str">
        <f t="shared" si="180"/>
        <v>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Y176" s="47" t="s">
        <v>0</v>
      </c>
      <c r="EZ176" s="180" t="str">
        <f>AG176&amp;IF(CP176="","","
")&amp;CP176&amp;IF(CI176="","","
")&amp;CI176&amp;IF(DN176="","","
")&amp;DN176&amp;IF(DP176="","","
")&amp;DP176&amp;IF(EV176="","","
")&amp;EV176&amp;IF(EX176="","","
")&amp;EX176</f>
        <v xml:space="preserve">
INSERT INTO rezultat(id,stazakategorija_id,imeprezime_id,vrijeme_sec,status_id,registracija,uparivanje_id,originalstatus_id,imeprezimealias_id,klubalias_id,kategorijaalias_id) VALUES (340,32,1548,3312,1,1,1,0,Null,Null,Null);
UPDATE
	registar
SET
	potvrda = 1
WHERE
	imeprezime_id=1548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FA176" s="47" t="s">
        <v>0</v>
      </c>
    </row>
    <row r="177" spans="1:157" x14ac:dyDescent="0.25">
      <c r="A177" t="s">
        <v>0</v>
      </c>
      <c r="B177" s="52" t="str">
        <f>IF(csv!F167="","",csv!T167)</f>
        <v>M65</v>
      </c>
      <c r="C177" s="31" t="s">
        <v>0</v>
      </c>
      <c r="D177" s="31" t="str">
        <f>IF(csv!F167="","",csv!F167)</f>
        <v>Tomislav</v>
      </c>
      <c r="E177" s="31" t="str">
        <f>IF(csv!E167="","",csv!E167)</f>
        <v>Pavić</v>
      </c>
      <c r="F177" s="31" t="s">
        <v>0</v>
      </c>
      <c r="G177" s="73" t="str">
        <f>IF(csv!M167="","",csv!M167)</f>
        <v>94:04</v>
      </c>
      <c r="H177" s="73" t="str">
        <f>IF(csv!N167="","",csv!N167)</f>
        <v>0</v>
      </c>
      <c r="I177" s="31" t="s">
        <v>0</v>
      </c>
      <c r="J177" s="31" t="str">
        <f>IF(csv!P167="","",csv!P167)</f>
        <v>Vihor</v>
      </c>
      <c r="K177" s="31" t="str">
        <f>IF(csv!Q167="","",csv!Q167)</f>
        <v>OK Vihor</v>
      </c>
      <c r="L177" s="31" t="s">
        <v>0</v>
      </c>
      <c r="M177" s="66" t="str">
        <f>IF(csv!R167="","",csv!R167)</f>
        <v>CRO</v>
      </c>
      <c r="N177" s="47" t="s">
        <v>0</v>
      </c>
      <c r="O177" s="243" t="str">
        <f t="shared" si="151"/>
        <v>ok</v>
      </c>
      <c r="P177" s="47"/>
      <c r="Q177" s="52" t="str">
        <f t="shared" si="152"/>
        <v>M65</v>
      </c>
      <c r="R177" s="73">
        <f>IF(Q177="","",IF(COUNTIF(Q$12:Q176,Q177)=0,R176+1,R176))</f>
        <v>10</v>
      </c>
      <c r="S177" s="73">
        <f t="shared" si="153"/>
        <v>104</v>
      </c>
      <c r="T177" s="73">
        <f t="shared" si="128"/>
        <v>15</v>
      </c>
      <c r="U177" s="66" t="str">
        <f t="shared" si="129"/>
        <v>M70 – M65</v>
      </c>
      <c r="V177" s="47" t="s">
        <v>0</v>
      </c>
      <c r="W177" s="222" t="str">
        <f t="shared" si="130"/>
        <v>M65</v>
      </c>
      <c r="X177" s="223">
        <f t="shared" si="131"/>
        <v>32</v>
      </c>
      <c r="Y177" s="47" t="s">
        <v>0</v>
      </c>
      <c r="Z177" s="52" t="str">
        <f t="shared" si="154"/>
        <v>CRO</v>
      </c>
      <c r="AA177" s="73">
        <f t="shared" si="132"/>
        <v>1</v>
      </c>
      <c r="AB177" s="31" t="str">
        <f t="shared" si="155"/>
        <v/>
      </c>
      <c r="AC177" s="66" t="str">
        <f>IF(AB177="","",MAX(AC$12:AC176)+1)</f>
        <v/>
      </c>
      <c r="AD177" s="47" t="s">
        <v>0</v>
      </c>
      <c r="AE177" s="125"/>
      <c r="AF177" s="47" t="s">
        <v>0</v>
      </c>
      <c r="AG177" s="19" t="str">
        <f t="shared" si="156"/>
        <v/>
      </c>
      <c r="AH177" s="47" t="s">
        <v>0</v>
      </c>
      <c r="AI177" s="143" t="str">
        <f t="shared" si="157"/>
        <v>CRO</v>
      </c>
      <c r="AJ177" s="47"/>
      <c r="AK177" s="52" t="str">
        <f t="shared" si="158"/>
        <v>Tomislav</v>
      </c>
      <c r="AL177" s="31" t="str">
        <f t="shared" si="159"/>
        <v>Pavić</v>
      </c>
      <c r="AM177" s="73">
        <f t="shared" si="160"/>
        <v>1145</v>
      </c>
      <c r="AN177" s="73" t="str">
        <f t="shared" si="161"/>
        <v/>
      </c>
      <c r="AO177" s="31" t="str">
        <f t="shared" si="133"/>
        <v>Tomislav</v>
      </c>
      <c r="AP177" s="66" t="str">
        <f t="shared" si="134"/>
        <v>Pavić</v>
      </c>
      <c r="AQ177" s="47" t="s">
        <v>0</v>
      </c>
      <c r="AR177" s="82" t="str">
        <f t="shared" si="162"/>
        <v/>
      </c>
      <c r="AS177" s="47" t="s">
        <v>0</v>
      </c>
      <c r="AT177" s="19" t="str">
        <f t="shared" si="163"/>
        <v/>
      </c>
      <c r="AU177" s="47" t="s">
        <v>0</v>
      </c>
      <c r="AV177" s="103"/>
      <c r="AW177" s="105"/>
      <c r="AX177" s="47" t="s">
        <v>0</v>
      </c>
      <c r="AY177" s="256" t="str">
        <f t="shared" si="181"/>
        <v/>
      </c>
      <c r="AZ177" s="47" t="s">
        <v>0</v>
      </c>
      <c r="BA177" s="52" t="str">
        <f t="shared" si="135"/>
        <v/>
      </c>
      <c r="BB177" s="73" t="str">
        <f>IF(AV177&amp;AW177="","",MAX(BB$12:BB176)+1)</f>
        <v/>
      </c>
      <c r="BC177" s="268" t="str">
        <f t="shared" si="136"/>
        <v/>
      </c>
      <c r="BD177" s="53" t="str">
        <f>IF(AND(AM177="NEMA",AN177="NEMA",OR(AV177&amp;AW177="",BC177="NEMA")),MAX(BD$12:BD176)+1,"")</f>
        <v/>
      </c>
      <c r="BE177" s="47" t="s">
        <v>0</v>
      </c>
      <c r="BF177" s="52" t="str">
        <f t="shared" si="137"/>
        <v>Tomislav</v>
      </c>
      <c r="BG177" s="31" t="str">
        <f t="shared" si="138"/>
        <v>Pavić</v>
      </c>
      <c r="BH177" s="73" t="str">
        <f t="shared" si="164"/>
        <v/>
      </c>
      <c r="BI177" s="53">
        <f t="shared" si="165"/>
        <v>1145</v>
      </c>
      <c r="BJ177" s="47" t="s">
        <v>0</v>
      </c>
      <c r="BK177" s="52" t="str">
        <f t="shared" si="139"/>
        <v>Vihor</v>
      </c>
      <c r="BL177" s="31" t="str">
        <f t="shared" si="140"/>
        <v>OK Vihor</v>
      </c>
      <c r="BM177" s="73">
        <f t="shared" si="141"/>
        <v>12</v>
      </c>
      <c r="BN177" s="73" t="str">
        <f t="shared" si="142"/>
        <v/>
      </c>
      <c r="BO177" s="31" t="str" cm="1">
        <f t="array" ref="BO177">IF(BN177="",""&amp;BL177,IF(BN177="NEMA",BL177,INDEX(regKlub_naziv,MATCH(INDEX(regKlub_alias_klubId,BN177),regKlub_id,0))))</f>
        <v>OK Vihor</v>
      </c>
      <c r="BP177" s="31" t="str" cm="1">
        <f t="array" ref="BP177">IFERROR(""&amp;INDEX(regNatjecatelj_klub,DY177),"")</f>
        <v>OK Vihor</v>
      </c>
      <c r="BQ177" s="88" t="str">
        <f t="shared" si="166"/>
        <v/>
      </c>
      <c r="BR177" s="66" t="str">
        <f t="shared" si="167"/>
        <v>OK Vihor</v>
      </c>
      <c r="BS177" s="47" t="s">
        <v>0</v>
      </c>
      <c r="BT177" s="82" t="str">
        <f>IF(BN177&lt;&gt;"NEMA","",IF(IFERROR(MATCH(BL177,BL$12:BL176,0),0)&lt;&gt;0,"",BL177))</f>
        <v/>
      </c>
      <c r="BU177" s="47" t="s">
        <v>0</v>
      </c>
      <c r="BV177" s="125"/>
      <c r="BW177" s="47" t="s">
        <v>0</v>
      </c>
      <c r="BX177" s="58" t="str">
        <f t="shared" si="168"/>
        <v/>
      </c>
      <c r="BY177" s="31" t="str">
        <f t="shared" si="169"/>
        <v/>
      </c>
      <c r="BZ177" s="31" t="str">
        <f>IF(BY177="","",MAX(BZ$12:BZ176)+1)</f>
        <v/>
      </c>
      <c r="CA177" s="31" t="str">
        <f>IF(BY177="","",IF(AA177="","",IF(AA177="NEMA",AC177,AA177)))</f>
        <v/>
      </c>
      <c r="CB177" s="31" t="str">
        <f t="shared" si="170"/>
        <v/>
      </c>
      <c r="CC177" s="31" t="str">
        <f>IF(BV177="","",MAX(CC$12:CC176)+1)</f>
        <v/>
      </c>
      <c r="CD177" s="31" t="str">
        <f t="shared" si="171"/>
        <v/>
      </c>
      <c r="CE177" s="66" t="str">
        <f t="shared" si="172"/>
        <v/>
      </c>
      <c r="CF177" s="47" t="s">
        <v>0</v>
      </c>
      <c r="CG177" s="73" t="str">
        <f>IF(BN177="","",IF(BN177&lt;&gt;"NEMA","",IFERROR(INDEX(nat_klubAliasId,MATCH(BL177,nat_noviKluboviAliasi,0)),"")))</f>
        <v/>
      </c>
      <c r="CH177" s="47"/>
      <c r="CI177" s="19" t="str">
        <f t="shared" si="173"/>
        <v/>
      </c>
      <c r="CJ177" s="47" t="s">
        <v>0</v>
      </c>
      <c r="CK177" s="52" t="str">
        <f>IF(X177&lt;&gt;"NEMA","",IF(IFERROR(MATCH(W177,W$12:W176,0),0)&lt;&gt;0,"",W177))</f>
        <v/>
      </c>
      <c r="CL177" s="73" t="str">
        <f>IF(CK177="","",IFERROR(INDEX(regKlub_alias_id,MATCH(CK177,regKlub_alias_alias,0)),"NEMA"))</f>
        <v/>
      </c>
      <c r="CM177" s="31" t="str">
        <f>IF(OR(CL177="",CL177&lt;&gt;"NEMA"),"",MAX(CM$12:CM176)+1)</f>
        <v/>
      </c>
      <c r="CN177" s="66" t="str">
        <f>IF(OR(CL177="",CL177&lt;&gt;"NEMA"),"",INDEX(regKlub_id,MATCH(CK177,regKlub_naziv,0)))</f>
        <v/>
      </c>
      <c r="CO177" s="47" t="s">
        <v>0</v>
      </c>
      <c r="CP177" s="19" t="str">
        <f>IF(OR(CL177="",CL177&lt;&gt;"NEMA"),"","INSERT INTO klub_alias(id,alias,klub_id) VALUES ("&amp;CM177&amp;",'"&amp;CK177&amp;"',"&amp;CN177&amp;");")</f>
        <v/>
      </c>
      <c r="CQ177" s="47" t="s">
        <v>0</v>
      </c>
      <c r="CR177" s="143" t="str">
        <f>IF(BR177="","",IF(BV177="",IF(IFERROR(MATCH(BR177,nat_noviKluboviAliasi,0),0)&gt;0,INDEX(nat_kluboviAliasi,MATCH(BR177,nat_noviKluboviAliasi,0)),BR177),BV177))</f>
        <v>OK Vihor</v>
      </c>
      <c r="CS177" s="47" t="s">
        <v>0</v>
      </c>
      <c r="CT177" s="58" t="str">
        <f>IF(G177="","",G177)</f>
        <v>94:04</v>
      </c>
      <c r="CU177" s="73" t="str">
        <f>IF(H177="","",H177)</f>
        <v>0</v>
      </c>
      <c r="CV177" s="229" t="str">
        <f>IF(CT177="",IF(OR(AL177="",CU177&lt;&gt;"0"),"","GREŠKA"),IF(AND(65535&gt;=VALUE(LEFT(CT177,SEARCH(":",CT177)-1))*60+VALUE(RIGHT(CT177,2)),OR(CU177="0",CU177="1",CU177="2",CU177="3",CU177="4")),"","GREŠKA"))</f>
        <v/>
      </c>
      <c r="CW177" s="230">
        <f t="shared" si="127"/>
        <v>5644</v>
      </c>
      <c r="CX177" s="163">
        <f t="shared" si="143"/>
        <v>1</v>
      </c>
      <c r="CY177" s="47" t="s">
        <v>0</v>
      </c>
      <c r="CZ177" s="222" t="str">
        <f>IF(CV177&lt;&gt;"GREŠKA","",AK177&amp;" "&amp;AL177&amp;" – Molim u OEventu provjeriti i ispraviti rezultat – vrijeme ("&amp;IF(CT177="","nije upisano",CT177)&amp;") i classifier ("&amp;CU177&amp;").")&amp;IF(OR(CV177&lt;&gt;"GREŠKA",CX177&lt;&gt;5),"
","")&amp;IF(CX177&lt;&gt;5,"",AK177&amp;" "&amp;AL177&amp;" – Molim u provjeriti je li natjecatelj zaista diskvalificiran. Ako je koje je obrazloženje, ako nije molim u OEventu ispraviti rezultat")</f>
        <v xml:space="preserve">
</v>
      </c>
      <c r="DA177" s="223">
        <f t="shared" si="174"/>
        <v>6</v>
      </c>
      <c r="DB177" s="47" t="s">
        <v>0</v>
      </c>
      <c r="DC177" s="47"/>
      <c r="DD177" s="47"/>
      <c r="DE177" s="47"/>
      <c r="DF177" s="47" t="s">
        <v>0</v>
      </c>
      <c r="DG177" s="53" t="str">
        <f>IF(BD177="","",IF(DI177="O",1,""))</f>
        <v/>
      </c>
      <c r="DH177" t="s">
        <v>0</v>
      </c>
      <c r="DI177" s="128" t="str">
        <f>IF(Q177="","",LEFT(INDEX(regKategorija_oznaka,MATCH(S177,regKategorija_id,0)),1))</f>
        <v>M</v>
      </c>
      <c r="DJ177" t="s">
        <v>0</v>
      </c>
      <c r="DK177" s="52" t="str">
        <f>IF(BD177="","",IF(M177&lt;&gt;"CRO","","INSERT INTO osoba (id,reg_broj,oib,spol_id,dat_rodjenja) VALUES ("&amp;BD177&amp;",(SELECT max(os.reg_broj)+1 FROM osoba AS os),Null,'"&amp;DI177&amp;"',Null); INSERT INTO osoba_log (id,reg_broj,oib,spol_id,dat_rodjenja,dnevnik_id) SELECT id,reg_broj,oib,spol_id,dat_rodjenja,"&amp;data_dnevnik_id&amp;" FROM osoba WHERE id = "&amp;BD177&amp;";"))</f>
        <v/>
      </c>
      <c r="DL177" s="66" t="str">
        <f>IF(BD177="","","INSERT INTO imeprezime (id,osoba_id,rbr,ime,prezime,klub_id,identitet_id,sintaksa_id,info,aktivno,dnevnik_id) VALUES ("&amp;BD177&amp;","&amp;IF(DK177="","Null",BD177)&amp;",1,'"&amp;IF(AV177&lt;&gt;"",AV177,AK177)&amp;"','"&amp;IF(AW177&lt;&gt;"",AW177,AL177)&amp;"',(SELECT id FROM klub WHERE naziv = '"&amp;CR177&amp;"'),Null,1,'',1,"&amp;data_dnevnik_id&amp;");")</f>
        <v/>
      </c>
      <c r="DM177" t="s">
        <v>0</v>
      </c>
      <c r="DN177" s="19" t="str">
        <f t="shared" si="182"/>
        <v/>
      </c>
      <c r="DO177" s="47" t="s">
        <v>0</v>
      </c>
      <c r="DP177" s="19" t="str">
        <f>IF(BA177="","","INSERT INTO imeprezime_alias(id,alias,imeprezime_id) VALUES ("&amp;BB177&amp;",'"&amp;BA177&amp;"',"&amp;IF(BC177="NEMA",BD177,BC177)&amp;");")</f>
        <v/>
      </c>
      <c r="DQ177" s="47" t="s">
        <v>0</v>
      </c>
      <c r="DR177" s="52" t="str">
        <f>IF(AL177="","",DU177 &amp; IF(Q177="",""," – " &amp; Q177))</f>
        <v>Tomislav – Pavić – OK Vihor – M65</v>
      </c>
      <c r="DS177" s="53">
        <f t="shared" si="144"/>
        <v>840</v>
      </c>
      <c r="DT177" s="47" t="s">
        <v>0</v>
      </c>
      <c r="DU177" s="52" t="str">
        <f>IF(AL177="","",DX177 &amp; IF(CR177="",""," – " &amp; CR177))</f>
        <v>Tomislav – Pavić – OK Vihor</v>
      </c>
      <c r="DV177" s="53">
        <f t="shared" si="145"/>
        <v>840</v>
      </c>
      <c r="DW177" s="47" t="s">
        <v>0</v>
      </c>
      <c r="DX177" s="52" t="str">
        <f>IF(BG177="","",BF177&amp;" – "&amp;BG177)</f>
        <v>Tomislav – Pavić</v>
      </c>
      <c r="DY177" s="53">
        <f t="shared" si="146"/>
        <v>840</v>
      </c>
      <c r="DZ177" s="47" t="s">
        <v>0</v>
      </c>
      <c r="EA177" s="58">
        <f t="shared" si="175"/>
        <v>840</v>
      </c>
      <c r="EB177" s="53" cm="1">
        <f t="array" ref="EB177">IF(EA177&lt;&gt;"",INDEX(regNatjecatelj_id,EA177,0),IF(BD177&lt;&gt;"",BD177,""))</f>
        <v>1145</v>
      </c>
      <c r="EC177" s="47" t="s">
        <v>0</v>
      </c>
      <c r="ED177" s="58" t="str">
        <f>IF(AL177="","",IF(BD177&lt;&gt;"","novo",IF(AN177="","imepre","imepre(ali)")))</f>
        <v>imepre</v>
      </c>
      <c r="EE177" s="73" t="str">
        <f>IF(AL177="","",IF(BL177="",IF(IFERROR(INDEX(regNatjecatelj_klub,MATCH(EB177,regNatjecatelj_id,0)),"NEMA")="","klu",""),IF(OR(AND(BN177&lt;&gt;"",BN177&lt;&gt;"NEMA"),CD177&lt;&gt;""),"klu(ali)",IF(AND(BP177&lt;&gt;"",BP177&lt;&gt;BO177),"(raz-klu)","klu"))))</f>
        <v>klu</v>
      </c>
      <c r="EF177" s="73" t="str">
        <f>IF(AL177="","","kat"&amp;IF(AND(W177&lt;&gt;Q177,Q177&lt;&gt;"Open"),"(ali)",""))</f>
        <v>kat</v>
      </c>
      <c r="EG177" s="73" t="str">
        <f t="shared" si="147"/>
        <v/>
      </c>
      <c r="EH177" s="66" t="str">
        <f>IF(AL177="","",ED177&amp;IF(ED177="novo","","-"&amp;EE177&amp;"-"&amp;EF177)&amp;IF(EG177="","","-"&amp;EG177))</f>
        <v>imepre-klu-kat</v>
      </c>
      <c r="EI177" s="47" t="s">
        <v>0</v>
      </c>
      <c r="EJ177" s="58">
        <f>IF(AL177="","",MAX(EJ$12:EJ176)+1)</f>
        <v>341</v>
      </c>
      <c r="EK177" s="73">
        <f>IF(AO177="","",X177)</f>
        <v>32</v>
      </c>
      <c r="EL177" s="73">
        <f t="shared" si="176"/>
        <v>1145</v>
      </c>
      <c r="EM177" s="73">
        <f t="shared" si="148"/>
        <v>5644</v>
      </c>
      <c r="EN177" s="73">
        <f t="shared" si="149"/>
        <v>1</v>
      </c>
      <c r="EO177" s="73">
        <f t="shared" si="177"/>
        <v>1</v>
      </c>
      <c r="EP177" s="73">
        <f t="shared" si="178"/>
        <v>1</v>
      </c>
      <c r="EQ177" s="73" t="str">
        <f t="shared" si="150"/>
        <v>0</v>
      </c>
      <c r="ER177" s="73" t="str">
        <f>IF(OR(AN177="",AN177="NEMA"),BB177,AN177)</f>
        <v/>
      </c>
      <c r="ES177" s="73" t="str">
        <f>IF(AND(BN177&lt;&gt;"",BN177&lt;&gt;"NEMA"),BN177,IF(CG177&lt;&gt;"",CG177,IF(AND(CL177&lt;&gt;"",CL177&lt;&gt;"NEMA"),CL177,IF(CM177&lt;&gt;"",CM177,""))))</f>
        <v/>
      </c>
      <c r="ET177" s="53" t="str">
        <f>IF(INDEX(natKategorija_alias_Id,MATCH(S177,natKategorija_katRegId,0))="","",INDEX(natKategorija_alias_Id,MATCH(S177,natKategorija_katRegId,0)))</f>
        <v/>
      </c>
      <c r="EU177" s="47" t="s">
        <v>0</v>
      </c>
      <c r="EV177" s="19" t="str">
        <f t="shared" si="179"/>
        <v>INSERT INTO rezultat(id,stazakategorija_id,imeprezime_id,vrijeme_sec,status_id,registracija,uparivanje_id,originalstatus_id,imeprezimealias_id,klubalias_id,kategorijaalias_id) VALUES (341,32,1145,5644,1,1,1,0,Null,Null,Null);</v>
      </c>
      <c r="EW177" s="47" t="s">
        <v>0</v>
      </c>
      <c r="EX177" s="19" t="str">
        <f t="shared" si="180"/>
        <v>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EY177" s="47" t="s">
        <v>0</v>
      </c>
      <c r="EZ177" s="180" t="str">
        <f>AG177&amp;IF(CP177="","","
")&amp;CP177&amp;IF(CI177="","","
")&amp;CI177&amp;IF(DN177="","","
")&amp;DN177&amp;IF(DP177="","","
")&amp;DP177&amp;IF(EV177="","","
")&amp;EV177&amp;IF(EX177="","","
")&amp;EX177</f>
        <v xml:space="preserve">
INSERT INTO rezultat(id,stazakategorija_id,imeprezime_id,vrijeme_sec,status_id,registracija,uparivanje_id,originalstatus_id,imeprezimealias_id,klubalias_id,kategorijaalias_id) VALUES (341,32,1145,5644,1,1,1,0,Null,Null,Null);
UPDATE
	registar
SET
	potvrda = 1
WHERE
	imeprezime_id=1145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32)
                         		AND
                         	kategorija_liga.liga_id = 101)
		AND
	datum_od &lt;= '2021-04-18'
    	AND
    datum_do is Null;</v>
      </c>
      <c r="FA177" s="47" t="s">
        <v>0</v>
      </c>
    </row>
    <row r="178" spans="1:157" x14ac:dyDescent="0.25">
      <c r="A178" t="s">
        <v>0</v>
      </c>
      <c r="B178" s="52" t="str">
        <f>IF(csv!F168="","",csv!T168)</f>
        <v>M65</v>
      </c>
      <c r="C178" s="31" t="s">
        <v>0</v>
      </c>
      <c r="D178" s="31" t="str">
        <f>IF(csv!F168="","",csv!F168)</f>
        <v>Vacant</v>
      </c>
      <c r="E178" s="31" t="str">
        <f>IF(csv!E168="","",csv!E168)</f>
        <v/>
      </c>
      <c r="F178" s="31" t="s">
        <v>0</v>
      </c>
      <c r="G178" s="73" t="str">
        <f>IF(csv!M168="","",csv!M168)</f>
        <v/>
      </c>
      <c r="H178" s="73" t="str">
        <f>IF(csv!N168="","",csv!N168)</f>
        <v>0</v>
      </c>
      <c r="I178" s="31" t="s">
        <v>0</v>
      </c>
      <c r="J178" s="31" t="str">
        <f>IF(csv!P168="","",csv!P168)</f>
        <v/>
      </c>
      <c r="K178" s="31" t="str">
        <f>IF(csv!Q168="","",csv!Q168)</f>
        <v/>
      </c>
      <c r="L178" s="31" t="s">
        <v>0</v>
      </c>
      <c r="M178" s="66" t="str">
        <f>IF(csv!R168="","",csv!R168)</f>
        <v/>
      </c>
      <c r="N178" s="47" t="s">
        <v>0</v>
      </c>
      <c r="O178" s="243" t="str">
        <f t="shared" si="151"/>
        <v/>
      </c>
      <c r="P178" s="47"/>
      <c r="Q178" s="52" t="str">
        <f t="shared" si="152"/>
        <v>M65</v>
      </c>
      <c r="R178" s="73">
        <f>IF(Q178="","",IF(COUNTIF(Q$12:Q177,Q178)=0,R177+1,R177))</f>
        <v>10</v>
      </c>
      <c r="S178" s="73">
        <f t="shared" si="153"/>
        <v>104</v>
      </c>
      <c r="T178" s="73">
        <f t="shared" si="128"/>
        <v>15</v>
      </c>
      <c r="U178" s="66" t="str">
        <f t="shared" si="129"/>
        <v>M70 – M65</v>
      </c>
      <c r="V178" s="47" t="s">
        <v>0</v>
      </c>
      <c r="W178" s="222" t="str">
        <f t="shared" si="130"/>
        <v/>
      </c>
      <c r="X178" s="223" t="str">
        <f t="shared" si="131"/>
        <v/>
      </c>
      <c r="Y178" s="47" t="s">
        <v>0</v>
      </c>
      <c r="Z178" s="52" t="str">
        <f t="shared" si="154"/>
        <v/>
      </c>
      <c r="AA178" s="73" t="str">
        <f t="shared" si="132"/>
        <v/>
      </c>
      <c r="AB178" s="31" t="str">
        <f t="shared" si="155"/>
        <v/>
      </c>
      <c r="AC178" s="66" t="str">
        <f>IF(AB178="","",MAX(AC$12:AC177)+1)</f>
        <v/>
      </c>
      <c r="AD178" s="47" t="s">
        <v>0</v>
      </c>
      <c r="AE178" s="125"/>
      <c r="AF178" s="47" t="s">
        <v>0</v>
      </c>
      <c r="AG178" s="19" t="str">
        <f t="shared" si="156"/>
        <v/>
      </c>
      <c r="AH178" s="47" t="s">
        <v>0</v>
      </c>
      <c r="AI178" s="143" t="str">
        <f t="shared" si="157"/>
        <v/>
      </c>
      <c r="AJ178" s="47"/>
      <c r="AK178" s="52" t="str">
        <f t="shared" si="158"/>
        <v/>
      </c>
      <c r="AL178" s="31" t="str">
        <f t="shared" si="159"/>
        <v/>
      </c>
      <c r="AM178" s="73" t="str">
        <f t="shared" si="160"/>
        <v/>
      </c>
      <c r="AN178" s="73" t="str">
        <f t="shared" si="161"/>
        <v/>
      </c>
      <c r="AO178" s="31" t="str">
        <f t="shared" si="133"/>
        <v/>
      </c>
      <c r="AP178" s="66" t="str">
        <f t="shared" si="134"/>
        <v/>
      </c>
      <c r="AQ178" s="47" t="s">
        <v>0</v>
      </c>
      <c r="AR178" s="82" t="str">
        <f t="shared" si="162"/>
        <v/>
      </c>
      <c r="AS178" s="47" t="s">
        <v>0</v>
      </c>
      <c r="AT178" s="19" t="str">
        <f t="shared" si="163"/>
        <v/>
      </c>
      <c r="AU178" s="47" t="s">
        <v>0</v>
      </c>
      <c r="AV178" s="103"/>
      <c r="AW178" s="105"/>
      <c r="AX178" s="47" t="s">
        <v>0</v>
      </c>
      <c r="AY178" s="256" t="str">
        <f t="shared" si="181"/>
        <v/>
      </c>
      <c r="AZ178" s="47" t="s">
        <v>0</v>
      </c>
      <c r="BA178" s="52" t="str">
        <f t="shared" si="135"/>
        <v/>
      </c>
      <c r="BB178" s="73" t="str">
        <f>IF(AV178&amp;AW178="","",MAX(BB$12:BB177)+1)</f>
        <v/>
      </c>
      <c r="BC178" s="268" t="str">
        <f t="shared" si="136"/>
        <v/>
      </c>
      <c r="BD178" s="53" t="str">
        <f>IF(AND(AM178="NEMA",AN178="NEMA",OR(AV178&amp;AW178="",BC178="NEMA")),MAX(BD$12:BD177)+1,"")</f>
        <v/>
      </c>
      <c r="BE178" s="47" t="s">
        <v>0</v>
      </c>
      <c r="BF178" s="52" t="str">
        <f t="shared" si="137"/>
        <v/>
      </c>
      <c r="BG178" s="31" t="str">
        <f t="shared" si="138"/>
        <v/>
      </c>
      <c r="BH178" s="73" t="str">
        <f t="shared" si="164"/>
        <v/>
      </c>
      <c r="BI178" s="53" t="str">
        <f t="shared" si="165"/>
        <v/>
      </c>
      <c r="BJ178" s="47" t="s">
        <v>0</v>
      </c>
      <c r="BK178" s="52" t="str">
        <f t="shared" si="139"/>
        <v/>
      </c>
      <c r="BL178" s="31" t="str">
        <f t="shared" si="140"/>
        <v/>
      </c>
      <c r="BM178" s="73" t="str">
        <f t="shared" si="141"/>
        <v/>
      </c>
      <c r="BN178" s="73" t="str">
        <f t="shared" si="142"/>
        <v/>
      </c>
      <c r="BO178" s="31" t="str" cm="1">
        <f t="array" ref="BO178">IF(BN178="",""&amp;BL178,IF(BN178="NEMA",BL178,INDEX(regKlub_naziv,MATCH(INDEX(regKlub_alias_klubId,BN178),regKlub_id,0))))</f>
        <v/>
      </c>
      <c r="BP178" s="31" t="str" cm="1">
        <f t="array" ref="BP178">IFERROR(""&amp;INDEX(regNatjecatelj_klub,DY178),"")</f>
        <v/>
      </c>
      <c r="BQ178" s="88" t="str">
        <f t="shared" si="166"/>
        <v/>
      </c>
      <c r="BR178" s="66" t="str">
        <f t="shared" si="167"/>
        <v/>
      </c>
      <c r="BS178" s="47" t="s">
        <v>0</v>
      </c>
      <c r="BT178" s="82" t="str">
        <f>IF(BN178&lt;&gt;"NEMA","",IF(IFERROR(MATCH(BL178,BL$12:BL177,0),0)&lt;&gt;0,"",BL178))</f>
        <v/>
      </c>
      <c r="BU178" s="47" t="s">
        <v>0</v>
      </c>
      <c r="BV178" s="125"/>
      <c r="BW178" s="47" t="s">
        <v>0</v>
      </c>
      <c r="BX178" s="58" t="str">
        <f t="shared" si="168"/>
        <v/>
      </c>
      <c r="BY178" s="31" t="str">
        <f t="shared" si="169"/>
        <v/>
      </c>
      <c r="BZ178" s="31" t="str">
        <f>IF(BY178="","",MAX(BZ$12:BZ177)+1)</f>
        <v/>
      </c>
      <c r="CA178" s="31" t="str">
        <f>IF(BY178="","",IF(AA178="","",IF(AA178="NEMA",AC178,AA178)))</f>
        <v/>
      </c>
      <c r="CB178" s="31" t="str">
        <f t="shared" si="170"/>
        <v/>
      </c>
      <c r="CC178" s="31" t="str">
        <f>IF(BV178="","",MAX(CC$12:CC177)+1)</f>
        <v/>
      </c>
      <c r="CD178" s="31" t="str">
        <f t="shared" si="171"/>
        <v/>
      </c>
      <c r="CE178" s="66" t="str">
        <f t="shared" si="172"/>
        <v/>
      </c>
      <c r="CF178" s="47" t="s">
        <v>0</v>
      </c>
      <c r="CG178" s="73" t="str">
        <f>IF(BN178="","",IF(BN178&lt;&gt;"NEMA","",IFERROR(INDEX(nat_klubAliasId,MATCH(BL178,nat_noviKluboviAliasi,0)),"")))</f>
        <v/>
      </c>
      <c r="CH178" s="47"/>
      <c r="CI178" s="19" t="str">
        <f t="shared" si="173"/>
        <v/>
      </c>
      <c r="CJ178" s="47" t="s">
        <v>0</v>
      </c>
      <c r="CK178" s="52" t="str">
        <f>IF(X178&lt;&gt;"NEMA","",IF(IFERROR(MATCH(W178,W$12:W177,0),0)&lt;&gt;0,"",W178))</f>
        <v/>
      </c>
      <c r="CL178" s="73" t="str">
        <f>IF(CK178="","",IFERROR(INDEX(regKlub_alias_id,MATCH(CK178,regKlub_alias_alias,0)),"NEMA"))</f>
        <v/>
      </c>
      <c r="CM178" s="31" t="str">
        <f>IF(OR(CL178="",CL178&lt;&gt;"NEMA"),"",MAX(CM$12:CM177)+1)</f>
        <v/>
      </c>
      <c r="CN178" s="66" t="str">
        <f>IF(OR(CL178="",CL178&lt;&gt;"NEMA"),"",INDEX(regKlub_id,MATCH(CK178,regKlub_naziv,0)))</f>
        <v/>
      </c>
      <c r="CO178" s="47" t="s">
        <v>0</v>
      </c>
      <c r="CP178" s="19" t="str">
        <f>IF(OR(CL178="",CL178&lt;&gt;"NEMA"),"","INSERT INTO klub_alias(id,alias,klub_id) VALUES ("&amp;CM178&amp;",'"&amp;CK178&amp;"',"&amp;CN178&amp;");")</f>
        <v/>
      </c>
      <c r="CQ178" s="47" t="s">
        <v>0</v>
      </c>
      <c r="CR178" s="143" t="str">
        <f>IF(BR178="","",IF(BV178="",IF(IFERROR(MATCH(BR178,nat_noviKluboviAliasi,0),0)&gt;0,INDEX(nat_kluboviAliasi,MATCH(BR178,nat_noviKluboviAliasi,0)),BR178),BV178))</f>
        <v/>
      </c>
      <c r="CS178" s="47" t="s">
        <v>0</v>
      </c>
      <c r="CT178" s="58" t="str">
        <f>IF(G178="","",G178)</f>
        <v/>
      </c>
      <c r="CU178" s="73" t="str">
        <f>IF(H178="","",H178)</f>
        <v>0</v>
      </c>
      <c r="CV178" s="229" t="str">
        <f>IF(CT178="",IF(OR(AL178="",CU178&lt;&gt;"0"),"","GREŠKA"),IF(AND(65535&gt;=VALUE(LEFT(CT178,SEARCH(":",CT178)-1))*60+VALUE(RIGHT(CT178,2)),OR(CU178="0",CU178="1",CU178="2",CU178="3",CU178="4")),"","GREŠKA"))</f>
        <v/>
      </c>
      <c r="CW178" s="230" t="str">
        <f t="shared" si="127"/>
        <v/>
      </c>
      <c r="CX178" s="163" t="str">
        <f t="shared" si="143"/>
        <v/>
      </c>
      <c r="CY178" s="47" t="s">
        <v>0</v>
      </c>
      <c r="CZ178" s="222" t="str">
        <f>IF(CV178&lt;&gt;"GREŠKA","",AK178&amp;" "&amp;AL178&amp;" – Molim u OEventu provjeriti i ispraviti rezultat – vrijeme ("&amp;IF(CT178="","nije upisano",CT178)&amp;") i classifier ("&amp;CU178&amp;").")&amp;IF(OR(CV178&lt;&gt;"GREŠKA",CX178&lt;&gt;5),"
","")&amp;IF(CX178&lt;&gt;5,"",AK178&amp;" "&amp;AL178&amp;" – Molim u provjeriti je li natjecatelj zaista diskvalificiran. Ako je koje je obrazloženje, ako nije molim u OEventu ispraviti rezultat")</f>
        <v xml:space="preserve">
</v>
      </c>
      <c r="DA178" s="223" t="str">
        <f t="shared" si="174"/>
        <v/>
      </c>
      <c r="DB178" s="47" t="s">
        <v>0</v>
      </c>
      <c r="DC178" s="47"/>
      <c r="DD178" s="47"/>
      <c r="DE178" s="47"/>
      <c r="DF178" s="47" t="s">
        <v>0</v>
      </c>
      <c r="DG178" s="53" t="str">
        <f>IF(BD178="","",IF(DI178="O",1,""))</f>
        <v/>
      </c>
      <c r="DH178" t="s">
        <v>0</v>
      </c>
      <c r="DI178" s="128" t="str">
        <f>IF(Q178="","",LEFT(INDEX(regKategorija_oznaka,MATCH(S178,regKategorija_id,0)),1))</f>
        <v>M</v>
      </c>
      <c r="DJ178" t="s">
        <v>0</v>
      </c>
      <c r="DK178" s="52" t="str">
        <f>IF(BD178="","",IF(M178&lt;&gt;"CRO","","INSERT INTO osoba (id,reg_broj,oib,spol_id,dat_rodjenja) VALUES ("&amp;BD178&amp;",(SELECT max(os.reg_broj)+1 FROM osoba AS os),Null,'"&amp;DI178&amp;"',Null); INSERT INTO osoba_log (id,reg_broj,oib,spol_id,dat_rodjenja,dnevnik_id) SELECT id,reg_broj,oib,spol_id,dat_rodjenja,"&amp;data_dnevnik_id&amp;" FROM osoba WHERE id = "&amp;BD178&amp;";"))</f>
        <v/>
      </c>
      <c r="DL178" s="66" t="str">
        <f>IF(BD178="","","INSERT INTO imeprezime (id,osoba_id,rbr,ime,prezime,klub_id,identitet_id,sintaksa_id,info,aktivno,dnevnik_id) VALUES ("&amp;BD178&amp;","&amp;IF(DK178="","Null",BD178)&amp;",1,'"&amp;IF(AV178&lt;&gt;"",AV178,AK178)&amp;"','"&amp;IF(AW178&lt;&gt;"",AW178,AL178)&amp;"',(SELECT id FROM klub WHERE naziv = '"&amp;CR178&amp;"'),Null,1,'',1,"&amp;data_dnevnik_id&amp;");")</f>
        <v/>
      </c>
      <c r="DM178" t="s">
        <v>0</v>
      </c>
      <c r="DN178" s="19" t="str">
        <f t="shared" si="182"/>
        <v/>
      </c>
      <c r="DO178" s="47" t="s">
        <v>0</v>
      </c>
      <c r="DP178" s="19" t="str">
        <f>IF(BA178="","","INSERT INTO imeprezime_alias(id,alias,imeprezime_id) VALUES ("&amp;BB178&amp;",'"&amp;BA178&amp;"',"&amp;IF(BC178="NEMA",BD178,BC178)&amp;");")</f>
        <v/>
      </c>
      <c r="DQ178" s="47" t="s">
        <v>0</v>
      </c>
      <c r="DR178" s="52" t="str">
        <f>IF(AL178="","",DU178 &amp; IF(Q178="",""," – " &amp; Q178))</f>
        <v/>
      </c>
      <c r="DS178" s="53" t="str">
        <f t="shared" si="144"/>
        <v/>
      </c>
      <c r="DT178" s="47" t="s">
        <v>0</v>
      </c>
      <c r="DU178" s="52" t="str">
        <f>IF(AL178="","",DX178 &amp; IF(CR178="",""," – " &amp; CR178))</f>
        <v/>
      </c>
      <c r="DV178" s="53" t="str">
        <f t="shared" si="145"/>
        <v/>
      </c>
      <c r="DW178" s="47" t="s">
        <v>0</v>
      </c>
      <c r="DX178" s="52" t="str">
        <f>IF(BG178="","",BF178&amp;" – "&amp;BG178)</f>
        <v/>
      </c>
      <c r="DY178" s="53" t="str">
        <f t="shared" si="146"/>
        <v/>
      </c>
      <c r="DZ178" s="47" t="s">
        <v>0</v>
      </c>
      <c r="EA178" s="58" t="str">
        <f t="shared" si="175"/>
        <v/>
      </c>
      <c r="EB178" s="53" t="str" cm="1">
        <f t="array" ref="EB178">IF(EA178&lt;&gt;"",INDEX(regNatjecatelj_id,EA178,0),IF(BD178&lt;&gt;"",BD178,""))</f>
        <v/>
      </c>
      <c r="EC178" s="47" t="s">
        <v>0</v>
      </c>
      <c r="ED178" s="58" t="str">
        <f>IF(AL178="","",IF(BD178&lt;&gt;"","novo",IF(AN178="","imepre","imepre(ali)")))</f>
        <v/>
      </c>
      <c r="EE178" s="73" t="str">
        <f>IF(AL178="","",IF(BL178="",IF(IFERROR(INDEX(regNatjecatelj_klub,MATCH(EB178,regNatjecatelj_id,0)),"NEMA")="","klu",""),IF(OR(AND(BN178&lt;&gt;"",BN178&lt;&gt;"NEMA"),CD178&lt;&gt;""),"klu(ali)",IF(AND(BP178&lt;&gt;"",BP178&lt;&gt;BO178),"(raz-klu)","klu"))))</f>
        <v/>
      </c>
      <c r="EF178" s="73" t="str">
        <f>IF(AL178="","","kat"&amp;IF(AND(W178&lt;&gt;Q178,Q178&lt;&gt;"Open"),"(ali)",""))</f>
        <v/>
      </c>
      <c r="EG178" s="73" t="str">
        <f t="shared" si="147"/>
        <v/>
      </c>
      <c r="EH178" s="66" t="str">
        <f>IF(AL178="","",ED178&amp;IF(ED178="novo","","-"&amp;EE178&amp;"-"&amp;EF178)&amp;IF(EG178="","","-"&amp;EG178))</f>
        <v/>
      </c>
      <c r="EI178" s="47" t="s">
        <v>0</v>
      </c>
      <c r="EJ178" s="58" t="str">
        <f>IF(AL178="","",MAX(EJ$12:EJ177)+1)</f>
        <v/>
      </c>
      <c r="EK178" s="73" t="str">
        <f>IF(AO178="","",X178)</f>
        <v/>
      </c>
      <c r="EL178" s="73" t="str">
        <f t="shared" si="176"/>
        <v/>
      </c>
      <c r="EM178" s="73" t="str">
        <f t="shared" si="148"/>
        <v/>
      </c>
      <c r="EN178" s="73" t="str">
        <f t="shared" si="149"/>
        <v/>
      </c>
      <c r="EO178" s="73" t="str">
        <f t="shared" si="177"/>
        <v/>
      </c>
      <c r="EP178" s="73" t="str">
        <f t="shared" si="178"/>
        <v/>
      </c>
      <c r="EQ178" s="73" t="str">
        <f t="shared" si="150"/>
        <v/>
      </c>
      <c r="ER178" s="73" t="str">
        <f>IF(OR(AN178="",AN178="NEMA"),BB178,AN178)</f>
        <v/>
      </c>
      <c r="ES178" s="73" t="str">
        <f>IF(AND(BN178&lt;&gt;"",BN178&lt;&gt;"NEMA"),BN178,IF(CG178&lt;&gt;"",CG178,IF(AND(CL178&lt;&gt;"",CL178&lt;&gt;"NEMA"),CL178,IF(CM178&lt;&gt;"",CM178,""))))</f>
        <v/>
      </c>
      <c r="ET178" s="53" t="str">
        <f>IF(INDEX(natKategorija_alias_Id,MATCH(S178,natKategorija_katRegId,0))="","",INDEX(natKategorija_alias_Id,MATCH(S178,natKategorija_katRegId,0)))</f>
        <v/>
      </c>
      <c r="EU178" s="47" t="s">
        <v>0</v>
      </c>
      <c r="EV178" s="19" t="str">
        <f t="shared" si="179"/>
        <v/>
      </c>
      <c r="EW178" s="47" t="s">
        <v>0</v>
      </c>
      <c r="EX178" s="19" t="str">
        <f t="shared" si="180"/>
        <v/>
      </c>
      <c r="EY178" s="47" t="s">
        <v>0</v>
      </c>
      <c r="EZ178" s="180" t="str">
        <f>AG178&amp;IF(CP178="","","
")&amp;CP178&amp;IF(CI178="","","
")&amp;CI178&amp;IF(DN178="","","
")&amp;DN178&amp;IF(DP178="","","
")&amp;DP178&amp;IF(EV178="","","
")&amp;EV178&amp;IF(EX178="","","
")&amp;EX178</f>
        <v/>
      </c>
      <c r="FA178" s="47" t="s">
        <v>0</v>
      </c>
    </row>
    <row r="179" spans="1:157" x14ac:dyDescent="0.25">
      <c r="A179" t="s">
        <v>0</v>
      </c>
      <c r="B179" s="52" t="str">
        <f>IF(csv!F169="","",csv!T169)</f>
        <v>M65</v>
      </c>
      <c r="C179" s="31" t="s">
        <v>0</v>
      </c>
      <c r="D179" s="31" t="str">
        <f>IF(csv!F169="","",csv!F169)</f>
        <v>Vacant</v>
      </c>
      <c r="E179" s="31" t="str">
        <f>IF(csv!E169="","",csv!E169)</f>
        <v/>
      </c>
      <c r="F179" s="31" t="s">
        <v>0</v>
      </c>
      <c r="G179" s="73" t="str">
        <f>IF(csv!M169="","",csv!M169)</f>
        <v/>
      </c>
      <c r="H179" s="73" t="str">
        <f>IF(csv!N169="","",csv!N169)</f>
        <v>0</v>
      </c>
      <c r="I179" s="31" t="s">
        <v>0</v>
      </c>
      <c r="J179" s="31" t="str">
        <f>IF(csv!P169="","",csv!P169)</f>
        <v/>
      </c>
      <c r="K179" s="31" t="str">
        <f>IF(csv!Q169="","",csv!Q169)</f>
        <v/>
      </c>
      <c r="L179" s="31" t="s">
        <v>0</v>
      </c>
      <c r="M179" s="66" t="str">
        <f>IF(csv!R169="","",csv!R169)</f>
        <v/>
      </c>
      <c r="N179" s="47" t="s">
        <v>0</v>
      </c>
      <c r="O179" s="243" t="str">
        <f t="shared" si="151"/>
        <v/>
      </c>
      <c r="P179" s="47"/>
      <c r="Q179" s="52" t="str">
        <f t="shared" si="152"/>
        <v>M65</v>
      </c>
      <c r="R179" s="73">
        <f>IF(Q179="","",IF(COUNTIF(Q$12:Q178,Q179)=0,R178+1,R178))</f>
        <v>10</v>
      </c>
      <c r="S179" s="73">
        <f t="shared" si="153"/>
        <v>104</v>
      </c>
      <c r="T179" s="73">
        <f t="shared" si="128"/>
        <v>15</v>
      </c>
      <c r="U179" s="66" t="str">
        <f t="shared" si="129"/>
        <v>M70 – M65</v>
      </c>
      <c r="V179" s="47" t="s">
        <v>0</v>
      </c>
      <c r="W179" s="222" t="str">
        <f t="shared" si="130"/>
        <v/>
      </c>
      <c r="X179" s="223" t="str">
        <f t="shared" si="131"/>
        <v/>
      </c>
      <c r="Y179" s="47" t="s">
        <v>0</v>
      </c>
      <c r="Z179" s="52" t="str">
        <f t="shared" si="154"/>
        <v/>
      </c>
      <c r="AA179" s="73" t="str">
        <f t="shared" si="132"/>
        <v/>
      </c>
      <c r="AB179" s="31" t="str">
        <f t="shared" si="155"/>
        <v/>
      </c>
      <c r="AC179" s="66" t="str">
        <f>IF(AB179="","",MAX(AC$12:AC178)+1)</f>
        <v/>
      </c>
      <c r="AD179" s="47" t="s">
        <v>0</v>
      </c>
      <c r="AE179" s="125"/>
      <c r="AF179" s="47" t="s">
        <v>0</v>
      </c>
      <c r="AG179" s="19" t="str">
        <f t="shared" si="156"/>
        <v/>
      </c>
      <c r="AH179" s="47" t="s">
        <v>0</v>
      </c>
      <c r="AI179" s="143" t="str">
        <f t="shared" si="157"/>
        <v/>
      </c>
      <c r="AJ179" s="47"/>
      <c r="AK179" s="52" t="str">
        <f t="shared" si="158"/>
        <v/>
      </c>
      <c r="AL179" s="31" t="str">
        <f t="shared" si="159"/>
        <v/>
      </c>
      <c r="AM179" s="73" t="str">
        <f t="shared" si="160"/>
        <v/>
      </c>
      <c r="AN179" s="73" t="str">
        <f t="shared" si="161"/>
        <v/>
      </c>
      <c r="AO179" s="31" t="str">
        <f t="shared" si="133"/>
        <v/>
      </c>
      <c r="AP179" s="66" t="str">
        <f t="shared" si="134"/>
        <v/>
      </c>
      <c r="AQ179" s="47" t="s">
        <v>0</v>
      </c>
      <c r="AR179" s="82" t="str">
        <f t="shared" si="162"/>
        <v/>
      </c>
      <c r="AS179" s="47" t="s">
        <v>0</v>
      </c>
      <c r="AT179" s="19" t="str">
        <f t="shared" si="163"/>
        <v/>
      </c>
      <c r="AU179" s="47" t="s">
        <v>0</v>
      </c>
      <c r="AV179" s="103"/>
      <c r="AW179" s="105"/>
      <c r="AX179" s="47" t="s">
        <v>0</v>
      </c>
      <c r="AY179" s="256" t="str">
        <f t="shared" si="181"/>
        <v/>
      </c>
      <c r="AZ179" s="47" t="s">
        <v>0</v>
      </c>
      <c r="BA179" s="52" t="str">
        <f t="shared" si="135"/>
        <v/>
      </c>
      <c r="BB179" s="73" t="str">
        <f>IF(AV179&amp;AW179="","",MAX(BB$12:BB178)+1)</f>
        <v/>
      </c>
      <c r="BC179" s="268" t="str">
        <f t="shared" si="136"/>
        <v/>
      </c>
      <c r="BD179" s="53" t="str">
        <f>IF(AND(AM179="NEMA",AN179="NEMA",OR(AV179&amp;AW179="",BC179="NEMA")),MAX(BD$12:BD178)+1,"")</f>
        <v/>
      </c>
      <c r="BE179" s="47" t="s">
        <v>0</v>
      </c>
      <c r="BF179" s="52" t="str">
        <f t="shared" si="137"/>
        <v/>
      </c>
      <c r="BG179" s="31" t="str">
        <f t="shared" si="138"/>
        <v/>
      </c>
      <c r="BH179" s="73" t="str">
        <f t="shared" si="164"/>
        <v/>
      </c>
      <c r="BI179" s="53" t="str">
        <f t="shared" si="165"/>
        <v/>
      </c>
      <c r="BJ179" s="47" t="s">
        <v>0</v>
      </c>
      <c r="BK179" s="52" t="str">
        <f t="shared" si="139"/>
        <v/>
      </c>
      <c r="BL179" s="31" t="str">
        <f t="shared" si="140"/>
        <v/>
      </c>
      <c r="BM179" s="73" t="str">
        <f t="shared" si="141"/>
        <v/>
      </c>
      <c r="BN179" s="73" t="str">
        <f t="shared" si="142"/>
        <v/>
      </c>
      <c r="BO179" s="31" t="str" cm="1">
        <f t="array" ref="BO179">IF(BN179="",""&amp;BL179,IF(BN179="NEMA",BL179,INDEX(regKlub_naziv,MATCH(INDEX(regKlub_alias_klubId,BN179),regKlub_id,0))))</f>
        <v/>
      </c>
      <c r="BP179" s="31" t="str" cm="1">
        <f t="array" ref="BP179">IFERROR(""&amp;INDEX(regNatjecatelj_klub,DY179),"")</f>
        <v/>
      </c>
      <c r="BQ179" s="88" t="str">
        <f t="shared" si="166"/>
        <v/>
      </c>
      <c r="BR179" s="66" t="str">
        <f t="shared" si="167"/>
        <v/>
      </c>
      <c r="BS179" s="47" t="s">
        <v>0</v>
      </c>
      <c r="BT179" s="82" t="str">
        <f>IF(BN179&lt;&gt;"NEMA","",IF(IFERROR(MATCH(BL179,BL$12:BL178,0),0)&lt;&gt;0,"",BL179))</f>
        <v/>
      </c>
      <c r="BU179" s="47" t="s">
        <v>0</v>
      </c>
      <c r="BV179" s="125"/>
      <c r="BW179" s="47" t="s">
        <v>0</v>
      </c>
      <c r="BX179" s="58" t="str">
        <f t="shared" si="168"/>
        <v/>
      </c>
      <c r="BY179" s="31" t="str">
        <f t="shared" si="169"/>
        <v/>
      </c>
      <c r="BZ179" s="31" t="str">
        <f>IF(BY179="","",MAX(BZ$12:BZ178)+1)</f>
        <v/>
      </c>
      <c r="CA179" s="31" t="str">
        <f>IF(BY179="","",IF(AA179="","",IF(AA179="NEMA",AC179,AA179)))</f>
        <v/>
      </c>
      <c r="CB179" s="31" t="str">
        <f t="shared" si="170"/>
        <v/>
      </c>
      <c r="CC179" s="31" t="str">
        <f>IF(BV179="","",MAX(CC$12:CC178)+1)</f>
        <v/>
      </c>
      <c r="CD179" s="31" t="str">
        <f t="shared" si="171"/>
        <v/>
      </c>
      <c r="CE179" s="66" t="str">
        <f t="shared" si="172"/>
        <v/>
      </c>
      <c r="CF179" s="47" t="s">
        <v>0</v>
      </c>
      <c r="CG179" s="73" t="str">
        <f>IF(BN179="","",IF(BN179&lt;&gt;"NEMA","",IFERROR(INDEX(nat_klubAliasId,MATCH(BL179,nat_noviKluboviAliasi,0)),"")))</f>
        <v/>
      </c>
      <c r="CH179" s="47"/>
      <c r="CI179" s="19" t="str">
        <f t="shared" si="173"/>
        <v/>
      </c>
      <c r="CJ179" s="47" t="s">
        <v>0</v>
      </c>
      <c r="CK179" s="52" t="str">
        <f>IF(X179&lt;&gt;"NEMA","",IF(IFERROR(MATCH(W179,W$12:W178,0),0)&lt;&gt;0,"",W179))</f>
        <v/>
      </c>
      <c r="CL179" s="73" t="str">
        <f>IF(CK179="","",IFERROR(INDEX(regKlub_alias_id,MATCH(CK179,regKlub_alias_alias,0)),"NEMA"))</f>
        <v/>
      </c>
      <c r="CM179" s="31" t="str">
        <f>IF(OR(CL179="",CL179&lt;&gt;"NEMA"),"",MAX(CM$12:CM178)+1)</f>
        <v/>
      </c>
      <c r="CN179" s="66" t="str">
        <f>IF(OR(CL179="",CL179&lt;&gt;"NEMA"),"",INDEX(regKlub_id,MATCH(CK179,regKlub_naziv,0)))</f>
        <v/>
      </c>
      <c r="CO179" s="47" t="s">
        <v>0</v>
      </c>
      <c r="CP179" s="19" t="str">
        <f>IF(OR(CL179="",CL179&lt;&gt;"NEMA"),"","INSERT INTO klub_alias(id,alias,klub_id) VALUES ("&amp;CM179&amp;",'"&amp;CK179&amp;"',"&amp;CN179&amp;");")</f>
        <v/>
      </c>
      <c r="CQ179" s="47" t="s">
        <v>0</v>
      </c>
      <c r="CR179" s="143" t="str">
        <f>IF(BR179="","",IF(BV179="",IF(IFERROR(MATCH(BR179,nat_noviKluboviAliasi,0),0)&gt;0,INDEX(nat_kluboviAliasi,MATCH(BR179,nat_noviKluboviAliasi,0)),BR179),BV179))</f>
        <v/>
      </c>
      <c r="CS179" s="47" t="s">
        <v>0</v>
      </c>
      <c r="CT179" s="58" t="str">
        <f>IF(G179="","",G179)</f>
        <v/>
      </c>
      <c r="CU179" s="73" t="str">
        <f>IF(H179="","",H179)</f>
        <v>0</v>
      </c>
      <c r="CV179" s="229" t="str">
        <f>IF(CT179="",IF(OR(AL179="",CU179&lt;&gt;"0"),"","GREŠKA"),IF(AND(65535&gt;=VALUE(LEFT(CT179,SEARCH(":",CT179)-1))*60+VALUE(RIGHT(CT179,2)),OR(CU179="0",CU179="1",CU179="2",CU179="3",CU179="4")),"","GREŠKA"))</f>
        <v/>
      </c>
      <c r="CW179" s="230" t="str">
        <f t="shared" si="127"/>
        <v/>
      </c>
      <c r="CX179" s="163" t="str">
        <f t="shared" si="143"/>
        <v/>
      </c>
      <c r="CY179" s="47" t="s">
        <v>0</v>
      </c>
      <c r="CZ179" s="222" t="str">
        <f>IF(CV179&lt;&gt;"GREŠKA","",AK179&amp;" "&amp;AL179&amp;" – Molim u OEventu provjeriti i ispraviti rezultat – vrijeme ("&amp;IF(CT179="","nije upisano",CT179)&amp;") i classifier ("&amp;CU179&amp;").")&amp;IF(OR(CV179&lt;&gt;"GREŠKA",CX179&lt;&gt;5),"
","")&amp;IF(CX179&lt;&gt;5,"",AK179&amp;" "&amp;AL179&amp;" – Molim u provjeriti je li natjecatelj zaista diskvalificiran. Ako je koje je obrazloženje, ako nije molim u OEventu ispraviti rezultat")</f>
        <v xml:space="preserve">
</v>
      </c>
      <c r="DA179" s="223" t="str">
        <f t="shared" si="174"/>
        <v/>
      </c>
      <c r="DB179" s="47" t="s">
        <v>0</v>
      </c>
      <c r="DC179" s="47"/>
      <c r="DD179" s="47"/>
      <c r="DE179" s="47"/>
      <c r="DF179" s="47" t="s">
        <v>0</v>
      </c>
      <c r="DG179" s="53" t="str">
        <f>IF(BD179="","",IF(DI179="O",1,""))</f>
        <v/>
      </c>
      <c r="DH179" t="s">
        <v>0</v>
      </c>
      <c r="DI179" s="128" t="str">
        <f>IF(Q179="","",LEFT(INDEX(regKategorija_oznaka,MATCH(S179,regKategorija_id,0)),1))</f>
        <v>M</v>
      </c>
      <c r="DJ179" t="s">
        <v>0</v>
      </c>
      <c r="DK179" s="52" t="str">
        <f>IF(BD179="","",IF(M179&lt;&gt;"CRO","","INSERT INTO osoba (id,reg_broj,oib,spol_id,dat_rodjenja) VALUES ("&amp;BD179&amp;",(SELECT max(os.reg_broj)+1 FROM osoba AS os),Null,'"&amp;DI179&amp;"',Null); INSERT INTO osoba_log (id,reg_broj,oib,spol_id,dat_rodjenja,dnevnik_id) SELECT id,reg_broj,oib,spol_id,dat_rodjenja,"&amp;data_dnevnik_id&amp;" FROM osoba WHERE id = "&amp;BD179&amp;";"))</f>
        <v/>
      </c>
      <c r="DL179" s="66" t="str">
        <f>IF(BD179="","","INSERT INTO imeprezime (id,osoba_id,rbr,ime,prezime,klub_id,identitet_id,sintaksa_id,info,aktivno,dnevnik_id) VALUES ("&amp;BD179&amp;","&amp;IF(DK179="","Null",BD179)&amp;",1,'"&amp;IF(AV179&lt;&gt;"",AV179,AK179)&amp;"','"&amp;IF(AW179&lt;&gt;"",AW179,AL179)&amp;"',(SELECT id FROM klub WHERE naziv = '"&amp;CR179&amp;"'),Null,1,'',1,"&amp;data_dnevnik_id&amp;");")</f>
        <v/>
      </c>
      <c r="DM179" t="s">
        <v>0</v>
      </c>
      <c r="DN179" s="19" t="str">
        <f t="shared" si="182"/>
        <v/>
      </c>
      <c r="DO179" s="47" t="s">
        <v>0</v>
      </c>
      <c r="DP179" s="19" t="str">
        <f>IF(BA179="","","INSERT INTO imeprezime_alias(id,alias,imeprezime_id) VALUES ("&amp;BB179&amp;",'"&amp;BA179&amp;"',"&amp;IF(BC179="NEMA",BD179,BC179)&amp;");")</f>
        <v/>
      </c>
      <c r="DQ179" s="47" t="s">
        <v>0</v>
      </c>
      <c r="DR179" s="52" t="str">
        <f>IF(AL179="","",DU179 &amp; IF(Q179="",""," – " &amp; Q179))</f>
        <v/>
      </c>
      <c r="DS179" s="53" t="str">
        <f t="shared" si="144"/>
        <v/>
      </c>
      <c r="DT179" s="47" t="s">
        <v>0</v>
      </c>
      <c r="DU179" s="52" t="str">
        <f>IF(AL179="","",DX179 &amp; IF(CR179="",""," – " &amp; CR179))</f>
        <v/>
      </c>
      <c r="DV179" s="53" t="str">
        <f t="shared" si="145"/>
        <v/>
      </c>
      <c r="DW179" s="47" t="s">
        <v>0</v>
      </c>
      <c r="DX179" s="52" t="str">
        <f>IF(BG179="","",BF179&amp;" – "&amp;BG179)</f>
        <v/>
      </c>
      <c r="DY179" s="53" t="str">
        <f t="shared" si="146"/>
        <v/>
      </c>
      <c r="DZ179" s="47" t="s">
        <v>0</v>
      </c>
      <c r="EA179" s="58" t="str">
        <f t="shared" si="175"/>
        <v/>
      </c>
      <c r="EB179" s="53" t="str" cm="1">
        <f t="array" ref="EB179">IF(EA179&lt;&gt;"",INDEX(regNatjecatelj_id,EA179,0),IF(BD179&lt;&gt;"",BD179,""))</f>
        <v/>
      </c>
      <c r="EC179" s="47" t="s">
        <v>0</v>
      </c>
      <c r="ED179" s="58" t="str">
        <f>IF(AL179="","",IF(BD179&lt;&gt;"","novo",IF(AN179="","imepre","imepre(ali)")))</f>
        <v/>
      </c>
      <c r="EE179" s="73" t="str">
        <f>IF(AL179="","",IF(BL179="",IF(IFERROR(INDEX(regNatjecatelj_klub,MATCH(EB179,regNatjecatelj_id,0)),"NEMA")="","klu",""),IF(OR(AND(BN179&lt;&gt;"",BN179&lt;&gt;"NEMA"),CD179&lt;&gt;""),"klu(ali)",IF(AND(BP179&lt;&gt;"",BP179&lt;&gt;BO179),"(raz-klu)","klu"))))</f>
        <v/>
      </c>
      <c r="EF179" s="73" t="str">
        <f>IF(AL179="","","kat"&amp;IF(AND(W179&lt;&gt;Q179,Q179&lt;&gt;"Open"),"(ali)",""))</f>
        <v/>
      </c>
      <c r="EG179" s="73" t="str">
        <f t="shared" si="147"/>
        <v/>
      </c>
      <c r="EH179" s="66" t="str">
        <f>IF(AL179="","",ED179&amp;IF(ED179="novo","","-"&amp;EE179&amp;"-"&amp;EF179)&amp;IF(EG179="","","-"&amp;EG179))</f>
        <v/>
      </c>
      <c r="EI179" s="47" t="s">
        <v>0</v>
      </c>
      <c r="EJ179" s="58" t="str">
        <f>IF(AL179="","",MAX(EJ$12:EJ178)+1)</f>
        <v/>
      </c>
      <c r="EK179" s="73" t="str">
        <f>IF(AO179="","",X179)</f>
        <v/>
      </c>
      <c r="EL179" s="73" t="str">
        <f t="shared" si="176"/>
        <v/>
      </c>
      <c r="EM179" s="73" t="str">
        <f t="shared" si="148"/>
        <v/>
      </c>
      <c r="EN179" s="73" t="str">
        <f t="shared" si="149"/>
        <v/>
      </c>
      <c r="EO179" s="73" t="str">
        <f t="shared" si="177"/>
        <v/>
      </c>
      <c r="EP179" s="73" t="str">
        <f t="shared" si="178"/>
        <v/>
      </c>
      <c r="EQ179" s="73" t="str">
        <f t="shared" si="150"/>
        <v/>
      </c>
      <c r="ER179" s="73" t="str">
        <f>IF(OR(AN179="",AN179="NEMA"),BB179,AN179)</f>
        <v/>
      </c>
      <c r="ES179" s="73" t="str">
        <f>IF(AND(BN179&lt;&gt;"",BN179&lt;&gt;"NEMA"),BN179,IF(CG179&lt;&gt;"",CG179,IF(AND(CL179&lt;&gt;"",CL179&lt;&gt;"NEMA"),CL179,IF(CM179&lt;&gt;"",CM179,""))))</f>
        <v/>
      </c>
      <c r="ET179" s="53" t="str">
        <f>IF(INDEX(natKategorija_alias_Id,MATCH(S179,natKategorija_katRegId,0))="","",INDEX(natKategorija_alias_Id,MATCH(S179,natKategorija_katRegId,0)))</f>
        <v/>
      </c>
      <c r="EU179" s="47" t="s">
        <v>0</v>
      </c>
      <c r="EV179" s="19" t="str">
        <f t="shared" si="179"/>
        <v/>
      </c>
      <c r="EW179" s="47" t="s">
        <v>0</v>
      </c>
      <c r="EX179" s="19" t="str">
        <f t="shared" si="180"/>
        <v/>
      </c>
      <c r="EY179" s="47" t="s">
        <v>0</v>
      </c>
      <c r="EZ179" s="180" t="str">
        <f>AG179&amp;IF(CP179="","","
")&amp;CP179&amp;IF(CI179="","","
")&amp;CI179&amp;IF(DN179="","","
")&amp;DN179&amp;IF(DP179="","","
")&amp;DP179&amp;IF(EV179="","","
")&amp;EV179&amp;IF(EX179="","","
")&amp;EX179</f>
        <v/>
      </c>
      <c r="FA179" s="47" t="s">
        <v>0</v>
      </c>
    </row>
    <row r="180" spans="1:157" x14ac:dyDescent="0.25">
      <c r="A180" t="s">
        <v>0</v>
      </c>
      <c r="B180" s="52" t="str">
        <f>IF(csv!F170="","",csv!T170)</f>
        <v>M70</v>
      </c>
      <c r="C180" s="31" t="s">
        <v>0</v>
      </c>
      <c r="D180" s="31" t="str">
        <f>IF(csv!F170="","",csv!F170)</f>
        <v>Milan</v>
      </c>
      <c r="E180" s="31" t="str">
        <f>IF(csv!E170="","",csv!E170)</f>
        <v>Turkalj</v>
      </c>
      <c r="F180" s="31" t="s">
        <v>0</v>
      </c>
      <c r="G180" s="73" t="str">
        <f>IF(csv!M170="","",csv!M170)</f>
        <v>112:33</v>
      </c>
      <c r="H180" s="73" t="str">
        <f>IF(csv!N170="","",csv!N170)</f>
        <v>0</v>
      </c>
      <c r="I180" s="31" t="s">
        <v>0</v>
      </c>
      <c r="J180" s="31" t="str">
        <f>IF(csv!P170="","",csv!P170)</f>
        <v>OK Varaždin</v>
      </c>
      <c r="K180" s="31" t="str">
        <f>IF(csv!Q170="","",csv!Q170)</f>
        <v>OK Varaždin</v>
      </c>
      <c r="L180" s="31" t="s">
        <v>0</v>
      </c>
      <c r="M180" s="66" t="str">
        <f>IF(csv!R170="","",csv!R170)</f>
        <v>CRO</v>
      </c>
      <c r="N180" s="47" t="s">
        <v>0</v>
      </c>
      <c r="O180" s="243" t="str">
        <f t="shared" si="151"/>
        <v>ok</v>
      </c>
      <c r="P180" s="47"/>
      <c r="Q180" s="52" t="str">
        <f t="shared" si="152"/>
        <v>M70</v>
      </c>
      <c r="R180" s="73">
        <f>IF(Q180="","",IF(COUNTIF(Q$12:Q179,Q180)=0,R179+1,R179))</f>
        <v>11</v>
      </c>
      <c r="S180" s="73">
        <f t="shared" si="153"/>
        <v>103</v>
      </c>
      <c r="T180" s="73">
        <f t="shared" si="128"/>
        <v>15</v>
      </c>
      <c r="U180" s="66" t="str">
        <f t="shared" si="129"/>
        <v>M70 – M65</v>
      </c>
      <c r="V180" s="47" t="s">
        <v>0</v>
      </c>
      <c r="W180" s="222" t="str">
        <f t="shared" si="130"/>
        <v>M70</v>
      </c>
      <c r="X180" s="223">
        <f t="shared" si="131"/>
        <v>33</v>
      </c>
      <c r="Y180" s="47" t="s">
        <v>0</v>
      </c>
      <c r="Z180" s="52" t="str">
        <f t="shared" si="154"/>
        <v>CRO</v>
      </c>
      <c r="AA180" s="73">
        <f t="shared" si="132"/>
        <v>1</v>
      </c>
      <c r="AB180" s="31" t="str">
        <f t="shared" si="155"/>
        <v/>
      </c>
      <c r="AC180" s="66" t="str">
        <f>IF(AB180="","",MAX(AC$12:AC179)+1)</f>
        <v/>
      </c>
      <c r="AD180" s="47" t="s">
        <v>0</v>
      </c>
      <c r="AE180" s="125"/>
      <c r="AF180" s="47" t="s">
        <v>0</v>
      </c>
      <c r="AG180" s="19" t="str">
        <f t="shared" si="156"/>
        <v/>
      </c>
      <c r="AH180" s="47" t="s">
        <v>0</v>
      </c>
      <c r="AI180" s="143" t="str">
        <f t="shared" si="157"/>
        <v>CRO</v>
      </c>
      <c r="AJ180" s="47"/>
      <c r="AK180" s="52" t="str">
        <f t="shared" si="158"/>
        <v>Milan</v>
      </c>
      <c r="AL180" s="31" t="str">
        <f t="shared" si="159"/>
        <v>Turkalj</v>
      </c>
      <c r="AM180" s="73">
        <f t="shared" si="160"/>
        <v>1568</v>
      </c>
      <c r="AN180" s="73" t="str">
        <f t="shared" si="161"/>
        <v/>
      </c>
      <c r="AO180" s="31" t="str">
        <f t="shared" si="133"/>
        <v>Milan</v>
      </c>
      <c r="AP180" s="66" t="str">
        <f t="shared" si="134"/>
        <v>Turkalj</v>
      </c>
      <c r="AQ180" s="47" t="s">
        <v>0</v>
      </c>
      <c r="AR180" s="82" t="str">
        <f t="shared" si="162"/>
        <v/>
      </c>
      <c r="AS180" s="47" t="s">
        <v>0</v>
      </c>
      <c r="AT180" s="19" t="str">
        <f t="shared" si="163"/>
        <v/>
      </c>
      <c r="AU180" s="47" t="s">
        <v>0</v>
      </c>
      <c r="AV180" s="103"/>
      <c r="AW180" s="105"/>
      <c r="AX180" s="47" t="s">
        <v>0</v>
      </c>
      <c r="AY180" s="256" t="str">
        <f t="shared" si="181"/>
        <v/>
      </c>
      <c r="AZ180" s="47" t="s">
        <v>0</v>
      </c>
      <c r="BA180" s="52" t="str">
        <f t="shared" si="135"/>
        <v/>
      </c>
      <c r="BB180" s="73" t="str">
        <f>IF(AV180&amp;AW180="","",MAX(BB$12:BB179)+1)</f>
        <v/>
      </c>
      <c r="BC180" s="268" t="str">
        <f t="shared" si="136"/>
        <v/>
      </c>
      <c r="BD180" s="53" t="str">
        <f>IF(AND(AM180="NEMA",AN180="NEMA",OR(AV180&amp;AW180="",BC180="NEMA")),MAX(BD$12:BD179)+1,"")</f>
        <v/>
      </c>
      <c r="BE180" s="47" t="s">
        <v>0</v>
      </c>
      <c r="BF180" s="52" t="str">
        <f t="shared" si="137"/>
        <v>Milan</v>
      </c>
      <c r="BG180" s="31" t="str">
        <f t="shared" si="138"/>
        <v>Turkalj</v>
      </c>
      <c r="BH180" s="73" t="str">
        <f t="shared" si="164"/>
        <v/>
      </c>
      <c r="BI180" s="53">
        <f t="shared" si="165"/>
        <v>1568</v>
      </c>
      <c r="BJ180" s="47" t="s">
        <v>0</v>
      </c>
      <c r="BK180" s="52" t="str">
        <f t="shared" si="139"/>
        <v>OK Varaždin</v>
      </c>
      <c r="BL180" s="31" t="str">
        <f t="shared" si="140"/>
        <v>OK Varaždin</v>
      </c>
      <c r="BM180" s="73">
        <f t="shared" si="141"/>
        <v>11</v>
      </c>
      <c r="BN180" s="73" t="str">
        <f t="shared" si="142"/>
        <v/>
      </c>
      <c r="BO180" s="31" t="str" cm="1">
        <f t="array" ref="BO180">IF(BN180="",""&amp;BL180,IF(BN180="NEMA",BL180,INDEX(regKlub_naziv,MATCH(INDEX(regKlub_alias_klubId,BN180),regKlub_id,0))))</f>
        <v>OK Varaždin</v>
      </c>
      <c r="BP180" s="31" t="str" cm="1">
        <f t="array" ref="BP180">IFERROR(""&amp;INDEX(regNatjecatelj_klub,DY180),"")</f>
        <v>OK Varaždin</v>
      </c>
      <c r="BQ180" s="88" t="str">
        <f t="shared" si="166"/>
        <v/>
      </c>
      <c r="BR180" s="66" t="str">
        <f t="shared" si="167"/>
        <v>OK Varaždin</v>
      </c>
      <c r="BS180" s="47" t="s">
        <v>0</v>
      </c>
      <c r="BT180" s="82" t="str">
        <f>IF(BN180&lt;&gt;"NEMA","",IF(IFERROR(MATCH(BL180,BL$12:BL179,0),0)&lt;&gt;0,"",BL180))</f>
        <v/>
      </c>
      <c r="BU180" s="47" t="s">
        <v>0</v>
      </c>
      <c r="BV180" s="125"/>
      <c r="BW180" s="47" t="s">
        <v>0</v>
      </c>
      <c r="BX180" s="58" t="str">
        <f t="shared" si="168"/>
        <v/>
      </c>
      <c r="BY180" s="31" t="str">
        <f t="shared" si="169"/>
        <v/>
      </c>
      <c r="BZ180" s="31" t="str">
        <f>IF(BY180="","",MAX(BZ$12:BZ179)+1)</f>
        <v/>
      </c>
      <c r="CA180" s="31" t="str">
        <f>IF(BY180="","",IF(AA180="","",IF(AA180="NEMA",AC180,AA180)))</f>
        <v/>
      </c>
      <c r="CB180" s="31" t="str">
        <f t="shared" si="170"/>
        <v/>
      </c>
      <c r="CC180" s="31" t="str">
        <f>IF(BV180="","",MAX(CC$12:CC179)+1)</f>
        <v/>
      </c>
      <c r="CD180" s="31" t="str">
        <f t="shared" si="171"/>
        <v/>
      </c>
      <c r="CE180" s="66" t="str">
        <f t="shared" si="172"/>
        <v/>
      </c>
      <c r="CF180" s="47" t="s">
        <v>0</v>
      </c>
      <c r="CG180" s="73" t="str">
        <f>IF(BN180="","",IF(BN180&lt;&gt;"NEMA","",IFERROR(INDEX(nat_klubAliasId,MATCH(BL180,nat_noviKluboviAliasi,0)),"")))</f>
        <v/>
      </c>
      <c r="CH180" s="47"/>
      <c r="CI180" s="19" t="str">
        <f t="shared" si="173"/>
        <v/>
      </c>
      <c r="CJ180" s="47" t="s">
        <v>0</v>
      </c>
      <c r="CK180" s="52" t="str">
        <f>IF(X180&lt;&gt;"NEMA","",IF(IFERROR(MATCH(W180,W$12:W179,0),0)&lt;&gt;0,"",W180))</f>
        <v/>
      </c>
      <c r="CL180" s="73" t="str">
        <f>IF(CK180="","",IFERROR(INDEX(regKlub_alias_id,MATCH(CK180,regKlub_alias_alias,0)),"NEMA"))</f>
        <v/>
      </c>
      <c r="CM180" s="31" t="str">
        <f>IF(OR(CL180="",CL180&lt;&gt;"NEMA"),"",MAX(CM$12:CM179)+1)</f>
        <v/>
      </c>
      <c r="CN180" s="66" t="str">
        <f>IF(OR(CL180="",CL180&lt;&gt;"NEMA"),"",INDEX(regKlub_id,MATCH(CK180,regKlub_naziv,0)))</f>
        <v/>
      </c>
      <c r="CO180" s="47" t="s">
        <v>0</v>
      </c>
      <c r="CP180" s="19" t="str">
        <f>IF(OR(CL180="",CL180&lt;&gt;"NEMA"),"","INSERT INTO klub_alias(id,alias,klub_id) VALUES ("&amp;CM180&amp;",'"&amp;CK180&amp;"',"&amp;CN180&amp;");")</f>
        <v/>
      </c>
      <c r="CQ180" s="47" t="s">
        <v>0</v>
      </c>
      <c r="CR180" s="143" t="str">
        <f>IF(BR180="","",IF(BV180="",IF(IFERROR(MATCH(BR180,nat_noviKluboviAliasi,0),0)&gt;0,INDEX(nat_kluboviAliasi,MATCH(BR180,nat_noviKluboviAliasi,0)),BR180),BV180))</f>
        <v>OK Varaždin</v>
      </c>
      <c r="CS180" s="47" t="s">
        <v>0</v>
      </c>
      <c r="CT180" s="58" t="str">
        <f>IF(G180="","",G180)</f>
        <v>112:33</v>
      </c>
      <c r="CU180" s="73" t="str">
        <f>IF(H180="","",H180)</f>
        <v>0</v>
      </c>
      <c r="CV180" s="229" t="str">
        <f>IF(CT180="",IF(OR(AL180="",CU180&lt;&gt;"0"),"","GREŠKA"),IF(AND(65535&gt;=VALUE(LEFT(CT180,SEARCH(":",CT180)-1))*60+VALUE(RIGHT(CT180,2)),OR(CU180="0",CU180="1",CU180="2",CU180="3",CU180="4")),"","GREŠKA"))</f>
        <v/>
      </c>
      <c r="CW180" s="230">
        <f t="shared" si="127"/>
        <v>6753</v>
      </c>
      <c r="CX180" s="163">
        <f t="shared" si="143"/>
        <v>1</v>
      </c>
      <c r="CY180" s="47" t="s">
        <v>0</v>
      </c>
      <c r="CZ180" s="222" t="str">
        <f>IF(CV180&lt;&gt;"GREŠKA","",AK180&amp;" "&amp;AL180&amp;" – Molim u OEventu provjeriti i ispraviti rezultat – vrijeme ("&amp;IF(CT180="","nije upisano",CT180)&amp;") i classifier ("&amp;CU180&amp;").")&amp;IF(OR(CV180&lt;&gt;"GREŠKA",CX180&lt;&gt;5),"
","")&amp;IF(CX180&lt;&gt;5,"",AK180&amp;" "&amp;AL180&amp;" – Molim u provjeriti je li natjecatelj zaista diskvalificiran. Ako je koje je obrazloženje, ako nije molim u OEventu ispraviti rezultat")</f>
        <v xml:space="preserve">
</v>
      </c>
      <c r="DA180" s="223">
        <f t="shared" si="174"/>
        <v>6</v>
      </c>
      <c r="DB180" s="47" t="s">
        <v>0</v>
      </c>
      <c r="DC180" s="47"/>
      <c r="DD180" s="47"/>
      <c r="DE180" s="47"/>
      <c r="DF180" s="47" t="s">
        <v>0</v>
      </c>
      <c r="DG180" s="53" t="str">
        <f>IF(BD180="","",IF(DI180="O",1,""))</f>
        <v/>
      </c>
      <c r="DH180" t="s">
        <v>0</v>
      </c>
      <c r="DI180" s="128" t="str">
        <f>IF(Q180="","",LEFT(INDEX(regKategorija_oznaka,MATCH(S180,regKategorija_id,0)),1))</f>
        <v>M</v>
      </c>
      <c r="DJ180" t="s">
        <v>0</v>
      </c>
      <c r="DK180" s="52" t="str">
        <f>IF(BD180="","",IF(M180&lt;&gt;"CRO","","INSERT INTO osoba (id,reg_broj,oib,spol_id,dat_rodjenja) VALUES ("&amp;BD180&amp;",(SELECT max(os.reg_broj)+1 FROM osoba AS os),Null,'"&amp;DI180&amp;"',Null); INSERT INTO osoba_log (id,reg_broj,oib,spol_id,dat_rodjenja,dnevnik_id) SELECT id,reg_broj,oib,spol_id,dat_rodjenja,"&amp;data_dnevnik_id&amp;" FROM osoba WHERE id = "&amp;BD180&amp;";"))</f>
        <v/>
      </c>
      <c r="DL180" s="66" t="str">
        <f>IF(BD180="","","INSERT INTO imeprezime (id,osoba_id,rbr,ime,prezime,klub_id,identitet_id,sintaksa_id,info,aktivno,dnevnik_id) VALUES ("&amp;BD180&amp;","&amp;IF(DK180="","Null",BD180)&amp;",1,'"&amp;IF(AV180&lt;&gt;"",AV180,AK180)&amp;"','"&amp;IF(AW180&lt;&gt;"",AW180,AL180)&amp;"',(SELECT id FROM klub WHERE naziv = '"&amp;CR180&amp;"'),Null,1,'',1,"&amp;data_dnevnik_id&amp;");")</f>
        <v/>
      </c>
      <c r="DM180" t="s">
        <v>0</v>
      </c>
      <c r="DN180" s="19" t="str">
        <f t="shared" si="182"/>
        <v/>
      </c>
      <c r="DO180" s="47" t="s">
        <v>0</v>
      </c>
      <c r="DP180" s="19" t="str">
        <f>IF(BA180="","","INSERT INTO imeprezime_alias(id,alias,imeprezime_id) VALUES ("&amp;BB180&amp;",'"&amp;BA180&amp;"',"&amp;IF(BC180="NEMA",BD180,BC180)&amp;");")</f>
        <v/>
      </c>
      <c r="DQ180" s="47" t="s">
        <v>0</v>
      </c>
      <c r="DR180" s="52" t="str">
        <f>IF(AL180="","",DU180 &amp; IF(Q180="",""," – " &amp; Q180))</f>
        <v>Milan – Turkalj – OK Varaždin – M70</v>
      </c>
      <c r="DS180" s="53">
        <f t="shared" si="144"/>
        <v>595</v>
      </c>
      <c r="DT180" s="47" t="s">
        <v>0</v>
      </c>
      <c r="DU180" s="52" t="str">
        <f>IF(AL180="","",DX180 &amp; IF(CR180="",""," – " &amp; CR180))</f>
        <v>Milan – Turkalj – OK Varaždin</v>
      </c>
      <c r="DV180" s="53">
        <f t="shared" si="145"/>
        <v>595</v>
      </c>
      <c r="DW180" s="47" t="s">
        <v>0</v>
      </c>
      <c r="DX180" s="52" t="str">
        <f>IF(BG180="","",BF180&amp;" – "&amp;BG180)</f>
        <v>Milan – Turkalj</v>
      </c>
      <c r="DY180" s="53">
        <f t="shared" si="146"/>
        <v>595</v>
      </c>
      <c r="DZ180" s="47" t="s">
        <v>0</v>
      </c>
      <c r="EA180" s="58">
        <f t="shared" si="175"/>
        <v>595</v>
      </c>
      <c r="EB180" s="53" cm="1">
        <f t="array" ref="EB180">IF(EA180&lt;&gt;"",INDEX(regNatjecatelj_id,EA180,0),IF(BD180&lt;&gt;"",BD180,""))</f>
        <v>1568</v>
      </c>
      <c r="EC180" s="47" t="s">
        <v>0</v>
      </c>
      <c r="ED180" s="58" t="str">
        <f>IF(AL180="","",IF(BD180&lt;&gt;"","novo",IF(AN180="","imepre","imepre(ali)")))</f>
        <v>imepre</v>
      </c>
      <c r="EE180" s="73" t="str">
        <f>IF(AL180="","",IF(BL180="",IF(IFERROR(INDEX(regNatjecatelj_klub,MATCH(EB180,regNatjecatelj_id,0)),"NEMA")="","klu",""),IF(OR(AND(BN180&lt;&gt;"",BN180&lt;&gt;"NEMA"),CD180&lt;&gt;""),"klu(ali)",IF(AND(BP180&lt;&gt;"",BP180&lt;&gt;BO180),"(raz-klu)","klu"))))</f>
        <v>klu</v>
      </c>
      <c r="EF180" s="73" t="str">
        <f>IF(AL180="","","kat"&amp;IF(AND(W180&lt;&gt;Q180,Q180&lt;&gt;"Open"),"(ali)",""))</f>
        <v>kat</v>
      </c>
      <c r="EG180" s="73" t="str">
        <f t="shared" si="147"/>
        <v/>
      </c>
      <c r="EH180" s="66" t="str">
        <f>IF(AL180="","",ED180&amp;IF(ED180="novo","","-"&amp;EE180&amp;"-"&amp;EF180)&amp;IF(EG180="","","-"&amp;EG180))</f>
        <v>imepre-klu-kat</v>
      </c>
      <c r="EI180" s="47" t="s">
        <v>0</v>
      </c>
      <c r="EJ180" s="58">
        <f>IF(AL180="","",MAX(EJ$12:EJ179)+1)</f>
        <v>342</v>
      </c>
      <c r="EK180" s="73">
        <f>IF(AO180="","",X180)</f>
        <v>33</v>
      </c>
      <c r="EL180" s="73">
        <f t="shared" si="176"/>
        <v>1568</v>
      </c>
      <c r="EM180" s="73">
        <f t="shared" si="148"/>
        <v>6753</v>
      </c>
      <c r="EN180" s="73">
        <f t="shared" si="149"/>
        <v>1</v>
      </c>
      <c r="EO180" s="73">
        <f t="shared" si="177"/>
        <v>1</v>
      </c>
      <c r="EP180" s="73">
        <f t="shared" si="178"/>
        <v>1</v>
      </c>
      <c r="EQ180" s="73" t="str">
        <f t="shared" si="150"/>
        <v>0</v>
      </c>
      <c r="ER180" s="73" t="str">
        <f>IF(OR(AN180="",AN180="NEMA"),BB180,AN180)</f>
        <v/>
      </c>
      <c r="ES180" s="73" t="str">
        <f>IF(AND(BN180&lt;&gt;"",BN180&lt;&gt;"NEMA"),BN180,IF(CG180&lt;&gt;"",CG180,IF(AND(CL180&lt;&gt;"",CL180&lt;&gt;"NEMA"),CL180,IF(CM180&lt;&gt;"",CM180,""))))</f>
        <v/>
      </c>
      <c r="ET180" s="53" t="str">
        <f>IF(INDEX(natKategorija_alias_Id,MATCH(S180,natKategorija_katRegId,0))="","",INDEX(natKategorija_alias_Id,MATCH(S180,natKategorija_katRegId,0)))</f>
        <v/>
      </c>
      <c r="EU180" s="47" t="s">
        <v>0</v>
      </c>
      <c r="EV180" s="19" t="str">
        <f t="shared" si="179"/>
        <v>INSERT INTO rezultat(id,stazakategorija_id,imeprezime_id,vrijeme_sec,status_id,registracija,uparivanje_id,originalstatus_id,imeprezimealias_id,klubalias_id,kategorijaalias_id) VALUES (342,33,1568,6753,1,1,1,0,Null,Null,Null);</v>
      </c>
      <c r="EW180" s="47" t="s">
        <v>0</v>
      </c>
      <c r="EX180" s="19" t="str">
        <f t="shared" si="180"/>
        <v>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Y180" s="47" t="s">
        <v>0</v>
      </c>
      <c r="EZ180" s="180" t="str">
        <f>AG180&amp;IF(CP180="","","
")&amp;CP180&amp;IF(CI180="","","
")&amp;CI180&amp;IF(DN180="","","
")&amp;DN180&amp;IF(DP180="","","
")&amp;DP180&amp;IF(EV180="","","
")&amp;EV180&amp;IF(EX180="","","
")&amp;EX180</f>
        <v xml:space="preserve">
INSERT INTO rezultat(id,stazakategorija_id,imeprezime_id,vrijeme_sec,status_id,registracija,uparivanje_id,originalstatus_id,imeprezimealias_id,klubalias_id,kategorijaalias_id) VALUES (342,33,1568,6753,1,1,1,0,Null,Null,Null);
UPDATE
	registar
SET
	potvrda = 1
WHERE
	imeprezime_id=1568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FA180" s="47" t="s">
        <v>0</v>
      </c>
    </row>
    <row r="181" spans="1:157" x14ac:dyDescent="0.25">
      <c r="A181" t="s">
        <v>0</v>
      </c>
      <c r="B181" s="52" t="str">
        <f>IF(csv!F171="","",csv!T171)</f>
        <v>M70</v>
      </c>
      <c r="C181" s="31" t="s">
        <v>0</v>
      </c>
      <c r="D181" s="31" t="str">
        <f>IF(csv!F171="","",csv!F171)</f>
        <v>Radovan</v>
      </c>
      <c r="E181" s="31" t="str">
        <f>IF(csv!E171="","",csv!E171)</f>
        <v>Čepelak</v>
      </c>
      <c r="F181" s="31" t="s">
        <v>0</v>
      </c>
      <c r="G181" s="73" t="str">
        <f>IF(csv!M171="","",csv!M171)</f>
        <v>120:30</v>
      </c>
      <c r="H181" s="73" t="str">
        <f>IF(csv!N171="","",csv!N171)</f>
        <v>0</v>
      </c>
      <c r="I181" s="31" t="s">
        <v>0</v>
      </c>
      <c r="J181" s="31" t="str">
        <f>IF(csv!P171="","",csv!P171)</f>
        <v>Maksimir</v>
      </c>
      <c r="K181" s="31" t="str">
        <f>IF(csv!Q171="","",csv!Q171)</f>
        <v>OK Maksimir</v>
      </c>
      <c r="L181" s="31" t="s">
        <v>0</v>
      </c>
      <c r="M181" s="66" t="str">
        <f>IF(csv!R171="","",csv!R171)</f>
        <v>CRO</v>
      </c>
      <c r="N181" s="47" t="s">
        <v>0</v>
      </c>
      <c r="O181" s="243" t="str">
        <f t="shared" si="151"/>
        <v>ok</v>
      </c>
      <c r="P181" s="47"/>
      <c r="Q181" s="52" t="str">
        <f t="shared" si="152"/>
        <v>M70</v>
      </c>
      <c r="R181" s="73">
        <f>IF(Q181="","",IF(COUNTIF(Q$12:Q180,Q181)=0,R180+1,R180))</f>
        <v>11</v>
      </c>
      <c r="S181" s="73">
        <f t="shared" si="153"/>
        <v>103</v>
      </c>
      <c r="T181" s="73">
        <f t="shared" si="128"/>
        <v>15</v>
      </c>
      <c r="U181" s="66" t="str">
        <f t="shared" si="129"/>
        <v>M70 – M65</v>
      </c>
      <c r="V181" s="47" t="s">
        <v>0</v>
      </c>
      <c r="W181" s="222" t="str">
        <f t="shared" si="130"/>
        <v>M70</v>
      </c>
      <c r="X181" s="223">
        <f t="shared" si="131"/>
        <v>33</v>
      </c>
      <c r="Y181" s="47" t="s">
        <v>0</v>
      </c>
      <c r="Z181" s="52" t="str">
        <f t="shared" si="154"/>
        <v>CRO</v>
      </c>
      <c r="AA181" s="73">
        <f t="shared" si="132"/>
        <v>1</v>
      </c>
      <c r="AB181" s="31" t="str">
        <f t="shared" si="155"/>
        <v/>
      </c>
      <c r="AC181" s="66" t="str">
        <f>IF(AB181="","",MAX(AC$12:AC180)+1)</f>
        <v/>
      </c>
      <c r="AD181" s="47" t="s">
        <v>0</v>
      </c>
      <c r="AE181" s="125"/>
      <c r="AF181" s="47" t="s">
        <v>0</v>
      </c>
      <c r="AG181" s="19" t="str">
        <f t="shared" si="156"/>
        <v/>
      </c>
      <c r="AH181" s="47" t="s">
        <v>0</v>
      </c>
      <c r="AI181" s="143" t="str">
        <f t="shared" si="157"/>
        <v>CRO</v>
      </c>
      <c r="AJ181" s="47"/>
      <c r="AK181" s="52" t="str">
        <f t="shared" si="158"/>
        <v>Radovan</v>
      </c>
      <c r="AL181" s="31" t="str">
        <f t="shared" si="159"/>
        <v>Čepelak</v>
      </c>
      <c r="AM181" s="73">
        <f t="shared" si="160"/>
        <v>1060</v>
      </c>
      <c r="AN181" s="73" t="str">
        <f t="shared" si="161"/>
        <v/>
      </c>
      <c r="AO181" s="31" t="str">
        <f t="shared" si="133"/>
        <v>Radovan</v>
      </c>
      <c r="AP181" s="66" t="str">
        <f t="shared" si="134"/>
        <v>Čepelak</v>
      </c>
      <c r="AQ181" s="47" t="s">
        <v>0</v>
      </c>
      <c r="AR181" s="82" t="str">
        <f t="shared" si="162"/>
        <v/>
      </c>
      <c r="AS181" s="47" t="s">
        <v>0</v>
      </c>
      <c r="AT181" s="19" t="str">
        <f t="shared" si="163"/>
        <v/>
      </c>
      <c r="AU181" s="47" t="s">
        <v>0</v>
      </c>
      <c r="AV181" s="103"/>
      <c r="AW181" s="105"/>
      <c r="AX181" s="47" t="s">
        <v>0</v>
      </c>
      <c r="AY181" s="256" t="str">
        <f t="shared" si="181"/>
        <v/>
      </c>
      <c r="AZ181" s="47" t="s">
        <v>0</v>
      </c>
      <c r="BA181" s="52" t="str">
        <f t="shared" si="135"/>
        <v/>
      </c>
      <c r="BB181" s="73" t="str">
        <f>IF(AV181&amp;AW181="","",MAX(BB$12:BB180)+1)</f>
        <v/>
      </c>
      <c r="BC181" s="268" t="str">
        <f t="shared" si="136"/>
        <v/>
      </c>
      <c r="BD181" s="53" t="str">
        <f>IF(AND(AM181="NEMA",AN181="NEMA",OR(AV181&amp;AW181="",BC181="NEMA")),MAX(BD$12:BD180)+1,"")</f>
        <v/>
      </c>
      <c r="BE181" s="47" t="s">
        <v>0</v>
      </c>
      <c r="BF181" s="52" t="str">
        <f t="shared" si="137"/>
        <v>Radovan</v>
      </c>
      <c r="BG181" s="31" t="str">
        <f t="shared" si="138"/>
        <v>Čepelak</v>
      </c>
      <c r="BH181" s="73" t="str">
        <f t="shared" si="164"/>
        <v/>
      </c>
      <c r="BI181" s="53">
        <f t="shared" si="165"/>
        <v>1060</v>
      </c>
      <c r="BJ181" s="47" t="s">
        <v>0</v>
      </c>
      <c r="BK181" s="52" t="str">
        <f t="shared" si="139"/>
        <v>Maksimir</v>
      </c>
      <c r="BL181" s="31" t="str">
        <f t="shared" si="140"/>
        <v>OK Maksimir</v>
      </c>
      <c r="BM181" s="73">
        <f t="shared" si="141"/>
        <v>6</v>
      </c>
      <c r="BN181" s="73" t="str">
        <f t="shared" si="142"/>
        <v/>
      </c>
      <c r="BO181" s="31" t="str" cm="1">
        <f t="array" ref="BO181">IF(BN181="",""&amp;BL181,IF(BN181="NEMA",BL181,INDEX(regKlub_naziv,MATCH(INDEX(regKlub_alias_klubId,BN181),regKlub_id,0))))</f>
        <v>OK Maksimir</v>
      </c>
      <c r="BP181" s="31" t="str" cm="1">
        <f t="array" ref="BP181">IFERROR(""&amp;INDEX(regNatjecatelj_klub,DY181),"")</f>
        <v>OK Maksimir</v>
      </c>
      <c r="BQ181" s="88" t="str">
        <f t="shared" si="166"/>
        <v/>
      </c>
      <c r="BR181" s="66" t="str">
        <f t="shared" si="167"/>
        <v>OK Maksimir</v>
      </c>
      <c r="BS181" s="47" t="s">
        <v>0</v>
      </c>
      <c r="BT181" s="82" t="str">
        <f>IF(BN181&lt;&gt;"NEMA","",IF(IFERROR(MATCH(BL181,BL$12:BL180,0),0)&lt;&gt;0,"",BL181))</f>
        <v/>
      </c>
      <c r="BU181" s="47" t="s">
        <v>0</v>
      </c>
      <c r="BV181" s="125"/>
      <c r="BW181" s="47" t="s">
        <v>0</v>
      </c>
      <c r="BX181" s="58" t="str">
        <f t="shared" si="168"/>
        <v/>
      </c>
      <c r="BY181" s="31" t="str">
        <f t="shared" si="169"/>
        <v/>
      </c>
      <c r="BZ181" s="31" t="str">
        <f>IF(BY181="","",MAX(BZ$12:BZ180)+1)</f>
        <v/>
      </c>
      <c r="CA181" s="31" t="str">
        <f>IF(BY181="","",IF(AA181="","",IF(AA181="NEMA",AC181,AA181)))</f>
        <v/>
      </c>
      <c r="CB181" s="31" t="str">
        <f t="shared" si="170"/>
        <v/>
      </c>
      <c r="CC181" s="31" t="str">
        <f>IF(BV181="","",MAX(CC$12:CC180)+1)</f>
        <v/>
      </c>
      <c r="CD181" s="31" t="str">
        <f t="shared" si="171"/>
        <v/>
      </c>
      <c r="CE181" s="66" t="str">
        <f t="shared" si="172"/>
        <v/>
      </c>
      <c r="CF181" s="47" t="s">
        <v>0</v>
      </c>
      <c r="CG181" s="73" t="str">
        <f>IF(BN181="","",IF(BN181&lt;&gt;"NEMA","",IFERROR(INDEX(nat_klubAliasId,MATCH(BL181,nat_noviKluboviAliasi,0)),"")))</f>
        <v/>
      </c>
      <c r="CH181" s="47"/>
      <c r="CI181" s="19" t="str">
        <f t="shared" si="173"/>
        <v/>
      </c>
      <c r="CJ181" s="47" t="s">
        <v>0</v>
      </c>
      <c r="CK181" s="52" t="str">
        <f>IF(X181&lt;&gt;"NEMA","",IF(IFERROR(MATCH(W181,W$12:W180,0),0)&lt;&gt;0,"",W181))</f>
        <v/>
      </c>
      <c r="CL181" s="73" t="str">
        <f>IF(CK181="","",IFERROR(INDEX(regKlub_alias_id,MATCH(CK181,regKlub_alias_alias,0)),"NEMA"))</f>
        <v/>
      </c>
      <c r="CM181" s="31" t="str">
        <f>IF(OR(CL181="",CL181&lt;&gt;"NEMA"),"",MAX(CM$12:CM180)+1)</f>
        <v/>
      </c>
      <c r="CN181" s="66" t="str">
        <f>IF(OR(CL181="",CL181&lt;&gt;"NEMA"),"",INDEX(regKlub_id,MATCH(CK181,regKlub_naziv,0)))</f>
        <v/>
      </c>
      <c r="CO181" s="47" t="s">
        <v>0</v>
      </c>
      <c r="CP181" s="19" t="str">
        <f>IF(OR(CL181="",CL181&lt;&gt;"NEMA"),"","INSERT INTO klub_alias(id,alias,klub_id) VALUES ("&amp;CM181&amp;",'"&amp;CK181&amp;"',"&amp;CN181&amp;");")</f>
        <v/>
      </c>
      <c r="CQ181" s="47" t="s">
        <v>0</v>
      </c>
      <c r="CR181" s="143" t="str">
        <f>IF(BR181="","",IF(BV181="",IF(IFERROR(MATCH(BR181,nat_noviKluboviAliasi,0),0)&gt;0,INDEX(nat_kluboviAliasi,MATCH(BR181,nat_noviKluboviAliasi,0)),BR181),BV181))</f>
        <v>OK Maksimir</v>
      </c>
      <c r="CS181" s="47" t="s">
        <v>0</v>
      </c>
      <c r="CT181" s="58" t="str">
        <f>IF(G181="","",G181)</f>
        <v>120:30</v>
      </c>
      <c r="CU181" s="73" t="str">
        <f>IF(H181="","",H181)</f>
        <v>0</v>
      </c>
      <c r="CV181" s="229" t="str">
        <f>IF(CT181="",IF(OR(AL181="",CU181&lt;&gt;"0"),"","GREŠKA"),IF(AND(65535&gt;=VALUE(LEFT(CT181,SEARCH(":",CT181)-1))*60+VALUE(RIGHT(CT181,2)),OR(CU181="0",CU181="1",CU181="2",CU181="3",CU181="4")),"","GREŠKA"))</f>
        <v/>
      </c>
      <c r="CW181" s="230">
        <f t="shared" si="127"/>
        <v>7230</v>
      </c>
      <c r="CX181" s="163">
        <f t="shared" si="143"/>
        <v>1</v>
      </c>
      <c r="CY181" s="47" t="s">
        <v>0</v>
      </c>
      <c r="CZ181" s="222" t="str">
        <f>IF(CV181&lt;&gt;"GREŠKA","",AK181&amp;" "&amp;AL181&amp;" – Molim u OEventu provjeriti i ispraviti rezultat – vrijeme ("&amp;IF(CT181="","nije upisano",CT181)&amp;") i classifier ("&amp;CU181&amp;").")&amp;IF(OR(CV181&lt;&gt;"GREŠKA",CX181&lt;&gt;5),"
","")&amp;IF(CX181&lt;&gt;5,"",AK181&amp;" "&amp;AL181&amp;" – Molim u provjeriti je li natjecatelj zaista diskvalificiran. Ako je koje je obrazloženje, ako nije molim u OEventu ispraviti rezultat")</f>
        <v xml:space="preserve">
</v>
      </c>
      <c r="DA181" s="223">
        <f t="shared" si="174"/>
        <v>6</v>
      </c>
      <c r="DB181" s="47" t="s">
        <v>0</v>
      </c>
      <c r="DC181" s="47"/>
      <c r="DD181" s="47"/>
      <c r="DE181" s="47"/>
      <c r="DF181" s="47" t="s">
        <v>0</v>
      </c>
      <c r="DG181" s="53" t="str">
        <f>IF(BD181="","",IF(DI181="O",1,""))</f>
        <v/>
      </c>
      <c r="DH181" t="s">
        <v>0</v>
      </c>
      <c r="DI181" s="128" t="str">
        <f>IF(Q181="","",LEFT(INDEX(regKategorija_oznaka,MATCH(S181,regKategorija_id,0)),1))</f>
        <v>M</v>
      </c>
      <c r="DJ181" t="s">
        <v>0</v>
      </c>
      <c r="DK181" s="52" t="str">
        <f>IF(BD181="","",IF(M181&lt;&gt;"CRO","","INSERT INTO osoba (id,reg_broj,oib,spol_id,dat_rodjenja) VALUES ("&amp;BD181&amp;",(SELECT max(os.reg_broj)+1 FROM osoba AS os),Null,'"&amp;DI181&amp;"',Null); INSERT INTO osoba_log (id,reg_broj,oib,spol_id,dat_rodjenja,dnevnik_id) SELECT id,reg_broj,oib,spol_id,dat_rodjenja,"&amp;data_dnevnik_id&amp;" FROM osoba WHERE id = "&amp;BD181&amp;";"))</f>
        <v/>
      </c>
      <c r="DL181" s="66" t="str">
        <f>IF(BD181="","","INSERT INTO imeprezime (id,osoba_id,rbr,ime,prezime,klub_id,identitet_id,sintaksa_id,info,aktivno,dnevnik_id) VALUES ("&amp;BD181&amp;","&amp;IF(DK181="","Null",BD181)&amp;",1,'"&amp;IF(AV181&lt;&gt;"",AV181,AK181)&amp;"','"&amp;IF(AW181&lt;&gt;"",AW181,AL181)&amp;"',(SELECT id FROM klub WHERE naziv = '"&amp;CR181&amp;"'),Null,1,'',1,"&amp;data_dnevnik_id&amp;");")</f>
        <v/>
      </c>
      <c r="DM181" t="s">
        <v>0</v>
      </c>
      <c r="DN181" s="19" t="str">
        <f t="shared" si="182"/>
        <v/>
      </c>
      <c r="DO181" s="47" t="s">
        <v>0</v>
      </c>
      <c r="DP181" s="19" t="str">
        <f>IF(BA181="","","INSERT INTO imeprezime_alias(id,alias,imeprezime_id) VALUES ("&amp;BB181&amp;",'"&amp;BA181&amp;"',"&amp;IF(BC181="NEMA",BD181,BC181)&amp;");")</f>
        <v/>
      </c>
      <c r="DQ181" s="47" t="s">
        <v>0</v>
      </c>
      <c r="DR181" s="52" t="str">
        <f>IF(AL181="","",DU181 &amp; IF(Q181="",""," – " &amp; Q181))</f>
        <v>Radovan – Čepelak – OK Maksimir – M70</v>
      </c>
      <c r="DS181" s="53">
        <f t="shared" si="144"/>
        <v>339</v>
      </c>
      <c r="DT181" s="47" t="s">
        <v>0</v>
      </c>
      <c r="DU181" s="52" t="str">
        <f>IF(AL181="","",DX181 &amp; IF(CR181="",""," – " &amp; CR181))</f>
        <v>Radovan – Čepelak – OK Maksimir</v>
      </c>
      <c r="DV181" s="53">
        <f t="shared" si="145"/>
        <v>339</v>
      </c>
      <c r="DW181" s="47" t="s">
        <v>0</v>
      </c>
      <c r="DX181" s="52" t="str">
        <f>IF(BG181="","",BF181&amp;" – "&amp;BG181)</f>
        <v>Radovan – Čepelak</v>
      </c>
      <c r="DY181" s="53">
        <f t="shared" si="146"/>
        <v>339</v>
      </c>
      <c r="DZ181" s="47" t="s">
        <v>0</v>
      </c>
      <c r="EA181" s="58">
        <f t="shared" si="175"/>
        <v>339</v>
      </c>
      <c r="EB181" s="53" cm="1">
        <f t="array" ref="EB181">IF(EA181&lt;&gt;"",INDEX(regNatjecatelj_id,EA181,0),IF(BD181&lt;&gt;"",BD181,""))</f>
        <v>1060</v>
      </c>
      <c r="EC181" s="47" t="s">
        <v>0</v>
      </c>
      <c r="ED181" s="58" t="str">
        <f>IF(AL181="","",IF(BD181&lt;&gt;"","novo",IF(AN181="","imepre","imepre(ali)")))</f>
        <v>imepre</v>
      </c>
      <c r="EE181" s="73" t="str">
        <f>IF(AL181="","",IF(BL181="",IF(IFERROR(INDEX(regNatjecatelj_klub,MATCH(EB181,regNatjecatelj_id,0)),"NEMA")="","klu",""),IF(OR(AND(BN181&lt;&gt;"",BN181&lt;&gt;"NEMA"),CD181&lt;&gt;""),"klu(ali)",IF(AND(BP181&lt;&gt;"",BP181&lt;&gt;BO181),"(raz-klu)","klu"))))</f>
        <v>klu</v>
      </c>
      <c r="EF181" s="73" t="str">
        <f>IF(AL181="","","kat"&amp;IF(AND(W181&lt;&gt;Q181,Q181&lt;&gt;"Open"),"(ali)",""))</f>
        <v>kat</v>
      </c>
      <c r="EG181" s="73" t="str">
        <f t="shared" si="147"/>
        <v/>
      </c>
      <c r="EH181" s="66" t="str">
        <f>IF(AL181="","",ED181&amp;IF(ED181="novo","","-"&amp;EE181&amp;"-"&amp;EF181)&amp;IF(EG181="","","-"&amp;EG181))</f>
        <v>imepre-klu-kat</v>
      </c>
      <c r="EI181" s="47" t="s">
        <v>0</v>
      </c>
      <c r="EJ181" s="58">
        <f>IF(AL181="","",MAX(EJ$12:EJ180)+1)</f>
        <v>343</v>
      </c>
      <c r="EK181" s="73">
        <f>IF(AO181="","",X181)</f>
        <v>33</v>
      </c>
      <c r="EL181" s="73">
        <f t="shared" si="176"/>
        <v>1060</v>
      </c>
      <c r="EM181" s="73">
        <f t="shared" si="148"/>
        <v>7230</v>
      </c>
      <c r="EN181" s="73">
        <f t="shared" si="149"/>
        <v>1</v>
      </c>
      <c r="EO181" s="73">
        <f t="shared" si="177"/>
        <v>1</v>
      </c>
      <c r="EP181" s="73">
        <f t="shared" si="178"/>
        <v>1</v>
      </c>
      <c r="EQ181" s="73" t="str">
        <f t="shared" si="150"/>
        <v>0</v>
      </c>
      <c r="ER181" s="73" t="str">
        <f>IF(OR(AN181="",AN181="NEMA"),BB181,AN181)</f>
        <v/>
      </c>
      <c r="ES181" s="73" t="str">
        <f>IF(AND(BN181&lt;&gt;"",BN181&lt;&gt;"NEMA"),BN181,IF(CG181&lt;&gt;"",CG181,IF(AND(CL181&lt;&gt;"",CL181&lt;&gt;"NEMA"),CL181,IF(CM181&lt;&gt;"",CM181,""))))</f>
        <v/>
      </c>
      <c r="ET181" s="53" t="str">
        <f>IF(INDEX(natKategorija_alias_Id,MATCH(S181,natKategorija_katRegId,0))="","",INDEX(natKategorija_alias_Id,MATCH(S181,natKategorija_katRegId,0)))</f>
        <v/>
      </c>
      <c r="EU181" s="47" t="s">
        <v>0</v>
      </c>
      <c r="EV181" s="19" t="str">
        <f t="shared" si="179"/>
        <v>INSERT INTO rezultat(id,stazakategorija_id,imeprezime_id,vrijeme_sec,status_id,registracija,uparivanje_id,originalstatus_id,imeprezimealias_id,klubalias_id,kategorijaalias_id) VALUES (343,33,1060,7230,1,1,1,0,Null,Null,Null);</v>
      </c>
      <c r="EW181" s="47" t="s">
        <v>0</v>
      </c>
      <c r="EX181" s="19" t="str">
        <f t="shared" si="180"/>
        <v>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EY181" s="47" t="s">
        <v>0</v>
      </c>
      <c r="EZ181" s="180" t="str">
        <f>AG181&amp;IF(CP181="","","
")&amp;CP181&amp;IF(CI181="","","
")&amp;CI181&amp;IF(DN181="","","
")&amp;DN181&amp;IF(DP181="","","
")&amp;DP181&amp;IF(EV181="","","
")&amp;EV181&amp;IF(EX181="","","
")&amp;EX181</f>
        <v xml:space="preserve">
INSERT INTO rezultat(id,stazakategorija_id,imeprezime_id,vrijeme_sec,status_id,registracija,uparivanje_id,originalstatus_id,imeprezimealias_id,klubalias_id,kategorijaalias_id) VALUES (343,33,1060,7230,1,1,1,0,Null,Null,Null);
UPDATE
	registar
SET
	potvrda = 1
WHERE
	imeprezime_id=1060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33)
                         		AND
                         	kategorija_liga.liga_id = 101)
		AND
	datum_od &lt;= '2021-04-18'
    	AND
    datum_do is Null;</v>
      </c>
      <c r="FA181" s="47" t="s">
        <v>0</v>
      </c>
    </row>
    <row r="182" spans="1:157" x14ac:dyDescent="0.25">
      <c r="A182" t="s">
        <v>0</v>
      </c>
      <c r="B182" s="52" t="str">
        <f>IF(csv!F172="","",csv!T172)</f>
        <v>M70</v>
      </c>
      <c r="C182" s="31" t="s">
        <v>0</v>
      </c>
      <c r="D182" s="31" t="str">
        <f>IF(csv!F172="","",csv!F172)</f>
        <v>Vacant</v>
      </c>
      <c r="E182" s="31" t="str">
        <f>IF(csv!E172="","",csv!E172)</f>
        <v/>
      </c>
      <c r="F182" s="31" t="s">
        <v>0</v>
      </c>
      <c r="G182" s="73" t="str">
        <f>IF(csv!M172="","",csv!M172)</f>
        <v/>
      </c>
      <c r="H182" s="73" t="str">
        <f>IF(csv!N172="","",csv!N172)</f>
        <v>0</v>
      </c>
      <c r="I182" s="31" t="s">
        <v>0</v>
      </c>
      <c r="J182" s="31" t="str">
        <f>IF(csv!P172="","",csv!P172)</f>
        <v/>
      </c>
      <c r="K182" s="31" t="str">
        <f>IF(csv!Q172="","",csv!Q172)</f>
        <v/>
      </c>
      <c r="L182" s="31" t="s">
        <v>0</v>
      </c>
      <c r="M182" s="66" t="str">
        <f>IF(csv!R172="","",csv!R172)</f>
        <v/>
      </c>
      <c r="N182" s="47" t="s">
        <v>0</v>
      </c>
      <c r="O182" s="243" t="str">
        <f t="shared" si="151"/>
        <v/>
      </c>
      <c r="P182" s="47"/>
      <c r="Q182" s="52" t="str">
        <f t="shared" si="152"/>
        <v>M70</v>
      </c>
      <c r="R182" s="73">
        <f>IF(Q182="","",IF(COUNTIF(Q$12:Q181,Q182)=0,R181+1,R181))</f>
        <v>11</v>
      </c>
      <c r="S182" s="73">
        <f t="shared" si="153"/>
        <v>103</v>
      </c>
      <c r="T182" s="73">
        <f t="shared" si="128"/>
        <v>15</v>
      </c>
      <c r="U182" s="66" t="str">
        <f t="shared" si="129"/>
        <v>M70 – M65</v>
      </c>
      <c r="V182" s="47" t="s">
        <v>0</v>
      </c>
      <c r="W182" s="222" t="str">
        <f t="shared" si="130"/>
        <v/>
      </c>
      <c r="X182" s="223" t="str">
        <f t="shared" si="131"/>
        <v/>
      </c>
      <c r="Y182" s="47" t="s">
        <v>0</v>
      </c>
      <c r="Z182" s="52" t="str">
        <f t="shared" si="154"/>
        <v/>
      </c>
      <c r="AA182" s="73" t="str">
        <f t="shared" si="132"/>
        <v/>
      </c>
      <c r="AB182" s="31" t="str">
        <f t="shared" si="155"/>
        <v/>
      </c>
      <c r="AC182" s="66" t="str">
        <f>IF(AB182="","",MAX(AC$12:AC181)+1)</f>
        <v/>
      </c>
      <c r="AD182" s="47" t="s">
        <v>0</v>
      </c>
      <c r="AE182" s="125"/>
      <c r="AF182" s="47" t="s">
        <v>0</v>
      </c>
      <c r="AG182" s="19" t="str">
        <f t="shared" si="156"/>
        <v/>
      </c>
      <c r="AH182" s="47" t="s">
        <v>0</v>
      </c>
      <c r="AI182" s="143" t="str">
        <f t="shared" si="157"/>
        <v/>
      </c>
      <c r="AJ182" s="47"/>
      <c r="AK182" s="52" t="str">
        <f t="shared" si="158"/>
        <v/>
      </c>
      <c r="AL182" s="31" t="str">
        <f t="shared" si="159"/>
        <v/>
      </c>
      <c r="AM182" s="73" t="str">
        <f t="shared" si="160"/>
        <v/>
      </c>
      <c r="AN182" s="73" t="str">
        <f t="shared" si="161"/>
        <v/>
      </c>
      <c r="AO182" s="31" t="str">
        <f t="shared" si="133"/>
        <v/>
      </c>
      <c r="AP182" s="66" t="str">
        <f t="shared" si="134"/>
        <v/>
      </c>
      <c r="AQ182" s="47" t="s">
        <v>0</v>
      </c>
      <c r="AR182" s="82" t="str">
        <f t="shared" si="162"/>
        <v/>
      </c>
      <c r="AS182" s="47" t="s">
        <v>0</v>
      </c>
      <c r="AT182" s="19" t="str">
        <f t="shared" si="163"/>
        <v/>
      </c>
      <c r="AU182" s="47" t="s">
        <v>0</v>
      </c>
      <c r="AV182" s="103"/>
      <c r="AW182" s="105"/>
      <c r="AX182" s="47" t="s">
        <v>0</v>
      </c>
      <c r="AY182" s="256" t="str">
        <f t="shared" si="181"/>
        <v/>
      </c>
      <c r="AZ182" s="47" t="s">
        <v>0</v>
      </c>
      <c r="BA182" s="52" t="str">
        <f t="shared" si="135"/>
        <v/>
      </c>
      <c r="BB182" s="73" t="str">
        <f>IF(AV182&amp;AW182="","",MAX(BB$12:BB181)+1)</f>
        <v/>
      </c>
      <c r="BC182" s="268" t="str">
        <f t="shared" si="136"/>
        <v/>
      </c>
      <c r="BD182" s="53" t="str">
        <f>IF(AND(AM182="NEMA",AN182="NEMA",OR(AV182&amp;AW182="",BC182="NEMA")),MAX(BD$12:BD181)+1,"")</f>
        <v/>
      </c>
      <c r="BE182" s="47" t="s">
        <v>0</v>
      </c>
      <c r="BF182" s="52" t="str">
        <f t="shared" si="137"/>
        <v/>
      </c>
      <c r="BG182" s="31" t="str">
        <f t="shared" si="138"/>
        <v/>
      </c>
      <c r="BH182" s="73" t="str">
        <f t="shared" si="164"/>
        <v/>
      </c>
      <c r="BI182" s="53" t="str">
        <f t="shared" si="165"/>
        <v/>
      </c>
      <c r="BJ182" s="47" t="s">
        <v>0</v>
      </c>
      <c r="BK182" s="52" t="str">
        <f t="shared" si="139"/>
        <v/>
      </c>
      <c r="BL182" s="31" t="str">
        <f t="shared" si="140"/>
        <v/>
      </c>
      <c r="BM182" s="73" t="str">
        <f t="shared" si="141"/>
        <v/>
      </c>
      <c r="BN182" s="73" t="str">
        <f t="shared" si="142"/>
        <v/>
      </c>
      <c r="BO182" s="31" t="str" cm="1">
        <f t="array" ref="BO182">IF(BN182="",""&amp;BL182,IF(BN182="NEMA",BL182,INDEX(regKlub_naziv,MATCH(INDEX(regKlub_alias_klubId,BN182),regKlub_id,0))))</f>
        <v/>
      </c>
      <c r="BP182" s="31" t="str" cm="1">
        <f t="array" ref="BP182">IFERROR(""&amp;INDEX(regNatjecatelj_klub,DY182),"")</f>
        <v/>
      </c>
      <c r="BQ182" s="88" t="str">
        <f t="shared" si="166"/>
        <v/>
      </c>
      <c r="BR182" s="66" t="str">
        <f t="shared" si="167"/>
        <v/>
      </c>
      <c r="BS182" s="47" t="s">
        <v>0</v>
      </c>
      <c r="BT182" s="82" t="str">
        <f>IF(BN182&lt;&gt;"NEMA","",IF(IFERROR(MATCH(BL182,BL$12:BL181,0),0)&lt;&gt;0,"",BL182))</f>
        <v/>
      </c>
      <c r="BU182" s="47" t="s">
        <v>0</v>
      </c>
      <c r="BV182" s="125"/>
      <c r="BW182" s="47" t="s">
        <v>0</v>
      </c>
      <c r="BX182" s="58" t="str">
        <f t="shared" si="168"/>
        <v/>
      </c>
      <c r="BY182" s="31" t="str">
        <f t="shared" si="169"/>
        <v/>
      </c>
      <c r="BZ182" s="31" t="str">
        <f>IF(BY182="","",MAX(BZ$12:BZ181)+1)</f>
        <v/>
      </c>
      <c r="CA182" s="31" t="str">
        <f>IF(BY182="","",IF(AA182="","",IF(AA182="NEMA",AC182,AA182)))</f>
        <v/>
      </c>
      <c r="CB182" s="31" t="str">
        <f t="shared" si="170"/>
        <v/>
      </c>
      <c r="CC182" s="31" t="str">
        <f>IF(BV182="","",MAX(CC$12:CC181)+1)</f>
        <v/>
      </c>
      <c r="CD182" s="31" t="str">
        <f t="shared" si="171"/>
        <v/>
      </c>
      <c r="CE182" s="66" t="str">
        <f t="shared" si="172"/>
        <v/>
      </c>
      <c r="CF182" s="47" t="s">
        <v>0</v>
      </c>
      <c r="CG182" s="73" t="str">
        <f>IF(BN182="","",IF(BN182&lt;&gt;"NEMA","",IFERROR(INDEX(nat_klubAliasId,MATCH(BL182,nat_noviKluboviAliasi,0)),"")))</f>
        <v/>
      </c>
      <c r="CH182" s="47"/>
      <c r="CI182" s="19" t="str">
        <f t="shared" si="173"/>
        <v/>
      </c>
      <c r="CJ182" s="47" t="s">
        <v>0</v>
      </c>
      <c r="CK182" s="52" t="str">
        <f>IF(X182&lt;&gt;"NEMA","",IF(IFERROR(MATCH(W182,W$12:W181,0),0)&lt;&gt;0,"",W182))</f>
        <v/>
      </c>
      <c r="CL182" s="73" t="str">
        <f>IF(CK182="","",IFERROR(INDEX(regKlub_alias_id,MATCH(CK182,regKlub_alias_alias,0)),"NEMA"))</f>
        <v/>
      </c>
      <c r="CM182" s="31" t="str">
        <f>IF(OR(CL182="",CL182&lt;&gt;"NEMA"),"",MAX(CM$12:CM181)+1)</f>
        <v/>
      </c>
      <c r="CN182" s="66" t="str">
        <f>IF(OR(CL182="",CL182&lt;&gt;"NEMA"),"",INDEX(regKlub_id,MATCH(CK182,regKlub_naziv,0)))</f>
        <v/>
      </c>
      <c r="CO182" s="47" t="s">
        <v>0</v>
      </c>
      <c r="CP182" s="19" t="str">
        <f>IF(OR(CL182="",CL182&lt;&gt;"NEMA"),"","INSERT INTO klub_alias(id,alias,klub_id) VALUES ("&amp;CM182&amp;",'"&amp;CK182&amp;"',"&amp;CN182&amp;");")</f>
        <v/>
      </c>
      <c r="CQ182" s="47" t="s">
        <v>0</v>
      </c>
      <c r="CR182" s="143" t="str">
        <f>IF(BR182="","",IF(BV182="",IF(IFERROR(MATCH(BR182,nat_noviKluboviAliasi,0),0)&gt;0,INDEX(nat_kluboviAliasi,MATCH(BR182,nat_noviKluboviAliasi,0)),BR182),BV182))</f>
        <v/>
      </c>
      <c r="CS182" s="47" t="s">
        <v>0</v>
      </c>
      <c r="CT182" s="58" t="str">
        <f>IF(G182="","",G182)</f>
        <v/>
      </c>
      <c r="CU182" s="73" t="str">
        <f>IF(H182="","",H182)</f>
        <v>0</v>
      </c>
      <c r="CV182" s="229" t="str">
        <f>IF(CT182="",IF(OR(AL182="",CU182&lt;&gt;"0"),"","GREŠKA"),IF(AND(65535&gt;=VALUE(LEFT(CT182,SEARCH(":",CT182)-1))*60+VALUE(RIGHT(CT182,2)),OR(CU182="0",CU182="1",CU182="2",CU182="3",CU182="4")),"","GREŠKA"))</f>
        <v/>
      </c>
      <c r="CW182" s="230" t="str">
        <f t="shared" si="127"/>
        <v/>
      </c>
      <c r="CX182" s="163" t="str">
        <f t="shared" si="143"/>
        <v/>
      </c>
      <c r="CY182" s="47" t="s">
        <v>0</v>
      </c>
      <c r="CZ182" s="222" t="str">
        <f>IF(CV182&lt;&gt;"GREŠKA","",AK182&amp;" "&amp;AL182&amp;" – Molim u OEventu provjeriti i ispraviti rezultat – vrijeme ("&amp;IF(CT182="","nije upisano",CT182)&amp;") i classifier ("&amp;CU182&amp;").")&amp;IF(OR(CV182&lt;&gt;"GREŠKA",CX182&lt;&gt;5),"
","")&amp;IF(CX182&lt;&gt;5,"",AK182&amp;" "&amp;AL182&amp;" – Molim u provjeriti je li natjecatelj zaista diskvalificiran. Ako je koje je obrazloženje, ako nije molim u OEventu ispraviti rezultat")</f>
        <v xml:space="preserve">
</v>
      </c>
      <c r="DA182" s="223" t="str">
        <f t="shared" si="174"/>
        <v/>
      </c>
      <c r="DB182" s="47" t="s">
        <v>0</v>
      </c>
      <c r="DC182" s="47"/>
      <c r="DD182" s="47"/>
      <c r="DE182" s="47"/>
      <c r="DF182" s="47" t="s">
        <v>0</v>
      </c>
      <c r="DG182" s="53" t="str">
        <f>IF(BD182="","",IF(DI182="O",1,""))</f>
        <v/>
      </c>
      <c r="DH182" t="s">
        <v>0</v>
      </c>
      <c r="DI182" s="128" t="str">
        <f>IF(Q182="","",LEFT(INDEX(regKategorija_oznaka,MATCH(S182,regKategorija_id,0)),1))</f>
        <v>M</v>
      </c>
      <c r="DJ182" t="s">
        <v>0</v>
      </c>
      <c r="DK182" s="52" t="str">
        <f>IF(BD182="","",IF(M182&lt;&gt;"CRO","","INSERT INTO osoba (id,reg_broj,oib,spol_id,dat_rodjenja) VALUES ("&amp;BD182&amp;",(SELECT max(os.reg_broj)+1 FROM osoba AS os),Null,'"&amp;DI182&amp;"',Null); INSERT INTO osoba_log (id,reg_broj,oib,spol_id,dat_rodjenja,dnevnik_id) SELECT id,reg_broj,oib,spol_id,dat_rodjenja,"&amp;data_dnevnik_id&amp;" FROM osoba WHERE id = "&amp;BD182&amp;";"))</f>
        <v/>
      </c>
      <c r="DL182" s="66" t="str">
        <f>IF(BD182="","","INSERT INTO imeprezime (id,osoba_id,rbr,ime,prezime,klub_id,identitet_id,sintaksa_id,info,aktivno,dnevnik_id) VALUES ("&amp;BD182&amp;","&amp;IF(DK182="","Null",BD182)&amp;",1,'"&amp;IF(AV182&lt;&gt;"",AV182,AK182)&amp;"','"&amp;IF(AW182&lt;&gt;"",AW182,AL182)&amp;"',(SELECT id FROM klub WHERE naziv = '"&amp;CR182&amp;"'),Null,1,'',1,"&amp;data_dnevnik_id&amp;");")</f>
        <v/>
      </c>
      <c r="DM182" t="s">
        <v>0</v>
      </c>
      <c r="DN182" s="19" t="str">
        <f t="shared" si="182"/>
        <v/>
      </c>
      <c r="DO182" s="47" t="s">
        <v>0</v>
      </c>
      <c r="DP182" s="19" t="str">
        <f>IF(BA182="","","INSERT INTO imeprezime_alias(id,alias,imeprezime_id) VALUES ("&amp;BB182&amp;",'"&amp;BA182&amp;"',"&amp;IF(BC182="NEMA",BD182,BC182)&amp;");")</f>
        <v/>
      </c>
      <c r="DQ182" s="47" t="s">
        <v>0</v>
      </c>
      <c r="DR182" s="52" t="str">
        <f>IF(AL182="","",DU182 &amp; IF(Q182="",""," – " &amp; Q182))</f>
        <v/>
      </c>
      <c r="DS182" s="53" t="str">
        <f t="shared" si="144"/>
        <v/>
      </c>
      <c r="DT182" s="47" t="s">
        <v>0</v>
      </c>
      <c r="DU182" s="52" t="str">
        <f>IF(AL182="","",DX182 &amp; IF(CR182="",""," – " &amp; CR182))</f>
        <v/>
      </c>
      <c r="DV182" s="53" t="str">
        <f t="shared" si="145"/>
        <v/>
      </c>
      <c r="DW182" s="47" t="s">
        <v>0</v>
      </c>
      <c r="DX182" s="52" t="str">
        <f>IF(BG182="","",BF182&amp;" – "&amp;BG182)</f>
        <v/>
      </c>
      <c r="DY182" s="53" t="str">
        <f t="shared" si="146"/>
        <v/>
      </c>
      <c r="DZ182" s="47" t="s">
        <v>0</v>
      </c>
      <c r="EA182" s="58" t="str">
        <f t="shared" si="175"/>
        <v/>
      </c>
      <c r="EB182" s="53" t="str" cm="1">
        <f t="array" ref="EB182">IF(EA182&lt;&gt;"",INDEX(regNatjecatelj_id,EA182,0),IF(BD182&lt;&gt;"",BD182,""))</f>
        <v/>
      </c>
      <c r="EC182" s="47" t="s">
        <v>0</v>
      </c>
      <c r="ED182" s="58" t="str">
        <f>IF(AL182="","",IF(BD182&lt;&gt;"","novo",IF(AN182="","imepre","imepre(ali)")))</f>
        <v/>
      </c>
      <c r="EE182" s="73" t="str">
        <f>IF(AL182="","",IF(BL182="",IF(IFERROR(INDEX(regNatjecatelj_klub,MATCH(EB182,regNatjecatelj_id,0)),"NEMA")="","klu",""),IF(OR(AND(BN182&lt;&gt;"",BN182&lt;&gt;"NEMA"),CD182&lt;&gt;""),"klu(ali)",IF(AND(BP182&lt;&gt;"",BP182&lt;&gt;BO182),"(raz-klu)","klu"))))</f>
        <v/>
      </c>
      <c r="EF182" s="73" t="str">
        <f>IF(AL182="","","kat"&amp;IF(AND(W182&lt;&gt;Q182,Q182&lt;&gt;"Open"),"(ali)",""))</f>
        <v/>
      </c>
      <c r="EG182" s="73" t="str">
        <f t="shared" si="147"/>
        <v/>
      </c>
      <c r="EH182" s="66" t="str">
        <f>IF(AL182="","",ED182&amp;IF(ED182="novo","","-"&amp;EE182&amp;"-"&amp;EF182)&amp;IF(EG182="","","-"&amp;EG182))</f>
        <v/>
      </c>
      <c r="EI182" s="47" t="s">
        <v>0</v>
      </c>
      <c r="EJ182" s="58" t="str">
        <f>IF(AL182="","",MAX(EJ$12:EJ181)+1)</f>
        <v/>
      </c>
      <c r="EK182" s="73" t="str">
        <f>IF(AO182="","",X182)</f>
        <v/>
      </c>
      <c r="EL182" s="73" t="str">
        <f t="shared" si="176"/>
        <v/>
      </c>
      <c r="EM182" s="73" t="str">
        <f t="shared" si="148"/>
        <v/>
      </c>
      <c r="EN182" s="73" t="str">
        <f t="shared" si="149"/>
        <v/>
      </c>
      <c r="EO182" s="73" t="str">
        <f t="shared" si="177"/>
        <v/>
      </c>
      <c r="EP182" s="73" t="str">
        <f t="shared" si="178"/>
        <v/>
      </c>
      <c r="EQ182" s="73" t="str">
        <f t="shared" si="150"/>
        <v/>
      </c>
      <c r="ER182" s="73" t="str">
        <f>IF(OR(AN182="",AN182="NEMA"),BB182,AN182)</f>
        <v/>
      </c>
      <c r="ES182" s="73" t="str">
        <f>IF(AND(BN182&lt;&gt;"",BN182&lt;&gt;"NEMA"),BN182,IF(CG182&lt;&gt;"",CG182,IF(AND(CL182&lt;&gt;"",CL182&lt;&gt;"NEMA"),CL182,IF(CM182&lt;&gt;"",CM182,""))))</f>
        <v/>
      </c>
      <c r="ET182" s="53" t="str">
        <f>IF(INDEX(natKategorija_alias_Id,MATCH(S182,natKategorija_katRegId,0))="","",INDEX(natKategorija_alias_Id,MATCH(S182,natKategorija_katRegId,0)))</f>
        <v/>
      </c>
      <c r="EU182" s="47" t="s">
        <v>0</v>
      </c>
      <c r="EV182" s="19" t="str">
        <f t="shared" si="179"/>
        <v/>
      </c>
      <c r="EW182" s="47" t="s">
        <v>0</v>
      </c>
      <c r="EX182" s="19" t="str">
        <f t="shared" si="180"/>
        <v/>
      </c>
      <c r="EY182" s="47" t="s">
        <v>0</v>
      </c>
      <c r="EZ182" s="180" t="str">
        <f>AG182&amp;IF(CP182="","","
")&amp;CP182&amp;IF(CI182="","","
")&amp;CI182&amp;IF(DN182="","","
")&amp;DN182&amp;IF(DP182="","","
")&amp;DP182&amp;IF(EV182="","","
")&amp;EV182&amp;IF(EX182="","","
")&amp;EX182</f>
        <v/>
      </c>
      <c r="FA182" s="47" t="s">
        <v>0</v>
      </c>
    </row>
    <row r="183" spans="1:157" x14ac:dyDescent="0.25">
      <c r="A183" t="s">
        <v>0</v>
      </c>
      <c r="B183" s="52" t="str">
        <f>IF(csv!F173="","",csv!T173)</f>
        <v>M70</v>
      </c>
      <c r="C183" s="31" t="s">
        <v>0</v>
      </c>
      <c r="D183" s="31" t="str">
        <f>IF(csv!F173="","",csv!F173)</f>
        <v>Vacant</v>
      </c>
      <c r="E183" s="31" t="str">
        <f>IF(csv!E173="","",csv!E173)</f>
        <v/>
      </c>
      <c r="F183" s="31" t="s">
        <v>0</v>
      </c>
      <c r="G183" s="73" t="str">
        <f>IF(csv!M173="","",csv!M173)</f>
        <v/>
      </c>
      <c r="H183" s="73" t="str">
        <f>IF(csv!N173="","",csv!N173)</f>
        <v>0</v>
      </c>
      <c r="I183" s="31" t="s">
        <v>0</v>
      </c>
      <c r="J183" s="31" t="str">
        <f>IF(csv!P173="","",csv!P173)</f>
        <v/>
      </c>
      <c r="K183" s="31" t="str">
        <f>IF(csv!Q173="","",csv!Q173)</f>
        <v/>
      </c>
      <c r="L183" s="31" t="s">
        <v>0</v>
      </c>
      <c r="M183" s="66" t="str">
        <f>IF(csv!R173="","",csv!R173)</f>
        <v/>
      </c>
      <c r="N183" s="47" t="s">
        <v>0</v>
      </c>
      <c r="O183" s="243" t="str">
        <f t="shared" si="151"/>
        <v/>
      </c>
      <c r="P183" s="47"/>
      <c r="Q183" s="52" t="str">
        <f t="shared" si="152"/>
        <v>M70</v>
      </c>
      <c r="R183" s="73">
        <f>IF(Q183="","",IF(COUNTIF(Q$12:Q182,Q183)=0,R182+1,R182))</f>
        <v>11</v>
      </c>
      <c r="S183" s="73">
        <f t="shared" si="153"/>
        <v>103</v>
      </c>
      <c r="T183" s="73">
        <f t="shared" si="128"/>
        <v>15</v>
      </c>
      <c r="U183" s="66" t="str">
        <f t="shared" si="129"/>
        <v>M70 – M65</v>
      </c>
      <c r="V183" s="47" t="s">
        <v>0</v>
      </c>
      <c r="W183" s="222" t="str">
        <f t="shared" si="130"/>
        <v/>
      </c>
      <c r="X183" s="223" t="str">
        <f t="shared" si="131"/>
        <v/>
      </c>
      <c r="Y183" s="47" t="s">
        <v>0</v>
      </c>
      <c r="Z183" s="52" t="str">
        <f t="shared" si="154"/>
        <v/>
      </c>
      <c r="AA183" s="73" t="str">
        <f t="shared" si="132"/>
        <v/>
      </c>
      <c r="AB183" s="31" t="str">
        <f t="shared" si="155"/>
        <v/>
      </c>
      <c r="AC183" s="66" t="str">
        <f>IF(AB183="","",MAX(AC$12:AC182)+1)</f>
        <v/>
      </c>
      <c r="AD183" s="47" t="s">
        <v>0</v>
      </c>
      <c r="AE183" s="125"/>
      <c r="AF183" s="47" t="s">
        <v>0</v>
      </c>
      <c r="AG183" s="19" t="str">
        <f t="shared" si="156"/>
        <v/>
      </c>
      <c r="AH183" s="47" t="s">
        <v>0</v>
      </c>
      <c r="AI183" s="143" t="str">
        <f t="shared" si="157"/>
        <v/>
      </c>
      <c r="AJ183" s="47"/>
      <c r="AK183" s="52" t="str">
        <f t="shared" si="158"/>
        <v/>
      </c>
      <c r="AL183" s="31" t="str">
        <f t="shared" si="159"/>
        <v/>
      </c>
      <c r="AM183" s="73" t="str">
        <f t="shared" si="160"/>
        <v/>
      </c>
      <c r="AN183" s="73" t="str">
        <f t="shared" si="161"/>
        <v/>
      </c>
      <c r="AO183" s="31" t="str">
        <f t="shared" si="133"/>
        <v/>
      </c>
      <c r="AP183" s="66" t="str">
        <f t="shared" si="134"/>
        <v/>
      </c>
      <c r="AQ183" s="47" t="s">
        <v>0</v>
      </c>
      <c r="AR183" s="82" t="str">
        <f t="shared" si="162"/>
        <v/>
      </c>
      <c r="AS183" s="47" t="s">
        <v>0</v>
      </c>
      <c r="AT183" s="19" t="str">
        <f t="shared" si="163"/>
        <v/>
      </c>
      <c r="AU183" s="47" t="s">
        <v>0</v>
      </c>
      <c r="AV183" s="103"/>
      <c r="AW183" s="105"/>
      <c r="AX183" s="47" t="s">
        <v>0</v>
      </c>
      <c r="AY183" s="256" t="str">
        <f t="shared" si="181"/>
        <v/>
      </c>
      <c r="AZ183" s="47" t="s">
        <v>0</v>
      </c>
      <c r="BA183" s="52" t="str">
        <f t="shared" si="135"/>
        <v/>
      </c>
      <c r="BB183" s="73" t="str">
        <f>IF(AV183&amp;AW183="","",MAX(BB$12:BB182)+1)</f>
        <v/>
      </c>
      <c r="BC183" s="268" t="str">
        <f t="shared" si="136"/>
        <v/>
      </c>
      <c r="BD183" s="53" t="str">
        <f>IF(AND(AM183="NEMA",AN183="NEMA",OR(AV183&amp;AW183="",BC183="NEMA")),MAX(BD$12:BD182)+1,"")</f>
        <v/>
      </c>
      <c r="BE183" s="47" t="s">
        <v>0</v>
      </c>
      <c r="BF183" s="52" t="str">
        <f t="shared" si="137"/>
        <v/>
      </c>
      <c r="BG183" s="31" t="str">
        <f t="shared" si="138"/>
        <v/>
      </c>
      <c r="BH183" s="73" t="str">
        <f t="shared" si="164"/>
        <v/>
      </c>
      <c r="BI183" s="53" t="str">
        <f t="shared" si="165"/>
        <v/>
      </c>
      <c r="BJ183" s="47" t="s">
        <v>0</v>
      </c>
      <c r="BK183" s="52" t="str">
        <f t="shared" si="139"/>
        <v/>
      </c>
      <c r="BL183" s="31" t="str">
        <f t="shared" si="140"/>
        <v/>
      </c>
      <c r="BM183" s="73" t="str">
        <f t="shared" si="141"/>
        <v/>
      </c>
      <c r="BN183" s="73" t="str">
        <f t="shared" si="142"/>
        <v/>
      </c>
      <c r="BO183" s="31" t="str" cm="1">
        <f t="array" ref="BO183">IF(BN183="",""&amp;BL183,IF(BN183="NEMA",BL183,INDEX(regKlub_naziv,MATCH(INDEX(regKlub_alias_klubId,BN183),regKlub_id,0))))</f>
        <v/>
      </c>
      <c r="BP183" s="31" t="str" cm="1">
        <f t="array" ref="BP183">IFERROR(""&amp;INDEX(regNatjecatelj_klub,DY183),"")</f>
        <v/>
      </c>
      <c r="BQ183" s="88" t="str">
        <f t="shared" si="166"/>
        <v/>
      </c>
      <c r="BR183" s="66" t="str">
        <f t="shared" si="167"/>
        <v/>
      </c>
      <c r="BS183" s="47" t="s">
        <v>0</v>
      </c>
      <c r="BT183" s="82" t="str">
        <f>IF(BN183&lt;&gt;"NEMA","",IF(IFERROR(MATCH(BL183,BL$12:BL182,0),0)&lt;&gt;0,"",BL183))</f>
        <v/>
      </c>
      <c r="BU183" s="47" t="s">
        <v>0</v>
      </c>
      <c r="BV183" s="125"/>
      <c r="BW183" s="47" t="s">
        <v>0</v>
      </c>
      <c r="BX183" s="58" t="str">
        <f t="shared" si="168"/>
        <v/>
      </c>
      <c r="BY183" s="31" t="str">
        <f t="shared" si="169"/>
        <v/>
      </c>
      <c r="BZ183" s="31" t="str">
        <f>IF(BY183="","",MAX(BZ$12:BZ182)+1)</f>
        <v/>
      </c>
      <c r="CA183" s="31" t="str">
        <f>IF(BY183="","",IF(AA183="","",IF(AA183="NEMA",AC183,AA183)))</f>
        <v/>
      </c>
      <c r="CB183" s="31" t="str">
        <f t="shared" si="170"/>
        <v/>
      </c>
      <c r="CC183" s="31" t="str">
        <f>IF(BV183="","",MAX(CC$12:CC182)+1)</f>
        <v/>
      </c>
      <c r="CD183" s="31" t="str">
        <f t="shared" si="171"/>
        <v/>
      </c>
      <c r="CE183" s="66" t="str">
        <f t="shared" si="172"/>
        <v/>
      </c>
      <c r="CF183" s="47" t="s">
        <v>0</v>
      </c>
      <c r="CG183" s="73" t="str">
        <f>IF(BN183="","",IF(BN183&lt;&gt;"NEMA","",IFERROR(INDEX(nat_klubAliasId,MATCH(BL183,nat_noviKluboviAliasi,0)),"")))</f>
        <v/>
      </c>
      <c r="CH183" s="47"/>
      <c r="CI183" s="19" t="str">
        <f t="shared" si="173"/>
        <v/>
      </c>
      <c r="CJ183" s="47" t="s">
        <v>0</v>
      </c>
      <c r="CK183" s="52" t="str">
        <f>IF(X183&lt;&gt;"NEMA","",IF(IFERROR(MATCH(W183,W$12:W182,0),0)&lt;&gt;0,"",W183))</f>
        <v/>
      </c>
      <c r="CL183" s="73" t="str">
        <f>IF(CK183="","",IFERROR(INDEX(regKlub_alias_id,MATCH(CK183,regKlub_alias_alias,0)),"NEMA"))</f>
        <v/>
      </c>
      <c r="CM183" s="31" t="str">
        <f>IF(OR(CL183="",CL183&lt;&gt;"NEMA"),"",MAX(CM$12:CM182)+1)</f>
        <v/>
      </c>
      <c r="CN183" s="66" t="str">
        <f>IF(OR(CL183="",CL183&lt;&gt;"NEMA"),"",INDEX(regKlub_id,MATCH(CK183,regKlub_naziv,0)))</f>
        <v/>
      </c>
      <c r="CO183" s="47" t="s">
        <v>0</v>
      </c>
      <c r="CP183" s="19" t="str">
        <f>IF(OR(CL183="",CL183&lt;&gt;"NEMA"),"","INSERT INTO klub_alias(id,alias,klub_id) VALUES ("&amp;CM183&amp;",'"&amp;CK183&amp;"',"&amp;CN183&amp;");")</f>
        <v/>
      </c>
      <c r="CQ183" s="47" t="s">
        <v>0</v>
      </c>
      <c r="CR183" s="143" t="str">
        <f>IF(BR183="","",IF(BV183="",IF(IFERROR(MATCH(BR183,nat_noviKluboviAliasi,0),0)&gt;0,INDEX(nat_kluboviAliasi,MATCH(BR183,nat_noviKluboviAliasi,0)),BR183),BV183))</f>
        <v/>
      </c>
      <c r="CS183" s="47" t="s">
        <v>0</v>
      </c>
      <c r="CT183" s="58" t="str">
        <f>IF(G183="","",G183)</f>
        <v/>
      </c>
      <c r="CU183" s="73" t="str">
        <f>IF(H183="","",H183)</f>
        <v>0</v>
      </c>
      <c r="CV183" s="229" t="str">
        <f>IF(CT183="",IF(OR(AL183="",CU183&lt;&gt;"0"),"","GREŠKA"),IF(AND(65535&gt;=VALUE(LEFT(CT183,SEARCH(":",CT183)-1))*60+VALUE(RIGHT(CT183,2)),OR(CU183="0",CU183="1",CU183="2",CU183="3",CU183="4")),"","GREŠKA"))</f>
        <v/>
      </c>
      <c r="CW183" s="230" t="str">
        <f t="shared" si="127"/>
        <v/>
      </c>
      <c r="CX183" s="163" t="str">
        <f t="shared" si="143"/>
        <v/>
      </c>
      <c r="CY183" s="47" t="s">
        <v>0</v>
      </c>
      <c r="CZ183" s="222" t="str">
        <f>IF(CV183&lt;&gt;"GREŠKA","",AK183&amp;" "&amp;AL183&amp;" – Molim u OEventu provjeriti i ispraviti rezultat – vrijeme ("&amp;IF(CT183="","nije upisano",CT183)&amp;") i classifier ("&amp;CU183&amp;").")&amp;IF(OR(CV183&lt;&gt;"GREŠKA",CX183&lt;&gt;5),"
","")&amp;IF(CX183&lt;&gt;5,"",AK183&amp;" "&amp;AL183&amp;" – Molim u provjeriti je li natjecatelj zaista diskvalificiran. Ako je koje je obrazloženje, ako nije molim u OEventu ispraviti rezultat")</f>
        <v xml:space="preserve">
</v>
      </c>
      <c r="DA183" s="223" t="str">
        <f t="shared" si="174"/>
        <v/>
      </c>
      <c r="DB183" s="47" t="s">
        <v>0</v>
      </c>
      <c r="DC183" s="47"/>
      <c r="DD183" s="47"/>
      <c r="DE183" s="47"/>
      <c r="DF183" s="47" t="s">
        <v>0</v>
      </c>
      <c r="DG183" s="53" t="str">
        <f>IF(BD183="","",IF(DI183="O",1,""))</f>
        <v/>
      </c>
      <c r="DH183" t="s">
        <v>0</v>
      </c>
      <c r="DI183" s="128" t="str">
        <f>IF(Q183="","",LEFT(INDEX(regKategorija_oznaka,MATCH(S183,regKategorija_id,0)),1))</f>
        <v>M</v>
      </c>
      <c r="DJ183" t="s">
        <v>0</v>
      </c>
      <c r="DK183" s="52" t="str">
        <f>IF(BD183="","",IF(M183&lt;&gt;"CRO","","INSERT INTO osoba (id,reg_broj,oib,spol_id,dat_rodjenja) VALUES ("&amp;BD183&amp;",(SELECT max(os.reg_broj)+1 FROM osoba AS os),Null,'"&amp;DI183&amp;"',Null); INSERT INTO osoba_log (id,reg_broj,oib,spol_id,dat_rodjenja,dnevnik_id) SELECT id,reg_broj,oib,spol_id,dat_rodjenja,"&amp;data_dnevnik_id&amp;" FROM osoba WHERE id = "&amp;BD183&amp;";"))</f>
        <v/>
      </c>
      <c r="DL183" s="66" t="str">
        <f>IF(BD183="","","INSERT INTO imeprezime (id,osoba_id,rbr,ime,prezime,klub_id,identitet_id,sintaksa_id,info,aktivno,dnevnik_id) VALUES ("&amp;BD183&amp;","&amp;IF(DK183="","Null",BD183)&amp;",1,'"&amp;IF(AV183&lt;&gt;"",AV183,AK183)&amp;"','"&amp;IF(AW183&lt;&gt;"",AW183,AL183)&amp;"',(SELECT id FROM klub WHERE naziv = '"&amp;CR183&amp;"'),Null,1,'',1,"&amp;data_dnevnik_id&amp;");")</f>
        <v/>
      </c>
      <c r="DM183" t="s">
        <v>0</v>
      </c>
      <c r="DN183" s="19" t="str">
        <f t="shared" si="182"/>
        <v/>
      </c>
      <c r="DO183" s="47" t="s">
        <v>0</v>
      </c>
      <c r="DP183" s="19" t="str">
        <f>IF(BA183="","","INSERT INTO imeprezime_alias(id,alias,imeprezime_id) VALUES ("&amp;BB183&amp;",'"&amp;BA183&amp;"',"&amp;IF(BC183="NEMA",BD183,BC183)&amp;");")</f>
        <v/>
      </c>
      <c r="DQ183" s="47" t="s">
        <v>0</v>
      </c>
      <c r="DR183" s="52" t="str">
        <f>IF(AL183="","",DU183 &amp; IF(Q183="",""," – " &amp; Q183))</f>
        <v/>
      </c>
      <c r="DS183" s="53" t="str">
        <f t="shared" si="144"/>
        <v/>
      </c>
      <c r="DT183" s="47" t="s">
        <v>0</v>
      </c>
      <c r="DU183" s="52" t="str">
        <f>IF(AL183="","",DX183 &amp; IF(CR183="",""," – " &amp; CR183))</f>
        <v/>
      </c>
      <c r="DV183" s="53" t="str">
        <f t="shared" si="145"/>
        <v/>
      </c>
      <c r="DW183" s="47" t="s">
        <v>0</v>
      </c>
      <c r="DX183" s="52" t="str">
        <f>IF(BG183="","",BF183&amp;" – "&amp;BG183)</f>
        <v/>
      </c>
      <c r="DY183" s="53" t="str">
        <f t="shared" si="146"/>
        <v/>
      </c>
      <c r="DZ183" s="47" t="s">
        <v>0</v>
      </c>
      <c r="EA183" s="58" t="str">
        <f t="shared" si="175"/>
        <v/>
      </c>
      <c r="EB183" s="53" t="str" cm="1">
        <f t="array" ref="EB183">IF(EA183&lt;&gt;"",INDEX(regNatjecatelj_id,EA183,0),IF(BD183&lt;&gt;"",BD183,""))</f>
        <v/>
      </c>
      <c r="EC183" s="47" t="s">
        <v>0</v>
      </c>
      <c r="ED183" s="58" t="str">
        <f>IF(AL183="","",IF(BD183&lt;&gt;"","novo",IF(AN183="","imepre","imepre(ali)")))</f>
        <v/>
      </c>
      <c r="EE183" s="73" t="str">
        <f>IF(AL183="","",IF(BL183="",IF(IFERROR(INDEX(regNatjecatelj_klub,MATCH(EB183,regNatjecatelj_id,0)),"NEMA")="","klu",""),IF(OR(AND(BN183&lt;&gt;"",BN183&lt;&gt;"NEMA"),CD183&lt;&gt;""),"klu(ali)",IF(AND(BP183&lt;&gt;"",BP183&lt;&gt;BO183),"(raz-klu)","klu"))))</f>
        <v/>
      </c>
      <c r="EF183" s="73" t="str">
        <f>IF(AL183="","","kat"&amp;IF(AND(W183&lt;&gt;Q183,Q183&lt;&gt;"Open"),"(ali)",""))</f>
        <v/>
      </c>
      <c r="EG183" s="73" t="str">
        <f t="shared" si="147"/>
        <v/>
      </c>
      <c r="EH183" s="66" t="str">
        <f>IF(AL183="","",ED183&amp;IF(ED183="novo","","-"&amp;EE183&amp;"-"&amp;EF183)&amp;IF(EG183="","","-"&amp;EG183))</f>
        <v/>
      </c>
      <c r="EI183" s="47" t="s">
        <v>0</v>
      </c>
      <c r="EJ183" s="58" t="str">
        <f>IF(AL183="","",MAX(EJ$12:EJ182)+1)</f>
        <v/>
      </c>
      <c r="EK183" s="73" t="str">
        <f>IF(AO183="","",X183)</f>
        <v/>
      </c>
      <c r="EL183" s="73" t="str">
        <f t="shared" si="176"/>
        <v/>
      </c>
      <c r="EM183" s="73" t="str">
        <f t="shared" si="148"/>
        <v/>
      </c>
      <c r="EN183" s="73" t="str">
        <f t="shared" si="149"/>
        <v/>
      </c>
      <c r="EO183" s="73" t="str">
        <f t="shared" si="177"/>
        <v/>
      </c>
      <c r="EP183" s="73" t="str">
        <f t="shared" si="178"/>
        <v/>
      </c>
      <c r="EQ183" s="73" t="str">
        <f t="shared" si="150"/>
        <v/>
      </c>
      <c r="ER183" s="73" t="str">
        <f>IF(OR(AN183="",AN183="NEMA"),BB183,AN183)</f>
        <v/>
      </c>
      <c r="ES183" s="73" t="str">
        <f>IF(AND(BN183&lt;&gt;"",BN183&lt;&gt;"NEMA"),BN183,IF(CG183&lt;&gt;"",CG183,IF(AND(CL183&lt;&gt;"",CL183&lt;&gt;"NEMA"),CL183,IF(CM183&lt;&gt;"",CM183,""))))</f>
        <v/>
      </c>
      <c r="ET183" s="53" t="str">
        <f>IF(INDEX(natKategorija_alias_Id,MATCH(S183,natKategorija_katRegId,0))="","",INDEX(natKategorija_alias_Id,MATCH(S183,natKategorija_katRegId,0)))</f>
        <v/>
      </c>
      <c r="EU183" s="47" t="s">
        <v>0</v>
      </c>
      <c r="EV183" s="19" t="str">
        <f t="shared" si="179"/>
        <v/>
      </c>
      <c r="EW183" s="47" t="s">
        <v>0</v>
      </c>
      <c r="EX183" s="19" t="str">
        <f t="shared" si="180"/>
        <v/>
      </c>
      <c r="EY183" s="47" t="s">
        <v>0</v>
      </c>
      <c r="EZ183" s="180" t="str">
        <f>AG183&amp;IF(CP183="","","
")&amp;CP183&amp;IF(CI183="","","
")&amp;CI183&amp;IF(DN183="","","
")&amp;DN183&amp;IF(DP183="","","
")&amp;DP183&amp;IF(EV183="","","
")&amp;EV183&amp;IF(EX183="","","
")&amp;EX183</f>
        <v/>
      </c>
      <c r="FA183" s="47" t="s">
        <v>0</v>
      </c>
    </row>
    <row r="184" spans="1:157" x14ac:dyDescent="0.25">
      <c r="A184" t="s">
        <v>0</v>
      </c>
      <c r="B184" s="52" t="str">
        <f>IF(csv!F174="","",csv!T174)</f>
        <v>OPEN</v>
      </c>
      <c r="C184" s="31" t="s">
        <v>0</v>
      </c>
      <c r="D184" s="31" t="str">
        <f>IF(csv!F174="","",csv!F174)</f>
        <v>Barbara</v>
      </c>
      <c r="E184" s="31" t="str">
        <f>IF(csv!E174="","",csv!E174)</f>
        <v>Arbanas</v>
      </c>
      <c r="F184" s="31" t="s">
        <v>0</v>
      </c>
      <c r="G184" s="73" t="str">
        <f>IF(csv!M174="","",csv!M174)</f>
        <v>53:23</v>
      </c>
      <c r="H184" s="73" t="str">
        <f>IF(csv!N174="","",csv!N174)</f>
        <v>0</v>
      </c>
      <c r="I184" s="31" t="s">
        <v>0</v>
      </c>
      <c r="J184" s="31" t="str">
        <f>IF(csv!P174="","",csv!P174)</f>
        <v>KAP</v>
      </c>
      <c r="K184" s="31" t="str">
        <f>IF(csv!Q174="","",csv!Q174)</f>
        <v>OK Kapela</v>
      </c>
      <c r="L184" s="31" t="s">
        <v>0</v>
      </c>
      <c r="M184" s="66" t="str">
        <f>IF(csv!R174="","",csv!R174)</f>
        <v>CRO</v>
      </c>
      <c r="N184" s="47" t="s">
        <v>0</v>
      </c>
      <c r="O184" s="243" t="str">
        <f t="shared" si="151"/>
        <v>ok</v>
      </c>
      <c r="P184" s="47"/>
      <c r="Q184" s="52" t="str">
        <f t="shared" si="152"/>
        <v>OPEN</v>
      </c>
      <c r="R184" s="73">
        <f>IF(Q184="","",IF(COUNTIF(Q$12:Q183,Q184)=0,R183+1,R183))</f>
        <v>12</v>
      </c>
      <c r="S184" s="73">
        <f t="shared" si="153"/>
        <v>291</v>
      </c>
      <c r="T184" s="73">
        <f t="shared" si="128"/>
        <v>29</v>
      </c>
      <c r="U184" s="66" t="str">
        <f t="shared" si="129"/>
        <v>Otvorena</v>
      </c>
      <c r="V184" s="47" t="s">
        <v>0</v>
      </c>
      <c r="W184" s="222" t="str">
        <f t="shared" si="130"/>
        <v>Otvorena</v>
      </c>
      <c r="X184" s="223">
        <f t="shared" si="131"/>
        <v>34</v>
      </c>
      <c r="Y184" s="47" t="s">
        <v>0</v>
      </c>
      <c r="Z184" s="52" t="str">
        <f t="shared" si="154"/>
        <v>CRO</v>
      </c>
      <c r="AA184" s="73">
        <f t="shared" si="132"/>
        <v>1</v>
      </c>
      <c r="AB184" s="31" t="str">
        <f t="shared" si="155"/>
        <v/>
      </c>
      <c r="AC184" s="66" t="str">
        <f>IF(AB184="","",MAX(AC$12:AC183)+1)</f>
        <v/>
      </c>
      <c r="AD184" s="47" t="s">
        <v>0</v>
      </c>
      <c r="AE184" s="125"/>
      <c r="AF184" s="47" t="s">
        <v>0</v>
      </c>
      <c r="AG184" s="19" t="str">
        <f t="shared" si="156"/>
        <v/>
      </c>
      <c r="AH184" s="47" t="s">
        <v>0</v>
      </c>
      <c r="AI184" s="143" t="str">
        <f t="shared" si="157"/>
        <v>CRO</v>
      </c>
      <c r="AJ184" s="47"/>
      <c r="AK184" s="52" t="str">
        <f t="shared" si="158"/>
        <v>Barbara</v>
      </c>
      <c r="AL184" s="31" t="str">
        <f t="shared" si="159"/>
        <v>Arbanas</v>
      </c>
      <c r="AM184" s="73">
        <f t="shared" si="160"/>
        <v>1113</v>
      </c>
      <c r="AN184" s="73" t="str">
        <f t="shared" si="161"/>
        <v/>
      </c>
      <c r="AO184" s="31" t="str">
        <f t="shared" si="133"/>
        <v>Barbara</v>
      </c>
      <c r="AP184" s="66" t="str">
        <f t="shared" si="134"/>
        <v>Arbanas</v>
      </c>
      <c r="AQ184" s="47" t="s">
        <v>0</v>
      </c>
      <c r="AR184" s="82" t="str">
        <f t="shared" si="162"/>
        <v/>
      </c>
      <c r="AS184" s="47" t="s">
        <v>0</v>
      </c>
      <c r="AT184" s="19" t="str">
        <f t="shared" si="163"/>
        <v/>
      </c>
      <c r="AU184" s="47" t="s">
        <v>0</v>
      </c>
      <c r="AV184" s="103"/>
      <c r="AW184" s="105"/>
      <c r="AX184" s="47" t="s">
        <v>0</v>
      </c>
      <c r="AY184" s="256" t="str">
        <f t="shared" si="181"/>
        <v/>
      </c>
      <c r="AZ184" s="47" t="s">
        <v>0</v>
      </c>
      <c r="BA184" s="52" t="str">
        <f t="shared" si="135"/>
        <v/>
      </c>
      <c r="BB184" s="73" t="str">
        <f>IF(AV184&amp;AW184="","",MAX(BB$12:BB183)+1)</f>
        <v/>
      </c>
      <c r="BC184" s="268" t="str">
        <f t="shared" si="136"/>
        <v/>
      </c>
      <c r="BD184" s="53" t="str">
        <f>IF(AND(AM184="NEMA",AN184="NEMA",OR(AV184&amp;AW184="",BC184="NEMA")),MAX(BD$12:BD183)+1,"")</f>
        <v/>
      </c>
      <c r="BE184" s="47" t="s">
        <v>0</v>
      </c>
      <c r="BF184" s="52" t="str">
        <f t="shared" si="137"/>
        <v>Barbara</v>
      </c>
      <c r="BG184" s="31" t="str">
        <f t="shared" si="138"/>
        <v>Arbanas</v>
      </c>
      <c r="BH184" s="73" t="str">
        <f t="shared" si="164"/>
        <v/>
      </c>
      <c r="BI184" s="53">
        <f t="shared" si="165"/>
        <v>1113</v>
      </c>
      <c r="BJ184" s="47" t="s">
        <v>0</v>
      </c>
      <c r="BK184" s="52" t="str">
        <f t="shared" si="139"/>
        <v>KAP</v>
      </c>
      <c r="BL184" s="31" t="str">
        <f t="shared" si="140"/>
        <v>OK Kapela</v>
      </c>
      <c r="BM184" s="73">
        <f t="shared" si="141"/>
        <v>5</v>
      </c>
      <c r="BN184" s="73" t="str">
        <f t="shared" si="142"/>
        <v/>
      </c>
      <c r="BO184" s="31" t="str" cm="1">
        <f t="array" ref="BO184">IF(BN184="",""&amp;BL184,IF(BN184="NEMA",BL184,INDEX(regKlub_naziv,MATCH(INDEX(regKlub_alias_klubId,BN184),regKlub_id,0))))</f>
        <v>OK Kapela</v>
      </c>
      <c r="BP184" s="31" t="str" cm="1">
        <f t="array" ref="BP184">IFERROR(""&amp;INDEX(regNatjecatelj_klub,DY184),"")</f>
        <v>OK Vihor</v>
      </c>
      <c r="BQ184" s="88">
        <f t="shared" si="166"/>
        <v>1</v>
      </c>
      <c r="BR184" s="66" t="str">
        <f t="shared" si="167"/>
        <v>OK Vihor</v>
      </c>
      <c r="BS184" s="47" t="s">
        <v>0</v>
      </c>
      <c r="BT184" s="82" t="str">
        <f>IF(BN184&lt;&gt;"NEMA","",IF(IFERROR(MATCH(BL184,BL$12:BL183,0),0)&lt;&gt;0,"",BL184))</f>
        <v/>
      </c>
      <c r="BU184" s="47" t="s">
        <v>0</v>
      </c>
      <c r="BV184" s="125"/>
      <c r="BW184" s="47" t="s">
        <v>0</v>
      </c>
      <c r="BX184" s="58" t="str">
        <f t="shared" si="168"/>
        <v/>
      </c>
      <c r="BY184" s="31" t="str">
        <f t="shared" si="169"/>
        <v/>
      </c>
      <c r="BZ184" s="31" t="str">
        <f>IF(BY184="","",MAX(BZ$12:BZ183)+1)</f>
        <v/>
      </c>
      <c r="CA184" s="31" t="str">
        <f>IF(BY184="","",IF(AA184="","",IF(AA184="NEMA",AC184,AA184)))</f>
        <v/>
      </c>
      <c r="CB184" s="31" t="str">
        <f t="shared" si="170"/>
        <v/>
      </c>
      <c r="CC184" s="31" t="str">
        <f>IF(BV184="","",MAX(CC$12:CC183)+1)</f>
        <v/>
      </c>
      <c r="CD184" s="31" t="str">
        <f t="shared" si="171"/>
        <v/>
      </c>
      <c r="CE184" s="66" t="str">
        <f t="shared" si="172"/>
        <v/>
      </c>
      <c r="CF184" s="47" t="s">
        <v>0</v>
      </c>
      <c r="CG184" s="73" t="str">
        <f>IF(BN184="","",IF(BN184&lt;&gt;"NEMA","",IFERROR(INDEX(nat_klubAliasId,MATCH(BL184,nat_noviKluboviAliasi,0)),"")))</f>
        <v/>
      </c>
      <c r="CH184" s="47"/>
      <c r="CI184" s="19" t="str">
        <f t="shared" si="173"/>
        <v/>
      </c>
      <c r="CJ184" s="47" t="s">
        <v>0</v>
      </c>
      <c r="CK184" s="52" t="str">
        <f>IF(X184&lt;&gt;"NEMA","",IF(IFERROR(MATCH(W184,W$12:W183,0),0)&lt;&gt;0,"",W184))</f>
        <v/>
      </c>
      <c r="CL184" s="73" t="str">
        <f>IF(CK184="","",IFERROR(INDEX(regKlub_alias_id,MATCH(CK184,regKlub_alias_alias,0)),"NEMA"))</f>
        <v/>
      </c>
      <c r="CM184" s="31" t="str">
        <f>IF(OR(CL184="",CL184&lt;&gt;"NEMA"),"",MAX(CM$12:CM183)+1)</f>
        <v/>
      </c>
      <c r="CN184" s="66" t="str">
        <f>IF(OR(CL184="",CL184&lt;&gt;"NEMA"),"",INDEX(regKlub_id,MATCH(CK184,regKlub_naziv,0)))</f>
        <v/>
      </c>
      <c r="CO184" s="47" t="s">
        <v>0</v>
      </c>
      <c r="CP184" s="19" t="str">
        <f>IF(OR(CL184="",CL184&lt;&gt;"NEMA"),"","INSERT INTO klub_alias(id,alias,klub_id) VALUES ("&amp;CM184&amp;",'"&amp;CK184&amp;"',"&amp;CN184&amp;");")</f>
        <v/>
      </c>
      <c r="CQ184" s="47" t="s">
        <v>0</v>
      </c>
      <c r="CR184" s="143" t="str">
        <f>IF(BR184="","",IF(BV184="",IF(IFERROR(MATCH(BR184,nat_noviKluboviAliasi,0),0)&gt;0,INDEX(nat_kluboviAliasi,MATCH(BR184,nat_noviKluboviAliasi,0)),BR184),BV184))</f>
        <v>OK Vihor</v>
      </c>
      <c r="CS184" s="47" t="s">
        <v>0</v>
      </c>
      <c r="CT184" s="58" t="str">
        <f>IF(G184="","",G184)</f>
        <v>53:23</v>
      </c>
      <c r="CU184" s="73" t="str">
        <f>IF(H184="","",H184)</f>
        <v>0</v>
      </c>
      <c r="CV184" s="229" t="str">
        <f>IF(CT184="",IF(OR(AL184="",CU184&lt;&gt;"0"),"","GREŠKA"),IF(AND(65535&gt;=VALUE(LEFT(CT184,SEARCH(":",CT184)-1))*60+VALUE(RIGHT(CT184,2)),OR(CU184="0",CU184="1",CU184="2",CU184="3",CU184="4")),"","GREŠKA"))</f>
        <v/>
      </c>
      <c r="CW184" s="230">
        <f t="shared" si="127"/>
        <v>3203</v>
      </c>
      <c r="CX184" s="163">
        <f t="shared" si="143"/>
        <v>1</v>
      </c>
      <c r="CY184" s="47" t="s">
        <v>0</v>
      </c>
      <c r="CZ184" s="222" t="str">
        <f>IF(CV184&lt;&gt;"GREŠKA","",AK184&amp;" "&amp;AL184&amp;" – Molim u OEventu provjeriti i ispraviti rezultat – vrijeme ("&amp;IF(CT184="","nije upisano",CT184)&amp;") i classifier ("&amp;CU184&amp;").")&amp;IF(OR(CV184&lt;&gt;"GREŠKA",CX184&lt;&gt;5),"
","")&amp;IF(CX184&lt;&gt;5,"",AK184&amp;" "&amp;AL184&amp;" – Molim u provjeriti je li natjecatelj zaista diskvalificiran. Ako je koje je obrazloženje, ako nije molim u OEventu ispraviti rezultat")</f>
        <v xml:space="preserve">
</v>
      </c>
      <c r="DA184" s="223">
        <f t="shared" si="174"/>
        <v>6</v>
      </c>
      <c r="DB184" s="47" t="s">
        <v>0</v>
      </c>
      <c r="DC184" s="47"/>
      <c r="DD184" s="47"/>
      <c r="DE184" s="47"/>
      <c r="DF184" s="47" t="s">
        <v>0</v>
      </c>
      <c r="DG184" s="53" t="str">
        <f>IF(BD184="","",IF(DI184="O",1,""))</f>
        <v/>
      </c>
      <c r="DH184" t="s">
        <v>0</v>
      </c>
      <c r="DI184" s="128" t="str">
        <f>IF(Q184="","",LEFT(INDEX(regKategorija_oznaka,MATCH(S184,regKategorija_id,0)),1))</f>
        <v>O</v>
      </c>
      <c r="DJ184" t="s">
        <v>0</v>
      </c>
      <c r="DK184" s="52" t="str">
        <f>IF(BD184="","",IF(M184&lt;&gt;"CRO","","INSERT INTO osoba (id,reg_broj,oib,spol_id,dat_rodjenja) VALUES ("&amp;BD184&amp;",(SELECT max(os.reg_broj)+1 FROM osoba AS os),Null,'"&amp;DI184&amp;"',Null); INSERT INTO osoba_log (id,reg_broj,oib,spol_id,dat_rodjenja,dnevnik_id) SELECT id,reg_broj,oib,spol_id,dat_rodjenja,"&amp;data_dnevnik_id&amp;" FROM osoba WHERE id = "&amp;BD184&amp;";"))</f>
        <v/>
      </c>
      <c r="DL184" s="66" t="str">
        <f>IF(BD184="","","INSERT INTO imeprezime (id,osoba_id,rbr,ime,prezime,klub_id,identitet_id,sintaksa_id,info,aktivno,dnevnik_id) VALUES ("&amp;BD184&amp;","&amp;IF(DK184="","Null",BD184)&amp;",1,'"&amp;IF(AV184&lt;&gt;"",AV184,AK184)&amp;"','"&amp;IF(AW184&lt;&gt;"",AW184,AL184)&amp;"',(SELECT id FROM klub WHERE naziv = '"&amp;CR184&amp;"'),Null,1,'',1,"&amp;data_dnevnik_id&amp;");")</f>
        <v/>
      </c>
      <c r="DM184" t="s">
        <v>0</v>
      </c>
      <c r="DN184" s="19" t="str">
        <f t="shared" si="182"/>
        <v/>
      </c>
      <c r="DO184" s="47" t="s">
        <v>0</v>
      </c>
      <c r="DP184" s="19" t="str">
        <f>IF(BA184="","","INSERT INTO imeprezime_alias(id,alias,imeprezime_id) VALUES ("&amp;BB184&amp;",'"&amp;BA184&amp;"',"&amp;IF(BC184="NEMA",BD184,BC184)&amp;");")</f>
        <v/>
      </c>
      <c r="DQ184" s="47" t="s">
        <v>0</v>
      </c>
      <c r="DR184" s="52" t="str">
        <f>IF(AL184="","",DU184 &amp; IF(Q184="",""," – " &amp; Q184))</f>
        <v>Barbara – Arbanas – OK Vihor – OPEN</v>
      </c>
      <c r="DS184" s="53" t="str">
        <f t="shared" si="144"/>
        <v>NEMA</v>
      </c>
      <c r="DT184" s="47" t="s">
        <v>0</v>
      </c>
      <c r="DU184" s="52" t="str">
        <f>IF(AL184="","",DX184 &amp; IF(CR184="",""," – " &amp; CR184))</f>
        <v>Barbara – Arbanas – OK Vihor</v>
      </c>
      <c r="DV184" s="53">
        <f t="shared" si="145"/>
        <v>611</v>
      </c>
      <c r="DW184" s="47" t="s">
        <v>0</v>
      </c>
      <c r="DX184" s="52" t="str">
        <f>IF(BG184="","",BF184&amp;" – "&amp;BG184)</f>
        <v>Barbara – Arbanas</v>
      </c>
      <c r="DY184" s="53">
        <f t="shared" si="146"/>
        <v>611</v>
      </c>
      <c r="DZ184" s="47" t="s">
        <v>0</v>
      </c>
      <c r="EA184" s="58">
        <f t="shared" si="175"/>
        <v>611</v>
      </c>
      <c r="EB184" s="53" cm="1">
        <f t="array" ref="EB184">IF(EA184&lt;&gt;"",INDEX(regNatjecatelj_id,EA184,0),IF(BD184&lt;&gt;"",BD184,""))</f>
        <v>1113</v>
      </c>
      <c r="EC184" s="47" t="s">
        <v>0</v>
      </c>
      <c r="ED184" s="58" t="str">
        <f>IF(AL184="","",IF(BD184&lt;&gt;"","novo",IF(AN184="","imepre","imepre(ali)")))</f>
        <v>imepre</v>
      </c>
      <c r="EE184" s="73" t="str">
        <f>IF(AL184="","",IF(BL184="",IF(IFERROR(INDEX(regNatjecatelj_klub,MATCH(EB184,regNatjecatelj_id,0)),"NEMA")="","klu",""),IF(OR(AND(BN184&lt;&gt;"",BN184&lt;&gt;"NEMA"),CD184&lt;&gt;""),"klu(ali)",IF(AND(BP184&lt;&gt;"",BP184&lt;&gt;BO184),"(raz-klu)","klu"))))</f>
        <v>(raz-klu)</v>
      </c>
      <c r="EF184" s="73" t="str">
        <f>IF(AL184="","","kat"&amp;IF(AND(W184&lt;&gt;Q184,Q184&lt;&gt;"Open"),"(ali)",""))</f>
        <v>kat</v>
      </c>
      <c r="EG184" s="73" t="str">
        <f t="shared" si="147"/>
        <v/>
      </c>
      <c r="EH184" s="66" t="str">
        <f>IF(AL184="","",ED184&amp;IF(ED184="novo","","-"&amp;EE184&amp;"-"&amp;EF184)&amp;IF(EG184="","","-"&amp;EG184))</f>
        <v>imepre-(raz-klu)-kat</v>
      </c>
      <c r="EI184" s="47" t="s">
        <v>0</v>
      </c>
      <c r="EJ184" s="58">
        <f>IF(AL184="","",MAX(EJ$12:EJ183)+1)</f>
        <v>344</v>
      </c>
      <c r="EK184" s="73">
        <f>IF(AO184="","",X184)</f>
        <v>34</v>
      </c>
      <c r="EL184" s="73">
        <f t="shared" si="176"/>
        <v>1113</v>
      </c>
      <c r="EM184" s="73">
        <f t="shared" si="148"/>
        <v>3203</v>
      </c>
      <c r="EN184" s="73">
        <f t="shared" si="149"/>
        <v>1</v>
      </c>
      <c r="EO184" s="73">
        <f t="shared" si="177"/>
        <v>0</v>
      </c>
      <c r="EP184" s="73">
        <f t="shared" si="178"/>
        <v>5</v>
      </c>
      <c r="EQ184" s="73" t="str">
        <f t="shared" si="150"/>
        <v>0</v>
      </c>
      <c r="ER184" s="73" t="str">
        <f>IF(OR(AN184="",AN184="NEMA"),BB184,AN184)</f>
        <v/>
      </c>
      <c r="ES184" s="73" t="str">
        <f>IF(AND(BN184&lt;&gt;"",BN184&lt;&gt;"NEMA"),BN184,IF(CG184&lt;&gt;"",CG184,IF(AND(CL184&lt;&gt;"",CL184&lt;&gt;"NEMA"),CL184,IF(CM184&lt;&gt;"",CM184,""))))</f>
        <v/>
      </c>
      <c r="ET184" s="53" t="str">
        <f>IF(INDEX(natKategorija_alias_Id,MATCH(S184,natKategorija_katRegId,0))="","",INDEX(natKategorija_alias_Id,MATCH(S184,natKategorija_katRegId,0)))</f>
        <v/>
      </c>
      <c r="EU184" s="47" t="s">
        <v>0</v>
      </c>
      <c r="EV184" s="19" t="str">
        <f t="shared" si="179"/>
        <v>INSERT INTO rezultat(id,stazakategorija_id,imeprezime_id,vrijeme_sec,status_id,registracija,uparivanje_id,originalstatus_id,imeprezimealias_id,klubalias_id,kategorijaalias_id) VALUES (344,34,1113,3203,1,0,5,0,Null,Null,Null);</v>
      </c>
      <c r="EW184" s="47" t="s">
        <v>0</v>
      </c>
      <c r="EX184" s="19" t="str">
        <f t="shared" si="180"/>
        <v/>
      </c>
      <c r="EY184" s="47" t="s">
        <v>0</v>
      </c>
      <c r="EZ184" s="180" t="str">
        <f>AG184&amp;IF(CP184="","","
")&amp;CP184&amp;IF(CI184="","","
")&amp;CI184&amp;IF(DN184="","","
")&amp;DN184&amp;IF(DP184="","","
")&amp;DP184&amp;IF(EV184="","","
")&amp;EV184&amp;IF(EX184="","","
")&amp;EX184</f>
        <v xml:space="preserve">
INSERT INTO rezultat(id,stazakategorija_id,imeprezime_id,vrijeme_sec,status_id,registracija,uparivanje_id,originalstatus_id,imeprezimealias_id,klubalias_id,kategorijaalias_id) VALUES (344,34,1113,3203,1,0,5,0,Null,Null,Null);</v>
      </c>
      <c r="FA184" s="47" t="s">
        <v>0</v>
      </c>
    </row>
    <row r="185" spans="1:157" x14ac:dyDescent="0.25">
      <c r="A185" t="s">
        <v>0</v>
      </c>
      <c r="B185" s="52" t="str">
        <f>IF(csv!F175="","",csv!T175)</f>
        <v>OPEN</v>
      </c>
      <c r="C185" s="31" t="s">
        <v>0</v>
      </c>
      <c r="D185" s="31" t="str">
        <f>IF(csv!F175="","",csv!F175)</f>
        <v>Ana</v>
      </c>
      <c r="E185" s="31" t="str">
        <f>IF(csv!E175="","",csv!E175)</f>
        <v>Šiprak Stastny</v>
      </c>
      <c r="F185" s="31" t="s">
        <v>0</v>
      </c>
      <c r="G185" s="73" t="str">
        <f>IF(csv!M175="","",csv!M175)</f>
        <v>79:35</v>
      </c>
      <c r="H185" s="73" t="str">
        <f>IF(csv!N175="","",csv!N175)</f>
        <v>0</v>
      </c>
      <c r="I185" s="31" t="s">
        <v>0</v>
      </c>
      <c r="J185" s="31" t="str">
        <f>IF(csv!P175="","",csv!P175)</f>
        <v>KAP</v>
      </c>
      <c r="K185" s="31" t="str">
        <f>IF(csv!Q175="","",csv!Q175)</f>
        <v>OK Kapela</v>
      </c>
      <c r="L185" s="31" t="s">
        <v>0</v>
      </c>
      <c r="M185" s="66" t="str">
        <f>IF(csv!R175="","",csv!R175)</f>
        <v>CRO</v>
      </c>
      <c r="N185" s="47" t="s">
        <v>0</v>
      </c>
      <c r="O185" s="243" t="str">
        <f t="shared" si="151"/>
        <v>ok</v>
      </c>
      <c r="P185" s="47"/>
      <c r="Q185" s="52" t="str">
        <f t="shared" si="152"/>
        <v>OPEN</v>
      </c>
      <c r="R185" s="73">
        <f>IF(Q185="","",IF(COUNTIF(Q$12:Q184,Q185)=0,R184+1,R184))</f>
        <v>12</v>
      </c>
      <c r="S185" s="73">
        <f t="shared" si="153"/>
        <v>291</v>
      </c>
      <c r="T185" s="73">
        <f t="shared" si="128"/>
        <v>29</v>
      </c>
      <c r="U185" s="66" t="str">
        <f t="shared" si="129"/>
        <v>Otvorena</v>
      </c>
      <c r="V185" s="47" t="s">
        <v>0</v>
      </c>
      <c r="W185" s="222" t="str">
        <f t="shared" si="130"/>
        <v>Otvorena</v>
      </c>
      <c r="X185" s="223">
        <f t="shared" si="131"/>
        <v>34</v>
      </c>
      <c r="Y185" s="47" t="s">
        <v>0</v>
      </c>
      <c r="Z185" s="52" t="str">
        <f t="shared" si="154"/>
        <v>CRO</v>
      </c>
      <c r="AA185" s="73">
        <f t="shared" si="132"/>
        <v>1</v>
      </c>
      <c r="AB185" s="31" t="str">
        <f t="shared" si="155"/>
        <v/>
      </c>
      <c r="AC185" s="66" t="str">
        <f>IF(AB185="","",MAX(AC$12:AC184)+1)</f>
        <v/>
      </c>
      <c r="AD185" s="47" t="s">
        <v>0</v>
      </c>
      <c r="AE185" s="125"/>
      <c r="AF185" s="47" t="s">
        <v>0</v>
      </c>
      <c r="AG185" s="19" t="str">
        <f t="shared" si="156"/>
        <v/>
      </c>
      <c r="AH185" s="47" t="s">
        <v>0</v>
      </c>
      <c r="AI185" s="143" t="str">
        <f t="shared" si="157"/>
        <v>CRO</v>
      </c>
      <c r="AJ185" s="47"/>
      <c r="AK185" s="52" t="str">
        <f t="shared" si="158"/>
        <v>Ana</v>
      </c>
      <c r="AL185" s="31" t="str">
        <f t="shared" si="159"/>
        <v>Šiprak Stastny</v>
      </c>
      <c r="AM185" s="73">
        <f t="shared" si="160"/>
        <v>1963</v>
      </c>
      <c r="AN185" s="73" t="str">
        <f t="shared" si="161"/>
        <v/>
      </c>
      <c r="AO185" s="31" t="str">
        <f t="shared" si="133"/>
        <v>Ana</v>
      </c>
      <c r="AP185" s="66" t="str">
        <f t="shared" si="134"/>
        <v>Šiprak Stastny</v>
      </c>
      <c r="AQ185" s="47" t="s">
        <v>0</v>
      </c>
      <c r="AR185" s="82" t="str">
        <f t="shared" si="162"/>
        <v/>
      </c>
      <c r="AS185" s="47" t="s">
        <v>0</v>
      </c>
      <c r="AT185" s="19" t="str">
        <f t="shared" si="163"/>
        <v/>
      </c>
      <c r="AU185" s="47" t="s">
        <v>0</v>
      </c>
      <c r="AV185" s="103"/>
      <c r="AW185" s="105"/>
      <c r="AX185" s="47" t="s">
        <v>0</v>
      </c>
      <c r="AY185" s="256" t="str">
        <f t="shared" si="181"/>
        <v/>
      </c>
      <c r="AZ185" s="47" t="s">
        <v>0</v>
      </c>
      <c r="BA185" s="52" t="str">
        <f t="shared" si="135"/>
        <v/>
      </c>
      <c r="BB185" s="73" t="str">
        <f>IF(AV185&amp;AW185="","",MAX(BB$12:BB184)+1)</f>
        <v/>
      </c>
      <c r="BC185" s="268" t="str">
        <f t="shared" si="136"/>
        <v/>
      </c>
      <c r="BD185" s="53" t="str">
        <f>IF(AND(AM185="NEMA",AN185="NEMA",OR(AV185&amp;AW185="",BC185="NEMA")),MAX(BD$12:BD184)+1,"")</f>
        <v/>
      </c>
      <c r="BE185" s="47" t="s">
        <v>0</v>
      </c>
      <c r="BF185" s="52" t="str">
        <f t="shared" si="137"/>
        <v>Ana</v>
      </c>
      <c r="BG185" s="31" t="str">
        <f t="shared" si="138"/>
        <v>Šiprak Stastny</v>
      </c>
      <c r="BH185" s="73" t="str">
        <f t="shared" si="164"/>
        <v/>
      </c>
      <c r="BI185" s="53">
        <f t="shared" si="165"/>
        <v>1963</v>
      </c>
      <c r="BJ185" s="47" t="s">
        <v>0</v>
      </c>
      <c r="BK185" s="52" t="str">
        <f t="shared" si="139"/>
        <v>KAP</v>
      </c>
      <c r="BL185" s="31" t="str">
        <f t="shared" si="140"/>
        <v>OK Kapela</v>
      </c>
      <c r="BM185" s="73">
        <f t="shared" si="141"/>
        <v>5</v>
      </c>
      <c r="BN185" s="73" t="str">
        <f t="shared" si="142"/>
        <v/>
      </c>
      <c r="BO185" s="31" t="str" cm="1">
        <f t="array" ref="BO185">IF(BN185="",""&amp;BL185,IF(BN185="NEMA",BL185,INDEX(regKlub_naziv,MATCH(INDEX(regKlub_alias_klubId,BN185),regKlub_id,0))))</f>
        <v>OK Kapela</v>
      </c>
      <c r="BP185" s="31" t="str" cm="1">
        <f t="array" ref="BP185">IFERROR(""&amp;INDEX(regNatjecatelj_klub,DY185),"")</f>
        <v>OK Kapela</v>
      </c>
      <c r="BQ185" s="88" t="str">
        <f t="shared" si="166"/>
        <v/>
      </c>
      <c r="BR185" s="66" t="str">
        <f t="shared" si="167"/>
        <v>OK Kapela</v>
      </c>
      <c r="BS185" s="47" t="s">
        <v>0</v>
      </c>
      <c r="BT185" s="82" t="str">
        <f>IF(BN185&lt;&gt;"NEMA","",IF(IFERROR(MATCH(BL185,BL$12:BL184,0),0)&lt;&gt;0,"",BL185))</f>
        <v/>
      </c>
      <c r="BU185" s="47" t="s">
        <v>0</v>
      </c>
      <c r="BV185" s="125"/>
      <c r="BW185" s="47" t="s">
        <v>0</v>
      </c>
      <c r="BX185" s="58" t="str">
        <f t="shared" si="168"/>
        <v/>
      </c>
      <c r="BY185" s="31" t="str">
        <f t="shared" si="169"/>
        <v/>
      </c>
      <c r="BZ185" s="31" t="str">
        <f>IF(BY185="","",MAX(BZ$12:BZ184)+1)</f>
        <v/>
      </c>
      <c r="CA185" s="31" t="str">
        <f>IF(BY185="","",IF(AA185="","",IF(AA185="NEMA",AC185,AA185)))</f>
        <v/>
      </c>
      <c r="CB185" s="31" t="str">
        <f t="shared" si="170"/>
        <v/>
      </c>
      <c r="CC185" s="31" t="str">
        <f>IF(BV185="","",MAX(CC$12:CC184)+1)</f>
        <v/>
      </c>
      <c r="CD185" s="31" t="str">
        <f t="shared" si="171"/>
        <v/>
      </c>
      <c r="CE185" s="66" t="str">
        <f t="shared" si="172"/>
        <v/>
      </c>
      <c r="CF185" s="47" t="s">
        <v>0</v>
      </c>
      <c r="CG185" s="73" t="str">
        <f>IF(BN185="","",IF(BN185&lt;&gt;"NEMA","",IFERROR(INDEX(nat_klubAliasId,MATCH(BL185,nat_noviKluboviAliasi,0)),"")))</f>
        <v/>
      </c>
      <c r="CH185" s="47"/>
      <c r="CI185" s="19" t="str">
        <f t="shared" si="173"/>
        <v/>
      </c>
      <c r="CJ185" s="47" t="s">
        <v>0</v>
      </c>
      <c r="CK185" s="52" t="str">
        <f>IF(X185&lt;&gt;"NEMA","",IF(IFERROR(MATCH(W185,W$12:W184,0),0)&lt;&gt;0,"",W185))</f>
        <v/>
      </c>
      <c r="CL185" s="73" t="str">
        <f>IF(CK185="","",IFERROR(INDEX(regKlub_alias_id,MATCH(CK185,regKlub_alias_alias,0)),"NEMA"))</f>
        <v/>
      </c>
      <c r="CM185" s="31" t="str">
        <f>IF(OR(CL185="",CL185&lt;&gt;"NEMA"),"",MAX(CM$12:CM184)+1)</f>
        <v/>
      </c>
      <c r="CN185" s="66" t="str">
        <f>IF(OR(CL185="",CL185&lt;&gt;"NEMA"),"",INDEX(regKlub_id,MATCH(CK185,regKlub_naziv,0)))</f>
        <v/>
      </c>
      <c r="CO185" s="47" t="s">
        <v>0</v>
      </c>
      <c r="CP185" s="19" t="str">
        <f>IF(OR(CL185="",CL185&lt;&gt;"NEMA"),"","INSERT INTO klub_alias(id,alias,klub_id) VALUES ("&amp;CM185&amp;",'"&amp;CK185&amp;"',"&amp;CN185&amp;");")</f>
        <v/>
      </c>
      <c r="CQ185" s="47" t="s">
        <v>0</v>
      </c>
      <c r="CR185" s="143" t="str">
        <f>IF(BR185="","",IF(BV185="",IF(IFERROR(MATCH(BR185,nat_noviKluboviAliasi,0),0)&gt;0,INDEX(nat_kluboviAliasi,MATCH(BR185,nat_noviKluboviAliasi,0)),BR185),BV185))</f>
        <v>OK Kapela</v>
      </c>
      <c r="CS185" s="47" t="s">
        <v>0</v>
      </c>
      <c r="CT185" s="58" t="str">
        <f>IF(G185="","",G185)</f>
        <v>79:35</v>
      </c>
      <c r="CU185" s="73" t="str">
        <f>IF(H185="","",H185)</f>
        <v>0</v>
      </c>
      <c r="CV185" s="229" t="str">
        <f>IF(CT185="",IF(OR(AL185="",CU185&lt;&gt;"0"),"","GREŠKA"),IF(AND(65535&gt;=VALUE(LEFT(CT185,SEARCH(":",CT185)-1))*60+VALUE(RIGHT(CT185,2)),OR(CU185="0",CU185="1",CU185="2",CU185="3",CU185="4")),"","GREŠKA"))</f>
        <v/>
      </c>
      <c r="CW185" s="230">
        <f t="shared" si="127"/>
        <v>4775</v>
      </c>
      <c r="CX185" s="163">
        <f t="shared" si="143"/>
        <v>1</v>
      </c>
      <c r="CY185" s="47" t="s">
        <v>0</v>
      </c>
      <c r="CZ185" s="222" t="str">
        <f>IF(CV185&lt;&gt;"GREŠKA","",AK185&amp;" "&amp;AL185&amp;" – Molim u OEventu provjeriti i ispraviti rezultat – vrijeme ("&amp;IF(CT185="","nije upisano",CT185)&amp;") i classifier ("&amp;CU185&amp;").")&amp;IF(OR(CV185&lt;&gt;"GREŠKA",CX185&lt;&gt;5),"
","")&amp;IF(CX185&lt;&gt;5,"",AK185&amp;" "&amp;AL185&amp;" – Molim u provjeriti je li natjecatelj zaista diskvalificiran. Ako je koje je obrazloženje, ako nije molim u OEventu ispraviti rezultat")</f>
        <v xml:space="preserve">
</v>
      </c>
      <c r="DA185" s="223">
        <f t="shared" si="174"/>
        <v>6</v>
      </c>
      <c r="DB185" s="47" t="s">
        <v>0</v>
      </c>
      <c r="DC185" s="47"/>
      <c r="DD185" s="47"/>
      <c r="DE185" s="47"/>
      <c r="DF185" s="47" t="s">
        <v>0</v>
      </c>
      <c r="DG185" s="53" t="str">
        <f>IF(BD185="","",IF(DI185="O",1,""))</f>
        <v/>
      </c>
      <c r="DH185" t="s">
        <v>0</v>
      </c>
      <c r="DI185" s="128" t="str">
        <f>IF(Q185="","",LEFT(INDEX(regKategorija_oznaka,MATCH(S185,regKategorija_id,0)),1))</f>
        <v>O</v>
      </c>
      <c r="DJ185" t="s">
        <v>0</v>
      </c>
      <c r="DK185" s="52" t="str">
        <f>IF(BD185="","",IF(M185&lt;&gt;"CRO","","INSERT INTO osoba (id,reg_broj,oib,spol_id,dat_rodjenja) VALUES ("&amp;BD185&amp;",(SELECT max(os.reg_broj)+1 FROM osoba AS os),Null,'"&amp;DI185&amp;"',Null); INSERT INTO osoba_log (id,reg_broj,oib,spol_id,dat_rodjenja,dnevnik_id) SELECT id,reg_broj,oib,spol_id,dat_rodjenja,"&amp;data_dnevnik_id&amp;" FROM osoba WHERE id = "&amp;BD185&amp;";"))</f>
        <v/>
      </c>
      <c r="DL185" s="66" t="str">
        <f>IF(BD185="","","INSERT INTO imeprezime (id,osoba_id,rbr,ime,prezime,klub_id,identitet_id,sintaksa_id,info,aktivno,dnevnik_id) VALUES ("&amp;BD185&amp;","&amp;IF(DK185="","Null",BD185)&amp;",1,'"&amp;IF(AV185&lt;&gt;"",AV185,AK185)&amp;"','"&amp;IF(AW185&lt;&gt;"",AW185,AL185)&amp;"',(SELECT id FROM klub WHERE naziv = '"&amp;CR185&amp;"'),Null,1,'',1,"&amp;data_dnevnik_id&amp;");")</f>
        <v/>
      </c>
      <c r="DM185" t="s">
        <v>0</v>
      </c>
      <c r="DN185" s="19" t="str">
        <f t="shared" si="182"/>
        <v/>
      </c>
      <c r="DO185" s="47" t="s">
        <v>0</v>
      </c>
      <c r="DP185" s="19" t="str">
        <f>IF(BA185="","","INSERT INTO imeprezime_alias(id,alias,imeprezime_id) VALUES ("&amp;BB185&amp;",'"&amp;BA185&amp;"',"&amp;IF(BC185="NEMA",BD185,BC185)&amp;");")</f>
        <v/>
      </c>
      <c r="DQ185" s="47" t="s">
        <v>0</v>
      </c>
      <c r="DR185" s="52" t="str">
        <f>IF(AL185="","",DU185 &amp; IF(Q185="",""," – " &amp; Q185))</f>
        <v>Ana – Šiprak Stastny – OK Kapela – OPEN</v>
      </c>
      <c r="DS185" s="53" t="str">
        <f t="shared" si="144"/>
        <v>NEMA</v>
      </c>
      <c r="DT185" s="47" t="s">
        <v>0</v>
      </c>
      <c r="DU185" s="52" t="str">
        <f>IF(AL185="","",DX185 &amp; IF(CR185="",""," – " &amp; CR185))</f>
        <v>Ana – Šiprak Stastny – OK Kapela</v>
      </c>
      <c r="DV185" s="53">
        <f t="shared" si="145"/>
        <v>309</v>
      </c>
      <c r="DW185" s="47" t="s">
        <v>0</v>
      </c>
      <c r="DX185" s="52" t="str">
        <f>IF(BG185="","",BF185&amp;" – "&amp;BG185)</f>
        <v>Ana – Šiprak Stastny</v>
      </c>
      <c r="DY185" s="53">
        <f t="shared" si="146"/>
        <v>309</v>
      </c>
      <c r="DZ185" s="47" t="s">
        <v>0</v>
      </c>
      <c r="EA185" s="58">
        <f t="shared" si="175"/>
        <v>309</v>
      </c>
      <c r="EB185" s="53" cm="1">
        <f t="array" ref="EB185">IF(EA185&lt;&gt;"",INDEX(regNatjecatelj_id,EA185,0),IF(BD185&lt;&gt;"",BD185,""))</f>
        <v>1963</v>
      </c>
      <c r="EC185" s="47" t="s">
        <v>0</v>
      </c>
      <c r="ED185" s="58" t="str">
        <f>IF(AL185="","",IF(BD185&lt;&gt;"","novo",IF(AN185="","imepre","imepre(ali)")))</f>
        <v>imepre</v>
      </c>
      <c r="EE185" s="73" t="str">
        <f>IF(AL185="","",IF(BL185="",IF(IFERROR(INDEX(regNatjecatelj_klub,MATCH(EB185,regNatjecatelj_id,0)),"NEMA")="","klu",""),IF(OR(AND(BN185&lt;&gt;"",BN185&lt;&gt;"NEMA"),CD185&lt;&gt;""),"klu(ali)",IF(AND(BP185&lt;&gt;"",BP185&lt;&gt;BO185),"(raz-klu)","klu"))))</f>
        <v>klu</v>
      </c>
      <c r="EF185" s="73" t="str">
        <f>IF(AL185="","","kat"&amp;IF(AND(W185&lt;&gt;Q185,Q185&lt;&gt;"Open"),"(ali)",""))</f>
        <v>kat</v>
      </c>
      <c r="EG185" s="73" t="str">
        <f t="shared" si="147"/>
        <v/>
      </c>
      <c r="EH185" s="66" t="str">
        <f>IF(AL185="","",ED185&amp;IF(ED185="novo","","-"&amp;EE185&amp;"-"&amp;EF185)&amp;IF(EG185="","","-"&amp;EG185))</f>
        <v>imepre-klu-kat</v>
      </c>
      <c r="EI185" s="47" t="s">
        <v>0</v>
      </c>
      <c r="EJ185" s="58">
        <f>IF(AL185="","",MAX(EJ$12:EJ184)+1)</f>
        <v>345</v>
      </c>
      <c r="EK185" s="73">
        <f>IF(AO185="","",X185)</f>
        <v>34</v>
      </c>
      <c r="EL185" s="73">
        <f t="shared" si="176"/>
        <v>1963</v>
      </c>
      <c r="EM185" s="73">
        <f t="shared" si="148"/>
        <v>4775</v>
      </c>
      <c r="EN185" s="73">
        <f t="shared" si="149"/>
        <v>1</v>
      </c>
      <c r="EO185" s="73">
        <f t="shared" si="177"/>
        <v>0</v>
      </c>
      <c r="EP185" s="73">
        <f t="shared" si="178"/>
        <v>1</v>
      </c>
      <c r="EQ185" s="73" t="str">
        <f t="shared" si="150"/>
        <v>0</v>
      </c>
      <c r="ER185" s="73" t="str">
        <f>IF(OR(AN185="",AN185="NEMA"),BB185,AN185)</f>
        <v/>
      </c>
      <c r="ES185" s="73" t="str">
        <f>IF(AND(BN185&lt;&gt;"",BN185&lt;&gt;"NEMA"),BN185,IF(CG185&lt;&gt;"",CG185,IF(AND(CL185&lt;&gt;"",CL185&lt;&gt;"NEMA"),CL185,IF(CM185&lt;&gt;"",CM185,""))))</f>
        <v/>
      </c>
      <c r="ET185" s="53" t="str">
        <f>IF(INDEX(natKategorija_alias_Id,MATCH(S185,natKategorija_katRegId,0))="","",INDEX(natKategorija_alias_Id,MATCH(S185,natKategorija_katRegId,0)))</f>
        <v/>
      </c>
      <c r="EU185" s="47" t="s">
        <v>0</v>
      </c>
      <c r="EV185" s="19" t="str">
        <f t="shared" si="179"/>
        <v>INSERT INTO rezultat(id,stazakategorija_id,imeprezime_id,vrijeme_sec,status_id,registracija,uparivanje_id,originalstatus_id,imeprezimealias_id,klubalias_id,kategorijaalias_id) VALUES (345,34,1963,4775,1,0,1,0,Null,Null,Null);</v>
      </c>
      <c r="EW185" s="47" t="s">
        <v>0</v>
      </c>
      <c r="EX185" s="19" t="str">
        <f t="shared" si="180"/>
        <v/>
      </c>
      <c r="EY185" s="47" t="s">
        <v>0</v>
      </c>
      <c r="EZ185" s="180" t="str">
        <f>AG185&amp;IF(CP185="","","
")&amp;CP185&amp;IF(CI185="","","
")&amp;CI185&amp;IF(DN185="","","
")&amp;DN185&amp;IF(DP185="","","
")&amp;DP185&amp;IF(EV185="","","
")&amp;EV185&amp;IF(EX185="","","
")&amp;EX185</f>
        <v xml:space="preserve">
INSERT INTO rezultat(id,stazakategorija_id,imeprezime_id,vrijeme_sec,status_id,registracija,uparivanje_id,originalstatus_id,imeprezimealias_id,klubalias_id,kategorijaalias_id) VALUES (345,34,1963,4775,1,0,1,0,Null,Null,Null);</v>
      </c>
      <c r="FA185" s="47" t="s">
        <v>0</v>
      </c>
    </row>
    <row r="186" spans="1:157" x14ac:dyDescent="0.25">
      <c r="A186" t="s">
        <v>0</v>
      </c>
      <c r="B186" s="52" t="str">
        <f>IF(csv!F176="","",csv!T176)</f>
        <v>OPEN</v>
      </c>
      <c r="C186" s="31" t="s">
        <v>0</v>
      </c>
      <c r="D186" s="31" t="str">
        <f>IF(csv!F176="","",csv!F176)</f>
        <v>Ivana</v>
      </c>
      <c r="E186" s="31" t="str">
        <f>IF(csv!E176="","",csv!E176)</f>
        <v>Žitnik</v>
      </c>
      <c r="F186" s="31" t="s">
        <v>0</v>
      </c>
      <c r="G186" s="73" t="str">
        <f>IF(csv!M176="","",csv!M176)</f>
        <v>80:29</v>
      </c>
      <c r="H186" s="73" t="str">
        <f>IF(csv!N176="","",csv!N176)</f>
        <v>0</v>
      </c>
      <c r="I186" s="31" t="s">
        <v>0</v>
      </c>
      <c r="J186" s="31" t="str">
        <f>IF(csv!P176="","",csv!P176)</f>
        <v>KAP</v>
      </c>
      <c r="K186" s="31" t="str">
        <f>IF(csv!Q176="","",csv!Q176)</f>
        <v>OK Kapela</v>
      </c>
      <c r="L186" s="31" t="s">
        <v>0</v>
      </c>
      <c r="M186" s="66" t="str">
        <f>IF(csv!R176="","",csv!R176)</f>
        <v>CRO</v>
      </c>
      <c r="N186" s="47" t="s">
        <v>0</v>
      </c>
      <c r="O186" s="243" t="str">
        <f t="shared" si="151"/>
        <v>ok</v>
      </c>
      <c r="P186" s="47"/>
      <c r="Q186" s="52" t="str">
        <f t="shared" si="152"/>
        <v>OPEN</v>
      </c>
      <c r="R186" s="73">
        <f>IF(Q186="","",IF(COUNTIF(Q$12:Q185,Q186)=0,R185+1,R185))</f>
        <v>12</v>
      </c>
      <c r="S186" s="73">
        <f t="shared" si="153"/>
        <v>291</v>
      </c>
      <c r="T186" s="73">
        <f t="shared" si="128"/>
        <v>29</v>
      </c>
      <c r="U186" s="66" t="str">
        <f t="shared" si="129"/>
        <v>Otvorena</v>
      </c>
      <c r="V186" s="47" t="s">
        <v>0</v>
      </c>
      <c r="W186" s="222" t="str">
        <f t="shared" si="130"/>
        <v>Otvorena</v>
      </c>
      <c r="X186" s="223">
        <f t="shared" si="131"/>
        <v>34</v>
      </c>
      <c r="Y186" s="47" t="s">
        <v>0</v>
      </c>
      <c r="Z186" s="52" t="str">
        <f t="shared" si="154"/>
        <v>CRO</v>
      </c>
      <c r="AA186" s="73">
        <f t="shared" si="132"/>
        <v>1</v>
      </c>
      <c r="AB186" s="31" t="str">
        <f t="shared" si="155"/>
        <v/>
      </c>
      <c r="AC186" s="66" t="str">
        <f>IF(AB186="","",MAX(AC$12:AC185)+1)</f>
        <v/>
      </c>
      <c r="AD186" s="47" t="s">
        <v>0</v>
      </c>
      <c r="AE186" s="125"/>
      <c r="AF186" s="47" t="s">
        <v>0</v>
      </c>
      <c r="AG186" s="19" t="str">
        <f t="shared" si="156"/>
        <v/>
      </c>
      <c r="AH186" s="47" t="s">
        <v>0</v>
      </c>
      <c r="AI186" s="143" t="str">
        <f t="shared" si="157"/>
        <v>CRO</v>
      </c>
      <c r="AJ186" s="47"/>
      <c r="AK186" s="52" t="str">
        <f t="shared" si="158"/>
        <v>Ivana</v>
      </c>
      <c r="AL186" s="31" t="str">
        <f t="shared" si="159"/>
        <v>Žitnik</v>
      </c>
      <c r="AM186" s="73">
        <f t="shared" si="160"/>
        <v>1950</v>
      </c>
      <c r="AN186" s="73" t="str">
        <f t="shared" si="161"/>
        <v/>
      </c>
      <c r="AO186" s="31" t="str">
        <f t="shared" si="133"/>
        <v>Ivana</v>
      </c>
      <c r="AP186" s="66" t="str">
        <f t="shared" si="134"/>
        <v>Žitnik</v>
      </c>
      <c r="AQ186" s="47" t="s">
        <v>0</v>
      </c>
      <c r="AR186" s="82" t="str">
        <f t="shared" si="162"/>
        <v/>
      </c>
      <c r="AS186" s="47" t="s">
        <v>0</v>
      </c>
      <c r="AT186" s="19" t="str">
        <f t="shared" si="163"/>
        <v/>
      </c>
      <c r="AU186" s="47" t="s">
        <v>0</v>
      </c>
      <c r="AV186" s="103"/>
      <c r="AW186" s="105"/>
      <c r="AX186" s="47" t="s">
        <v>0</v>
      </c>
      <c r="AY186" s="256" t="str">
        <f t="shared" si="181"/>
        <v/>
      </c>
      <c r="AZ186" s="47" t="s">
        <v>0</v>
      </c>
      <c r="BA186" s="52" t="str">
        <f t="shared" si="135"/>
        <v/>
      </c>
      <c r="BB186" s="73" t="str">
        <f>IF(AV186&amp;AW186="","",MAX(BB$12:BB185)+1)</f>
        <v/>
      </c>
      <c r="BC186" s="268" t="str">
        <f t="shared" si="136"/>
        <v/>
      </c>
      <c r="BD186" s="53" t="str">
        <f>IF(AND(AM186="NEMA",AN186="NEMA",OR(AV186&amp;AW186="",BC186="NEMA")),MAX(BD$12:BD185)+1,"")</f>
        <v/>
      </c>
      <c r="BE186" s="47" t="s">
        <v>0</v>
      </c>
      <c r="BF186" s="52" t="str">
        <f t="shared" si="137"/>
        <v>Ivana</v>
      </c>
      <c r="BG186" s="31" t="str">
        <f t="shared" si="138"/>
        <v>Žitnik</v>
      </c>
      <c r="BH186" s="73" t="str">
        <f t="shared" si="164"/>
        <v/>
      </c>
      <c r="BI186" s="53">
        <f t="shared" si="165"/>
        <v>1950</v>
      </c>
      <c r="BJ186" s="47" t="s">
        <v>0</v>
      </c>
      <c r="BK186" s="52" t="str">
        <f t="shared" si="139"/>
        <v>KAP</v>
      </c>
      <c r="BL186" s="31" t="str">
        <f t="shared" si="140"/>
        <v>OK Kapela</v>
      </c>
      <c r="BM186" s="73">
        <f t="shared" si="141"/>
        <v>5</v>
      </c>
      <c r="BN186" s="73" t="str">
        <f t="shared" si="142"/>
        <v/>
      </c>
      <c r="BO186" s="31" t="str" cm="1">
        <f t="array" ref="BO186">IF(BN186="",""&amp;BL186,IF(BN186="NEMA",BL186,INDEX(regKlub_naziv,MATCH(INDEX(regKlub_alias_klubId,BN186),regKlub_id,0))))</f>
        <v>OK Kapela</v>
      </c>
      <c r="BP186" s="31" t="str" cm="1">
        <f t="array" ref="BP186">IFERROR(""&amp;INDEX(regNatjecatelj_klub,DY186),"")</f>
        <v>OK Kapela</v>
      </c>
      <c r="BQ186" s="88" t="str">
        <f t="shared" si="166"/>
        <v/>
      </c>
      <c r="BR186" s="66" t="str">
        <f t="shared" si="167"/>
        <v>OK Kapela</v>
      </c>
      <c r="BS186" s="47" t="s">
        <v>0</v>
      </c>
      <c r="BT186" s="82" t="str">
        <f>IF(BN186&lt;&gt;"NEMA","",IF(IFERROR(MATCH(BL186,BL$12:BL185,0),0)&lt;&gt;0,"",BL186))</f>
        <v/>
      </c>
      <c r="BU186" s="47" t="s">
        <v>0</v>
      </c>
      <c r="BV186" s="125"/>
      <c r="BW186" s="47" t="s">
        <v>0</v>
      </c>
      <c r="BX186" s="58" t="str">
        <f t="shared" si="168"/>
        <v/>
      </c>
      <c r="BY186" s="31" t="str">
        <f t="shared" si="169"/>
        <v/>
      </c>
      <c r="BZ186" s="31" t="str">
        <f>IF(BY186="","",MAX(BZ$12:BZ185)+1)</f>
        <v/>
      </c>
      <c r="CA186" s="31" t="str">
        <f>IF(BY186="","",IF(AA186="","",IF(AA186="NEMA",AC186,AA186)))</f>
        <v/>
      </c>
      <c r="CB186" s="31" t="str">
        <f t="shared" si="170"/>
        <v/>
      </c>
      <c r="CC186" s="31" t="str">
        <f>IF(BV186="","",MAX(CC$12:CC185)+1)</f>
        <v/>
      </c>
      <c r="CD186" s="31" t="str">
        <f t="shared" si="171"/>
        <v/>
      </c>
      <c r="CE186" s="66" t="str">
        <f t="shared" si="172"/>
        <v/>
      </c>
      <c r="CF186" s="47" t="s">
        <v>0</v>
      </c>
      <c r="CG186" s="73" t="str">
        <f>IF(BN186="","",IF(BN186&lt;&gt;"NEMA","",IFERROR(INDEX(nat_klubAliasId,MATCH(BL186,nat_noviKluboviAliasi,0)),"")))</f>
        <v/>
      </c>
      <c r="CH186" s="47"/>
      <c r="CI186" s="19" t="str">
        <f t="shared" si="173"/>
        <v/>
      </c>
      <c r="CJ186" s="47" t="s">
        <v>0</v>
      </c>
      <c r="CK186" s="52" t="str">
        <f>IF(X186&lt;&gt;"NEMA","",IF(IFERROR(MATCH(W186,W$12:W185,0),0)&lt;&gt;0,"",W186))</f>
        <v/>
      </c>
      <c r="CL186" s="73" t="str">
        <f>IF(CK186="","",IFERROR(INDEX(regKlub_alias_id,MATCH(CK186,regKlub_alias_alias,0)),"NEMA"))</f>
        <v/>
      </c>
      <c r="CM186" s="31" t="str">
        <f>IF(OR(CL186="",CL186&lt;&gt;"NEMA"),"",MAX(CM$12:CM185)+1)</f>
        <v/>
      </c>
      <c r="CN186" s="66" t="str">
        <f>IF(OR(CL186="",CL186&lt;&gt;"NEMA"),"",INDEX(regKlub_id,MATCH(CK186,regKlub_naziv,0)))</f>
        <v/>
      </c>
      <c r="CO186" s="47" t="s">
        <v>0</v>
      </c>
      <c r="CP186" s="19" t="str">
        <f>IF(OR(CL186="",CL186&lt;&gt;"NEMA"),"","INSERT INTO klub_alias(id,alias,klub_id) VALUES ("&amp;CM186&amp;",'"&amp;CK186&amp;"',"&amp;CN186&amp;");")</f>
        <v/>
      </c>
      <c r="CQ186" s="47" t="s">
        <v>0</v>
      </c>
      <c r="CR186" s="143" t="str">
        <f>IF(BR186="","",IF(BV186="",IF(IFERROR(MATCH(BR186,nat_noviKluboviAliasi,0),0)&gt;0,INDEX(nat_kluboviAliasi,MATCH(BR186,nat_noviKluboviAliasi,0)),BR186),BV186))</f>
        <v>OK Kapela</v>
      </c>
      <c r="CS186" s="47" t="s">
        <v>0</v>
      </c>
      <c r="CT186" s="58" t="str">
        <f>IF(G186="","",G186)</f>
        <v>80:29</v>
      </c>
      <c r="CU186" s="73" t="str">
        <f>IF(H186="","",H186)</f>
        <v>0</v>
      </c>
      <c r="CV186" s="229" t="str">
        <f>IF(CT186="",IF(OR(AL186="",CU186&lt;&gt;"0"),"","GREŠKA"),IF(AND(65535&gt;=VALUE(LEFT(CT186,SEARCH(":",CT186)-1))*60+VALUE(RIGHT(CT186,2)),OR(CU186="0",CU186="1",CU186="2",CU186="3",CU186="4")),"","GREŠKA"))</f>
        <v/>
      </c>
      <c r="CW186" s="230">
        <f t="shared" si="127"/>
        <v>4829</v>
      </c>
      <c r="CX186" s="163">
        <f t="shared" si="143"/>
        <v>1</v>
      </c>
      <c r="CY186" s="47" t="s">
        <v>0</v>
      </c>
      <c r="CZ186" s="222" t="str">
        <f>IF(CV186&lt;&gt;"GREŠKA","",AK186&amp;" "&amp;AL186&amp;" – Molim u OEventu provjeriti i ispraviti rezultat – vrijeme ("&amp;IF(CT186="","nije upisano",CT186)&amp;") i classifier ("&amp;CU186&amp;").")&amp;IF(OR(CV186&lt;&gt;"GREŠKA",CX186&lt;&gt;5),"
","")&amp;IF(CX186&lt;&gt;5,"",AK186&amp;" "&amp;AL186&amp;" – Molim u provjeriti je li natjecatelj zaista diskvalificiran. Ako je koje je obrazloženje, ako nije molim u OEventu ispraviti rezultat")</f>
        <v xml:space="preserve">
</v>
      </c>
      <c r="DA186" s="223">
        <f t="shared" si="174"/>
        <v>6</v>
      </c>
      <c r="DB186" s="47" t="s">
        <v>0</v>
      </c>
      <c r="DC186" s="47"/>
      <c r="DD186" s="47"/>
      <c r="DE186" s="47"/>
      <c r="DF186" s="47" t="s">
        <v>0</v>
      </c>
      <c r="DG186" s="53" t="str">
        <f>IF(BD186="","",IF(DI186="O",1,""))</f>
        <v/>
      </c>
      <c r="DH186" t="s">
        <v>0</v>
      </c>
      <c r="DI186" s="128" t="str">
        <f>IF(Q186="","",LEFT(INDEX(regKategorija_oznaka,MATCH(S186,regKategorija_id,0)),1))</f>
        <v>O</v>
      </c>
      <c r="DJ186" t="s">
        <v>0</v>
      </c>
      <c r="DK186" s="52" t="str">
        <f>IF(BD186="","",IF(M186&lt;&gt;"CRO","","INSERT INTO osoba (id,reg_broj,oib,spol_id,dat_rodjenja) VALUES ("&amp;BD186&amp;",(SELECT max(os.reg_broj)+1 FROM osoba AS os),Null,'"&amp;DI186&amp;"',Null); INSERT INTO osoba_log (id,reg_broj,oib,spol_id,dat_rodjenja,dnevnik_id) SELECT id,reg_broj,oib,spol_id,dat_rodjenja,"&amp;data_dnevnik_id&amp;" FROM osoba WHERE id = "&amp;BD186&amp;";"))</f>
        <v/>
      </c>
      <c r="DL186" s="66" t="str">
        <f>IF(BD186="","","INSERT INTO imeprezime (id,osoba_id,rbr,ime,prezime,klub_id,identitet_id,sintaksa_id,info,aktivno,dnevnik_id) VALUES ("&amp;BD186&amp;","&amp;IF(DK186="","Null",BD186)&amp;",1,'"&amp;IF(AV186&lt;&gt;"",AV186,AK186)&amp;"','"&amp;IF(AW186&lt;&gt;"",AW186,AL186)&amp;"',(SELECT id FROM klub WHERE naziv = '"&amp;CR186&amp;"'),Null,1,'',1,"&amp;data_dnevnik_id&amp;");")</f>
        <v/>
      </c>
      <c r="DM186" t="s">
        <v>0</v>
      </c>
      <c r="DN186" s="19" t="str">
        <f t="shared" si="182"/>
        <v/>
      </c>
      <c r="DO186" s="47" t="s">
        <v>0</v>
      </c>
      <c r="DP186" s="19" t="str">
        <f>IF(BA186="","","INSERT INTO imeprezime_alias(id,alias,imeprezime_id) VALUES ("&amp;BB186&amp;",'"&amp;BA186&amp;"',"&amp;IF(BC186="NEMA",BD186,BC186)&amp;");")</f>
        <v/>
      </c>
      <c r="DQ186" s="47" t="s">
        <v>0</v>
      </c>
      <c r="DR186" s="52" t="str">
        <f>IF(AL186="","",DU186 &amp; IF(Q186="",""," – " &amp; Q186))</f>
        <v>Ivana – Žitnik – OK Kapela – OPEN</v>
      </c>
      <c r="DS186" s="53" t="str">
        <f t="shared" si="144"/>
        <v>NEMA</v>
      </c>
      <c r="DT186" s="47" t="s">
        <v>0</v>
      </c>
      <c r="DU186" s="52" t="str">
        <f>IF(AL186="","",DX186 &amp; IF(CR186="",""," – " &amp; CR186))</f>
        <v>Ivana – Žitnik – OK Kapela</v>
      </c>
      <c r="DV186" s="53">
        <f t="shared" si="145"/>
        <v>337</v>
      </c>
      <c r="DW186" s="47" t="s">
        <v>0</v>
      </c>
      <c r="DX186" s="52" t="str">
        <f>IF(BG186="","",BF186&amp;" – "&amp;BG186)</f>
        <v>Ivana – Žitnik</v>
      </c>
      <c r="DY186" s="53">
        <f t="shared" si="146"/>
        <v>337</v>
      </c>
      <c r="DZ186" s="47" t="s">
        <v>0</v>
      </c>
      <c r="EA186" s="58">
        <f t="shared" si="175"/>
        <v>337</v>
      </c>
      <c r="EB186" s="53" cm="1">
        <f t="array" ref="EB186">IF(EA186&lt;&gt;"",INDEX(regNatjecatelj_id,EA186,0),IF(BD186&lt;&gt;"",BD186,""))</f>
        <v>1950</v>
      </c>
      <c r="EC186" s="47" t="s">
        <v>0</v>
      </c>
      <c r="ED186" s="58" t="str">
        <f>IF(AL186="","",IF(BD186&lt;&gt;"","novo",IF(AN186="","imepre","imepre(ali)")))</f>
        <v>imepre</v>
      </c>
      <c r="EE186" s="73" t="str">
        <f>IF(AL186="","",IF(BL186="",IF(IFERROR(INDEX(regNatjecatelj_klub,MATCH(EB186,regNatjecatelj_id,0)),"NEMA")="","klu",""),IF(OR(AND(BN186&lt;&gt;"",BN186&lt;&gt;"NEMA"),CD186&lt;&gt;""),"klu(ali)",IF(AND(BP186&lt;&gt;"",BP186&lt;&gt;BO186),"(raz-klu)","klu"))))</f>
        <v>klu</v>
      </c>
      <c r="EF186" s="73" t="str">
        <f>IF(AL186="","","kat"&amp;IF(AND(W186&lt;&gt;Q186,Q186&lt;&gt;"Open"),"(ali)",""))</f>
        <v>kat</v>
      </c>
      <c r="EG186" s="73" t="str">
        <f t="shared" si="147"/>
        <v/>
      </c>
      <c r="EH186" s="66" t="str">
        <f>IF(AL186="","",ED186&amp;IF(ED186="novo","","-"&amp;EE186&amp;"-"&amp;EF186)&amp;IF(EG186="","","-"&amp;EG186))</f>
        <v>imepre-klu-kat</v>
      </c>
      <c r="EI186" s="47" t="s">
        <v>0</v>
      </c>
      <c r="EJ186" s="58">
        <f>IF(AL186="","",MAX(EJ$12:EJ185)+1)</f>
        <v>346</v>
      </c>
      <c r="EK186" s="73">
        <f>IF(AO186="","",X186)</f>
        <v>34</v>
      </c>
      <c r="EL186" s="73">
        <f t="shared" si="176"/>
        <v>1950</v>
      </c>
      <c r="EM186" s="73">
        <f t="shared" si="148"/>
        <v>4829</v>
      </c>
      <c r="EN186" s="73">
        <f t="shared" si="149"/>
        <v>1</v>
      </c>
      <c r="EO186" s="73">
        <f t="shared" si="177"/>
        <v>0</v>
      </c>
      <c r="EP186" s="73">
        <f t="shared" si="178"/>
        <v>1</v>
      </c>
      <c r="EQ186" s="73" t="str">
        <f t="shared" si="150"/>
        <v>0</v>
      </c>
      <c r="ER186" s="73" t="str">
        <f>IF(OR(AN186="",AN186="NEMA"),BB186,AN186)</f>
        <v/>
      </c>
      <c r="ES186" s="73" t="str">
        <f>IF(AND(BN186&lt;&gt;"",BN186&lt;&gt;"NEMA"),BN186,IF(CG186&lt;&gt;"",CG186,IF(AND(CL186&lt;&gt;"",CL186&lt;&gt;"NEMA"),CL186,IF(CM186&lt;&gt;"",CM186,""))))</f>
        <v/>
      </c>
      <c r="ET186" s="53" t="str">
        <f>IF(INDEX(natKategorija_alias_Id,MATCH(S186,natKategorija_katRegId,0))="","",INDEX(natKategorija_alias_Id,MATCH(S186,natKategorija_katRegId,0)))</f>
        <v/>
      </c>
      <c r="EU186" s="47" t="s">
        <v>0</v>
      </c>
      <c r="EV186" s="19" t="str">
        <f t="shared" si="179"/>
        <v>INSERT INTO rezultat(id,stazakategorija_id,imeprezime_id,vrijeme_sec,status_id,registracija,uparivanje_id,originalstatus_id,imeprezimealias_id,klubalias_id,kategorijaalias_id) VALUES (346,34,1950,4829,1,0,1,0,Null,Null,Null);</v>
      </c>
      <c r="EW186" s="47" t="s">
        <v>0</v>
      </c>
      <c r="EX186" s="19" t="str">
        <f t="shared" si="180"/>
        <v/>
      </c>
      <c r="EY186" s="47" t="s">
        <v>0</v>
      </c>
      <c r="EZ186" s="180" t="str">
        <f>AG186&amp;IF(CP186="","","
")&amp;CP186&amp;IF(CI186="","","
")&amp;CI186&amp;IF(DN186="","","
")&amp;DN186&amp;IF(DP186="","","
")&amp;DP186&amp;IF(EV186="","","
")&amp;EV186&amp;IF(EX186="","","
")&amp;EX186</f>
        <v xml:space="preserve">
INSERT INTO rezultat(id,stazakategorija_id,imeprezime_id,vrijeme_sec,status_id,registracija,uparivanje_id,originalstatus_id,imeprezimealias_id,klubalias_id,kategorijaalias_id) VALUES (346,34,1950,4829,1,0,1,0,Null,Null,Null);</v>
      </c>
      <c r="FA186" s="47" t="s">
        <v>0</v>
      </c>
    </row>
    <row r="187" spans="1:157" x14ac:dyDescent="0.25">
      <c r="A187" t="s">
        <v>0</v>
      </c>
      <c r="B187" s="52" t="str">
        <f>IF(csv!F177="","",csv!T177)</f>
        <v>OPEN</v>
      </c>
      <c r="C187" s="31" t="s">
        <v>0</v>
      </c>
      <c r="D187" s="31" t="str">
        <f>IF(csv!F177="","",csv!F177)</f>
        <v>Dario</v>
      </c>
      <c r="E187" s="31" t="str">
        <f>IF(csv!E177="","",csv!E177)</f>
        <v>Šimatić</v>
      </c>
      <c r="F187" s="31" t="s">
        <v>0</v>
      </c>
      <c r="G187" s="73" t="str">
        <f>IF(csv!M177="","",csv!M177)</f>
        <v>84:10</v>
      </c>
      <c r="H187" s="73" t="str">
        <f>IF(csv!N177="","",csv!N177)</f>
        <v>0</v>
      </c>
      <c r="I187" s="31" t="s">
        <v>0</v>
      </c>
      <c r="J187" s="31" t="str">
        <f>IF(csv!P177="","",csv!P177)</f>
        <v>Maksimir</v>
      </c>
      <c r="K187" s="31" t="str">
        <f>IF(csv!Q177="","",csv!Q177)</f>
        <v>OK Maksimir</v>
      </c>
      <c r="L187" s="31" t="s">
        <v>0</v>
      </c>
      <c r="M187" s="66" t="str">
        <f>IF(csv!R177="","",csv!R177)</f>
        <v>CRO</v>
      </c>
      <c r="N187" s="47" t="s">
        <v>0</v>
      </c>
      <c r="O187" s="243" t="str">
        <f t="shared" si="151"/>
        <v>ok</v>
      </c>
      <c r="P187" s="47"/>
      <c r="Q187" s="52" t="str">
        <f t="shared" si="152"/>
        <v>OPEN</v>
      </c>
      <c r="R187" s="73">
        <f>IF(Q187="","",IF(COUNTIF(Q$12:Q186,Q187)=0,R186+1,R186))</f>
        <v>12</v>
      </c>
      <c r="S187" s="73">
        <f t="shared" si="153"/>
        <v>291</v>
      </c>
      <c r="T187" s="73">
        <f t="shared" si="128"/>
        <v>29</v>
      </c>
      <c r="U187" s="66" t="str">
        <f t="shared" si="129"/>
        <v>Otvorena</v>
      </c>
      <c r="V187" s="47" t="s">
        <v>0</v>
      </c>
      <c r="W187" s="222" t="str">
        <f t="shared" si="130"/>
        <v>Otvorena</v>
      </c>
      <c r="X187" s="223">
        <f t="shared" si="131"/>
        <v>34</v>
      </c>
      <c r="Y187" s="47" t="s">
        <v>0</v>
      </c>
      <c r="Z187" s="52" t="str">
        <f t="shared" si="154"/>
        <v>CRO</v>
      </c>
      <c r="AA187" s="73">
        <f t="shared" si="132"/>
        <v>1</v>
      </c>
      <c r="AB187" s="31" t="str">
        <f t="shared" si="155"/>
        <v/>
      </c>
      <c r="AC187" s="66" t="str">
        <f>IF(AB187="","",MAX(AC$12:AC186)+1)</f>
        <v/>
      </c>
      <c r="AD187" s="47" t="s">
        <v>0</v>
      </c>
      <c r="AE187" s="125"/>
      <c r="AF187" s="47" t="s">
        <v>0</v>
      </c>
      <c r="AG187" s="19" t="str">
        <f t="shared" si="156"/>
        <v/>
      </c>
      <c r="AH187" s="47" t="s">
        <v>0</v>
      </c>
      <c r="AI187" s="143" t="str">
        <f t="shared" si="157"/>
        <v>CRO</v>
      </c>
      <c r="AJ187" s="47"/>
      <c r="AK187" s="52" t="str">
        <f t="shared" si="158"/>
        <v>Dario</v>
      </c>
      <c r="AL187" s="31" t="str">
        <f t="shared" si="159"/>
        <v>Šimatić</v>
      </c>
      <c r="AM187" s="73">
        <f t="shared" si="160"/>
        <v>1937</v>
      </c>
      <c r="AN187" s="73" t="str">
        <f t="shared" si="161"/>
        <v/>
      </c>
      <c r="AO187" s="31" t="str">
        <f t="shared" si="133"/>
        <v>Dario</v>
      </c>
      <c r="AP187" s="66" t="str">
        <f t="shared" si="134"/>
        <v>Šimatić</v>
      </c>
      <c r="AQ187" s="47" t="s">
        <v>0</v>
      </c>
      <c r="AR187" s="82" t="str">
        <f t="shared" si="162"/>
        <v/>
      </c>
      <c r="AS187" s="47" t="s">
        <v>0</v>
      </c>
      <c r="AT187" s="19" t="str">
        <f t="shared" si="163"/>
        <v/>
      </c>
      <c r="AU187" s="47" t="s">
        <v>0</v>
      </c>
      <c r="AV187" s="103"/>
      <c r="AW187" s="105"/>
      <c r="AX187" s="47" t="s">
        <v>0</v>
      </c>
      <c r="AY187" s="256" t="str">
        <f t="shared" si="181"/>
        <v/>
      </c>
      <c r="AZ187" s="47" t="s">
        <v>0</v>
      </c>
      <c r="BA187" s="52" t="str">
        <f t="shared" si="135"/>
        <v/>
      </c>
      <c r="BB187" s="73" t="str">
        <f>IF(AV187&amp;AW187="","",MAX(BB$12:BB186)+1)</f>
        <v/>
      </c>
      <c r="BC187" s="268" t="str">
        <f t="shared" si="136"/>
        <v/>
      </c>
      <c r="BD187" s="53" t="str">
        <f>IF(AND(AM187="NEMA",AN187="NEMA",OR(AV187&amp;AW187="",BC187="NEMA")),MAX(BD$12:BD186)+1,"")</f>
        <v/>
      </c>
      <c r="BE187" s="47" t="s">
        <v>0</v>
      </c>
      <c r="BF187" s="52" t="str">
        <f t="shared" si="137"/>
        <v>Dario</v>
      </c>
      <c r="BG187" s="31" t="str">
        <f t="shared" si="138"/>
        <v>Šimatić</v>
      </c>
      <c r="BH187" s="73" t="str">
        <f t="shared" si="164"/>
        <v/>
      </c>
      <c r="BI187" s="53">
        <f t="shared" si="165"/>
        <v>1937</v>
      </c>
      <c r="BJ187" s="47" t="s">
        <v>0</v>
      </c>
      <c r="BK187" s="52" t="str">
        <f t="shared" si="139"/>
        <v>Maksimir</v>
      </c>
      <c r="BL187" s="31" t="str">
        <f t="shared" si="140"/>
        <v>OK Maksimir</v>
      </c>
      <c r="BM187" s="73">
        <f t="shared" si="141"/>
        <v>6</v>
      </c>
      <c r="BN187" s="73" t="str">
        <f t="shared" si="142"/>
        <v/>
      </c>
      <c r="BO187" s="31" t="str" cm="1">
        <f t="array" ref="BO187">IF(BN187="",""&amp;BL187,IF(BN187="NEMA",BL187,INDEX(regKlub_naziv,MATCH(INDEX(regKlub_alias_klubId,BN187),regKlub_id,0))))</f>
        <v>OK Maksimir</v>
      </c>
      <c r="BP187" s="31" t="str" cm="1">
        <f t="array" ref="BP187">IFERROR(""&amp;INDEX(regNatjecatelj_klub,DY187),"")</f>
        <v>OK Maksimir</v>
      </c>
      <c r="BQ187" s="88" t="str">
        <f t="shared" si="166"/>
        <v/>
      </c>
      <c r="BR187" s="66" t="str">
        <f t="shared" si="167"/>
        <v>OK Maksimir</v>
      </c>
      <c r="BS187" s="47" t="s">
        <v>0</v>
      </c>
      <c r="BT187" s="82" t="str">
        <f>IF(BN187&lt;&gt;"NEMA","",IF(IFERROR(MATCH(BL187,BL$12:BL186,0),0)&lt;&gt;0,"",BL187))</f>
        <v/>
      </c>
      <c r="BU187" s="47" t="s">
        <v>0</v>
      </c>
      <c r="BV187" s="125"/>
      <c r="BW187" s="47" t="s">
        <v>0</v>
      </c>
      <c r="BX187" s="58" t="str">
        <f t="shared" si="168"/>
        <v/>
      </c>
      <c r="BY187" s="31" t="str">
        <f t="shared" si="169"/>
        <v/>
      </c>
      <c r="BZ187" s="31" t="str">
        <f>IF(BY187="","",MAX(BZ$12:BZ186)+1)</f>
        <v/>
      </c>
      <c r="CA187" s="31" t="str">
        <f>IF(BY187="","",IF(AA187="","",IF(AA187="NEMA",AC187,AA187)))</f>
        <v/>
      </c>
      <c r="CB187" s="31" t="str">
        <f t="shared" si="170"/>
        <v/>
      </c>
      <c r="CC187" s="31" t="str">
        <f>IF(BV187="","",MAX(CC$12:CC186)+1)</f>
        <v/>
      </c>
      <c r="CD187" s="31" t="str">
        <f t="shared" si="171"/>
        <v/>
      </c>
      <c r="CE187" s="66" t="str">
        <f t="shared" si="172"/>
        <v/>
      </c>
      <c r="CF187" s="47" t="s">
        <v>0</v>
      </c>
      <c r="CG187" s="73" t="str">
        <f>IF(BN187="","",IF(BN187&lt;&gt;"NEMA","",IFERROR(INDEX(nat_klubAliasId,MATCH(BL187,nat_noviKluboviAliasi,0)),"")))</f>
        <v/>
      </c>
      <c r="CH187" s="47"/>
      <c r="CI187" s="19" t="str">
        <f t="shared" si="173"/>
        <v/>
      </c>
      <c r="CJ187" s="47" t="s">
        <v>0</v>
      </c>
      <c r="CK187" s="52" t="str">
        <f>IF(X187&lt;&gt;"NEMA","",IF(IFERROR(MATCH(W187,W$12:W186,0),0)&lt;&gt;0,"",W187))</f>
        <v/>
      </c>
      <c r="CL187" s="73" t="str">
        <f>IF(CK187="","",IFERROR(INDEX(regKlub_alias_id,MATCH(CK187,regKlub_alias_alias,0)),"NEMA"))</f>
        <v/>
      </c>
      <c r="CM187" s="31" t="str">
        <f>IF(OR(CL187="",CL187&lt;&gt;"NEMA"),"",MAX(CM$12:CM186)+1)</f>
        <v/>
      </c>
      <c r="CN187" s="66" t="str">
        <f>IF(OR(CL187="",CL187&lt;&gt;"NEMA"),"",INDEX(regKlub_id,MATCH(CK187,regKlub_naziv,0)))</f>
        <v/>
      </c>
      <c r="CO187" s="47" t="s">
        <v>0</v>
      </c>
      <c r="CP187" s="19" t="str">
        <f>IF(OR(CL187="",CL187&lt;&gt;"NEMA"),"","INSERT INTO klub_alias(id,alias,klub_id) VALUES ("&amp;CM187&amp;",'"&amp;CK187&amp;"',"&amp;CN187&amp;");")</f>
        <v/>
      </c>
      <c r="CQ187" s="47" t="s">
        <v>0</v>
      </c>
      <c r="CR187" s="143" t="str">
        <f>IF(BR187="","",IF(BV187="",IF(IFERROR(MATCH(BR187,nat_noviKluboviAliasi,0),0)&gt;0,INDEX(nat_kluboviAliasi,MATCH(BR187,nat_noviKluboviAliasi,0)),BR187),BV187))</f>
        <v>OK Maksimir</v>
      </c>
      <c r="CS187" s="47" t="s">
        <v>0</v>
      </c>
      <c r="CT187" s="58" t="str">
        <f>IF(G187="","",G187)</f>
        <v>84:10</v>
      </c>
      <c r="CU187" s="73" t="str">
        <f>IF(H187="","",H187)</f>
        <v>0</v>
      </c>
      <c r="CV187" s="229" t="str">
        <f>IF(CT187="",IF(OR(AL187="",CU187&lt;&gt;"0"),"","GREŠKA"),IF(AND(65535&gt;=VALUE(LEFT(CT187,SEARCH(":",CT187)-1))*60+VALUE(RIGHT(CT187,2)),OR(CU187="0",CU187="1",CU187="2",CU187="3",CU187="4")),"","GREŠKA"))</f>
        <v/>
      </c>
      <c r="CW187" s="230">
        <f t="shared" si="127"/>
        <v>5050</v>
      </c>
      <c r="CX187" s="163">
        <f t="shared" si="143"/>
        <v>1</v>
      </c>
      <c r="CY187" s="47" t="s">
        <v>0</v>
      </c>
      <c r="CZ187" s="222" t="str">
        <f>IF(CV187&lt;&gt;"GREŠKA","",AK187&amp;" "&amp;AL187&amp;" – Molim u OEventu provjeriti i ispraviti rezultat – vrijeme ("&amp;IF(CT187="","nije upisano",CT187)&amp;") i classifier ("&amp;CU187&amp;").")&amp;IF(OR(CV187&lt;&gt;"GREŠKA",CX187&lt;&gt;5),"
","")&amp;IF(CX187&lt;&gt;5,"",AK187&amp;" "&amp;AL187&amp;" – Molim u provjeriti je li natjecatelj zaista diskvalificiran. Ako je koje je obrazloženje, ako nije molim u OEventu ispraviti rezultat")</f>
        <v xml:space="preserve">
</v>
      </c>
      <c r="DA187" s="223">
        <f t="shared" si="174"/>
        <v>6</v>
      </c>
      <c r="DB187" s="47" t="s">
        <v>0</v>
      </c>
      <c r="DC187" s="47"/>
      <c r="DD187" s="47"/>
      <c r="DE187" s="47"/>
      <c r="DF187" s="47" t="s">
        <v>0</v>
      </c>
      <c r="DG187" s="53" t="str">
        <f>IF(BD187="","",IF(DI187="O",1,""))</f>
        <v/>
      </c>
      <c r="DH187" t="s">
        <v>0</v>
      </c>
      <c r="DI187" s="128" t="str">
        <f>IF(Q187="","",LEFT(INDEX(regKategorija_oznaka,MATCH(S187,regKategorija_id,0)),1))</f>
        <v>O</v>
      </c>
      <c r="DJ187" t="s">
        <v>0</v>
      </c>
      <c r="DK187" s="52" t="str">
        <f>IF(BD187="","",IF(M187&lt;&gt;"CRO","","INSERT INTO osoba (id,reg_broj,oib,spol_id,dat_rodjenja) VALUES ("&amp;BD187&amp;",(SELECT max(os.reg_broj)+1 FROM osoba AS os),Null,'"&amp;DI187&amp;"',Null); INSERT INTO osoba_log (id,reg_broj,oib,spol_id,dat_rodjenja,dnevnik_id) SELECT id,reg_broj,oib,spol_id,dat_rodjenja,"&amp;data_dnevnik_id&amp;" FROM osoba WHERE id = "&amp;BD187&amp;";"))</f>
        <v/>
      </c>
      <c r="DL187" s="66" t="str">
        <f>IF(BD187="","","INSERT INTO imeprezime (id,osoba_id,rbr,ime,prezime,klub_id,identitet_id,sintaksa_id,info,aktivno,dnevnik_id) VALUES ("&amp;BD187&amp;","&amp;IF(DK187="","Null",BD187)&amp;",1,'"&amp;IF(AV187&lt;&gt;"",AV187,AK187)&amp;"','"&amp;IF(AW187&lt;&gt;"",AW187,AL187)&amp;"',(SELECT id FROM klub WHERE naziv = '"&amp;CR187&amp;"'),Null,1,'',1,"&amp;data_dnevnik_id&amp;");")</f>
        <v/>
      </c>
      <c r="DM187" t="s">
        <v>0</v>
      </c>
      <c r="DN187" s="19" t="str">
        <f t="shared" si="182"/>
        <v/>
      </c>
      <c r="DO187" s="47" t="s">
        <v>0</v>
      </c>
      <c r="DP187" s="19" t="str">
        <f>IF(BA187="","","INSERT INTO imeprezime_alias(id,alias,imeprezime_id) VALUES ("&amp;BB187&amp;",'"&amp;BA187&amp;"',"&amp;IF(BC187="NEMA",BD187,BC187)&amp;");")</f>
        <v/>
      </c>
      <c r="DQ187" s="47" t="s">
        <v>0</v>
      </c>
      <c r="DR187" s="52" t="str">
        <f>IF(AL187="","",DU187 &amp; IF(Q187="",""," – " &amp; Q187))</f>
        <v>Dario – Šimatić – OK Maksimir – OPEN</v>
      </c>
      <c r="DS187" s="53" t="str">
        <f t="shared" si="144"/>
        <v>NEMA</v>
      </c>
      <c r="DT187" s="47" t="s">
        <v>0</v>
      </c>
      <c r="DU187" s="52" t="str">
        <f>IF(AL187="","",DX187 &amp; IF(CR187="",""," – " &amp; CR187))</f>
        <v>Dario – Šimatić – OK Maksimir</v>
      </c>
      <c r="DV187" s="53">
        <f t="shared" si="145"/>
        <v>378</v>
      </c>
      <c r="DW187" s="47" t="s">
        <v>0</v>
      </c>
      <c r="DX187" s="52" t="str">
        <f>IF(BG187="","",BF187&amp;" – "&amp;BG187)</f>
        <v>Dario – Šimatić</v>
      </c>
      <c r="DY187" s="53">
        <f t="shared" si="146"/>
        <v>378</v>
      </c>
      <c r="DZ187" s="47" t="s">
        <v>0</v>
      </c>
      <c r="EA187" s="58">
        <f t="shared" si="175"/>
        <v>378</v>
      </c>
      <c r="EB187" s="53" cm="1">
        <f t="array" ref="EB187">IF(EA187&lt;&gt;"",INDEX(regNatjecatelj_id,EA187,0),IF(BD187&lt;&gt;"",BD187,""))</f>
        <v>1937</v>
      </c>
      <c r="EC187" s="47" t="s">
        <v>0</v>
      </c>
      <c r="ED187" s="58" t="str">
        <f>IF(AL187="","",IF(BD187&lt;&gt;"","novo",IF(AN187="","imepre","imepre(ali)")))</f>
        <v>imepre</v>
      </c>
      <c r="EE187" s="73" t="str">
        <f>IF(AL187="","",IF(BL187="",IF(IFERROR(INDEX(regNatjecatelj_klub,MATCH(EB187,regNatjecatelj_id,0)),"NEMA")="","klu",""),IF(OR(AND(BN187&lt;&gt;"",BN187&lt;&gt;"NEMA"),CD187&lt;&gt;""),"klu(ali)",IF(AND(BP187&lt;&gt;"",BP187&lt;&gt;BO187),"(raz-klu)","klu"))))</f>
        <v>klu</v>
      </c>
      <c r="EF187" s="73" t="str">
        <f>IF(AL187="","","kat"&amp;IF(AND(W187&lt;&gt;Q187,Q187&lt;&gt;"Open"),"(ali)",""))</f>
        <v>kat</v>
      </c>
      <c r="EG187" s="73" t="str">
        <f t="shared" si="147"/>
        <v/>
      </c>
      <c r="EH187" s="66" t="str">
        <f>IF(AL187="","",ED187&amp;IF(ED187="novo","","-"&amp;EE187&amp;"-"&amp;EF187)&amp;IF(EG187="","","-"&amp;EG187))</f>
        <v>imepre-klu-kat</v>
      </c>
      <c r="EI187" s="47" t="s">
        <v>0</v>
      </c>
      <c r="EJ187" s="58">
        <f>IF(AL187="","",MAX(EJ$12:EJ186)+1)</f>
        <v>347</v>
      </c>
      <c r="EK187" s="73">
        <f>IF(AO187="","",X187)</f>
        <v>34</v>
      </c>
      <c r="EL187" s="73">
        <f t="shared" si="176"/>
        <v>1937</v>
      </c>
      <c r="EM187" s="73">
        <f t="shared" si="148"/>
        <v>5050</v>
      </c>
      <c r="EN187" s="73">
        <f t="shared" si="149"/>
        <v>1</v>
      </c>
      <c r="EO187" s="73">
        <f t="shared" si="177"/>
        <v>0</v>
      </c>
      <c r="EP187" s="73">
        <f t="shared" si="178"/>
        <v>1</v>
      </c>
      <c r="EQ187" s="73" t="str">
        <f t="shared" si="150"/>
        <v>0</v>
      </c>
      <c r="ER187" s="73" t="str">
        <f>IF(OR(AN187="",AN187="NEMA"),BB187,AN187)</f>
        <v/>
      </c>
      <c r="ES187" s="73" t="str">
        <f>IF(AND(BN187&lt;&gt;"",BN187&lt;&gt;"NEMA"),BN187,IF(CG187&lt;&gt;"",CG187,IF(AND(CL187&lt;&gt;"",CL187&lt;&gt;"NEMA"),CL187,IF(CM187&lt;&gt;"",CM187,""))))</f>
        <v/>
      </c>
      <c r="ET187" s="53" t="str">
        <f>IF(INDEX(natKategorija_alias_Id,MATCH(S187,natKategorija_katRegId,0))="","",INDEX(natKategorija_alias_Id,MATCH(S187,natKategorija_katRegId,0)))</f>
        <v/>
      </c>
      <c r="EU187" s="47" t="s">
        <v>0</v>
      </c>
      <c r="EV187" s="19" t="str">
        <f t="shared" si="179"/>
        <v>INSERT INTO rezultat(id,stazakategorija_id,imeprezime_id,vrijeme_sec,status_id,registracija,uparivanje_id,originalstatus_id,imeprezimealias_id,klubalias_id,kategorijaalias_id) VALUES (347,34,1937,5050,1,0,1,0,Null,Null,Null);</v>
      </c>
      <c r="EW187" s="47" t="s">
        <v>0</v>
      </c>
      <c r="EX187" s="19" t="str">
        <f t="shared" si="180"/>
        <v/>
      </c>
      <c r="EY187" s="47" t="s">
        <v>0</v>
      </c>
      <c r="EZ187" s="180" t="str">
        <f>AG187&amp;IF(CP187="","","
")&amp;CP187&amp;IF(CI187="","","
")&amp;CI187&amp;IF(DN187="","","
")&amp;DN187&amp;IF(DP187="","","
")&amp;DP187&amp;IF(EV187="","","
")&amp;EV187&amp;IF(EX187="","","
")&amp;EX187</f>
        <v xml:space="preserve">
INSERT INTO rezultat(id,stazakategorija_id,imeprezime_id,vrijeme_sec,status_id,registracija,uparivanje_id,originalstatus_id,imeprezimealias_id,klubalias_id,kategorijaalias_id) VALUES (347,34,1937,5050,1,0,1,0,Null,Null,Null);</v>
      </c>
      <c r="FA187" s="47" t="s">
        <v>0</v>
      </c>
    </row>
    <row r="188" spans="1:157" x14ac:dyDescent="0.25">
      <c r="A188" t="s">
        <v>0</v>
      </c>
      <c r="B188" s="52" t="str">
        <f>IF(csv!F178="","",csv!T178)</f>
        <v>OPEN</v>
      </c>
      <c r="C188" s="31" t="s">
        <v>0</v>
      </c>
      <c r="D188" s="31" t="str">
        <f>IF(csv!F178="","",csv!F178)</f>
        <v>Karmela</v>
      </c>
      <c r="E188" s="31" t="str">
        <f>IF(csv!E178="","",csv!E178)</f>
        <v>Crvenković</v>
      </c>
      <c r="F188" s="31" t="s">
        <v>0</v>
      </c>
      <c r="G188" s="73" t="str">
        <f>IF(csv!M178="","",csv!M178)</f>
        <v>85:29</v>
      </c>
      <c r="H188" s="73" t="str">
        <f>IF(csv!N178="","",csv!N178)</f>
        <v>0</v>
      </c>
      <c r="I188" s="31" t="s">
        <v>0</v>
      </c>
      <c r="J188" s="31" t="str">
        <f>IF(csv!P178="","",csv!P178)</f>
        <v>KAP</v>
      </c>
      <c r="K188" s="31" t="str">
        <f>IF(csv!Q178="","",csv!Q178)</f>
        <v>OK Kapela</v>
      </c>
      <c r="L188" s="31" t="s">
        <v>0</v>
      </c>
      <c r="M188" s="66" t="str">
        <f>IF(csv!R178="","",csv!R178)</f>
        <v>CRO</v>
      </c>
      <c r="N188" s="47" t="s">
        <v>0</v>
      </c>
      <c r="O188" s="243" t="str">
        <f t="shared" si="151"/>
        <v>ok</v>
      </c>
      <c r="P188" s="47"/>
      <c r="Q188" s="52" t="str">
        <f t="shared" si="152"/>
        <v>OPEN</v>
      </c>
      <c r="R188" s="73">
        <f>IF(Q188="","",IF(COUNTIF(Q$12:Q187,Q188)=0,R187+1,R187))</f>
        <v>12</v>
      </c>
      <c r="S188" s="73">
        <f t="shared" si="153"/>
        <v>291</v>
      </c>
      <c r="T188" s="73">
        <f t="shared" si="128"/>
        <v>29</v>
      </c>
      <c r="U188" s="66" t="str">
        <f t="shared" si="129"/>
        <v>Otvorena</v>
      </c>
      <c r="V188" s="47" t="s">
        <v>0</v>
      </c>
      <c r="W188" s="222" t="str">
        <f t="shared" si="130"/>
        <v>Otvorena</v>
      </c>
      <c r="X188" s="223">
        <f t="shared" si="131"/>
        <v>34</v>
      </c>
      <c r="Y188" s="47" t="s">
        <v>0</v>
      </c>
      <c r="Z188" s="52" t="str">
        <f t="shared" si="154"/>
        <v>CRO</v>
      </c>
      <c r="AA188" s="73">
        <f t="shared" si="132"/>
        <v>1</v>
      </c>
      <c r="AB188" s="31" t="str">
        <f t="shared" si="155"/>
        <v/>
      </c>
      <c r="AC188" s="66" t="str">
        <f>IF(AB188="","",MAX(AC$12:AC187)+1)</f>
        <v/>
      </c>
      <c r="AD188" s="47" t="s">
        <v>0</v>
      </c>
      <c r="AE188" s="125"/>
      <c r="AF188" s="47" t="s">
        <v>0</v>
      </c>
      <c r="AG188" s="19" t="str">
        <f t="shared" si="156"/>
        <v/>
      </c>
      <c r="AH188" s="47" t="s">
        <v>0</v>
      </c>
      <c r="AI188" s="143" t="str">
        <f t="shared" si="157"/>
        <v>CRO</v>
      </c>
      <c r="AJ188" s="47"/>
      <c r="AK188" s="52" t="str">
        <f t="shared" si="158"/>
        <v>Karmela</v>
      </c>
      <c r="AL188" s="31" t="str">
        <f t="shared" si="159"/>
        <v>Crvenković</v>
      </c>
      <c r="AM188" s="73">
        <f t="shared" si="160"/>
        <v>1870</v>
      </c>
      <c r="AN188" s="73" t="str">
        <f t="shared" si="161"/>
        <v/>
      </c>
      <c r="AO188" s="31" t="str">
        <f t="shared" si="133"/>
        <v>Karmela</v>
      </c>
      <c r="AP188" s="66" t="str">
        <f t="shared" si="134"/>
        <v>Crvenković</v>
      </c>
      <c r="AQ188" s="47" t="s">
        <v>0</v>
      </c>
      <c r="AR188" s="82" t="str">
        <f t="shared" si="162"/>
        <v/>
      </c>
      <c r="AS188" s="47" t="s">
        <v>0</v>
      </c>
      <c r="AT188" s="19" t="str">
        <f t="shared" si="163"/>
        <v/>
      </c>
      <c r="AU188" s="47" t="s">
        <v>0</v>
      </c>
      <c r="AV188" s="103"/>
      <c r="AW188" s="105"/>
      <c r="AX188" s="47" t="s">
        <v>0</v>
      </c>
      <c r="AY188" s="256" t="str">
        <f t="shared" si="181"/>
        <v/>
      </c>
      <c r="AZ188" s="47" t="s">
        <v>0</v>
      </c>
      <c r="BA188" s="52" t="str">
        <f t="shared" si="135"/>
        <v/>
      </c>
      <c r="BB188" s="73" t="str">
        <f>IF(AV188&amp;AW188="","",MAX(BB$12:BB187)+1)</f>
        <v/>
      </c>
      <c r="BC188" s="268" t="str">
        <f t="shared" si="136"/>
        <v/>
      </c>
      <c r="BD188" s="53" t="str">
        <f>IF(AND(AM188="NEMA",AN188="NEMA",OR(AV188&amp;AW188="",BC188="NEMA")),MAX(BD$12:BD187)+1,"")</f>
        <v/>
      </c>
      <c r="BE188" s="47" t="s">
        <v>0</v>
      </c>
      <c r="BF188" s="52" t="str">
        <f t="shared" si="137"/>
        <v>Karmela</v>
      </c>
      <c r="BG188" s="31" t="str">
        <f t="shared" si="138"/>
        <v>Crvenković</v>
      </c>
      <c r="BH188" s="73" t="str">
        <f t="shared" si="164"/>
        <v/>
      </c>
      <c r="BI188" s="53">
        <f t="shared" si="165"/>
        <v>1870</v>
      </c>
      <c r="BJ188" s="47" t="s">
        <v>0</v>
      </c>
      <c r="BK188" s="52" t="str">
        <f t="shared" si="139"/>
        <v>KAP</v>
      </c>
      <c r="BL188" s="31" t="str">
        <f t="shared" si="140"/>
        <v>OK Kapela</v>
      </c>
      <c r="BM188" s="73">
        <f t="shared" si="141"/>
        <v>5</v>
      </c>
      <c r="BN188" s="73" t="str">
        <f t="shared" si="142"/>
        <v/>
      </c>
      <c r="BO188" s="31" t="str" cm="1">
        <f t="array" ref="BO188">IF(BN188="",""&amp;BL188,IF(BN188="NEMA",BL188,INDEX(regKlub_naziv,MATCH(INDEX(regKlub_alias_klubId,BN188),regKlub_id,0))))</f>
        <v>OK Kapela</v>
      </c>
      <c r="BP188" s="31" t="str" cm="1">
        <f t="array" ref="BP188">IFERROR(""&amp;INDEX(regNatjecatelj_klub,DY188),"")</f>
        <v>OK Kapela</v>
      </c>
      <c r="BQ188" s="88" t="str">
        <f t="shared" si="166"/>
        <v/>
      </c>
      <c r="BR188" s="66" t="str">
        <f t="shared" si="167"/>
        <v>OK Kapela</v>
      </c>
      <c r="BS188" s="47" t="s">
        <v>0</v>
      </c>
      <c r="BT188" s="82" t="str">
        <f>IF(BN188&lt;&gt;"NEMA","",IF(IFERROR(MATCH(BL188,BL$12:BL187,0),0)&lt;&gt;0,"",BL188))</f>
        <v/>
      </c>
      <c r="BU188" s="47" t="s">
        <v>0</v>
      </c>
      <c r="BV188" s="125"/>
      <c r="BW188" s="47" t="s">
        <v>0</v>
      </c>
      <c r="BX188" s="58" t="str">
        <f t="shared" si="168"/>
        <v/>
      </c>
      <c r="BY188" s="31" t="str">
        <f t="shared" si="169"/>
        <v/>
      </c>
      <c r="BZ188" s="31" t="str">
        <f>IF(BY188="","",MAX(BZ$12:BZ187)+1)</f>
        <v/>
      </c>
      <c r="CA188" s="31" t="str">
        <f>IF(BY188="","",IF(AA188="","",IF(AA188="NEMA",AC188,AA188)))</f>
        <v/>
      </c>
      <c r="CB188" s="31" t="str">
        <f t="shared" si="170"/>
        <v/>
      </c>
      <c r="CC188" s="31" t="str">
        <f>IF(BV188="","",MAX(CC$12:CC187)+1)</f>
        <v/>
      </c>
      <c r="CD188" s="31" t="str">
        <f t="shared" si="171"/>
        <v/>
      </c>
      <c r="CE188" s="66" t="str">
        <f t="shared" si="172"/>
        <v/>
      </c>
      <c r="CF188" s="47" t="s">
        <v>0</v>
      </c>
      <c r="CG188" s="73" t="str">
        <f>IF(BN188="","",IF(BN188&lt;&gt;"NEMA","",IFERROR(INDEX(nat_klubAliasId,MATCH(BL188,nat_noviKluboviAliasi,0)),"")))</f>
        <v/>
      </c>
      <c r="CH188" s="47"/>
      <c r="CI188" s="19" t="str">
        <f t="shared" si="173"/>
        <v/>
      </c>
      <c r="CJ188" s="47" t="s">
        <v>0</v>
      </c>
      <c r="CK188" s="52" t="str">
        <f>IF(X188&lt;&gt;"NEMA","",IF(IFERROR(MATCH(W188,W$12:W187,0),0)&lt;&gt;0,"",W188))</f>
        <v/>
      </c>
      <c r="CL188" s="73" t="str">
        <f>IF(CK188="","",IFERROR(INDEX(regKlub_alias_id,MATCH(CK188,regKlub_alias_alias,0)),"NEMA"))</f>
        <v/>
      </c>
      <c r="CM188" s="31" t="str">
        <f>IF(OR(CL188="",CL188&lt;&gt;"NEMA"),"",MAX(CM$12:CM187)+1)</f>
        <v/>
      </c>
      <c r="CN188" s="66" t="str">
        <f>IF(OR(CL188="",CL188&lt;&gt;"NEMA"),"",INDEX(regKlub_id,MATCH(CK188,regKlub_naziv,0)))</f>
        <v/>
      </c>
      <c r="CO188" s="47" t="s">
        <v>0</v>
      </c>
      <c r="CP188" s="19" t="str">
        <f>IF(OR(CL188="",CL188&lt;&gt;"NEMA"),"","INSERT INTO klub_alias(id,alias,klub_id) VALUES ("&amp;CM188&amp;",'"&amp;CK188&amp;"',"&amp;CN188&amp;");")</f>
        <v/>
      </c>
      <c r="CQ188" s="47" t="s">
        <v>0</v>
      </c>
      <c r="CR188" s="143" t="str">
        <f>IF(BR188="","",IF(BV188="",IF(IFERROR(MATCH(BR188,nat_noviKluboviAliasi,0),0)&gt;0,INDEX(nat_kluboviAliasi,MATCH(BR188,nat_noviKluboviAliasi,0)),BR188),BV188))</f>
        <v>OK Kapela</v>
      </c>
      <c r="CS188" s="47" t="s">
        <v>0</v>
      </c>
      <c r="CT188" s="58" t="str">
        <f>IF(G188="","",G188)</f>
        <v>85:29</v>
      </c>
      <c r="CU188" s="73" t="str">
        <f>IF(H188="","",H188)</f>
        <v>0</v>
      </c>
      <c r="CV188" s="229" t="str">
        <f>IF(CT188="",IF(OR(AL188="",CU188&lt;&gt;"0"),"","GREŠKA"),IF(AND(65535&gt;=VALUE(LEFT(CT188,SEARCH(":",CT188)-1))*60+VALUE(RIGHT(CT188,2)),OR(CU188="0",CU188="1",CU188="2",CU188="3",CU188="4")),"","GREŠKA"))</f>
        <v/>
      </c>
      <c r="CW188" s="230">
        <f t="shared" si="127"/>
        <v>5129</v>
      </c>
      <c r="CX188" s="163">
        <f t="shared" si="143"/>
        <v>1</v>
      </c>
      <c r="CY188" s="47" t="s">
        <v>0</v>
      </c>
      <c r="CZ188" s="222" t="str">
        <f>IF(CV188&lt;&gt;"GREŠKA","",AK188&amp;" "&amp;AL188&amp;" – Molim u OEventu provjeriti i ispraviti rezultat – vrijeme ("&amp;IF(CT188="","nije upisano",CT188)&amp;") i classifier ("&amp;CU188&amp;").")&amp;IF(OR(CV188&lt;&gt;"GREŠKA",CX188&lt;&gt;5),"
","")&amp;IF(CX188&lt;&gt;5,"",AK188&amp;" "&amp;AL188&amp;" – Molim u provjeriti je li natjecatelj zaista diskvalificiran. Ako je koje je obrazloženje, ako nije molim u OEventu ispraviti rezultat")</f>
        <v xml:space="preserve">
</v>
      </c>
      <c r="DA188" s="223">
        <f t="shared" si="174"/>
        <v>6</v>
      </c>
      <c r="DB188" s="47" t="s">
        <v>0</v>
      </c>
      <c r="DC188" s="47"/>
      <c r="DD188" s="47"/>
      <c r="DE188" s="47"/>
      <c r="DF188" s="47" t="s">
        <v>0</v>
      </c>
      <c r="DG188" s="53" t="str">
        <f>IF(BD188="","",IF(DI188="O",1,""))</f>
        <v/>
      </c>
      <c r="DH188" t="s">
        <v>0</v>
      </c>
      <c r="DI188" s="128" t="str">
        <f>IF(Q188="","",LEFT(INDEX(regKategorija_oznaka,MATCH(S188,regKategorija_id,0)),1))</f>
        <v>O</v>
      </c>
      <c r="DJ188" t="s">
        <v>0</v>
      </c>
      <c r="DK188" s="52" t="str">
        <f>IF(BD188="","",IF(M188&lt;&gt;"CRO","","INSERT INTO osoba (id,reg_broj,oib,spol_id,dat_rodjenja) VALUES ("&amp;BD188&amp;",(SELECT max(os.reg_broj)+1 FROM osoba AS os),Null,'"&amp;DI188&amp;"',Null); INSERT INTO osoba_log (id,reg_broj,oib,spol_id,dat_rodjenja,dnevnik_id) SELECT id,reg_broj,oib,spol_id,dat_rodjenja,"&amp;data_dnevnik_id&amp;" FROM osoba WHERE id = "&amp;BD188&amp;";"))</f>
        <v/>
      </c>
      <c r="DL188" s="66" t="str">
        <f>IF(BD188="","","INSERT INTO imeprezime (id,osoba_id,rbr,ime,prezime,klub_id,identitet_id,sintaksa_id,info,aktivno,dnevnik_id) VALUES ("&amp;BD188&amp;","&amp;IF(DK188="","Null",BD188)&amp;",1,'"&amp;IF(AV188&lt;&gt;"",AV188,AK188)&amp;"','"&amp;IF(AW188&lt;&gt;"",AW188,AL188)&amp;"',(SELECT id FROM klub WHERE naziv = '"&amp;CR188&amp;"'),Null,1,'',1,"&amp;data_dnevnik_id&amp;");")</f>
        <v/>
      </c>
      <c r="DM188" t="s">
        <v>0</v>
      </c>
      <c r="DN188" s="19" t="str">
        <f t="shared" si="182"/>
        <v/>
      </c>
      <c r="DO188" s="47" t="s">
        <v>0</v>
      </c>
      <c r="DP188" s="19" t="str">
        <f>IF(BA188="","","INSERT INTO imeprezime_alias(id,alias,imeprezime_id) VALUES ("&amp;BB188&amp;",'"&amp;BA188&amp;"',"&amp;IF(BC188="NEMA",BD188,BC188)&amp;");")</f>
        <v/>
      </c>
      <c r="DQ188" s="47" t="s">
        <v>0</v>
      </c>
      <c r="DR188" s="52" t="str">
        <f>IF(AL188="","",DU188 &amp; IF(Q188="",""," – " &amp; Q188))</f>
        <v>Karmela – Crvenković – OK Kapela – OPEN</v>
      </c>
      <c r="DS188" s="53" t="str">
        <f t="shared" si="144"/>
        <v>NEMA</v>
      </c>
      <c r="DT188" s="47" t="s">
        <v>0</v>
      </c>
      <c r="DU188" s="52" t="str">
        <f>IF(AL188="","",DX188 &amp; IF(CR188="",""," – " &amp; CR188))</f>
        <v>Karmela – Crvenković – OK Kapela</v>
      </c>
      <c r="DV188" s="53">
        <f t="shared" si="145"/>
        <v>221</v>
      </c>
      <c r="DW188" s="47" t="s">
        <v>0</v>
      </c>
      <c r="DX188" s="52" t="str">
        <f>IF(BG188="","",BF188&amp;" – "&amp;BG188)</f>
        <v>Karmela – Crvenković</v>
      </c>
      <c r="DY188" s="53">
        <f t="shared" si="146"/>
        <v>221</v>
      </c>
      <c r="DZ188" s="47" t="s">
        <v>0</v>
      </c>
      <c r="EA188" s="58">
        <f t="shared" si="175"/>
        <v>221</v>
      </c>
      <c r="EB188" s="53" cm="1">
        <f t="array" ref="EB188">IF(EA188&lt;&gt;"",INDEX(regNatjecatelj_id,EA188,0),IF(BD188&lt;&gt;"",BD188,""))</f>
        <v>1870</v>
      </c>
      <c r="EC188" s="47" t="s">
        <v>0</v>
      </c>
      <c r="ED188" s="58" t="str">
        <f>IF(AL188="","",IF(BD188&lt;&gt;"","novo",IF(AN188="","imepre","imepre(ali)")))</f>
        <v>imepre</v>
      </c>
      <c r="EE188" s="73" t="str">
        <f>IF(AL188="","",IF(BL188="",IF(IFERROR(INDEX(regNatjecatelj_klub,MATCH(EB188,regNatjecatelj_id,0)),"NEMA")="","klu",""),IF(OR(AND(BN188&lt;&gt;"",BN188&lt;&gt;"NEMA"),CD188&lt;&gt;""),"klu(ali)",IF(AND(BP188&lt;&gt;"",BP188&lt;&gt;BO188),"(raz-klu)","klu"))))</f>
        <v>klu</v>
      </c>
      <c r="EF188" s="73" t="str">
        <f>IF(AL188="","","kat"&amp;IF(AND(W188&lt;&gt;Q188,Q188&lt;&gt;"Open"),"(ali)",""))</f>
        <v>kat</v>
      </c>
      <c r="EG188" s="73" t="str">
        <f t="shared" si="147"/>
        <v/>
      </c>
      <c r="EH188" s="66" t="str">
        <f>IF(AL188="","",ED188&amp;IF(ED188="novo","","-"&amp;EE188&amp;"-"&amp;EF188)&amp;IF(EG188="","","-"&amp;EG188))</f>
        <v>imepre-klu-kat</v>
      </c>
      <c r="EI188" s="47" t="s">
        <v>0</v>
      </c>
      <c r="EJ188" s="58">
        <f>IF(AL188="","",MAX(EJ$12:EJ187)+1)</f>
        <v>348</v>
      </c>
      <c r="EK188" s="73">
        <f>IF(AO188="","",X188)</f>
        <v>34</v>
      </c>
      <c r="EL188" s="73">
        <f t="shared" si="176"/>
        <v>1870</v>
      </c>
      <c r="EM188" s="73">
        <f t="shared" si="148"/>
        <v>5129</v>
      </c>
      <c r="EN188" s="73">
        <f t="shared" si="149"/>
        <v>1</v>
      </c>
      <c r="EO188" s="73">
        <f t="shared" si="177"/>
        <v>0</v>
      </c>
      <c r="EP188" s="73">
        <f t="shared" si="178"/>
        <v>1</v>
      </c>
      <c r="EQ188" s="73" t="str">
        <f t="shared" si="150"/>
        <v>0</v>
      </c>
      <c r="ER188" s="73" t="str">
        <f>IF(OR(AN188="",AN188="NEMA"),BB188,AN188)</f>
        <v/>
      </c>
      <c r="ES188" s="73" t="str">
        <f>IF(AND(BN188&lt;&gt;"",BN188&lt;&gt;"NEMA"),BN188,IF(CG188&lt;&gt;"",CG188,IF(AND(CL188&lt;&gt;"",CL188&lt;&gt;"NEMA"),CL188,IF(CM188&lt;&gt;"",CM188,""))))</f>
        <v/>
      </c>
      <c r="ET188" s="53" t="str">
        <f>IF(INDEX(natKategorija_alias_Id,MATCH(S188,natKategorija_katRegId,0))="","",INDEX(natKategorija_alias_Id,MATCH(S188,natKategorija_katRegId,0)))</f>
        <v/>
      </c>
      <c r="EU188" s="47" t="s">
        <v>0</v>
      </c>
      <c r="EV188" s="19" t="str">
        <f t="shared" si="179"/>
        <v>INSERT INTO rezultat(id,stazakategorija_id,imeprezime_id,vrijeme_sec,status_id,registracija,uparivanje_id,originalstatus_id,imeprezimealias_id,klubalias_id,kategorijaalias_id) VALUES (348,34,1870,5129,1,0,1,0,Null,Null,Null);</v>
      </c>
      <c r="EW188" s="47" t="s">
        <v>0</v>
      </c>
      <c r="EX188" s="19" t="str">
        <f t="shared" si="180"/>
        <v/>
      </c>
      <c r="EY188" s="47" t="s">
        <v>0</v>
      </c>
      <c r="EZ188" s="180" t="str">
        <f>AG188&amp;IF(CP188="","","
")&amp;CP188&amp;IF(CI188="","","
")&amp;CI188&amp;IF(DN188="","","
")&amp;DN188&amp;IF(DP188="","","
")&amp;DP188&amp;IF(EV188="","","
")&amp;EV188&amp;IF(EX188="","","
")&amp;EX188</f>
        <v xml:space="preserve">
INSERT INTO rezultat(id,stazakategorija_id,imeprezime_id,vrijeme_sec,status_id,registracija,uparivanje_id,originalstatus_id,imeprezimealias_id,klubalias_id,kategorijaalias_id) VALUES (348,34,1870,5129,1,0,1,0,Null,Null,Null);</v>
      </c>
      <c r="FA188" s="47" t="s">
        <v>0</v>
      </c>
    </row>
    <row r="189" spans="1:157" x14ac:dyDescent="0.25">
      <c r="A189" t="s">
        <v>0</v>
      </c>
      <c r="B189" s="52" t="str">
        <f>IF(csv!F179="","",csv!T179)</f>
        <v>OPEN</v>
      </c>
      <c r="C189" s="31" t="s">
        <v>0</v>
      </c>
      <c r="D189" s="31" t="str">
        <f>IF(csv!F179="","",csv!F179)</f>
        <v>Iva</v>
      </c>
      <c r="E189" s="31" t="str">
        <f>IF(csv!E179="","",csv!E179)</f>
        <v>Pintur</v>
      </c>
      <c r="F189" s="31" t="s">
        <v>0</v>
      </c>
      <c r="G189" s="73" t="str">
        <f>IF(csv!M179="","",csv!M179)</f>
        <v>87:15</v>
      </c>
      <c r="H189" s="73" t="str">
        <f>IF(csv!N179="","",csv!N179)</f>
        <v>0</v>
      </c>
      <c r="I189" s="31" t="s">
        <v>0</v>
      </c>
      <c r="J189" s="31" t="str">
        <f>IF(csv!P179="","",csv!P179)</f>
        <v>KAP</v>
      </c>
      <c r="K189" s="31" t="str">
        <f>IF(csv!Q179="","",csv!Q179)</f>
        <v>OK Kapela</v>
      </c>
      <c r="L189" s="31" t="s">
        <v>0</v>
      </c>
      <c r="M189" s="66" t="str">
        <f>IF(csv!R179="","",csv!R179)</f>
        <v>CRO</v>
      </c>
      <c r="N189" s="47" t="s">
        <v>0</v>
      </c>
      <c r="O189" s="243" t="str">
        <f t="shared" si="151"/>
        <v>ok</v>
      </c>
      <c r="P189" s="47"/>
      <c r="Q189" s="52" t="str">
        <f t="shared" si="152"/>
        <v>OPEN</v>
      </c>
      <c r="R189" s="73">
        <f>IF(Q189="","",IF(COUNTIF(Q$12:Q188,Q189)=0,R188+1,R188))</f>
        <v>12</v>
      </c>
      <c r="S189" s="73">
        <f t="shared" si="153"/>
        <v>291</v>
      </c>
      <c r="T189" s="73">
        <f t="shared" si="128"/>
        <v>29</v>
      </c>
      <c r="U189" s="66" t="str">
        <f t="shared" si="129"/>
        <v>Otvorena</v>
      </c>
      <c r="V189" s="47" t="s">
        <v>0</v>
      </c>
      <c r="W189" s="222" t="str">
        <f t="shared" si="130"/>
        <v>Otvorena</v>
      </c>
      <c r="X189" s="223">
        <f t="shared" si="131"/>
        <v>34</v>
      </c>
      <c r="Y189" s="47" t="s">
        <v>0</v>
      </c>
      <c r="Z189" s="52" t="str">
        <f t="shared" si="154"/>
        <v>CRO</v>
      </c>
      <c r="AA189" s="73">
        <f t="shared" si="132"/>
        <v>1</v>
      </c>
      <c r="AB189" s="31" t="str">
        <f t="shared" si="155"/>
        <v/>
      </c>
      <c r="AC189" s="66" t="str">
        <f>IF(AB189="","",MAX(AC$12:AC188)+1)</f>
        <v/>
      </c>
      <c r="AD189" s="47" t="s">
        <v>0</v>
      </c>
      <c r="AE189" s="125"/>
      <c r="AF189" s="47" t="s">
        <v>0</v>
      </c>
      <c r="AG189" s="19" t="str">
        <f t="shared" si="156"/>
        <v/>
      </c>
      <c r="AH189" s="47" t="s">
        <v>0</v>
      </c>
      <c r="AI189" s="143" t="str">
        <f t="shared" si="157"/>
        <v>CRO</v>
      </c>
      <c r="AJ189" s="47"/>
      <c r="AK189" s="52" t="str">
        <f t="shared" si="158"/>
        <v>Iva</v>
      </c>
      <c r="AL189" s="31" t="str">
        <f t="shared" si="159"/>
        <v>Pintur</v>
      </c>
      <c r="AM189" s="73">
        <f t="shared" si="160"/>
        <v>1962</v>
      </c>
      <c r="AN189" s="73" t="str">
        <f t="shared" si="161"/>
        <v/>
      </c>
      <c r="AO189" s="31" t="str">
        <f t="shared" si="133"/>
        <v>Iva</v>
      </c>
      <c r="AP189" s="66" t="str">
        <f t="shared" si="134"/>
        <v>Pintur</v>
      </c>
      <c r="AQ189" s="47" t="s">
        <v>0</v>
      </c>
      <c r="AR189" s="82" t="str">
        <f t="shared" si="162"/>
        <v/>
      </c>
      <c r="AS189" s="47" t="s">
        <v>0</v>
      </c>
      <c r="AT189" s="19" t="str">
        <f t="shared" si="163"/>
        <v/>
      </c>
      <c r="AU189" s="47" t="s">
        <v>0</v>
      </c>
      <c r="AV189" s="103"/>
      <c r="AW189" s="105"/>
      <c r="AX189" s="47" t="s">
        <v>0</v>
      </c>
      <c r="AY189" s="256" t="str">
        <f t="shared" si="181"/>
        <v/>
      </c>
      <c r="AZ189" s="47" t="s">
        <v>0</v>
      </c>
      <c r="BA189" s="52" t="str">
        <f t="shared" si="135"/>
        <v/>
      </c>
      <c r="BB189" s="73" t="str">
        <f>IF(AV189&amp;AW189="","",MAX(BB$12:BB188)+1)</f>
        <v/>
      </c>
      <c r="BC189" s="268" t="str">
        <f t="shared" si="136"/>
        <v/>
      </c>
      <c r="BD189" s="53" t="str">
        <f>IF(AND(AM189="NEMA",AN189="NEMA",OR(AV189&amp;AW189="",BC189="NEMA")),MAX(BD$12:BD188)+1,"")</f>
        <v/>
      </c>
      <c r="BE189" s="47" t="s">
        <v>0</v>
      </c>
      <c r="BF189" s="52" t="str">
        <f t="shared" si="137"/>
        <v>Iva</v>
      </c>
      <c r="BG189" s="31" t="str">
        <f t="shared" si="138"/>
        <v>Pintur</v>
      </c>
      <c r="BH189" s="73" t="str">
        <f t="shared" si="164"/>
        <v/>
      </c>
      <c r="BI189" s="53">
        <f t="shared" si="165"/>
        <v>1962</v>
      </c>
      <c r="BJ189" s="47" t="s">
        <v>0</v>
      </c>
      <c r="BK189" s="52" t="str">
        <f t="shared" si="139"/>
        <v>KAP</v>
      </c>
      <c r="BL189" s="31" t="str">
        <f t="shared" si="140"/>
        <v>OK Kapela</v>
      </c>
      <c r="BM189" s="73">
        <f t="shared" si="141"/>
        <v>5</v>
      </c>
      <c r="BN189" s="73" t="str">
        <f t="shared" si="142"/>
        <v/>
      </c>
      <c r="BO189" s="31" t="str" cm="1">
        <f t="array" ref="BO189">IF(BN189="",""&amp;BL189,IF(BN189="NEMA",BL189,INDEX(regKlub_naziv,MATCH(INDEX(regKlub_alias_klubId,BN189),regKlub_id,0))))</f>
        <v>OK Kapela</v>
      </c>
      <c r="BP189" s="31" t="str" cm="1">
        <f t="array" ref="BP189">IFERROR(""&amp;INDEX(regNatjecatelj_klub,DY189),"")</f>
        <v>OK Kapela</v>
      </c>
      <c r="BQ189" s="88" t="str">
        <f t="shared" si="166"/>
        <v/>
      </c>
      <c r="BR189" s="66" t="str">
        <f t="shared" si="167"/>
        <v>OK Kapela</v>
      </c>
      <c r="BS189" s="47" t="s">
        <v>0</v>
      </c>
      <c r="BT189" s="82" t="str">
        <f>IF(BN189&lt;&gt;"NEMA","",IF(IFERROR(MATCH(BL189,BL$12:BL188,0),0)&lt;&gt;0,"",BL189))</f>
        <v/>
      </c>
      <c r="BU189" s="47" t="s">
        <v>0</v>
      </c>
      <c r="BV189" s="125"/>
      <c r="BW189" s="47" t="s">
        <v>0</v>
      </c>
      <c r="BX189" s="58" t="str">
        <f t="shared" si="168"/>
        <v/>
      </c>
      <c r="BY189" s="31" t="str">
        <f t="shared" si="169"/>
        <v/>
      </c>
      <c r="BZ189" s="31" t="str">
        <f>IF(BY189="","",MAX(BZ$12:BZ188)+1)</f>
        <v/>
      </c>
      <c r="CA189" s="31" t="str">
        <f>IF(BY189="","",IF(AA189="","",IF(AA189="NEMA",AC189,AA189)))</f>
        <v/>
      </c>
      <c r="CB189" s="31" t="str">
        <f t="shared" si="170"/>
        <v/>
      </c>
      <c r="CC189" s="31" t="str">
        <f>IF(BV189="","",MAX(CC$12:CC188)+1)</f>
        <v/>
      </c>
      <c r="CD189" s="31" t="str">
        <f t="shared" si="171"/>
        <v/>
      </c>
      <c r="CE189" s="66" t="str">
        <f t="shared" si="172"/>
        <v/>
      </c>
      <c r="CF189" s="47" t="s">
        <v>0</v>
      </c>
      <c r="CG189" s="73" t="str">
        <f>IF(BN189="","",IF(BN189&lt;&gt;"NEMA","",IFERROR(INDEX(nat_klubAliasId,MATCH(BL189,nat_noviKluboviAliasi,0)),"")))</f>
        <v/>
      </c>
      <c r="CH189" s="47"/>
      <c r="CI189" s="19" t="str">
        <f t="shared" si="173"/>
        <v/>
      </c>
      <c r="CJ189" s="47" t="s">
        <v>0</v>
      </c>
      <c r="CK189" s="52" t="str">
        <f>IF(X189&lt;&gt;"NEMA","",IF(IFERROR(MATCH(W189,W$12:W188,0),0)&lt;&gt;0,"",W189))</f>
        <v/>
      </c>
      <c r="CL189" s="73" t="str">
        <f>IF(CK189="","",IFERROR(INDEX(regKlub_alias_id,MATCH(CK189,regKlub_alias_alias,0)),"NEMA"))</f>
        <v/>
      </c>
      <c r="CM189" s="31" t="str">
        <f>IF(OR(CL189="",CL189&lt;&gt;"NEMA"),"",MAX(CM$12:CM188)+1)</f>
        <v/>
      </c>
      <c r="CN189" s="66" t="str">
        <f>IF(OR(CL189="",CL189&lt;&gt;"NEMA"),"",INDEX(regKlub_id,MATCH(CK189,regKlub_naziv,0)))</f>
        <v/>
      </c>
      <c r="CO189" s="47" t="s">
        <v>0</v>
      </c>
      <c r="CP189" s="19" t="str">
        <f>IF(OR(CL189="",CL189&lt;&gt;"NEMA"),"","INSERT INTO klub_alias(id,alias,klub_id) VALUES ("&amp;CM189&amp;",'"&amp;CK189&amp;"',"&amp;CN189&amp;");")</f>
        <v/>
      </c>
      <c r="CQ189" s="47" t="s">
        <v>0</v>
      </c>
      <c r="CR189" s="143" t="str">
        <f>IF(BR189="","",IF(BV189="",IF(IFERROR(MATCH(BR189,nat_noviKluboviAliasi,0),0)&gt;0,INDEX(nat_kluboviAliasi,MATCH(BR189,nat_noviKluboviAliasi,0)),BR189),BV189))</f>
        <v>OK Kapela</v>
      </c>
      <c r="CS189" s="47" t="s">
        <v>0</v>
      </c>
      <c r="CT189" s="58" t="str">
        <f>IF(G189="","",G189)</f>
        <v>87:15</v>
      </c>
      <c r="CU189" s="73" t="str">
        <f>IF(H189="","",H189)</f>
        <v>0</v>
      </c>
      <c r="CV189" s="229" t="str">
        <f>IF(CT189="",IF(OR(AL189="",CU189&lt;&gt;"0"),"","GREŠKA"),IF(AND(65535&gt;=VALUE(LEFT(CT189,SEARCH(":",CT189)-1))*60+VALUE(RIGHT(CT189,2)),OR(CU189="0",CU189="1",CU189="2",CU189="3",CU189="4")),"","GREŠKA"))</f>
        <v/>
      </c>
      <c r="CW189" s="230">
        <f t="shared" ref="CW189:CW252" si="183">IF(CT189="","",VALUE(LEFT(CT189,SEARCH(":",CT189)-1))*60+VALUE(RIGHT(CT189,2)))</f>
        <v>5235</v>
      </c>
      <c r="CX189" s="163">
        <f t="shared" si="143"/>
        <v>1</v>
      </c>
      <c r="CY189" s="47" t="s">
        <v>0</v>
      </c>
      <c r="CZ189" s="222" t="str">
        <f>IF(CV189&lt;&gt;"GREŠKA","",AK189&amp;" "&amp;AL189&amp;" – Molim u OEventu provjeriti i ispraviti rezultat – vrijeme ("&amp;IF(CT189="","nije upisano",CT189)&amp;") i classifier ("&amp;CU189&amp;").")&amp;IF(OR(CV189&lt;&gt;"GREŠKA",CX189&lt;&gt;5),"
","")&amp;IF(CX189&lt;&gt;5,"",AK189&amp;" "&amp;AL189&amp;" – Molim u provjeriti je li natjecatelj zaista diskvalificiran. Ako je koje je obrazloženje, ako nije molim u OEventu ispraviti rezultat")</f>
        <v xml:space="preserve">
</v>
      </c>
      <c r="DA189" s="223">
        <f t="shared" si="174"/>
        <v>6</v>
      </c>
      <c r="DB189" s="47" t="s">
        <v>0</v>
      </c>
      <c r="DC189" s="47"/>
      <c r="DD189" s="47"/>
      <c r="DE189" s="47"/>
      <c r="DF189" s="47" t="s">
        <v>0</v>
      </c>
      <c r="DG189" s="53" t="str">
        <f>IF(BD189="","",IF(DI189="O",1,""))</f>
        <v/>
      </c>
      <c r="DH189" t="s">
        <v>0</v>
      </c>
      <c r="DI189" s="128" t="str">
        <f>IF(Q189="","",LEFT(INDEX(regKategorija_oznaka,MATCH(S189,regKategorija_id,0)),1))</f>
        <v>O</v>
      </c>
      <c r="DJ189" t="s">
        <v>0</v>
      </c>
      <c r="DK189" s="52" t="str">
        <f>IF(BD189="","",IF(M189&lt;&gt;"CRO","","INSERT INTO osoba (id,reg_broj,oib,spol_id,dat_rodjenja) VALUES ("&amp;BD189&amp;",(SELECT max(os.reg_broj)+1 FROM osoba AS os),Null,'"&amp;DI189&amp;"',Null); INSERT INTO osoba_log (id,reg_broj,oib,spol_id,dat_rodjenja,dnevnik_id) SELECT id,reg_broj,oib,spol_id,dat_rodjenja,"&amp;data_dnevnik_id&amp;" FROM osoba WHERE id = "&amp;BD189&amp;";"))</f>
        <v/>
      </c>
      <c r="DL189" s="66" t="str">
        <f>IF(BD189="","","INSERT INTO imeprezime (id,osoba_id,rbr,ime,prezime,klub_id,identitet_id,sintaksa_id,info,aktivno,dnevnik_id) VALUES ("&amp;BD189&amp;","&amp;IF(DK189="","Null",BD189)&amp;",1,'"&amp;IF(AV189&lt;&gt;"",AV189,AK189)&amp;"','"&amp;IF(AW189&lt;&gt;"",AW189,AL189)&amp;"',(SELECT id FROM klub WHERE naziv = '"&amp;CR189&amp;"'),Null,1,'',1,"&amp;data_dnevnik_id&amp;");")</f>
        <v/>
      </c>
      <c r="DM189" t="s">
        <v>0</v>
      </c>
      <c r="DN189" s="19" t="str">
        <f t="shared" si="182"/>
        <v/>
      </c>
      <c r="DO189" s="47" t="s">
        <v>0</v>
      </c>
      <c r="DP189" s="19" t="str">
        <f>IF(BA189="","","INSERT INTO imeprezime_alias(id,alias,imeprezime_id) VALUES ("&amp;BB189&amp;",'"&amp;BA189&amp;"',"&amp;IF(BC189="NEMA",BD189,BC189)&amp;");")</f>
        <v/>
      </c>
      <c r="DQ189" s="47" t="s">
        <v>0</v>
      </c>
      <c r="DR189" s="52" t="str">
        <f>IF(AL189="","",DU189 &amp; IF(Q189="",""," – " &amp; Q189))</f>
        <v>Iva – Pintur – OK Kapela – OPEN</v>
      </c>
      <c r="DS189" s="53" t="str">
        <f t="shared" si="144"/>
        <v>NEMA</v>
      </c>
      <c r="DT189" s="47" t="s">
        <v>0</v>
      </c>
      <c r="DU189" s="52" t="str">
        <f>IF(AL189="","",DX189 &amp; IF(CR189="",""," – " &amp; CR189))</f>
        <v>Iva – Pintur – OK Kapela</v>
      </c>
      <c r="DV189" s="53">
        <f t="shared" si="145"/>
        <v>295</v>
      </c>
      <c r="DW189" s="47" t="s">
        <v>0</v>
      </c>
      <c r="DX189" s="52" t="str">
        <f>IF(BG189="","",BF189&amp;" – "&amp;BG189)</f>
        <v>Iva – Pintur</v>
      </c>
      <c r="DY189" s="53">
        <f t="shared" si="146"/>
        <v>295</v>
      </c>
      <c r="DZ189" s="47" t="s">
        <v>0</v>
      </c>
      <c r="EA189" s="58">
        <f t="shared" si="175"/>
        <v>295</v>
      </c>
      <c r="EB189" s="53" cm="1">
        <f t="array" ref="EB189">IF(EA189&lt;&gt;"",INDEX(regNatjecatelj_id,EA189,0),IF(BD189&lt;&gt;"",BD189,""))</f>
        <v>1962</v>
      </c>
      <c r="EC189" s="47" t="s">
        <v>0</v>
      </c>
      <c r="ED189" s="58" t="str">
        <f>IF(AL189="","",IF(BD189&lt;&gt;"","novo",IF(AN189="","imepre","imepre(ali)")))</f>
        <v>imepre</v>
      </c>
      <c r="EE189" s="73" t="str">
        <f>IF(AL189="","",IF(BL189="",IF(IFERROR(INDEX(regNatjecatelj_klub,MATCH(EB189,regNatjecatelj_id,0)),"NEMA")="","klu",""),IF(OR(AND(BN189&lt;&gt;"",BN189&lt;&gt;"NEMA"),CD189&lt;&gt;""),"klu(ali)",IF(AND(BP189&lt;&gt;"",BP189&lt;&gt;BO189),"(raz-klu)","klu"))))</f>
        <v>klu</v>
      </c>
      <c r="EF189" s="73" t="str">
        <f>IF(AL189="","","kat"&amp;IF(AND(W189&lt;&gt;Q189,Q189&lt;&gt;"Open"),"(ali)",""))</f>
        <v>kat</v>
      </c>
      <c r="EG189" s="73" t="str">
        <f t="shared" si="147"/>
        <v/>
      </c>
      <c r="EH189" s="66" t="str">
        <f>IF(AL189="","",ED189&amp;IF(ED189="novo","","-"&amp;EE189&amp;"-"&amp;EF189)&amp;IF(EG189="","","-"&amp;EG189))</f>
        <v>imepre-klu-kat</v>
      </c>
      <c r="EI189" s="47" t="s">
        <v>0</v>
      </c>
      <c r="EJ189" s="58">
        <f>IF(AL189="","",MAX(EJ$12:EJ188)+1)</f>
        <v>349</v>
      </c>
      <c r="EK189" s="73">
        <f>IF(AO189="","",X189)</f>
        <v>34</v>
      </c>
      <c r="EL189" s="73">
        <f t="shared" si="176"/>
        <v>1962</v>
      </c>
      <c r="EM189" s="73">
        <f t="shared" si="148"/>
        <v>5235</v>
      </c>
      <c r="EN189" s="73">
        <f t="shared" si="149"/>
        <v>1</v>
      </c>
      <c r="EO189" s="73">
        <f t="shared" si="177"/>
        <v>0</v>
      </c>
      <c r="EP189" s="73">
        <f t="shared" si="178"/>
        <v>1</v>
      </c>
      <c r="EQ189" s="73" t="str">
        <f t="shared" si="150"/>
        <v>0</v>
      </c>
      <c r="ER189" s="73" t="str">
        <f>IF(OR(AN189="",AN189="NEMA"),BB189,AN189)</f>
        <v/>
      </c>
      <c r="ES189" s="73" t="str">
        <f>IF(AND(BN189&lt;&gt;"",BN189&lt;&gt;"NEMA"),BN189,IF(CG189&lt;&gt;"",CG189,IF(AND(CL189&lt;&gt;"",CL189&lt;&gt;"NEMA"),CL189,IF(CM189&lt;&gt;"",CM189,""))))</f>
        <v/>
      </c>
      <c r="ET189" s="53" t="str">
        <f>IF(INDEX(natKategorija_alias_Id,MATCH(S189,natKategorija_katRegId,0))="","",INDEX(natKategorija_alias_Id,MATCH(S189,natKategorija_katRegId,0)))</f>
        <v/>
      </c>
      <c r="EU189" s="47" t="s">
        <v>0</v>
      </c>
      <c r="EV189" s="19" t="str">
        <f t="shared" si="179"/>
        <v>INSERT INTO rezultat(id,stazakategorija_id,imeprezime_id,vrijeme_sec,status_id,registracija,uparivanje_id,originalstatus_id,imeprezimealias_id,klubalias_id,kategorijaalias_id) VALUES (349,34,1962,5235,1,0,1,0,Null,Null,Null);</v>
      </c>
      <c r="EW189" s="47" t="s">
        <v>0</v>
      </c>
      <c r="EX189" s="19" t="str">
        <f t="shared" si="180"/>
        <v/>
      </c>
      <c r="EY189" s="47" t="s">
        <v>0</v>
      </c>
      <c r="EZ189" s="180" t="str">
        <f>AG189&amp;IF(CP189="","","
")&amp;CP189&amp;IF(CI189="","","
")&amp;CI189&amp;IF(DN189="","","
")&amp;DN189&amp;IF(DP189="","","
")&amp;DP189&amp;IF(EV189="","","
")&amp;EV189&amp;IF(EX189="","","
")&amp;EX189</f>
        <v xml:space="preserve">
INSERT INTO rezultat(id,stazakategorija_id,imeprezime_id,vrijeme_sec,status_id,registracija,uparivanje_id,originalstatus_id,imeprezimealias_id,klubalias_id,kategorijaalias_id) VALUES (349,34,1962,5235,1,0,1,0,Null,Null,Null);</v>
      </c>
      <c r="FA189" s="47" t="s">
        <v>0</v>
      </c>
    </row>
    <row r="190" spans="1:157" x14ac:dyDescent="0.25">
      <c r="A190" t="s">
        <v>0</v>
      </c>
      <c r="B190" s="52" t="str">
        <f>IF(csv!F180="","",csv!T180)</f>
        <v>OPEN</v>
      </c>
      <c r="C190" s="31" t="s">
        <v>0</v>
      </c>
      <c r="D190" s="31" t="str">
        <f>IF(csv!F180="","",csv!F180)</f>
        <v>Oliver</v>
      </c>
      <c r="E190" s="31" t="str">
        <f>IF(csv!E180="","",csv!E180)</f>
        <v>Skočić</v>
      </c>
      <c r="F190" s="31" t="s">
        <v>0</v>
      </c>
      <c r="G190" s="73" t="str">
        <f>IF(csv!M180="","",csv!M180)</f>
        <v>92:36</v>
      </c>
      <c r="H190" s="73" t="str">
        <f>IF(csv!N180="","",csv!N180)</f>
        <v>0</v>
      </c>
      <c r="I190" s="31" t="s">
        <v>0</v>
      </c>
      <c r="J190" s="31" t="str">
        <f>IF(csv!P180="","",csv!P180)</f>
        <v>Vihor</v>
      </c>
      <c r="K190" s="31" t="str">
        <f>IF(csv!Q180="","",csv!Q180)</f>
        <v>OK Vihor</v>
      </c>
      <c r="L190" s="31" t="s">
        <v>0</v>
      </c>
      <c r="M190" s="66" t="str">
        <f>IF(csv!R180="","",csv!R180)</f>
        <v>CRO</v>
      </c>
      <c r="N190" s="47" t="s">
        <v>0</v>
      </c>
      <c r="O190" s="243" t="str">
        <f t="shared" si="151"/>
        <v>ok</v>
      </c>
      <c r="P190" s="47"/>
      <c r="Q190" s="52" t="str">
        <f t="shared" si="152"/>
        <v>OPEN</v>
      </c>
      <c r="R190" s="73">
        <f>IF(Q190="","",IF(COUNTIF(Q$12:Q189,Q190)=0,R189+1,R189))</f>
        <v>12</v>
      </c>
      <c r="S190" s="73">
        <f t="shared" si="153"/>
        <v>291</v>
      </c>
      <c r="T190" s="73">
        <f t="shared" si="128"/>
        <v>29</v>
      </c>
      <c r="U190" s="66" t="str">
        <f t="shared" si="129"/>
        <v>Otvorena</v>
      </c>
      <c r="V190" s="47" t="s">
        <v>0</v>
      </c>
      <c r="W190" s="222" t="str">
        <f t="shared" si="130"/>
        <v>Otvorena</v>
      </c>
      <c r="X190" s="223">
        <f t="shared" si="131"/>
        <v>34</v>
      </c>
      <c r="Y190" s="47" t="s">
        <v>0</v>
      </c>
      <c r="Z190" s="52" t="str">
        <f t="shared" si="154"/>
        <v>CRO</v>
      </c>
      <c r="AA190" s="73">
        <f t="shared" si="132"/>
        <v>1</v>
      </c>
      <c r="AB190" s="31" t="str">
        <f t="shared" si="155"/>
        <v/>
      </c>
      <c r="AC190" s="66" t="str">
        <f>IF(AB190="","",MAX(AC$12:AC189)+1)</f>
        <v/>
      </c>
      <c r="AD190" s="47" t="s">
        <v>0</v>
      </c>
      <c r="AE190" s="125"/>
      <c r="AF190" s="47" t="s">
        <v>0</v>
      </c>
      <c r="AG190" s="19" t="str">
        <f t="shared" si="156"/>
        <v/>
      </c>
      <c r="AH190" s="47" t="s">
        <v>0</v>
      </c>
      <c r="AI190" s="143" t="str">
        <f t="shared" si="157"/>
        <v>CRO</v>
      </c>
      <c r="AJ190" s="47"/>
      <c r="AK190" s="52" t="str">
        <f t="shared" si="158"/>
        <v>Oliver</v>
      </c>
      <c r="AL190" s="31" t="str">
        <f t="shared" si="159"/>
        <v>Skočić</v>
      </c>
      <c r="AM190" s="73">
        <f t="shared" si="160"/>
        <v>1028</v>
      </c>
      <c r="AN190" s="73" t="str">
        <f t="shared" si="161"/>
        <v/>
      </c>
      <c r="AO190" s="31" t="str">
        <f t="shared" si="133"/>
        <v>Oliver</v>
      </c>
      <c r="AP190" s="66" t="str">
        <f t="shared" si="134"/>
        <v>Skočić</v>
      </c>
      <c r="AQ190" s="47" t="s">
        <v>0</v>
      </c>
      <c r="AR190" s="82" t="str">
        <f t="shared" si="162"/>
        <v/>
      </c>
      <c r="AS190" s="47" t="s">
        <v>0</v>
      </c>
      <c r="AT190" s="19" t="str">
        <f t="shared" si="163"/>
        <v/>
      </c>
      <c r="AU190" s="47" t="s">
        <v>0</v>
      </c>
      <c r="AV190" s="103"/>
      <c r="AW190" s="105"/>
      <c r="AX190" s="47" t="s">
        <v>0</v>
      </c>
      <c r="AY190" s="256" t="str">
        <f t="shared" si="181"/>
        <v/>
      </c>
      <c r="AZ190" s="47" t="s">
        <v>0</v>
      </c>
      <c r="BA190" s="52" t="str">
        <f t="shared" si="135"/>
        <v/>
      </c>
      <c r="BB190" s="73" t="str">
        <f>IF(AV190&amp;AW190="","",MAX(BB$12:BB189)+1)</f>
        <v/>
      </c>
      <c r="BC190" s="268" t="str">
        <f t="shared" si="136"/>
        <v/>
      </c>
      <c r="BD190" s="53" t="str">
        <f>IF(AND(AM190="NEMA",AN190="NEMA",OR(AV190&amp;AW190="",BC190="NEMA")),MAX(BD$12:BD189)+1,"")</f>
        <v/>
      </c>
      <c r="BE190" s="47" t="s">
        <v>0</v>
      </c>
      <c r="BF190" s="52" t="str">
        <f t="shared" si="137"/>
        <v>Oliver</v>
      </c>
      <c r="BG190" s="31" t="str">
        <f t="shared" si="138"/>
        <v>Skočić</v>
      </c>
      <c r="BH190" s="73" t="str">
        <f t="shared" si="164"/>
        <v/>
      </c>
      <c r="BI190" s="53">
        <f t="shared" si="165"/>
        <v>1028</v>
      </c>
      <c r="BJ190" s="47" t="s">
        <v>0</v>
      </c>
      <c r="BK190" s="52" t="str">
        <f t="shared" si="139"/>
        <v>Vihor</v>
      </c>
      <c r="BL190" s="31" t="str">
        <f t="shared" si="140"/>
        <v>OK Vihor</v>
      </c>
      <c r="BM190" s="73">
        <f t="shared" si="141"/>
        <v>12</v>
      </c>
      <c r="BN190" s="73" t="str">
        <f t="shared" si="142"/>
        <v/>
      </c>
      <c r="BO190" s="31" t="str" cm="1">
        <f t="array" ref="BO190">IF(BN190="",""&amp;BL190,IF(BN190="NEMA",BL190,INDEX(regKlub_naziv,MATCH(INDEX(regKlub_alias_klubId,BN190),regKlub_id,0))))</f>
        <v>OK Vihor</v>
      </c>
      <c r="BP190" s="31" t="str" cm="1">
        <f t="array" ref="BP190">IFERROR(""&amp;INDEX(regNatjecatelj_klub,DY190),"")</f>
        <v>OK Vihor</v>
      </c>
      <c r="BQ190" s="88" t="str">
        <f t="shared" si="166"/>
        <v/>
      </c>
      <c r="BR190" s="66" t="str">
        <f t="shared" si="167"/>
        <v>OK Vihor</v>
      </c>
      <c r="BS190" s="47" t="s">
        <v>0</v>
      </c>
      <c r="BT190" s="82" t="str">
        <f>IF(BN190&lt;&gt;"NEMA","",IF(IFERROR(MATCH(BL190,BL$12:BL189,0),0)&lt;&gt;0,"",BL190))</f>
        <v/>
      </c>
      <c r="BU190" s="47" t="s">
        <v>0</v>
      </c>
      <c r="BV190" s="125"/>
      <c r="BW190" s="47" t="s">
        <v>0</v>
      </c>
      <c r="BX190" s="58" t="str">
        <f t="shared" si="168"/>
        <v/>
      </c>
      <c r="BY190" s="31" t="str">
        <f t="shared" si="169"/>
        <v/>
      </c>
      <c r="BZ190" s="31" t="str">
        <f>IF(BY190="","",MAX(BZ$12:BZ189)+1)</f>
        <v/>
      </c>
      <c r="CA190" s="31" t="str">
        <f>IF(BY190="","",IF(AA190="","",IF(AA190="NEMA",AC190,AA190)))</f>
        <v/>
      </c>
      <c r="CB190" s="31" t="str">
        <f t="shared" si="170"/>
        <v/>
      </c>
      <c r="CC190" s="31" t="str">
        <f>IF(BV190="","",MAX(CC$12:CC189)+1)</f>
        <v/>
      </c>
      <c r="CD190" s="31" t="str">
        <f t="shared" si="171"/>
        <v/>
      </c>
      <c r="CE190" s="66" t="str">
        <f t="shared" si="172"/>
        <v/>
      </c>
      <c r="CF190" s="47" t="s">
        <v>0</v>
      </c>
      <c r="CG190" s="73" t="str">
        <f>IF(BN190="","",IF(BN190&lt;&gt;"NEMA","",IFERROR(INDEX(nat_klubAliasId,MATCH(BL190,nat_noviKluboviAliasi,0)),"")))</f>
        <v/>
      </c>
      <c r="CH190" s="47"/>
      <c r="CI190" s="19" t="str">
        <f t="shared" si="173"/>
        <v/>
      </c>
      <c r="CJ190" s="47" t="s">
        <v>0</v>
      </c>
      <c r="CK190" s="52" t="str">
        <f>IF(X190&lt;&gt;"NEMA","",IF(IFERROR(MATCH(W190,W$12:W189,0),0)&lt;&gt;0,"",W190))</f>
        <v/>
      </c>
      <c r="CL190" s="73" t="str">
        <f>IF(CK190="","",IFERROR(INDEX(regKlub_alias_id,MATCH(CK190,regKlub_alias_alias,0)),"NEMA"))</f>
        <v/>
      </c>
      <c r="CM190" s="31" t="str">
        <f>IF(OR(CL190="",CL190&lt;&gt;"NEMA"),"",MAX(CM$12:CM189)+1)</f>
        <v/>
      </c>
      <c r="CN190" s="66" t="str">
        <f>IF(OR(CL190="",CL190&lt;&gt;"NEMA"),"",INDEX(regKlub_id,MATCH(CK190,regKlub_naziv,0)))</f>
        <v/>
      </c>
      <c r="CO190" s="47" t="s">
        <v>0</v>
      </c>
      <c r="CP190" s="19" t="str">
        <f>IF(OR(CL190="",CL190&lt;&gt;"NEMA"),"","INSERT INTO klub_alias(id,alias,klub_id) VALUES ("&amp;CM190&amp;",'"&amp;CK190&amp;"',"&amp;CN190&amp;");")</f>
        <v/>
      </c>
      <c r="CQ190" s="47" t="s">
        <v>0</v>
      </c>
      <c r="CR190" s="143" t="str">
        <f>IF(BR190="","",IF(BV190="",IF(IFERROR(MATCH(BR190,nat_noviKluboviAliasi,0),0)&gt;0,INDEX(nat_kluboviAliasi,MATCH(BR190,nat_noviKluboviAliasi,0)),BR190),BV190))</f>
        <v>OK Vihor</v>
      </c>
      <c r="CS190" s="47" t="s">
        <v>0</v>
      </c>
      <c r="CT190" s="58" t="str">
        <f>IF(G190="","",G190)</f>
        <v>92:36</v>
      </c>
      <c r="CU190" s="73" t="str">
        <f>IF(H190="","",H190)</f>
        <v>0</v>
      </c>
      <c r="CV190" s="229" t="str">
        <f>IF(CT190="",IF(OR(AL190="",CU190&lt;&gt;"0"),"","GREŠKA"),IF(AND(65535&gt;=VALUE(LEFT(CT190,SEARCH(":",CT190)-1))*60+VALUE(RIGHT(CT190,2)),OR(CU190="0",CU190="1",CU190="2",CU190="3",CU190="4")),"","GREŠKA"))</f>
        <v/>
      </c>
      <c r="CW190" s="230">
        <f t="shared" si="183"/>
        <v>5556</v>
      </c>
      <c r="CX190" s="163">
        <f t="shared" si="143"/>
        <v>1</v>
      </c>
      <c r="CY190" s="47" t="s">
        <v>0</v>
      </c>
      <c r="CZ190" s="222" t="str">
        <f>IF(CV190&lt;&gt;"GREŠKA","",AK190&amp;" "&amp;AL190&amp;" – Molim u OEventu provjeriti i ispraviti rezultat – vrijeme ("&amp;IF(CT190="","nije upisano",CT190)&amp;") i classifier ("&amp;CU190&amp;").")&amp;IF(OR(CV190&lt;&gt;"GREŠKA",CX190&lt;&gt;5),"
","")&amp;IF(CX190&lt;&gt;5,"",AK190&amp;" "&amp;AL190&amp;" – Molim u provjeriti je li natjecatelj zaista diskvalificiran. Ako je koje je obrazloženje, ako nije molim u OEventu ispraviti rezultat")</f>
        <v xml:space="preserve">
</v>
      </c>
      <c r="DA190" s="223">
        <f t="shared" si="174"/>
        <v>6</v>
      </c>
      <c r="DB190" s="47" t="s">
        <v>0</v>
      </c>
      <c r="DC190" s="47"/>
      <c r="DD190" s="47"/>
      <c r="DE190" s="47"/>
      <c r="DF190" s="47" t="s">
        <v>0</v>
      </c>
      <c r="DG190" s="53" t="str">
        <f>IF(BD190="","",IF(DI190="O",1,""))</f>
        <v/>
      </c>
      <c r="DH190" t="s">
        <v>0</v>
      </c>
      <c r="DI190" s="128" t="str">
        <f>IF(Q190="","",LEFT(INDEX(regKategorija_oznaka,MATCH(S190,regKategorija_id,0)),1))</f>
        <v>O</v>
      </c>
      <c r="DJ190" t="s">
        <v>0</v>
      </c>
      <c r="DK190" s="52" t="str">
        <f>IF(BD190="","",IF(M190&lt;&gt;"CRO","","INSERT INTO osoba (id,reg_broj,oib,spol_id,dat_rodjenja) VALUES ("&amp;BD190&amp;",(SELECT max(os.reg_broj)+1 FROM osoba AS os),Null,'"&amp;DI190&amp;"',Null); INSERT INTO osoba_log (id,reg_broj,oib,spol_id,dat_rodjenja,dnevnik_id) SELECT id,reg_broj,oib,spol_id,dat_rodjenja,"&amp;data_dnevnik_id&amp;" FROM osoba WHERE id = "&amp;BD190&amp;";"))</f>
        <v/>
      </c>
      <c r="DL190" s="66" t="str">
        <f>IF(BD190="","","INSERT INTO imeprezime (id,osoba_id,rbr,ime,prezime,klub_id,identitet_id,sintaksa_id,info,aktivno,dnevnik_id) VALUES ("&amp;BD190&amp;","&amp;IF(DK190="","Null",BD190)&amp;",1,'"&amp;IF(AV190&lt;&gt;"",AV190,AK190)&amp;"','"&amp;IF(AW190&lt;&gt;"",AW190,AL190)&amp;"',(SELECT id FROM klub WHERE naziv = '"&amp;CR190&amp;"'),Null,1,'',1,"&amp;data_dnevnik_id&amp;");")</f>
        <v/>
      </c>
      <c r="DM190" t="s">
        <v>0</v>
      </c>
      <c r="DN190" s="19" t="str">
        <f t="shared" si="182"/>
        <v/>
      </c>
      <c r="DO190" s="47" t="s">
        <v>0</v>
      </c>
      <c r="DP190" s="19" t="str">
        <f>IF(BA190="","","INSERT INTO imeprezime_alias(id,alias,imeprezime_id) VALUES ("&amp;BB190&amp;",'"&amp;BA190&amp;"',"&amp;IF(BC190="NEMA",BD190,BC190)&amp;");")</f>
        <v/>
      </c>
      <c r="DQ190" s="47" t="s">
        <v>0</v>
      </c>
      <c r="DR190" s="52" t="str">
        <f>IF(AL190="","",DU190 &amp; IF(Q190="",""," – " &amp; Q190))</f>
        <v>Oliver – Skočić – OK Vihor – OPEN</v>
      </c>
      <c r="DS190" s="53" t="str">
        <f t="shared" si="144"/>
        <v>NEMA</v>
      </c>
      <c r="DT190" s="47" t="s">
        <v>0</v>
      </c>
      <c r="DU190" s="52" t="str">
        <f>IF(AL190="","",DX190 &amp; IF(CR190="",""," – " &amp; CR190))</f>
        <v>Oliver – Skočić – OK Vihor</v>
      </c>
      <c r="DV190" s="53">
        <f t="shared" si="145"/>
        <v>898</v>
      </c>
      <c r="DW190" s="47" t="s">
        <v>0</v>
      </c>
      <c r="DX190" s="52" t="str">
        <f>IF(BG190="","",BF190&amp;" – "&amp;BG190)</f>
        <v>Oliver – Skočić</v>
      </c>
      <c r="DY190" s="53">
        <f t="shared" si="146"/>
        <v>898</v>
      </c>
      <c r="DZ190" s="47" t="s">
        <v>0</v>
      </c>
      <c r="EA190" s="58">
        <f t="shared" si="175"/>
        <v>898</v>
      </c>
      <c r="EB190" s="53" cm="1">
        <f t="array" ref="EB190">IF(EA190&lt;&gt;"",INDEX(regNatjecatelj_id,EA190,0),IF(BD190&lt;&gt;"",BD190,""))</f>
        <v>1028</v>
      </c>
      <c r="EC190" s="47" t="s">
        <v>0</v>
      </c>
      <c r="ED190" s="58" t="str">
        <f>IF(AL190="","",IF(BD190&lt;&gt;"","novo",IF(AN190="","imepre","imepre(ali)")))</f>
        <v>imepre</v>
      </c>
      <c r="EE190" s="73" t="str">
        <f>IF(AL190="","",IF(BL190="",IF(IFERROR(INDEX(regNatjecatelj_klub,MATCH(EB190,regNatjecatelj_id,0)),"NEMA")="","klu",""),IF(OR(AND(BN190&lt;&gt;"",BN190&lt;&gt;"NEMA"),CD190&lt;&gt;""),"klu(ali)",IF(AND(BP190&lt;&gt;"",BP190&lt;&gt;BO190),"(raz-klu)","klu"))))</f>
        <v>klu</v>
      </c>
      <c r="EF190" s="73" t="str">
        <f>IF(AL190="","","kat"&amp;IF(AND(W190&lt;&gt;Q190,Q190&lt;&gt;"Open"),"(ali)",""))</f>
        <v>kat</v>
      </c>
      <c r="EG190" s="73" t="str">
        <f t="shared" si="147"/>
        <v/>
      </c>
      <c r="EH190" s="66" t="str">
        <f>IF(AL190="","",ED190&amp;IF(ED190="novo","","-"&amp;EE190&amp;"-"&amp;EF190)&amp;IF(EG190="","","-"&amp;EG190))</f>
        <v>imepre-klu-kat</v>
      </c>
      <c r="EI190" s="47" t="s">
        <v>0</v>
      </c>
      <c r="EJ190" s="58">
        <f>IF(AL190="","",MAX(EJ$12:EJ189)+1)</f>
        <v>350</v>
      </c>
      <c r="EK190" s="73">
        <f>IF(AO190="","",X190)</f>
        <v>34</v>
      </c>
      <c r="EL190" s="73">
        <f t="shared" si="176"/>
        <v>1028</v>
      </c>
      <c r="EM190" s="73">
        <f t="shared" si="148"/>
        <v>5556</v>
      </c>
      <c r="EN190" s="73">
        <f t="shared" si="149"/>
        <v>1</v>
      </c>
      <c r="EO190" s="73">
        <f t="shared" si="177"/>
        <v>0</v>
      </c>
      <c r="EP190" s="73">
        <f t="shared" si="178"/>
        <v>1</v>
      </c>
      <c r="EQ190" s="73" t="str">
        <f t="shared" si="150"/>
        <v>0</v>
      </c>
      <c r="ER190" s="73" t="str">
        <f>IF(OR(AN190="",AN190="NEMA"),BB190,AN190)</f>
        <v/>
      </c>
      <c r="ES190" s="73" t="str">
        <f>IF(AND(BN190&lt;&gt;"",BN190&lt;&gt;"NEMA"),BN190,IF(CG190&lt;&gt;"",CG190,IF(AND(CL190&lt;&gt;"",CL190&lt;&gt;"NEMA"),CL190,IF(CM190&lt;&gt;"",CM190,""))))</f>
        <v/>
      </c>
      <c r="ET190" s="53" t="str">
        <f>IF(INDEX(natKategorija_alias_Id,MATCH(S190,natKategorija_katRegId,0))="","",INDEX(natKategorija_alias_Id,MATCH(S190,natKategorija_katRegId,0)))</f>
        <v/>
      </c>
      <c r="EU190" s="47" t="s">
        <v>0</v>
      </c>
      <c r="EV190" s="19" t="str">
        <f t="shared" si="179"/>
        <v>INSERT INTO rezultat(id,stazakategorija_id,imeprezime_id,vrijeme_sec,status_id,registracija,uparivanje_id,originalstatus_id,imeprezimealias_id,klubalias_id,kategorijaalias_id) VALUES (350,34,1028,5556,1,0,1,0,Null,Null,Null);</v>
      </c>
      <c r="EW190" s="47" t="s">
        <v>0</v>
      </c>
      <c r="EX190" s="19" t="str">
        <f t="shared" si="180"/>
        <v/>
      </c>
      <c r="EY190" s="47" t="s">
        <v>0</v>
      </c>
      <c r="EZ190" s="180" t="str">
        <f>AG190&amp;IF(CP190="","","
")&amp;CP190&amp;IF(CI190="","","
")&amp;CI190&amp;IF(DN190="","","
")&amp;DN190&amp;IF(DP190="","","
")&amp;DP190&amp;IF(EV190="","","
")&amp;EV190&amp;IF(EX190="","","
")&amp;EX190</f>
        <v xml:space="preserve">
INSERT INTO rezultat(id,stazakategorija_id,imeprezime_id,vrijeme_sec,status_id,registracija,uparivanje_id,originalstatus_id,imeprezimealias_id,klubalias_id,kategorijaalias_id) VALUES (350,34,1028,5556,1,0,1,0,Null,Null,Null);</v>
      </c>
      <c r="FA190" s="47" t="s">
        <v>0</v>
      </c>
    </row>
    <row r="191" spans="1:157" x14ac:dyDescent="0.25">
      <c r="A191" t="s">
        <v>0</v>
      </c>
      <c r="B191" s="52" t="str">
        <f>IF(csv!F181="","",csv!T181)</f>
        <v>OPEN</v>
      </c>
      <c r="C191" s="31" t="s">
        <v>0</v>
      </c>
      <c r="D191" s="31" t="str">
        <f>IF(csv!F181="","",csv!F181)</f>
        <v>Antonija</v>
      </c>
      <c r="E191" s="31" t="str">
        <f>IF(csv!E181="","",csv!E181)</f>
        <v>Hodak</v>
      </c>
      <c r="F191" s="31" t="s">
        <v>0</v>
      </c>
      <c r="G191" s="73" t="str">
        <f>IF(csv!M181="","",csv!M181)</f>
        <v>102:06</v>
      </c>
      <c r="H191" s="73" t="str">
        <f>IF(csv!N181="","",csv!N181)</f>
        <v>0</v>
      </c>
      <c r="I191" s="31" t="s">
        <v>0</v>
      </c>
      <c r="J191" s="31" t="str">
        <f>IF(csv!P181="","",csv!P181)</f>
        <v>Vihor</v>
      </c>
      <c r="K191" s="31" t="str">
        <f>IF(csv!Q181="","",csv!Q181)</f>
        <v>OK Vihor</v>
      </c>
      <c r="L191" s="31" t="s">
        <v>0</v>
      </c>
      <c r="M191" s="66" t="str">
        <f>IF(csv!R181="","",csv!R181)</f>
        <v>CRO</v>
      </c>
      <c r="N191" s="47" t="s">
        <v>0</v>
      </c>
      <c r="O191" s="243" t="str">
        <f t="shared" si="151"/>
        <v>ok</v>
      </c>
      <c r="P191" s="47"/>
      <c r="Q191" s="52" t="str">
        <f t="shared" si="152"/>
        <v>OPEN</v>
      </c>
      <c r="R191" s="73">
        <f>IF(Q191="","",IF(COUNTIF(Q$12:Q190,Q191)=0,R190+1,R190))</f>
        <v>12</v>
      </c>
      <c r="S191" s="73">
        <f t="shared" si="153"/>
        <v>291</v>
      </c>
      <c r="T191" s="73">
        <f t="shared" si="128"/>
        <v>29</v>
      </c>
      <c r="U191" s="66" t="str">
        <f t="shared" si="129"/>
        <v>Otvorena</v>
      </c>
      <c r="V191" s="47" t="s">
        <v>0</v>
      </c>
      <c r="W191" s="222" t="str">
        <f t="shared" si="130"/>
        <v>Otvorena</v>
      </c>
      <c r="X191" s="223">
        <f t="shared" si="131"/>
        <v>34</v>
      </c>
      <c r="Y191" s="47" t="s">
        <v>0</v>
      </c>
      <c r="Z191" s="52" t="str">
        <f t="shared" si="154"/>
        <v>CRO</v>
      </c>
      <c r="AA191" s="73">
        <f t="shared" si="132"/>
        <v>1</v>
      </c>
      <c r="AB191" s="31" t="str">
        <f t="shared" si="155"/>
        <v/>
      </c>
      <c r="AC191" s="66" t="str">
        <f>IF(AB191="","",MAX(AC$12:AC190)+1)</f>
        <v/>
      </c>
      <c r="AD191" s="47" t="s">
        <v>0</v>
      </c>
      <c r="AE191" s="125"/>
      <c r="AF191" s="47" t="s">
        <v>0</v>
      </c>
      <c r="AG191" s="19" t="str">
        <f t="shared" si="156"/>
        <v/>
      </c>
      <c r="AH191" s="47" t="s">
        <v>0</v>
      </c>
      <c r="AI191" s="143" t="str">
        <f t="shared" si="157"/>
        <v>CRO</v>
      </c>
      <c r="AJ191" s="47"/>
      <c r="AK191" s="52" t="str">
        <f t="shared" si="158"/>
        <v>Antonija</v>
      </c>
      <c r="AL191" s="31" t="str">
        <f t="shared" si="159"/>
        <v>Hodak</v>
      </c>
      <c r="AM191" s="73">
        <f t="shared" si="160"/>
        <v>1146</v>
      </c>
      <c r="AN191" s="73" t="str">
        <f t="shared" si="161"/>
        <v/>
      </c>
      <c r="AO191" s="31" t="str">
        <f t="shared" si="133"/>
        <v>Antonija</v>
      </c>
      <c r="AP191" s="66" t="str">
        <f t="shared" si="134"/>
        <v>Hodak</v>
      </c>
      <c r="AQ191" s="47" t="s">
        <v>0</v>
      </c>
      <c r="AR191" s="82" t="str">
        <f t="shared" si="162"/>
        <v/>
      </c>
      <c r="AS191" s="47" t="s">
        <v>0</v>
      </c>
      <c r="AT191" s="19" t="str">
        <f t="shared" si="163"/>
        <v/>
      </c>
      <c r="AU191" s="47" t="s">
        <v>0</v>
      </c>
      <c r="AV191" s="103"/>
      <c r="AW191" s="105"/>
      <c r="AX191" s="47" t="s">
        <v>0</v>
      </c>
      <c r="AY191" s="256" t="str">
        <f t="shared" si="181"/>
        <v/>
      </c>
      <c r="AZ191" s="47" t="s">
        <v>0</v>
      </c>
      <c r="BA191" s="52" t="str">
        <f t="shared" si="135"/>
        <v/>
      </c>
      <c r="BB191" s="73" t="str">
        <f>IF(AV191&amp;AW191="","",MAX(BB$12:BB190)+1)</f>
        <v/>
      </c>
      <c r="BC191" s="268" t="str">
        <f t="shared" si="136"/>
        <v/>
      </c>
      <c r="BD191" s="53" t="str">
        <f>IF(AND(AM191="NEMA",AN191="NEMA",OR(AV191&amp;AW191="",BC191="NEMA")),MAX(BD$12:BD190)+1,"")</f>
        <v/>
      </c>
      <c r="BE191" s="47" t="s">
        <v>0</v>
      </c>
      <c r="BF191" s="52" t="str">
        <f t="shared" si="137"/>
        <v>Antonija</v>
      </c>
      <c r="BG191" s="31" t="str">
        <f t="shared" si="138"/>
        <v>Hodak</v>
      </c>
      <c r="BH191" s="73" t="str">
        <f t="shared" si="164"/>
        <v/>
      </c>
      <c r="BI191" s="53">
        <f t="shared" si="165"/>
        <v>1146</v>
      </c>
      <c r="BJ191" s="47" t="s">
        <v>0</v>
      </c>
      <c r="BK191" s="52" t="str">
        <f t="shared" si="139"/>
        <v>Vihor</v>
      </c>
      <c r="BL191" s="31" t="str">
        <f t="shared" si="140"/>
        <v>OK Vihor</v>
      </c>
      <c r="BM191" s="73">
        <f t="shared" si="141"/>
        <v>12</v>
      </c>
      <c r="BN191" s="73" t="str">
        <f t="shared" si="142"/>
        <v/>
      </c>
      <c r="BO191" s="31" t="str" cm="1">
        <f t="array" ref="BO191">IF(BN191="",""&amp;BL191,IF(BN191="NEMA",BL191,INDEX(regKlub_naziv,MATCH(INDEX(regKlub_alias_klubId,BN191),regKlub_id,0))))</f>
        <v>OK Vihor</v>
      </c>
      <c r="BP191" s="31" t="str" cm="1">
        <f t="array" ref="BP191">IFERROR(""&amp;INDEX(regNatjecatelj_klub,DY191),"")</f>
        <v>OK Vihor</v>
      </c>
      <c r="BQ191" s="88" t="str">
        <f t="shared" si="166"/>
        <v/>
      </c>
      <c r="BR191" s="66" t="str">
        <f t="shared" si="167"/>
        <v>OK Vihor</v>
      </c>
      <c r="BS191" s="47" t="s">
        <v>0</v>
      </c>
      <c r="BT191" s="82" t="str">
        <f>IF(BN191&lt;&gt;"NEMA","",IF(IFERROR(MATCH(BL191,BL$12:BL190,0),0)&lt;&gt;0,"",BL191))</f>
        <v/>
      </c>
      <c r="BU191" s="47" t="s">
        <v>0</v>
      </c>
      <c r="BV191" s="125"/>
      <c r="BW191" s="47" t="s">
        <v>0</v>
      </c>
      <c r="BX191" s="58" t="str">
        <f t="shared" si="168"/>
        <v/>
      </c>
      <c r="BY191" s="31" t="str">
        <f t="shared" si="169"/>
        <v/>
      </c>
      <c r="BZ191" s="31" t="str">
        <f>IF(BY191="","",MAX(BZ$12:BZ190)+1)</f>
        <v/>
      </c>
      <c r="CA191" s="31" t="str">
        <f>IF(BY191="","",IF(AA191="","",IF(AA191="NEMA",AC191,AA191)))</f>
        <v/>
      </c>
      <c r="CB191" s="31" t="str">
        <f t="shared" si="170"/>
        <v/>
      </c>
      <c r="CC191" s="31" t="str">
        <f>IF(BV191="","",MAX(CC$12:CC190)+1)</f>
        <v/>
      </c>
      <c r="CD191" s="31" t="str">
        <f t="shared" si="171"/>
        <v/>
      </c>
      <c r="CE191" s="66" t="str">
        <f t="shared" si="172"/>
        <v/>
      </c>
      <c r="CF191" s="47" t="s">
        <v>0</v>
      </c>
      <c r="CG191" s="73" t="str">
        <f>IF(BN191="","",IF(BN191&lt;&gt;"NEMA","",IFERROR(INDEX(nat_klubAliasId,MATCH(BL191,nat_noviKluboviAliasi,0)),"")))</f>
        <v/>
      </c>
      <c r="CH191" s="47"/>
      <c r="CI191" s="19" t="str">
        <f t="shared" si="173"/>
        <v/>
      </c>
      <c r="CJ191" s="47" t="s">
        <v>0</v>
      </c>
      <c r="CK191" s="52" t="str">
        <f>IF(X191&lt;&gt;"NEMA","",IF(IFERROR(MATCH(W191,W$12:W190,0),0)&lt;&gt;0,"",W191))</f>
        <v/>
      </c>
      <c r="CL191" s="73" t="str">
        <f>IF(CK191="","",IFERROR(INDEX(regKlub_alias_id,MATCH(CK191,regKlub_alias_alias,0)),"NEMA"))</f>
        <v/>
      </c>
      <c r="CM191" s="31" t="str">
        <f>IF(OR(CL191="",CL191&lt;&gt;"NEMA"),"",MAX(CM$12:CM190)+1)</f>
        <v/>
      </c>
      <c r="CN191" s="66" t="str">
        <f>IF(OR(CL191="",CL191&lt;&gt;"NEMA"),"",INDEX(regKlub_id,MATCH(CK191,regKlub_naziv,0)))</f>
        <v/>
      </c>
      <c r="CO191" s="47" t="s">
        <v>0</v>
      </c>
      <c r="CP191" s="19" t="str">
        <f>IF(OR(CL191="",CL191&lt;&gt;"NEMA"),"","INSERT INTO klub_alias(id,alias,klub_id) VALUES ("&amp;CM191&amp;",'"&amp;CK191&amp;"',"&amp;CN191&amp;");")</f>
        <v/>
      </c>
      <c r="CQ191" s="47" t="s">
        <v>0</v>
      </c>
      <c r="CR191" s="143" t="str">
        <f>IF(BR191="","",IF(BV191="",IF(IFERROR(MATCH(BR191,nat_noviKluboviAliasi,0),0)&gt;0,INDEX(nat_kluboviAliasi,MATCH(BR191,nat_noviKluboviAliasi,0)),BR191),BV191))</f>
        <v>OK Vihor</v>
      </c>
      <c r="CS191" s="47" t="s">
        <v>0</v>
      </c>
      <c r="CT191" s="58" t="str">
        <f>IF(G191="","",G191)</f>
        <v>102:06</v>
      </c>
      <c r="CU191" s="73" t="str">
        <f>IF(H191="","",H191)</f>
        <v>0</v>
      </c>
      <c r="CV191" s="229" t="str">
        <f>IF(CT191="",IF(OR(AL191="",CU191&lt;&gt;"0"),"","GREŠKA"),IF(AND(65535&gt;=VALUE(LEFT(CT191,SEARCH(":",CT191)-1))*60+VALUE(RIGHT(CT191,2)),OR(CU191="0",CU191="1",CU191="2",CU191="3",CU191="4")),"","GREŠKA"))</f>
        <v/>
      </c>
      <c r="CW191" s="230">
        <f t="shared" si="183"/>
        <v>6126</v>
      </c>
      <c r="CX191" s="163">
        <f t="shared" si="143"/>
        <v>1</v>
      </c>
      <c r="CY191" s="47" t="s">
        <v>0</v>
      </c>
      <c r="CZ191" s="222" t="str">
        <f>IF(CV191&lt;&gt;"GREŠKA","",AK191&amp;" "&amp;AL191&amp;" – Molim u OEventu provjeriti i ispraviti rezultat – vrijeme ("&amp;IF(CT191="","nije upisano",CT191)&amp;") i classifier ("&amp;CU191&amp;").")&amp;IF(OR(CV191&lt;&gt;"GREŠKA",CX191&lt;&gt;5),"
","")&amp;IF(CX191&lt;&gt;5,"",AK191&amp;" "&amp;AL191&amp;" – Molim u provjeriti je li natjecatelj zaista diskvalificiran. Ako je koje je obrazloženje, ako nije molim u OEventu ispraviti rezultat")</f>
        <v xml:space="preserve">
</v>
      </c>
      <c r="DA191" s="223">
        <f t="shared" si="174"/>
        <v>6</v>
      </c>
      <c r="DB191" s="47" t="s">
        <v>0</v>
      </c>
      <c r="DC191" s="47"/>
      <c r="DD191" s="47"/>
      <c r="DE191" s="47"/>
      <c r="DF191" s="47" t="s">
        <v>0</v>
      </c>
      <c r="DG191" s="53" t="str">
        <f>IF(BD191="","",IF(DI191="O",1,""))</f>
        <v/>
      </c>
      <c r="DH191" t="s">
        <v>0</v>
      </c>
      <c r="DI191" s="128" t="str">
        <f>IF(Q191="","",LEFT(INDEX(regKategorija_oznaka,MATCH(S191,regKategorija_id,0)),1))</f>
        <v>O</v>
      </c>
      <c r="DJ191" t="s">
        <v>0</v>
      </c>
      <c r="DK191" s="52" t="str">
        <f>IF(BD191="","",IF(M191&lt;&gt;"CRO","","INSERT INTO osoba (id,reg_broj,oib,spol_id,dat_rodjenja) VALUES ("&amp;BD191&amp;",(SELECT max(os.reg_broj)+1 FROM osoba AS os),Null,'"&amp;DI191&amp;"',Null); INSERT INTO osoba_log (id,reg_broj,oib,spol_id,dat_rodjenja,dnevnik_id) SELECT id,reg_broj,oib,spol_id,dat_rodjenja,"&amp;data_dnevnik_id&amp;" FROM osoba WHERE id = "&amp;BD191&amp;";"))</f>
        <v/>
      </c>
      <c r="DL191" s="66" t="str">
        <f>IF(BD191="","","INSERT INTO imeprezime (id,osoba_id,rbr,ime,prezime,klub_id,identitet_id,sintaksa_id,info,aktivno,dnevnik_id) VALUES ("&amp;BD191&amp;","&amp;IF(DK191="","Null",BD191)&amp;",1,'"&amp;IF(AV191&lt;&gt;"",AV191,AK191)&amp;"','"&amp;IF(AW191&lt;&gt;"",AW191,AL191)&amp;"',(SELECT id FROM klub WHERE naziv = '"&amp;CR191&amp;"'),Null,1,'',1,"&amp;data_dnevnik_id&amp;");")</f>
        <v/>
      </c>
      <c r="DM191" t="s">
        <v>0</v>
      </c>
      <c r="DN191" s="19" t="str">
        <f t="shared" si="182"/>
        <v/>
      </c>
      <c r="DO191" s="47" t="s">
        <v>0</v>
      </c>
      <c r="DP191" s="19" t="str">
        <f>IF(BA191="","","INSERT INTO imeprezime_alias(id,alias,imeprezime_id) VALUES ("&amp;BB191&amp;",'"&amp;BA191&amp;"',"&amp;IF(BC191="NEMA",BD191,BC191)&amp;");")</f>
        <v/>
      </c>
      <c r="DQ191" s="47" t="s">
        <v>0</v>
      </c>
      <c r="DR191" s="52" t="str">
        <f>IF(AL191="","",DU191 &amp; IF(Q191="",""," – " &amp; Q191))</f>
        <v>Antonija – Hodak – OK Vihor – OPEN</v>
      </c>
      <c r="DS191" s="53" t="str">
        <f t="shared" si="144"/>
        <v>NEMA</v>
      </c>
      <c r="DT191" s="47" t="s">
        <v>0</v>
      </c>
      <c r="DU191" s="52" t="str">
        <f>IF(AL191="","",DX191 &amp; IF(CR191="",""," – " &amp; CR191))</f>
        <v>Antonija – Hodak – OK Vihor</v>
      </c>
      <c r="DV191" s="53">
        <f t="shared" si="145"/>
        <v>696</v>
      </c>
      <c r="DW191" s="47" t="s">
        <v>0</v>
      </c>
      <c r="DX191" s="52" t="str">
        <f>IF(BG191="","",BF191&amp;" – "&amp;BG191)</f>
        <v>Antonija – Hodak</v>
      </c>
      <c r="DY191" s="53">
        <f t="shared" si="146"/>
        <v>696</v>
      </c>
      <c r="DZ191" s="47" t="s">
        <v>0</v>
      </c>
      <c r="EA191" s="58">
        <f t="shared" si="175"/>
        <v>696</v>
      </c>
      <c r="EB191" s="53" cm="1">
        <f t="array" ref="EB191">IF(EA191&lt;&gt;"",INDEX(regNatjecatelj_id,EA191,0),IF(BD191&lt;&gt;"",BD191,""))</f>
        <v>1146</v>
      </c>
      <c r="EC191" s="47" t="s">
        <v>0</v>
      </c>
      <c r="ED191" s="58" t="str">
        <f>IF(AL191="","",IF(BD191&lt;&gt;"","novo",IF(AN191="","imepre","imepre(ali)")))</f>
        <v>imepre</v>
      </c>
      <c r="EE191" s="73" t="str">
        <f>IF(AL191="","",IF(BL191="",IF(IFERROR(INDEX(regNatjecatelj_klub,MATCH(EB191,regNatjecatelj_id,0)),"NEMA")="","klu",""),IF(OR(AND(BN191&lt;&gt;"",BN191&lt;&gt;"NEMA"),CD191&lt;&gt;""),"klu(ali)",IF(AND(BP191&lt;&gt;"",BP191&lt;&gt;BO191),"(raz-klu)","klu"))))</f>
        <v>klu</v>
      </c>
      <c r="EF191" s="73" t="str">
        <f>IF(AL191="","","kat"&amp;IF(AND(W191&lt;&gt;Q191,Q191&lt;&gt;"Open"),"(ali)",""))</f>
        <v>kat</v>
      </c>
      <c r="EG191" s="73" t="str">
        <f t="shared" si="147"/>
        <v/>
      </c>
      <c r="EH191" s="66" t="str">
        <f>IF(AL191="","",ED191&amp;IF(ED191="novo","","-"&amp;EE191&amp;"-"&amp;EF191)&amp;IF(EG191="","","-"&amp;EG191))</f>
        <v>imepre-klu-kat</v>
      </c>
      <c r="EI191" s="47" t="s">
        <v>0</v>
      </c>
      <c r="EJ191" s="58">
        <f>IF(AL191="","",MAX(EJ$12:EJ190)+1)</f>
        <v>351</v>
      </c>
      <c r="EK191" s="73">
        <f>IF(AO191="","",X191)</f>
        <v>34</v>
      </c>
      <c r="EL191" s="73">
        <f t="shared" si="176"/>
        <v>1146</v>
      </c>
      <c r="EM191" s="73">
        <f t="shared" si="148"/>
        <v>6126</v>
      </c>
      <c r="EN191" s="73">
        <f t="shared" si="149"/>
        <v>1</v>
      </c>
      <c r="EO191" s="73">
        <f t="shared" si="177"/>
        <v>0</v>
      </c>
      <c r="EP191" s="73">
        <f t="shared" si="178"/>
        <v>1</v>
      </c>
      <c r="EQ191" s="73" t="str">
        <f t="shared" si="150"/>
        <v>0</v>
      </c>
      <c r="ER191" s="73" t="str">
        <f>IF(OR(AN191="",AN191="NEMA"),BB191,AN191)</f>
        <v/>
      </c>
      <c r="ES191" s="73" t="str">
        <f>IF(AND(BN191&lt;&gt;"",BN191&lt;&gt;"NEMA"),BN191,IF(CG191&lt;&gt;"",CG191,IF(AND(CL191&lt;&gt;"",CL191&lt;&gt;"NEMA"),CL191,IF(CM191&lt;&gt;"",CM191,""))))</f>
        <v/>
      </c>
      <c r="ET191" s="53" t="str">
        <f>IF(INDEX(natKategorija_alias_Id,MATCH(S191,natKategorija_katRegId,0))="","",INDEX(natKategorija_alias_Id,MATCH(S191,natKategorija_katRegId,0)))</f>
        <v/>
      </c>
      <c r="EU191" s="47" t="s">
        <v>0</v>
      </c>
      <c r="EV191" s="19" t="str">
        <f t="shared" si="179"/>
        <v>INSERT INTO rezultat(id,stazakategorija_id,imeprezime_id,vrijeme_sec,status_id,registracija,uparivanje_id,originalstatus_id,imeprezimealias_id,klubalias_id,kategorijaalias_id) VALUES (351,34,1146,6126,1,0,1,0,Null,Null,Null);</v>
      </c>
      <c r="EW191" s="47" t="s">
        <v>0</v>
      </c>
      <c r="EX191" s="19" t="str">
        <f t="shared" si="180"/>
        <v/>
      </c>
      <c r="EY191" s="47" t="s">
        <v>0</v>
      </c>
      <c r="EZ191" s="180" t="str">
        <f>AG191&amp;IF(CP191="","","
")&amp;CP191&amp;IF(CI191="","","
")&amp;CI191&amp;IF(DN191="","","
")&amp;DN191&amp;IF(DP191="","","
")&amp;DP191&amp;IF(EV191="","","
")&amp;EV191&amp;IF(EX191="","","
")&amp;EX191</f>
        <v xml:space="preserve">
INSERT INTO rezultat(id,stazakategorija_id,imeprezime_id,vrijeme_sec,status_id,registracija,uparivanje_id,originalstatus_id,imeprezimealias_id,klubalias_id,kategorijaalias_id) VALUES (351,34,1146,6126,1,0,1,0,Null,Null,Null);</v>
      </c>
      <c r="FA191" s="47" t="s">
        <v>0</v>
      </c>
    </row>
    <row r="192" spans="1:157" x14ac:dyDescent="0.25">
      <c r="A192" t="s">
        <v>0</v>
      </c>
      <c r="B192" s="52" t="str">
        <f>IF(csv!F182="","",csv!T182)</f>
        <v>OPEN</v>
      </c>
      <c r="C192" s="31" t="s">
        <v>0</v>
      </c>
      <c r="D192" s="31" t="str">
        <f>IF(csv!F182="","",csv!F182)</f>
        <v>Nika</v>
      </c>
      <c r="E192" s="31" t="str">
        <f>IF(csv!E182="","",csv!E182)</f>
        <v>Jurić</v>
      </c>
      <c r="F192" s="31" t="s">
        <v>0</v>
      </c>
      <c r="G192" s="73" t="str">
        <f>IF(csv!M182="","",csv!M182)</f>
        <v>102:19</v>
      </c>
      <c r="H192" s="73" t="str">
        <f>IF(csv!N182="","",csv!N182)</f>
        <v>0</v>
      </c>
      <c r="I192" s="31" t="s">
        <v>0</v>
      </c>
      <c r="J192" s="31" t="str">
        <f>IF(csv!P182="","",csv!P182)</f>
        <v>Vihor</v>
      </c>
      <c r="K192" s="31" t="str">
        <f>IF(csv!Q182="","",csv!Q182)</f>
        <v>OK Vihor</v>
      </c>
      <c r="L192" s="31" t="s">
        <v>0</v>
      </c>
      <c r="M192" s="66" t="str">
        <f>IF(csv!R182="","",csv!R182)</f>
        <v>CRO</v>
      </c>
      <c r="N192" s="47" t="s">
        <v>0</v>
      </c>
      <c r="O192" s="243" t="str">
        <f t="shared" si="151"/>
        <v>ok</v>
      </c>
      <c r="P192" s="47"/>
      <c r="Q192" s="52" t="str">
        <f t="shared" si="152"/>
        <v>OPEN</v>
      </c>
      <c r="R192" s="73">
        <f>IF(Q192="","",IF(COUNTIF(Q$12:Q191,Q192)=0,R191+1,R191))</f>
        <v>12</v>
      </c>
      <c r="S192" s="73">
        <f t="shared" si="153"/>
        <v>291</v>
      </c>
      <c r="T192" s="73">
        <f t="shared" si="128"/>
        <v>29</v>
      </c>
      <c r="U192" s="66" t="str">
        <f t="shared" si="129"/>
        <v>Otvorena</v>
      </c>
      <c r="V192" s="47" t="s">
        <v>0</v>
      </c>
      <c r="W192" s="222" t="str">
        <f t="shared" si="130"/>
        <v>Otvorena</v>
      </c>
      <c r="X192" s="223">
        <f t="shared" si="131"/>
        <v>34</v>
      </c>
      <c r="Y192" s="47" t="s">
        <v>0</v>
      </c>
      <c r="Z192" s="52" t="str">
        <f t="shared" si="154"/>
        <v>CRO</v>
      </c>
      <c r="AA192" s="73">
        <f t="shared" si="132"/>
        <v>1</v>
      </c>
      <c r="AB192" s="31" t="str">
        <f t="shared" si="155"/>
        <v/>
      </c>
      <c r="AC192" s="66" t="str">
        <f>IF(AB192="","",MAX(AC$12:AC191)+1)</f>
        <v/>
      </c>
      <c r="AD192" s="47" t="s">
        <v>0</v>
      </c>
      <c r="AE192" s="125"/>
      <c r="AF192" s="47" t="s">
        <v>0</v>
      </c>
      <c r="AG192" s="19" t="str">
        <f t="shared" si="156"/>
        <v/>
      </c>
      <c r="AH192" s="47" t="s">
        <v>0</v>
      </c>
      <c r="AI192" s="143" t="str">
        <f t="shared" si="157"/>
        <v>CRO</v>
      </c>
      <c r="AJ192" s="47"/>
      <c r="AK192" s="52" t="str">
        <f t="shared" si="158"/>
        <v>Nika</v>
      </c>
      <c r="AL192" s="31" t="str">
        <f t="shared" si="159"/>
        <v>Jurić</v>
      </c>
      <c r="AM192" s="73">
        <f t="shared" si="160"/>
        <v>1892</v>
      </c>
      <c r="AN192" s="73" t="str">
        <f t="shared" si="161"/>
        <v/>
      </c>
      <c r="AO192" s="31" t="str">
        <f t="shared" si="133"/>
        <v>Nika</v>
      </c>
      <c r="AP192" s="66" t="str">
        <f t="shared" si="134"/>
        <v>Jurić</v>
      </c>
      <c r="AQ192" s="47" t="s">
        <v>0</v>
      </c>
      <c r="AR192" s="82" t="str">
        <f t="shared" si="162"/>
        <v/>
      </c>
      <c r="AS192" s="47" t="s">
        <v>0</v>
      </c>
      <c r="AT192" s="19" t="str">
        <f t="shared" si="163"/>
        <v/>
      </c>
      <c r="AU192" s="47" t="s">
        <v>0</v>
      </c>
      <c r="AV192" s="103"/>
      <c r="AW192" s="105"/>
      <c r="AX192" s="47" t="s">
        <v>0</v>
      </c>
      <c r="AY192" s="256" t="str">
        <f t="shared" si="181"/>
        <v/>
      </c>
      <c r="AZ192" s="47" t="s">
        <v>0</v>
      </c>
      <c r="BA192" s="52" t="str">
        <f t="shared" si="135"/>
        <v/>
      </c>
      <c r="BB192" s="73" t="str">
        <f>IF(AV192&amp;AW192="","",MAX(BB$12:BB191)+1)</f>
        <v/>
      </c>
      <c r="BC192" s="268" t="str">
        <f t="shared" si="136"/>
        <v/>
      </c>
      <c r="BD192" s="53" t="str">
        <f>IF(AND(AM192="NEMA",AN192="NEMA",OR(AV192&amp;AW192="",BC192="NEMA")),MAX(BD$12:BD191)+1,"")</f>
        <v/>
      </c>
      <c r="BE192" s="47" t="s">
        <v>0</v>
      </c>
      <c r="BF192" s="52" t="str">
        <f t="shared" si="137"/>
        <v>Nika</v>
      </c>
      <c r="BG192" s="31" t="str">
        <f t="shared" si="138"/>
        <v>Jurić</v>
      </c>
      <c r="BH192" s="73" t="str">
        <f t="shared" si="164"/>
        <v/>
      </c>
      <c r="BI192" s="53">
        <f t="shared" si="165"/>
        <v>1892</v>
      </c>
      <c r="BJ192" s="47" t="s">
        <v>0</v>
      </c>
      <c r="BK192" s="52" t="str">
        <f t="shared" si="139"/>
        <v>Vihor</v>
      </c>
      <c r="BL192" s="31" t="str">
        <f t="shared" si="140"/>
        <v>OK Vihor</v>
      </c>
      <c r="BM192" s="73">
        <f t="shared" si="141"/>
        <v>12</v>
      </c>
      <c r="BN192" s="73" t="str">
        <f t="shared" si="142"/>
        <v/>
      </c>
      <c r="BO192" s="31" t="str" cm="1">
        <f t="array" ref="BO192">IF(BN192="",""&amp;BL192,IF(BN192="NEMA",BL192,INDEX(regKlub_naziv,MATCH(INDEX(regKlub_alias_klubId,BN192),regKlub_id,0))))</f>
        <v>OK Vihor</v>
      </c>
      <c r="BP192" s="31" t="str" cm="1">
        <f t="array" ref="BP192">IFERROR(""&amp;INDEX(regNatjecatelj_klub,DY192),"")</f>
        <v>OK Vihor</v>
      </c>
      <c r="BQ192" s="88" t="str">
        <f t="shared" si="166"/>
        <v/>
      </c>
      <c r="BR192" s="66" t="str">
        <f t="shared" si="167"/>
        <v>OK Vihor</v>
      </c>
      <c r="BS192" s="47" t="s">
        <v>0</v>
      </c>
      <c r="BT192" s="82" t="str">
        <f>IF(BN192&lt;&gt;"NEMA","",IF(IFERROR(MATCH(BL192,BL$12:BL191,0),0)&lt;&gt;0,"",BL192))</f>
        <v/>
      </c>
      <c r="BU192" s="47" t="s">
        <v>0</v>
      </c>
      <c r="BV192" s="125"/>
      <c r="BW192" s="47" t="s">
        <v>0</v>
      </c>
      <c r="BX192" s="58" t="str">
        <f t="shared" si="168"/>
        <v/>
      </c>
      <c r="BY192" s="31" t="str">
        <f t="shared" si="169"/>
        <v/>
      </c>
      <c r="BZ192" s="31" t="str">
        <f>IF(BY192="","",MAX(BZ$12:BZ191)+1)</f>
        <v/>
      </c>
      <c r="CA192" s="31" t="str">
        <f>IF(BY192="","",IF(AA192="","",IF(AA192="NEMA",AC192,AA192)))</f>
        <v/>
      </c>
      <c r="CB192" s="31" t="str">
        <f t="shared" si="170"/>
        <v/>
      </c>
      <c r="CC192" s="31" t="str">
        <f>IF(BV192="","",MAX(CC$12:CC191)+1)</f>
        <v/>
      </c>
      <c r="CD192" s="31" t="str">
        <f t="shared" si="171"/>
        <v/>
      </c>
      <c r="CE192" s="66" t="str">
        <f t="shared" si="172"/>
        <v/>
      </c>
      <c r="CF192" s="47" t="s">
        <v>0</v>
      </c>
      <c r="CG192" s="73" t="str">
        <f>IF(BN192="","",IF(BN192&lt;&gt;"NEMA","",IFERROR(INDEX(nat_klubAliasId,MATCH(BL192,nat_noviKluboviAliasi,0)),"")))</f>
        <v/>
      </c>
      <c r="CH192" s="47"/>
      <c r="CI192" s="19" t="str">
        <f t="shared" si="173"/>
        <v/>
      </c>
      <c r="CJ192" s="47" t="s">
        <v>0</v>
      </c>
      <c r="CK192" s="52" t="str">
        <f>IF(X192&lt;&gt;"NEMA","",IF(IFERROR(MATCH(W192,W$12:W191,0),0)&lt;&gt;0,"",W192))</f>
        <v/>
      </c>
      <c r="CL192" s="73" t="str">
        <f>IF(CK192="","",IFERROR(INDEX(regKlub_alias_id,MATCH(CK192,regKlub_alias_alias,0)),"NEMA"))</f>
        <v/>
      </c>
      <c r="CM192" s="31" t="str">
        <f>IF(OR(CL192="",CL192&lt;&gt;"NEMA"),"",MAX(CM$12:CM191)+1)</f>
        <v/>
      </c>
      <c r="CN192" s="66" t="str">
        <f>IF(OR(CL192="",CL192&lt;&gt;"NEMA"),"",INDEX(regKlub_id,MATCH(CK192,regKlub_naziv,0)))</f>
        <v/>
      </c>
      <c r="CO192" s="47" t="s">
        <v>0</v>
      </c>
      <c r="CP192" s="19" t="str">
        <f>IF(OR(CL192="",CL192&lt;&gt;"NEMA"),"","INSERT INTO klub_alias(id,alias,klub_id) VALUES ("&amp;CM192&amp;",'"&amp;CK192&amp;"',"&amp;CN192&amp;");")</f>
        <v/>
      </c>
      <c r="CQ192" s="47" t="s">
        <v>0</v>
      </c>
      <c r="CR192" s="143" t="str">
        <f>IF(BR192="","",IF(BV192="",IF(IFERROR(MATCH(BR192,nat_noviKluboviAliasi,0),0)&gt;0,INDEX(nat_kluboviAliasi,MATCH(BR192,nat_noviKluboviAliasi,0)),BR192),BV192))</f>
        <v>OK Vihor</v>
      </c>
      <c r="CS192" s="47" t="s">
        <v>0</v>
      </c>
      <c r="CT192" s="58" t="str">
        <f>IF(G192="","",G192)</f>
        <v>102:19</v>
      </c>
      <c r="CU192" s="73" t="str">
        <f>IF(H192="","",H192)</f>
        <v>0</v>
      </c>
      <c r="CV192" s="229" t="str">
        <f>IF(CT192="",IF(OR(AL192="",CU192&lt;&gt;"0"),"","GREŠKA"),IF(AND(65535&gt;=VALUE(LEFT(CT192,SEARCH(":",CT192)-1))*60+VALUE(RIGHT(CT192,2)),OR(CU192="0",CU192="1",CU192="2",CU192="3",CU192="4")),"","GREŠKA"))</f>
        <v/>
      </c>
      <c r="CW192" s="230">
        <f t="shared" si="183"/>
        <v>6139</v>
      </c>
      <c r="CX192" s="163">
        <f t="shared" si="143"/>
        <v>1</v>
      </c>
      <c r="CY192" s="47" t="s">
        <v>0</v>
      </c>
      <c r="CZ192" s="222" t="str">
        <f>IF(CV192&lt;&gt;"GREŠKA","",AK192&amp;" "&amp;AL192&amp;" – Molim u OEventu provjeriti i ispraviti rezultat – vrijeme ("&amp;IF(CT192="","nije upisano",CT192)&amp;") i classifier ("&amp;CU192&amp;").")&amp;IF(OR(CV192&lt;&gt;"GREŠKA",CX192&lt;&gt;5),"
","")&amp;IF(CX192&lt;&gt;5,"",AK192&amp;" "&amp;AL192&amp;" – Molim u provjeriti je li natjecatelj zaista diskvalificiran. Ako je koje je obrazloženje, ako nije molim u OEventu ispraviti rezultat")</f>
        <v xml:space="preserve">
</v>
      </c>
      <c r="DA192" s="223">
        <f t="shared" si="174"/>
        <v>6</v>
      </c>
      <c r="DB192" s="47" t="s">
        <v>0</v>
      </c>
      <c r="DC192" s="47"/>
      <c r="DD192" s="47"/>
      <c r="DE192" s="47"/>
      <c r="DF192" s="47" t="s">
        <v>0</v>
      </c>
      <c r="DG192" s="53" t="str">
        <f>IF(BD192="","",IF(DI192="O",1,""))</f>
        <v/>
      </c>
      <c r="DH192" t="s">
        <v>0</v>
      </c>
      <c r="DI192" s="128" t="str">
        <f>IF(Q192="","",LEFT(INDEX(regKategorija_oznaka,MATCH(S192,regKategorija_id,0)),1))</f>
        <v>O</v>
      </c>
      <c r="DJ192" t="s">
        <v>0</v>
      </c>
      <c r="DK192" s="52" t="str">
        <f>IF(BD192="","",IF(M192&lt;&gt;"CRO","","INSERT INTO osoba (id,reg_broj,oib,spol_id,dat_rodjenja) VALUES ("&amp;BD192&amp;",(SELECT max(os.reg_broj)+1 FROM osoba AS os),Null,'"&amp;DI192&amp;"',Null); INSERT INTO osoba_log (id,reg_broj,oib,spol_id,dat_rodjenja,dnevnik_id) SELECT id,reg_broj,oib,spol_id,dat_rodjenja,"&amp;data_dnevnik_id&amp;" FROM osoba WHERE id = "&amp;BD192&amp;";"))</f>
        <v/>
      </c>
      <c r="DL192" s="66" t="str">
        <f>IF(BD192="","","INSERT INTO imeprezime (id,osoba_id,rbr,ime,prezime,klub_id,identitet_id,sintaksa_id,info,aktivno,dnevnik_id) VALUES ("&amp;BD192&amp;","&amp;IF(DK192="","Null",BD192)&amp;",1,'"&amp;IF(AV192&lt;&gt;"",AV192,AK192)&amp;"','"&amp;IF(AW192&lt;&gt;"",AW192,AL192)&amp;"',(SELECT id FROM klub WHERE naziv = '"&amp;CR192&amp;"'),Null,1,'',1,"&amp;data_dnevnik_id&amp;");")</f>
        <v/>
      </c>
      <c r="DM192" t="s">
        <v>0</v>
      </c>
      <c r="DN192" s="19" t="str">
        <f t="shared" si="182"/>
        <v/>
      </c>
      <c r="DO192" s="47" t="s">
        <v>0</v>
      </c>
      <c r="DP192" s="19" t="str">
        <f>IF(BA192="","","INSERT INTO imeprezime_alias(id,alias,imeprezime_id) VALUES ("&amp;BB192&amp;",'"&amp;BA192&amp;"',"&amp;IF(BC192="NEMA",BD192,BC192)&amp;");")</f>
        <v/>
      </c>
      <c r="DQ192" s="47" t="s">
        <v>0</v>
      </c>
      <c r="DR192" s="52" t="str">
        <f>IF(AL192="","",DU192 &amp; IF(Q192="",""," – " &amp; Q192))</f>
        <v>Nika – Jurić – OK Vihor – OPEN</v>
      </c>
      <c r="DS192" s="53" t="str">
        <f t="shared" si="144"/>
        <v>NEMA</v>
      </c>
      <c r="DT192" s="47" t="s">
        <v>0</v>
      </c>
      <c r="DU192" s="52" t="str">
        <f>IF(AL192="","",DX192 &amp; IF(CR192="",""," – " &amp; CR192))</f>
        <v>Nika – Jurić – OK Vihor</v>
      </c>
      <c r="DV192" s="53">
        <f t="shared" si="145"/>
        <v>725</v>
      </c>
      <c r="DW192" s="47" t="s">
        <v>0</v>
      </c>
      <c r="DX192" s="52" t="str">
        <f>IF(BG192="","",BF192&amp;" – "&amp;BG192)</f>
        <v>Nika – Jurić</v>
      </c>
      <c r="DY192" s="53">
        <f t="shared" si="146"/>
        <v>725</v>
      </c>
      <c r="DZ192" s="47" t="s">
        <v>0</v>
      </c>
      <c r="EA192" s="58">
        <f t="shared" si="175"/>
        <v>725</v>
      </c>
      <c r="EB192" s="53" cm="1">
        <f t="array" ref="EB192">IF(EA192&lt;&gt;"",INDEX(regNatjecatelj_id,EA192,0),IF(BD192&lt;&gt;"",BD192,""))</f>
        <v>1892</v>
      </c>
      <c r="EC192" s="47" t="s">
        <v>0</v>
      </c>
      <c r="ED192" s="58" t="str">
        <f>IF(AL192="","",IF(BD192&lt;&gt;"","novo",IF(AN192="","imepre","imepre(ali)")))</f>
        <v>imepre</v>
      </c>
      <c r="EE192" s="73" t="str">
        <f>IF(AL192="","",IF(BL192="",IF(IFERROR(INDEX(regNatjecatelj_klub,MATCH(EB192,regNatjecatelj_id,0)),"NEMA")="","klu",""),IF(OR(AND(BN192&lt;&gt;"",BN192&lt;&gt;"NEMA"),CD192&lt;&gt;""),"klu(ali)",IF(AND(BP192&lt;&gt;"",BP192&lt;&gt;BO192),"(raz-klu)","klu"))))</f>
        <v>klu</v>
      </c>
      <c r="EF192" s="73" t="str">
        <f>IF(AL192="","","kat"&amp;IF(AND(W192&lt;&gt;Q192,Q192&lt;&gt;"Open"),"(ali)",""))</f>
        <v>kat</v>
      </c>
      <c r="EG192" s="73" t="str">
        <f t="shared" si="147"/>
        <v/>
      </c>
      <c r="EH192" s="66" t="str">
        <f>IF(AL192="","",ED192&amp;IF(ED192="novo","","-"&amp;EE192&amp;"-"&amp;EF192)&amp;IF(EG192="","","-"&amp;EG192))</f>
        <v>imepre-klu-kat</v>
      </c>
      <c r="EI192" s="47" t="s">
        <v>0</v>
      </c>
      <c r="EJ192" s="58">
        <f>IF(AL192="","",MAX(EJ$12:EJ191)+1)</f>
        <v>352</v>
      </c>
      <c r="EK192" s="73">
        <f>IF(AO192="","",X192)</f>
        <v>34</v>
      </c>
      <c r="EL192" s="73">
        <f t="shared" si="176"/>
        <v>1892</v>
      </c>
      <c r="EM192" s="73">
        <f t="shared" si="148"/>
        <v>6139</v>
      </c>
      <c r="EN192" s="73">
        <f t="shared" si="149"/>
        <v>1</v>
      </c>
      <c r="EO192" s="73">
        <f t="shared" si="177"/>
        <v>0</v>
      </c>
      <c r="EP192" s="73">
        <f t="shared" si="178"/>
        <v>1</v>
      </c>
      <c r="EQ192" s="73" t="str">
        <f t="shared" si="150"/>
        <v>0</v>
      </c>
      <c r="ER192" s="73" t="str">
        <f>IF(OR(AN192="",AN192="NEMA"),BB192,AN192)</f>
        <v/>
      </c>
      <c r="ES192" s="73" t="str">
        <f>IF(AND(BN192&lt;&gt;"",BN192&lt;&gt;"NEMA"),BN192,IF(CG192&lt;&gt;"",CG192,IF(AND(CL192&lt;&gt;"",CL192&lt;&gt;"NEMA"),CL192,IF(CM192&lt;&gt;"",CM192,""))))</f>
        <v/>
      </c>
      <c r="ET192" s="53" t="str">
        <f>IF(INDEX(natKategorija_alias_Id,MATCH(S192,natKategorija_katRegId,0))="","",INDEX(natKategorija_alias_Id,MATCH(S192,natKategorija_katRegId,0)))</f>
        <v/>
      </c>
      <c r="EU192" s="47" t="s">
        <v>0</v>
      </c>
      <c r="EV192" s="19" t="str">
        <f t="shared" si="179"/>
        <v>INSERT INTO rezultat(id,stazakategorija_id,imeprezime_id,vrijeme_sec,status_id,registracija,uparivanje_id,originalstatus_id,imeprezimealias_id,klubalias_id,kategorijaalias_id) VALUES (352,34,1892,6139,1,0,1,0,Null,Null,Null);</v>
      </c>
      <c r="EW192" s="47" t="s">
        <v>0</v>
      </c>
      <c r="EX192" s="19" t="str">
        <f t="shared" si="180"/>
        <v/>
      </c>
      <c r="EY192" s="47" t="s">
        <v>0</v>
      </c>
      <c r="EZ192" s="180" t="str">
        <f>AG192&amp;IF(CP192="","","
")&amp;CP192&amp;IF(CI192="","","
")&amp;CI192&amp;IF(DN192="","","
")&amp;DN192&amp;IF(DP192="","","
")&amp;DP192&amp;IF(EV192="","","
")&amp;EV192&amp;IF(EX192="","","
")&amp;EX192</f>
        <v xml:space="preserve">
INSERT INTO rezultat(id,stazakategorija_id,imeprezime_id,vrijeme_sec,status_id,registracija,uparivanje_id,originalstatus_id,imeprezimealias_id,klubalias_id,kategorijaalias_id) VALUES (352,34,1892,6139,1,0,1,0,Null,Null,Null);</v>
      </c>
      <c r="FA192" s="47" t="s">
        <v>0</v>
      </c>
    </row>
    <row r="193" spans="1:157" x14ac:dyDescent="0.25">
      <c r="A193" t="s">
        <v>0</v>
      </c>
      <c r="B193" s="52" t="str">
        <f>IF(csv!F183="","",csv!T183)</f>
        <v>OPEN</v>
      </c>
      <c r="C193" s="31" t="s">
        <v>0</v>
      </c>
      <c r="D193" s="31" t="str">
        <f>IF(csv!F183="","",csv!F183)</f>
        <v>Sandra</v>
      </c>
      <c r="E193" s="31" t="str">
        <f>IF(csv!E183="","",csv!E183)</f>
        <v>Gerber</v>
      </c>
      <c r="F193" s="31" t="s">
        <v>0</v>
      </c>
      <c r="G193" s="73" t="str">
        <f>IF(csv!M183="","",csv!M183)</f>
        <v>126:55</v>
      </c>
      <c r="H193" s="73" t="str">
        <f>IF(csv!N183="","",csv!N183)</f>
        <v>0</v>
      </c>
      <c r="I193" s="31" t="s">
        <v>0</v>
      </c>
      <c r="J193" s="31" t="str">
        <f>IF(csv!P183="","",csv!P183)</f>
        <v>KAP</v>
      </c>
      <c r="K193" s="31" t="str">
        <f>IF(csv!Q183="","",csv!Q183)</f>
        <v>OK Kapela</v>
      </c>
      <c r="L193" s="31" t="s">
        <v>0</v>
      </c>
      <c r="M193" s="66" t="str">
        <f>IF(csv!R183="","",csv!R183)</f>
        <v>CRO</v>
      </c>
      <c r="N193" s="47" t="s">
        <v>0</v>
      </c>
      <c r="O193" s="243" t="str">
        <f t="shared" si="151"/>
        <v>ok</v>
      </c>
      <c r="P193" s="47"/>
      <c r="Q193" s="52" t="str">
        <f t="shared" si="152"/>
        <v>OPEN</v>
      </c>
      <c r="R193" s="73">
        <f>IF(Q193="","",IF(COUNTIF(Q$12:Q192,Q193)=0,R192+1,R192))</f>
        <v>12</v>
      </c>
      <c r="S193" s="73">
        <f t="shared" si="153"/>
        <v>291</v>
      </c>
      <c r="T193" s="73">
        <f t="shared" si="128"/>
        <v>29</v>
      </c>
      <c r="U193" s="66" t="str">
        <f t="shared" si="129"/>
        <v>Otvorena</v>
      </c>
      <c r="V193" s="47" t="s">
        <v>0</v>
      </c>
      <c r="W193" s="222" t="str">
        <f t="shared" si="130"/>
        <v>Otvorena</v>
      </c>
      <c r="X193" s="223">
        <f t="shared" si="131"/>
        <v>34</v>
      </c>
      <c r="Y193" s="47" t="s">
        <v>0</v>
      </c>
      <c r="Z193" s="52" t="str">
        <f t="shared" si="154"/>
        <v>CRO</v>
      </c>
      <c r="AA193" s="73">
        <f t="shared" si="132"/>
        <v>1</v>
      </c>
      <c r="AB193" s="31" t="str">
        <f t="shared" si="155"/>
        <v/>
      </c>
      <c r="AC193" s="66" t="str">
        <f>IF(AB193="","",MAX(AC$12:AC192)+1)</f>
        <v/>
      </c>
      <c r="AD193" s="47" t="s">
        <v>0</v>
      </c>
      <c r="AE193" s="125"/>
      <c r="AF193" s="47" t="s">
        <v>0</v>
      </c>
      <c r="AG193" s="19" t="str">
        <f t="shared" si="156"/>
        <v/>
      </c>
      <c r="AH193" s="47" t="s">
        <v>0</v>
      </c>
      <c r="AI193" s="143" t="str">
        <f t="shared" si="157"/>
        <v>CRO</v>
      </c>
      <c r="AJ193" s="47"/>
      <c r="AK193" s="52" t="str">
        <f t="shared" si="158"/>
        <v>Sandra</v>
      </c>
      <c r="AL193" s="31" t="str">
        <f t="shared" si="159"/>
        <v>Gerber</v>
      </c>
      <c r="AM193" s="73">
        <f t="shared" si="160"/>
        <v>1938</v>
      </c>
      <c r="AN193" s="73" t="str">
        <f t="shared" si="161"/>
        <v/>
      </c>
      <c r="AO193" s="31" t="str">
        <f t="shared" si="133"/>
        <v>Sandra</v>
      </c>
      <c r="AP193" s="66" t="str">
        <f t="shared" si="134"/>
        <v>Gerber</v>
      </c>
      <c r="AQ193" s="47" t="s">
        <v>0</v>
      </c>
      <c r="AR193" s="82" t="str">
        <f t="shared" si="162"/>
        <v/>
      </c>
      <c r="AS193" s="47" t="s">
        <v>0</v>
      </c>
      <c r="AT193" s="19" t="str">
        <f t="shared" si="163"/>
        <v/>
      </c>
      <c r="AU193" s="47" t="s">
        <v>0</v>
      </c>
      <c r="AV193" s="103"/>
      <c r="AW193" s="105"/>
      <c r="AX193" s="47" t="s">
        <v>0</v>
      </c>
      <c r="AY193" s="256" t="str">
        <f t="shared" si="181"/>
        <v/>
      </c>
      <c r="AZ193" s="47" t="s">
        <v>0</v>
      </c>
      <c r="BA193" s="52" t="str">
        <f t="shared" si="135"/>
        <v/>
      </c>
      <c r="BB193" s="73" t="str">
        <f>IF(AV193&amp;AW193="","",MAX(BB$12:BB192)+1)</f>
        <v/>
      </c>
      <c r="BC193" s="268" t="str">
        <f t="shared" si="136"/>
        <v/>
      </c>
      <c r="BD193" s="53" t="str">
        <f>IF(AND(AM193="NEMA",AN193="NEMA",OR(AV193&amp;AW193="",BC193="NEMA")),MAX(BD$12:BD192)+1,"")</f>
        <v/>
      </c>
      <c r="BE193" s="47" t="s">
        <v>0</v>
      </c>
      <c r="BF193" s="52" t="str">
        <f t="shared" si="137"/>
        <v>Sandra</v>
      </c>
      <c r="BG193" s="31" t="str">
        <f t="shared" si="138"/>
        <v>Gerber</v>
      </c>
      <c r="BH193" s="73" t="str">
        <f t="shared" si="164"/>
        <v/>
      </c>
      <c r="BI193" s="53">
        <f t="shared" si="165"/>
        <v>1938</v>
      </c>
      <c r="BJ193" s="47" t="s">
        <v>0</v>
      </c>
      <c r="BK193" s="52" t="str">
        <f t="shared" si="139"/>
        <v>KAP</v>
      </c>
      <c r="BL193" s="31" t="str">
        <f t="shared" si="140"/>
        <v>OK Kapela</v>
      </c>
      <c r="BM193" s="73">
        <f t="shared" si="141"/>
        <v>5</v>
      </c>
      <c r="BN193" s="73" t="str">
        <f t="shared" si="142"/>
        <v/>
      </c>
      <c r="BO193" s="31" t="str" cm="1">
        <f t="array" ref="BO193">IF(BN193="",""&amp;BL193,IF(BN193="NEMA",BL193,INDEX(regKlub_naziv,MATCH(INDEX(regKlub_alias_klubId,BN193),regKlub_id,0))))</f>
        <v>OK Kapela</v>
      </c>
      <c r="BP193" s="31" t="str" cm="1">
        <f t="array" ref="BP193">IFERROR(""&amp;INDEX(regNatjecatelj_klub,DY193),"")</f>
        <v>OK Kapela</v>
      </c>
      <c r="BQ193" s="88" t="str">
        <f t="shared" si="166"/>
        <v/>
      </c>
      <c r="BR193" s="66" t="str">
        <f t="shared" si="167"/>
        <v>OK Kapela</v>
      </c>
      <c r="BS193" s="47" t="s">
        <v>0</v>
      </c>
      <c r="BT193" s="82" t="str">
        <f>IF(BN193&lt;&gt;"NEMA","",IF(IFERROR(MATCH(BL193,BL$12:BL192,0),0)&lt;&gt;0,"",BL193))</f>
        <v/>
      </c>
      <c r="BU193" s="47" t="s">
        <v>0</v>
      </c>
      <c r="BV193" s="125"/>
      <c r="BW193" s="47" t="s">
        <v>0</v>
      </c>
      <c r="BX193" s="58" t="str">
        <f t="shared" si="168"/>
        <v/>
      </c>
      <c r="BY193" s="31" t="str">
        <f t="shared" si="169"/>
        <v/>
      </c>
      <c r="BZ193" s="31" t="str">
        <f>IF(BY193="","",MAX(BZ$12:BZ192)+1)</f>
        <v/>
      </c>
      <c r="CA193" s="31" t="str">
        <f>IF(BY193="","",IF(AA193="","",IF(AA193="NEMA",AC193,AA193)))</f>
        <v/>
      </c>
      <c r="CB193" s="31" t="str">
        <f t="shared" si="170"/>
        <v/>
      </c>
      <c r="CC193" s="31" t="str">
        <f>IF(BV193="","",MAX(CC$12:CC192)+1)</f>
        <v/>
      </c>
      <c r="CD193" s="31" t="str">
        <f t="shared" si="171"/>
        <v/>
      </c>
      <c r="CE193" s="66" t="str">
        <f t="shared" si="172"/>
        <v/>
      </c>
      <c r="CF193" s="47" t="s">
        <v>0</v>
      </c>
      <c r="CG193" s="73" t="str">
        <f>IF(BN193="","",IF(BN193&lt;&gt;"NEMA","",IFERROR(INDEX(nat_klubAliasId,MATCH(BL193,nat_noviKluboviAliasi,0)),"")))</f>
        <v/>
      </c>
      <c r="CH193" s="47"/>
      <c r="CI193" s="19" t="str">
        <f t="shared" si="173"/>
        <v/>
      </c>
      <c r="CJ193" s="47" t="s">
        <v>0</v>
      </c>
      <c r="CK193" s="52" t="str">
        <f>IF(X193&lt;&gt;"NEMA","",IF(IFERROR(MATCH(W193,W$12:W192,0),0)&lt;&gt;0,"",W193))</f>
        <v/>
      </c>
      <c r="CL193" s="73" t="str">
        <f>IF(CK193="","",IFERROR(INDEX(regKlub_alias_id,MATCH(CK193,regKlub_alias_alias,0)),"NEMA"))</f>
        <v/>
      </c>
      <c r="CM193" s="31" t="str">
        <f>IF(OR(CL193="",CL193&lt;&gt;"NEMA"),"",MAX(CM$12:CM192)+1)</f>
        <v/>
      </c>
      <c r="CN193" s="66" t="str">
        <f>IF(OR(CL193="",CL193&lt;&gt;"NEMA"),"",INDEX(regKlub_id,MATCH(CK193,regKlub_naziv,0)))</f>
        <v/>
      </c>
      <c r="CO193" s="47" t="s">
        <v>0</v>
      </c>
      <c r="CP193" s="19" t="str">
        <f>IF(OR(CL193="",CL193&lt;&gt;"NEMA"),"","INSERT INTO klub_alias(id,alias,klub_id) VALUES ("&amp;CM193&amp;",'"&amp;CK193&amp;"',"&amp;CN193&amp;");")</f>
        <v/>
      </c>
      <c r="CQ193" s="47" t="s">
        <v>0</v>
      </c>
      <c r="CR193" s="143" t="str">
        <f>IF(BR193="","",IF(BV193="",IF(IFERROR(MATCH(BR193,nat_noviKluboviAliasi,0),0)&gt;0,INDEX(nat_kluboviAliasi,MATCH(BR193,nat_noviKluboviAliasi,0)),BR193),BV193))</f>
        <v>OK Kapela</v>
      </c>
      <c r="CS193" s="47" t="s">
        <v>0</v>
      </c>
      <c r="CT193" s="58" t="str">
        <f>IF(G193="","",G193)</f>
        <v>126:55</v>
      </c>
      <c r="CU193" s="73" t="str">
        <f>IF(H193="","",H193)</f>
        <v>0</v>
      </c>
      <c r="CV193" s="229" t="str">
        <f>IF(CT193="",IF(OR(AL193="",CU193&lt;&gt;"0"),"","GREŠKA"),IF(AND(65535&gt;=VALUE(LEFT(CT193,SEARCH(":",CT193)-1))*60+VALUE(RIGHT(CT193,2)),OR(CU193="0",CU193="1",CU193="2",CU193="3",CU193="4")),"","GREŠKA"))</f>
        <v/>
      </c>
      <c r="CW193" s="230">
        <f t="shared" si="183"/>
        <v>7615</v>
      </c>
      <c r="CX193" s="163">
        <f t="shared" si="143"/>
        <v>1</v>
      </c>
      <c r="CY193" s="47" t="s">
        <v>0</v>
      </c>
      <c r="CZ193" s="222" t="str">
        <f>IF(CV193&lt;&gt;"GREŠKA","",AK193&amp;" "&amp;AL193&amp;" – Molim u OEventu provjeriti i ispraviti rezultat – vrijeme ("&amp;IF(CT193="","nije upisano",CT193)&amp;") i classifier ("&amp;CU193&amp;").")&amp;IF(OR(CV193&lt;&gt;"GREŠKA",CX193&lt;&gt;5),"
","")&amp;IF(CX193&lt;&gt;5,"",AK193&amp;" "&amp;AL193&amp;" – Molim u provjeriti je li natjecatelj zaista diskvalificiran. Ako je koje je obrazloženje, ako nije molim u OEventu ispraviti rezultat")</f>
        <v xml:space="preserve">
</v>
      </c>
      <c r="DA193" s="223">
        <f t="shared" si="174"/>
        <v>6</v>
      </c>
      <c r="DB193" s="47" t="s">
        <v>0</v>
      </c>
      <c r="DC193" s="47"/>
      <c r="DD193" s="47"/>
      <c r="DE193" s="47"/>
      <c r="DF193" s="47" t="s">
        <v>0</v>
      </c>
      <c r="DG193" s="53" t="str">
        <f>IF(BD193="","",IF(DI193="O",1,""))</f>
        <v/>
      </c>
      <c r="DH193" t="s">
        <v>0</v>
      </c>
      <c r="DI193" s="128" t="str">
        <f>IF(Q193="","",LEFT(INDEX(regKategorija_oznaka,MATCH(S193,regKategorija_id,0)),1))</f>
        <v>O</v>
      </c>
      <c r="DJ193" t="s">
        <v>0</v>
      </c>
      <c r="DK193" s="52" t="str">
        <f>IF(BD193="","",IF(M193&lt;&gt;"CRO","","INSERT INTO osoba (id,reg_broj,oib,spol_id,dat_rodjenja) VALUES ("&amp;BD193&amp;",(SELECT max(os.reg_broj)+1 FROM osoba AS os),Null,'"&amp;DI193&amp;"',Null); INSERT INTO osoba_log (id,reg_broj,oib,spol_id,dat_rodjenja,dnevnik_id) SELECT id,reg_broj,oib,spol_id,dat_rodjenja,"&amp;data_dnevnik_id&amp;" FROM osoba WHERE id = "&amp;BD193&amp;";"))</f>
        <v/>
      </c>
      <c r="DL193" s="66" t="str">
        <f>IF(BD193="","","INSERT INTO imeprezime (id,osoba_id,rbr,ime,prezime,klub_id,identitet_id,sintaksa_id,info,aktivno,dnevnik_id) VALUES ("&amp;BD193&amp;","&amp;IF(DK193="","Null",BD193)&amp;",1,'"&amp;IF(AV193&lt;&gt;"",AV193,AK193)&amp;"','"&amp;IF(AW193&lt;&gt;"",AW193,AL193)&amp;"',(SELECT id FROM klub WHERE naziv = '"&amp;CR193&amp;"'),Null,1,'',1,"&amp;data_dnevnik_id&amp;");")</f>
        <v/>
      </c>
      <c r="DM193" t="s">
        <v>0</v>
      </c>
      <c r="DN193" s="19" t="str">
        <f t="shared" si="182"/>
        <v/>
      </c>
      <c r="DO193" s="47" t="s">
        <v>0</v>
      </c>
      <c r="DP193" s="19" t="str">
        <f>IF(BA193="","","INSERT INTO imeprezime_alias(id,alias,imeprezime_id) VALUES ("&amp;BB193&amp;",'"&amp;BA193&amp;"',"&amp;IF(BC193="NEMA",BD193,BC193)&amp;");")</f>
        <v/>
      </c>
      <c r="DQ193" s="47" t="s">
        <v>0</v>
      </c>
      <c r="DR193" s="52" t="str">
        <f>IF(AL193="","",DU193 &amp; IF(Q193="",""," – " &amp; Q193))</f>
        <v>Sandra – Gerber – OK Kapela – OPEN</v>
      </c>
      <c r="DS193" s="53" t="str">
        <f t="shared" si="144"/>
        <v>NEMA</v>
      </c>
      <c r="DT193" s="47" t="s">
        <v>0</v>
      </c>
      <c r="DU193" s="52" t="str">
        <f>IF(AL193="","",DX193 &amp; IF(CR193="",""," – " &amp; CR193))</f>
        <v>Sandra – Gerber – OK Kapela</v>
      </c>
      <c r="DV193" s="53">
        <f t="shared" si="145"/>
        <v>241</v>
      </c>
      <c r="DW193" s="47" t="s">
        <v>0</v>
      </c>
      <c r="DX193" s="52" t="str">
        <f>IF(BG193="","",BF193&amp;" – "&amp;BG193)</f>
        <v>Sandra – Gerber</v>
      </c>
      <c r="DY193" s="53">
        <f t="shared" si="146"/>
        <v>241</v>
      </c>
      <c r="DZ193" s="47" t="s">
        <v>0</v>
      </c>
      <c r="EA193" s="58">
        <f t="shared" si="175"/>
        <v>241</v>
      </c>
      <c r="EB193" s="53" cm="1">
        <f t="array" ref="EB193">IF(EA193&lt;&gt;"",INDEX(regNatjecatelj_id,EA193,0),IF(BD193&lt;&gt;"",BD193,""))</f>
        <v>1938</v>
      </c>
      <c r="EC193" s="47" t="s">
        <v>0</v>
      </c>
      <c r="ED193" s="58" t="str">
        <f>IF(AL193="","",IF(BD193&lt;&gt;"","novo",IF(AN193="","imepre","imepre(ali)")))</f>
        <v>imepre</v>
      </c>
      <c r="EE193" s="73" t="str">
        <f>IF(AL193="","",IF(BL193="",IF(IFERROR(INDEX(regNatjecatelj_klub,MATCH(EB193,regNatjecatelj_id,0)),"NEMA")="","klu",""),IF(OR(AND(BN193&lt;&gt;"",BN193&lt;&gt;"NEMA"),CD193&lt;&gt;""),"klu(ali)",IF(AND(BP193&lt;&gt;"",BP193&lt;&gt;BO193),"(raz-klu)","klu"))))</f>
        <v>klu</v>
      </c>
      <c r="EF193" s="73" t="str">
        <f>IF(AL193="","","kat"&amp;IF(AND(W193&lt;&gt;Q193,Q193&lt;&gt;"Open"),"(ali)",""))</f>
        <v>kat</v>
      </c>
      <c r="EG193" s="73" t="str">
        <f t="shared" si="147"/>
        <v/>
      </c>
      <c r="EH193" s="66" t="str">
        <f>IF(AL193="","",ED193&amp;IF(ED193="novo","","-"&amp;EE193&amp;"-"&amp;EF193)&amp;IF(EG193="","","-"&amp;EG193))</f>
        <v>imepre-klu-kat</v>
      </c>
      <c r="EI193" s="47" t="s">
        <v>0</v>
      </c>
      <c r="EJ193" s="58">
        <f>IF(AL193="","",MAX(EJ$12:EJ192)+1)</f>
        <v>353</v>
      </c>
      <c r="EK193" s="73">
        <f>IF(AO193="","",X193)</f>
        <v>34</v>
      </c>
      <c r="EL193" s="73">
        <f t="shared" si="176"/>
        <v>1938</v>
      </c>
      <c r="EM193" s="73">
        <f t="shared" si="148"/>
        <v>7615</v>
      </c>
      <c r="EN193" s="73">
        <f t="shared" si="149"/>
        <v>1</v>
      </c>
      <c r="EO193" s="73">
        <f t="shared" si="177"/>
        <v>0</v>
      </c>
      <c r="EP193" s="73">
        <f t="shared" si="178"/>
        <v>1</v>
      </c>
      <c r="EQ193" s="73" t="str">
        <f t="shared" si="150"/>
        <v>0</v>
      </c>
      <c r="ER193" s="73" t="str">
        <f>IF(OR(AN193="",AN193="NEMA"),BB193,AN193)</f>
        <v/>
      </c>
      <c r="ES193" s="73" t="str">
        <f>IF(AND(BN193&lt;&gt;"",BN193&lt;&gt;"NEMA"),BN193,IF(CG193&lt;&gt;"",CG193,IF(AND(CL193&lt;&gt;"",CL193&lt;&gt;"NEMA"),CL193,IF(CM193&lt;&gt;"",CM193,""))))</f>
        <v/>
      </c>
      <c r="ET193" s="53" t="str">
        <f>IF(INDEX(natKategorija_alias_Id,MATCH(S193,natKategorija_katRegId,0))="","",INDEX(natKategorija_alias_Id,MATCH(S193,natKategorija_katRegId,0)))</f>
        <v/>
      </c>
      <c r="EU193" s="47" t="s">
        <v>0</v>
      </c>
      <c r="EV193" s="19" t="str">
        <f t="shared" si="179"/>
        <v>INSERT INTO rezultat(id,stazakategorija_id,imeprezime_id,vrijeme_sec,status_id,registracija,uparivanje_id,originalstatus_id,imeprezimealias_id,klubalias_id,kategorijaalias_id) VALUES (353,34,1938,7615,1,0,1,0,Null,Null,Null);</v>
      </c>
      <c r="EW193" s="47" t="s">
        <v>0</v>
      </c>
      <c r="EX193" s="19" t="str">
        <f t="shared" si="180"/>
        <v/>
      </c>
      <c r="EY193" s="47" t="s">
        <v>0</v>
      </c>
      <c r="EZ193" s="180" t="str">
        <f>AG193&amp;IF(CP193="","","
")&amp;CP193&amp;IF(CI193="","","
")&amp;CI193&amp;IF(DN193="","","
")&amp;DN193&amp;IF(DP193="","","
")&amp;DP193&amp;IF(EV193="","","
")&amp;EV193&amp;IF(EX193="","","
")&amp;EX193</f>
        <v xml:space="preserve">
INSERT INTO rezultat(id,stazakategorija_id,imeprezime_id,vrijeme_sec,status_id,registracija,uparivanje_id,originalstatus_id,imeprezimealias_id,klubalias_id,kategorijaalias_id) VALUES (353,34,1938,7615,1,0,1,0,Null,Null,Null);</v>
      </c>
      <c r="FA193" s="47" t="s">
        <v>0</v>
      </c>
    </row>
    <row r="194" spans="1:157" x14ac:dyDescent="0.25">
      <c r="A194" t="s">
        <v>0</v>
      </c>
      <c r="B194" s="52" t="str">
        <f>IF(csv!F184="","",csv!T184)</f>
        <v>OPEN</v>
      </c>
      <c r="C194" s="31" t="s">
        <v>0</v>
      </c>
      <c r="D194" s="31" t="str">
        <f>IF(csv!F184="","",csv!F184)</f>
        <v>Barbara</v>
      </c>
      <c r="E194" s="31" t="str">
        <f>IF(csv!E184="","",csv!E184)</f>
        <v>Bjeliš</v>
      </c>
      <c r="F194" s="31" t="s">
        <v>0</v>
      </c>
      <c r="G194" s="73" t="str">
        <f>IF(csv!M184="","",csv!M184)</f>
        <v>144:27</v>
      </c>
      <c r="H194" s="73" t="str">
        <f>IF(csv!N184="","",csv!N184)</f>
        <v>0</v>
      </c>
      <c r="I194" s="31" t="s">
        <v>0</v>
      </c>
      <c r="J194" s="31" t="str">
        <f>IF(csv!P184="","",csv!P184)</f>
        <v>Vihor</v>
      </c>
      <c r="K194" s="31" t="str">
        <f>IF(csv!Q184="","",csv!Q184)</f>
        <v>OK Vihor</v>
      </c>
      <c r="L194" s="31" t="s">
        <v>0</v>
      </c>
      <c r="M194" s="66" t="str">
        <f>IF(csv!R184="","",csv!R184)</f>
        <v>CRO</v>
      </c>
      <c r="N194" s="47" t="s">
        <v>0</v>
      </c>
      <c r="O194" s="243" t="str">
        <f t="shared" si="151"/>
        <v>ok</v>
      </c>
      <c r="P194" s="47"/>
      <c r="Q194" s="52" t="str">
        <f t="shared" si="152"/>
        <v>OPEN</v>
      </c>
      <c r="R194" s="73">
        <f>IF(Q194="","",IF(COUNTIF(Q$12:Q193,Q194)=0,R193+1,R193))</f>
        <v>12</v>
      </c>
      <c r="S194" s="73">
        <f t="shared" si="153"/>
        <v>291</v>
      </c>
      <c r="T194" s="73">
        <f t="shared" si="128"/>
        <v>29</v>
      </c>
      <c r="U194" s="66" t="str">
        <f t="shared" si="129"/>
        <v>Otvorena</v>
      </c>
      <c r="V194" s="47" t="s">
        <v>0</v>
      </c>
      <c r="W194" s="222" t="str">
        <f t="shared" si="130"/>
        <v>Otvorena</v>
      </c>
      <c r="X194" s="223">
        <f t="shared" si="131"/>
        <v>34</v>
      </c>
      <c r="Y194" s="47" t="s">
        <v>0</v>
      </c>
      <c r="Z194" s="52" t="str">
        <f t="shared" si="154"/>
        <v>CRO</v>
      </c>
      <c r="AA194" s="73">
        <f t="shared" si="132"/>
        <v>1</v>
      </c>
      <c r="AB194" s="31" t="str">
        <f t="shared" si="155"/>
        <v/>
      </c>
      <c r="AC194" s="66" t="str">
        <f>IF(AB194="","",MAX(AC$12:AC193)+1)</f>
        <v/>
      </c>
      <c r="AD194" s="47" t="s">
        <v>0</v>
      </c>
      <c r="AE194" s="125"/>
      <c r="AF194" s="47" t="s">
        <v>0</v>
      </c>
      <c r="AG194" s="19" t="str">
        <f t="shared" si="156"/>
        <v/>
      </c>
      <c r="AH194" s="47" t="s">
        <v>0</v>
      </c>
      <c r="AI194" s="143" t="str">
        <f t="shared" si="157"/>
        <v>CRO</v>
      </c>
      <c r="AJ194" s="47"/>
      <c r="AK194" s="52" t="str">
        <f t="shared" si="158"/>
        <v>Barbara</v>
      </c>
      <c r="AL194" s="31" t="str">
        <f t="shared" si="159"/>
        <v>Bjeliš</v>
      </c>
      <c r="AM194" s="73">
        <f t="shared" si="160"/>
        <v>1883</v>
      </c>
      <c r="AN194" s="73" t="str">
        <f t="shared" si="161"/>
        <v/>
      </c>
      <c r="AO194" s="31" t="str">
        <f t="shared" si="133"/>
        <v>Barbara</v>
      </c>
      <c r="AP194" s="66" t="str">
        <f t="shared" si="134"/>
        <v>Bjeliš</v>
      </c>
      <c r="AQ194" s="47" t="s">
        <v>0</v>
      </c>
      <c r="AR194" s="82" t="str">
        <f t="shared" si="162"/>
        <v/>
      </c>
      <c r="AS194" s="47" t="s">
        <v>0</v>
      </c>
      <c r="AT194" s="19" t="str">
        <f t="shared" si="163"/>
        <v/>
      </c>
      <c r="AU194" s="47" t="s">
        <v>0</v>
      </c>
      <c r="AV194" s="103"/>
      <c r="AW194" s="105"/>
      <c r="AX194" s="47" t="s">
        <v>0</v>
      </c>
      <c r="AY194" s="256" t="str">
        <f t="shared" si="181"/>
        <v/>
      </c>
      <c r="AZ194" s="47" t="s">
        <v>0</v>
      </c>
      <c r="BA194" s="52" t="str">
        <f t="shared" si="135"/>
        <v/>
      </c>
      <c r="BB194" s="73" t="str">
        <f>IF(AV194&amp;AW194="","",MAX(BB$12:BB193)+1)</f>
        <v/>
      </c>
      <c r="BC194" s="268" t="str">
        <f t="shared" si="136"/>
        <v/>
      </c>
      <c r="BD194" s="53" t="str">
        <f>IF(AND(AM194="NEMA",AN194="NEMA",OR(AV194&amp;AW194="",BC194="NEMA")),MAX(BD$12:BD193)+1,"")</f>
        <v/>
      </c>
      <c r="BE194" s="47" t="s">
        <v>0</v>
      </c>
      <c r="BF194" s="52" t="str">
        <f t="shared" si="137"/>
        <v>Barbara</v>
      </c>
      <c r="BG194" s="31" t="str">
        <f t="shared" si="138"/>
        <v>Bjeliš</v>
      </c>
      <c r="BH194" s="73" t="str">
        <f t="shared" si="164"/>
        <v/>
      </c>
      <c r="BI194" s="53">
        <f t="shared" si="165"/>
        <v>1883</v>
      </c>
      <c r="BJ194" s="47" t="s">
        <v>0</v>
      </c>
      <c r="BK194" s="52" t="str">
        <f t="shared" si="139"/>
        <v>Vihor</v>
      </c>
      <c r="BL194" s="31" t="str">
        <f t="shared" si="140"/>
        <v>OK Vihor</v>
      </c>
      <c r="BM194" s="73">
        <f t="shared" si="141"/>
        <v>12</v>
      </c>
      <c r="BN194" s="73" t="str">
        <f t="shared" si="142"/>
        <v/>
      </c>
      <c r="BO194" s="31" t="str" cm="1">
        <f t="array" ref="BO194">IF(BN194="",""&amp;BL194,IF(BN194="NEMA",BL194,INDEX(regKlub_naziv,MATCH(INDEX(regKlub_alias_klubId,BN194),regKlub_id,0))))</f>
        <v>OK Vihor</v>
      </c>
      <c r="BP194" s="31" t="str" cm="1">
        <f t="array" ref="BP194">IFERROR(""&amp;INDEX(regNatjecatelj_klub,DY194),"")</f>
        <v>OK Vihor</v>
      </c>
      <c r="BQ194" s="88" t="str">
        <f t="shared" si="166"/>
        <v/>
      </c>
      <c r="BR194" s="66" t="str">
        <f t="shared" si="167"/>
        <v>OK Vihor</v>
      </c>
      <c r="BS194" s="47" t="s">
        <v>0</v>
      </c>
      <c r="BT194" s="82" t="str">
        <f>IF(BN194&lt;&gt;"NEMA","",IF(IFERROR(MATCH(BL194,BL$12:BL193,0),0)&lt;&gt;0,"",BL194))</f>
        <v/>
      </c>
      <c r="BU194" s="47" t="s">
        <v>0</v>
      </c>
      <c r="BV194" s="125"/>
      <c r="BW194" s="47" t="s">
        <v>0</v>
      </c>
      <c r="BX194" s="58" t="str">
        <f t="shared" si="168"/>
        <v/>
      </c>
      <c r="BY194" s="31" t="str">
        <f t="shared" si="169"/>
        <v/>
      </c>
      <c r="BZ194" s="31" t="str">
        <f>IF(BY194="","",MAX(BZ$12:BZ193)+1)</f>
        <v/>
      </c>
      <c r="CA194" s="31" t="str">
        <f>IF(BY194="","",IF(AA194="","",IF(AA194="NEMA",AC194,AA194)))</f>
        <v/>
      </c>
      <c r="CB194" s="31" t="str">
        <f t="shared" si="170"/>
        <v/>
      </c>
      <c r="CC194" s="31" t="str">
        <f>IF(BV194="","",MAX(CC$12:CC193)+1)</f>
        <v/>
      </c>
      <c r="CD194" s="31" t="str">
        <f t="shared" si="171"/>
        <v/>
      </c>
      <c r="CE194" s="66" t="str">
        <f t="shared" si="172"/>
        <v/>
      </c>
      <c r="CF194" s="47" t="s">
        <v>0</v>
      </c>
      <c r="CG194" s="73" t="str">
        <f>IF(BN194="","",IF(BN194&lt;&gt;"NEMA","",IFERROR(INDEX(nat_klubAliasId,MATCH(BL194,nat_noviKluboviAliasi,0)),"")))</f>
        <v/>
      </c>
      <c r="CH194" s="47"/>
      <c r="CI194" s="19" t="str">
        <f t="shared" si="173"/>
        <v/>
      </c>
      <c r="CJ194" s="47" t="s">
        <v>0</v>
      </c>
      <c r="CK194" s="52" t="str">
        <f>IF(X194&lt;&gt;"NEMA","",IF(IFERROR(MATCH(W194,W$12:W193,0),0)&lt;&gt;0,"",W194))</f>
        <v/>
      </c>
      <c r="CL194" s="73" t="str">
        <f>IF(CK194="","",IFERROR(INDEX(regKlub_alias_id,MATCH(CK194,regKlub_alias_alias,0)),"NEMA"))</f>
        <v/>
      </c>
      <c r="CM194" s="31" t="str">
        <f>IF(OR(CL194="",CL194&lt;&gt;"NEMA"),"",MAX(CM$12:CM193)+1)</f>
        <v/>
      </c>
      <c r="CN194" s="66" t="str">
        <f>IF(OR(CL194="",CL194&lt;&gt;"NEMA"),"",INDEX(regKlub_id,MATCH(CK194,regKlub_naziv,0)))</f>
        <v/>
      </c>
      <c r="CO194" s="47" t="s">
        <v>0</v>
      </c>
      <c r="CP194" s="19" t="str">
        <f>IF(OR(CL194="",CL194&lt;&gt;"NEMA"),"","INSERT INTO klub_alias(id,alias,klub_id) VALUES ("&amp;CM194&amp;",'"&amp;CK194&amp;"',"&amp;CN194&amp;");")</f>
        <v/>
      </c>
      <c r="CQ194" s="47" t="s">
        <v>0</v>
      </c>
      <c r="CR194" s="143" t="str">
        <f>IF(BR194="","",IF(BV194="",IF(IFERROR(MATCH(BR194,nat_noviKluboviAliasi,0),0)&gt;0,INDEX(nat_kluboviAliasi,MATCH(BR194,nat_noviKluboviAliasi,0)),BR194),BV194))</f>
        <v>OK Vihor</v>
      </c>
      <c r="CS194" s="47" t="s">
        <v>0</v>
      </c>
      <c r="CT194" s="58" t="str">
        <f>IF(G194="","",G194)</f>
        <v>144:27</v>
      </c>
      <c r="CU194" s="73" t="str">
        <f>IF(H194="","",H194)</f>
        <v>0</v>
      </c>
      <c r="CV194" s="229" t="str">
        <f>IF(CT194="",IF(OR(AL194="",CU194&lt;&gt;"0"),"","GREŠKA"),IF(AND(65535&gt;=VALUE(LEFT(CT194,SEARCH(":",CT194)-1))*60+VALUE(RIGHT(CT194,2)),OR(CU194="0",CU194="1",CU194="2",CU194="3",CU194="4")),"","GREŠKA"))</f>
        <v/>
      </c>
      <c r="CW194" s="230">
        <f t="shared" si="183"/>
        <v>8667</v>
      </c>
      <c r="CX194" s="163">
        <f t="shared" si="143"/>
        <v>1</v>
      </c>
      <c r="CY194" s="47" t="s">
        <v>0</v>
      </c>
      <c r="CZ194" s="222" t="str">
        <f>IF(CV194&lt;&gt;"GREŠKA","",AK194&amp;" "&amp;AL194&amp;" – Molim u OEventu provjeriti i ispraviti rezultat – vrijeme ("&amp;IF(CT194="","nije upisano",CT194)&amp;") i classifier ("&amp;CU194&amp;").")&amp;IF(OR(CV194&lt;&gt;"GREŠKA",CX194&lt;&gt;5),"
","")&amp;IF(CX194&lt;&gt;5,"",AK194&amp;" "&amp;AL194&amp;" – Molim u provjeriti je li natjecatelj zaista diskvalificiran. Ako je koje je obrazloženje, ako nije molim u OEventu ispraviti rezultat")</f>
        <v xml:space="preserve">
</v>
      </c>
      <c r="DA194" s="223">
        <f t="shared" si="174"/>
        <v>6</v>
      </c>
      <c r="DB194" s="47" t="s">
        <v>0</v>
      </c>
      <c r="DC194" s="47"/>
      <c r="DD194" s="47"/>
      <c r="DE194" s="47"/>
      <c r="DF194" s="47" t="s">
        <v>0</v>
      </c>
      <c r="DG194" s="53" t="str">
        <f>IF(BD194="","",IF(DI194="O",1,""))</f>
        <v/>
      </c>
      <c r="DH194" t="s">
        <v>0</v>
      </c>
      <c r="DI194" s="128" t="str">
        <f>IF(Q194="","",LEFT(INDEX(regKategorija_oznaka,MATCH(S194,regKategorija_id,0)),1))</f>
        <v>O</v>
      </c>
      <c r="DJ194" t="s">
        <v>0</v>
      </c>
      <c r="DK194" s="52" t="str">
        <f>IF(BD194="","",IF(M194&lt;&gt;"CRO","","INSERT INTO osoba (id,reg_broj,oib,spol_id,dat_rodjenja) VALUES ("&amp;BD194&amp;",(SELECT max(os.reg_broj)+1 FROM osoba AS os),Null,'"&amp;DI194&amp;"',Null); INSERT INTO osoba_log (id,reg_broj,oib,spol_id,dat_rodjenja,dnevnik_id) SELECT id,reg_broj,oib,spol_id,dat_rodjenja,"&amp;data_dnevnik_id&amp;" FROM osoba WHERE id = "&amp;BD194&amp;";"))</f>
        <v/>
      </c>
      <c r="DL194" s="66" t="str">
        <f>IF(BD194="","","INSERT INTO imeprezime (id,osoba_id,rbr,ime,prezime,klub_id,identitet_id,sintaksa_id,info,aktivno,dnevnik_id) VALUES ("&amp;BD194&amp;","&amp;IF(DK194="","Null",BD194)&amp;",1,'"&amp;IF(AV194&lt;&gt;"",AV194,AK194)&amp;"','"&amp;IF(AW194&lt;&gt;"",AW194,AL194)&amp;"',(SELECT id FROM klub WHERE naziv = '"&amp;CR194&amp;"'),Null,1,'',1,"&amp;data_dnevnik_id&amp;");")</f>
        <v/>
      </c>
      <c r="DM194" t="s">
        <v>0</v>
      </c>
      <c r="DN194" s="19" t="str">
        <f t="shared" si="182"/>
        <v/>
      </c>
      <c r="DO194" s="47" t="s">
        <v>0</v>
      </c>
      <c r="DP194" s="19" t="str">
        <f>IF(BA194="","","INSERT INTO imeprezime_alias(id,alias,imeprezime_id) VALUES ("&amp;BB194&amp;",'"&amp;BA194&amp;"',"&amp;IF(BC194="NEMA",BD194,BC194)&amp;");")</f>
        <v/>
      </c>
      <c r="DQ194" s="47" t="s">
        <v>0</v>
      </c>
      <c r="DR194" s="52" t="str">
        <f>IF(AL194="","",DU194 &amp; IF(Q194="",""," – " &amp; Q194))</f>
        <v>Barbara – Bjeliš – OK Vihor – OPEN</v>
      </c>
      <c r="DS194" s="53" t="str">
        <f t="shared" si="144"/>
        <v>NEMA</v>
      </c>
      <c r="DT194" s="47" t="s">
        <v>0</v>
      </c>
      <c r="DU194" s="52" t="str">
        <f>IF(AL194="","",DX194 &amp; IF(CR194="",""," – " &amp; CR194))</f>
        <v>Barbara – Bjeliš – OK Vihor</v>
      </c>
      <c r="DV194" s="53">
        <f t="shared" si="145"/>
        <v>630</v>
      </c>
      <c r="DW194" s="47" t="s">
        <v>0</v>
      </c>
      <c r="DX194" s="52" t="str">
        <f>IF(BG194="","",BF194&amp;" – "&amp;BG194)</f>
        <v>Barbara – Bjeliš</v>
      </c>
      <c r="DY194" s="53">
        <f t="shared" si="146"/>
        <v>630</v>
      </c>
      <c r="DZ194" s="47" t="s">
        <v>0</v>
      </c>
      <c r="EA194" s="58">
        <f t="shared" si="175"/>
        <v>630</v>
      </c>
      <c r="EB194" s="53" cm="1">
        <f t="array" ref="EB194">IF(EA194&lt;&gt;"",INDEX(regNatjecatelj_id,EA194,0),IF(BD194&lt;&gt;"",BD194,""))</f>
        <v>1883</v>
      </c>
      <c r="EC194" s="47" t="s">
        <v>0</v>
      </c>
      <c r="ED194" s="58" t="str">
        <f>IF(AL194="","",IF(BD194&lt;&gt;"","novo",IF(AN194="","imepre","imepre(ali)")))</f>
        <v>imepre</v>
      </c>
      <c r="EE194" s="73" t="str">
        <f>IF(AL194="","",IF(BL194="",IF(IFERROR(INDEX(regNatjecatelj_klub,MATCH(EB194,regNatjecatelj_id,0)),"NEMA")="","klu",""),IF(OR(AND(BN194&lt;&gt;"",BN194&lt;&gt;"NEMA"),CD194&lt;&gt;""),"klu(ali)",IF(AND(BP194&lt;&gt;"",BP194&lt;&gt;BO194),"(raz-klu)","klu"))))</f>
        <v>klu</v>
      </c>
      <c r="EF194" s="73" t="str">
        <f>IF(AL194="","","kat"&amp;IF(AND(W194&lt;&gt;Q194,Q194&lt;&gt;"Open"),"(ali)",""))</f>
        <v>kat</v>
      </c>
      <c r="EG194" s="73" t="str">
        <f t="shared" si="147"/>
        <v/>
      </c>
      <c r="EH194" s="66" t="str">
        <f>IF(AL194="","",ED194&amp;IF(ED194="novo","","-"&amp;EE194&amp;"-"&amp;EF194)&amp;IF(EG194="","","-"&amp;EG194))</f>
        <v>imepre-klu-kat</v>
      </c>
      <c r="EI194" s="47" t="s">
        <v>0</v>
      </c>
      <c r="EJ194" s="58">
        <f>IF(AL194="","",MAX(EJ$12:EJ193)+1)</f>
        <v>354</v>
      </c>
      <c r="EK194" s="73">
        <f>IF(AO194="","",X194)</f>
        <v>34</v>
      </c>
      <c r="EL194" s="73">
        <f t="shared" si="176"/>
        <v>1883</v>
      </c>
      <c r="EM194" s="73">
        <f t="shared" si="148"/>
        <v>8667</v>
      </c>
      <c r="EN194" s="73">
        <f t="shared" si="149"/>
        <v>1</v>
      </c>
      <c r="EO194" s="73">
        <f t="shared" si="177"/>
        <v>0</v>
      </c>
      <c r="EP194" s="73">
        <f t="shared" si="178"/>
        <v>1</v>
      </c>
      <c r="EQ194" s="73" t="str">
        <f t="shared" si="150"/>
        <v>0</v>
      </c>
      <c r="ER194" s="73" t="str">
        <f>IF(OR(AN194="",AN194="NEMA"),BB194,AN194)</f>
        <v/>
      </c>
      <c r="ES194" s="73" t="str">
        <f>IF(AND(BN194&lt;&gt;"",BN194&lt;&gt;"NEMA"),BN194,IF(CG194&lt;&gt;"",CG194,IF(AND(CL194&lt;&gt;"",CL194&lt;&gt;"NEMA"),CL194,IF(CM194&lt;&gt;"",CM194,""))))</f>
        <v/>
      </c>
      <c r="ET194" s="53" t="str">
        <f>IF(INDEX(natKategorija_alias_Id,MATCH(S194,natKategorija_katRegId,0))="","",INDEX(natKategorija_alias_Id,MATCH(S194,natKategorija_katRegId,0)))</f>
        <v/>
      </c>
      <c r="EU194" s="47" t="s">
        <v>0</v>
      </c>
      <c r="EV194" s="19" t="str">
        <f t="shared" si="179"/>
        <v>INSERT INTO rezultat(id,stazakategorija_id,imeprezime_id,vrijeme_sec,status_id,registracija,uparivanje_id,originalstatus_id,imeprezimealias_id,klubalias_id,kategorijaalias_id) VALUES (354,34,1883,8667,1,0,1,0,Null,Null,Null);</v>
      </c>
      <c r="EW194" s="47" t="s">
        <v>0</v>
      </c>
      <c r="EX194" s="19" t="str">
        <f t="shared" si="180"/>
        <v/>
      </c>
      <c r="EY194" s="47" t="s">
        <v>0</v>
      </c>
      <c r="EZ194" s="180" t="str">
        <f>AG194&amp;IF(CP194="","","
")&amp;CP194&amp;IF(CI194="","","
")&amp;CI194&amp;IF(DN194="","","
")&amp;DN194&amp;IF(DP194="","","
")&amp;DP194&amp;IF(EV194="","","
")&amp;EV194&amp;IF(EX194="","","
")&amp;EX194</f>
        <v xml:space="preserve">
INSERT INTO rezultat(id,stazakategorija_id,imeprezime_id,vrijeme_sec,status_id,registracija,uparivanje_id,originalstatus_id,imeprezimealias_id,klubalias_id,kategorijaalias_id) VALUES (354,34,1883,8667,1,0,1,0,Null,Null,Null);</v>
      </c>
      <c r="FA194" s="47" t="s">
        <v>0</v>
      </c>
    </row>
    <row r="195" spans="1:157" x14ac:dyDescent="0.25">
      <c r="A195" t="s">
        <v>0</v>
      </c>
      <c r="B195" s="52" t="str">
        <f>IF(csv!F185="","",csv!T185)</f>
        <v>OPEN</v>
      </c>
      <c r="C195" s="31" t="s">
        <v>0</v>
      </c>
      <c r="D195" s="31" t="str">
        <f>IF(csv!F185="","",csv!F185)</f>
        <v>Lucija</v>
      </c>
      <c r="E195" s="31" t="str">
        <f>IF(csv!E185="","",csv!E185)</f>
        <v>Šantek</v>
      </c>
      <c r="F195" s="31" t="s">
        <v>0</v>
      </c>
      <c r="G195" s="73" t="str">
        <f>IF(csv!M185="","",csv!M185)</f>
        <v>145:43</v>
      </c>
      <c r="H195" s="73" t="str">
        <f>IF(csv!N185="","",csv!N185)</f>
        <v>0</v>
      </c>
      <c r="I195" s="31" t="s">
        <v>0</v>
      </c>
      <c r="J195" s="31" t="str">
        <f>IF(csv!P185="","",csv!P185)</f>
        <v>OK Varaždin</v>
      </c>
      <c r="K195" s="31" t="str">
        <f>IF(csv!Q185="","",csv!Q185)</f>
        <v>OK Varaždin</v>
      </c>
      <c r="L195" s="31" t="s">
        <v>0</v>
      </c>
      <c r="M195" s="66" t="str">
        <f>IF(csv!R185="","",csv!R185)</f>
        <v>CRO</v>
      </c>
      <c r="N195" s="47" t="s">
        <v>0</v>
      </c>
      <c r="O195" s="243" t="str">
        <f t="shared" si="151"/>
        <v>ok</v>
      </c>
      <c r="P195" s="47"/>
      <c r="Q195" s="52" t="str">
        <f t="shared" si="152"/>
        <v>OPEN</v>
      </c>
      <c r="R195" s="73">
        <f>IF(Q195="","",IF(COUNTIF(Q$12:Q194,Q195)=0,R194+1,R194))</f>
        <v>12</v>
      </c>
      <c r="S195" s="73">
        <f t="shared" si="153"/>
        <v>291</v>
      </c>
      <c r="T195" s="73">
        <f t="shared" si="128"/>
        <v>29</v>
      </c>
      <c r="U195" s="66" t="str">
        <f t="shared" si="129"/>
        <v>Otvorena</v>
      </c>
      <c r="V195" s="47" t="s">
        <v>0</v>
      </c>
      <c r="W195" s="222" t="str">
        <f t="shared" si="130"/>
        <v>Otvorena</v>
      </c>
      <c r="X195" s="223">
        <f t="shared" si="131"/>
        <v>34</v>
      </c>
      <c r="Y195" s="47" t="s">
        <v>0</v>
      </c>
      <c r="Z195" s="52" t="str">
        <f t="shared" si="154"/>
        <v>CRO</v>
      </c>
      <c r="AA195" s="73">
        <f t="shared" si="132"/>
        <v>1</v>
      </c>
      <c r="AB195" s="31" t="str">
        <f t="shared" si="155"/>
        <v/>
      </c>
      <c r="AC195" s="66" t="str">
        <f>IF(AB195="","",MAX(AC$12:AC194)+1)</f>
        <v/>
      </c>
      <c r="AD195" s="47" t="s">
        <v>0</v>
      </c>
      <c r="AE195" s="125"/>
      <c r="AF195" s="47" t="s">
        <v>0</v>
      </c>
      <c r="AG195" s="19" t="str">
        <f t="shared" si="156"/>
        <v/>
      </c>
      <c r="AH195" s="47" t="s">
        <v>0</v>
      </c>
      <c r="AI195" s="143" t="str">
        <f t="shared" si="157"/>
        <v>CRO</v>
      </c>
      <c r="AJ195" s="47"/>
      <c r="AK195" s="52" t="str">
        <f t="shared" si="158"/>
        <v>Lucija</v>
      </c>
      <c r="AL195" s="31" t="str">
        <f t="shared" si="159"/>
        <v>Šantek</v>
      </c>
      <c r="AM195" s="73">
        <f t="shared" si="160"/>
        <v>1932</v>
      </c>
      <c r="AN195" s="73" t="str">
        <f t="shared" si="161"/>
        <v/>
      </c>
      <c r="AO195" s="31" t="str">
        <f t="shared" si="133"/>
        <v>Lucija</v>
      </c>
      <c r="AP195" s="66" t="str">
        <f t="shared" si="134"/>
        <v>Šantek</v>
      </c>
      <c r="AQ195" s="47" t="s">
        <v>0</v>
      </c>
      <c r="AR195" s="82" t="str">
        <f t="shared" si="162"/>
        <v/>
      </c>
      <c r="AS195" s="47" t="s">
        <v>0</v>
      </c>
      <c r="AT195" s="19" t="str">
        <f t="shared" si="163"/>
        <v/>
      </c>
      <c r="AU195" s="47" t="s">
        <v>0</v>
      </c>
      <c r="AV195" s="103"/>
      <c r="AW195" s="105"/>
      <c r="AX195" s="47" t="s">
        <v>0</v>
      </c>
      <c r="AY195" s="256" t="str">
        <f t="shared" si="181"/>
        <v/>
      </c>
      <c r="AZ195" s="47" t="s">
        <v>0</v>
      </c>
      <c r="BA195" s="52" t="str">
        <f t="shared" si="135"/>
        <v/>
      </c>
      <c r="BB195" s="73" t="str">
        <f>IF(AV195&amp;AW195="","",MAX(BB$12:BB194)+1)</f>
        <v/>
      </c>
      <c r="BC195" s="268" t="str">
        <f t="shared" si="136"/>
        <v/>
      </c>
      <c r="BD195" s="53" t="str">
        <f>IF(AND(AM195="NEMA",AN195="NEMA",OR(AV195&amp;AW195="",BC195="NEMA")),MAX(BD$12:BD194)+1,"")</f>
        <v/>
      </c>
      <c r="BE195" s="47" t="s">
        <v>0</v>
      </c>
      <c r="BF195" s="52" t="str">
        <f t="shared" si="137"/>
        <v>Lucija</v>
      </c>
      <c r="BG195" s="31" t="str">
        <f t="shared" si="138"/>
        <v>Šantek</v>
      </c>
      <c r="BH195" s="73" t="str">
        <f t="shared" si="164"/>
        <v/>
      </c>
      <c r="BI195" s="53">
        <f t="shared" si="165"/>
        <v>1932</v>
      </c>
      <c r="BJ195" s="47" t="s">
        <v>0</v>
      </c>
      <c r="BK195" s="52" t="str">
        <f t="shared" si="139"/>
        <v>OK Varaždin</v>
      </c>
      <c r="BL195" s="31" t="str">
        <f t="shared" si="140"/>
        <v>OK Varaždin</v>
      </c>
      <c r="BM195" s="73">
        <f t="shared" si="141"/>
        <v>11</v>
      </c>
      <c r="BN195" s="73" t="str">
        <f t="shared" si="142"/>
        <v/>
      </c>
      <c r="BO195" s="31" t="str" cm="1">
        <f t="array" ref="BO195">IF(BN195="",""&amp;BL195,IF(BN195="NEMA",BL195,INDEX(regKlub_naziv,MATCH(INDEX(regKlub_alias_klubId,BN195),regKlub_id,0))))</f>
        <v>OK Varaždin</v>
      </c>
      <c r="BP195" s="31" t="str" cm="1">
        <f t="array" ref="BP195">IFERROR(""&amp;INDEX(regNatjecatelj_klub,DY195),"")</f>
        <v>OK Varaždin</v>
      </c>
      <c r="BQ195" s="88" t="str">
        <f t="shared" si="166"/>
        <v/>
      </c>
      <c r="BR195" s="66" t="str">
        <f t="shared" si="167"/>
        <v>OK Varaždin</v>
      </c>
      <c r="BS195" s="47" t="s">
        <v>0</v>
      </c>
      <c r="BT195" s="82" t="str">
        <f>IF(BN195&lt;&gt;"NEMA","",IF(IFERROR(MATCH(BL195,BL$12:BL194,0),0)&lt;&gt;0,"",BL195))</f>
        <v/>
      </c>
      <c r="BU195" s="47" t="s">
        <v>0</v>
      </c>
      <c r="BV195" s="125"/>
      <c r="BW195" s="47" t="s">
        <v>0</v>
      </c>
      <c r="BX195" s="58" t="str">
        <f t="shared" si="168"/>
        <v/>
      </c>
      <c r="BY195" s="31" t="str">
        <f t="shared" si="169"/>
        <v/>
      </c>
      <c r="BZ195" s="31" t="str">
        <f>IF(BY195="","",MAX(BZ$12:BZ194)+1)</f>
        <v/>
      </c>
      <c r="CA195" s="31" t="str">
        <f>IF(BY195="","",IF(AA195="","",IF(AA195="NEMA",AC195,AA195)))</f>
        <v/>
      </c>
      <c r="CB195" s="31" t="str">
        <f t="shared" si="170"/>
        <v/>
      </c>
      <c r="CC195" s="31" t="str">
        <f>IF(BV195="","",MAX(CC$12:CC194)+1)</f>
        <v/>
      </c>
      <c r="CD195" s="31" t="str">
        <f t="shared" si="171"/>
        <v/>
      </c>
      <c r="CE195" s="66" t="str">
        <f t="shared" si="172"/>
        <v/>
      </c>
      <c r="CF195" s="47" t="s">
        <v>0</v>
      </c>
      <c r="CG195" s="73" t="str">
        <f>IF(BN195="","",IF(BN195&lt;&gt;"NEMA","",IFERROR(INDEX(nat_klubAliasId,MATCH(BL195,nat_noviKluboviAliasi,0)),"")))</f>
        <v/>
      </c>
      <c r="CH195" s="47"/>
      <c r="CI195" s="19" t="str">
        <f t="shared" si="173"/>
        <v/>
      </c>
      <c r="CJ195" s="47" t="s">
        <v>0</v>
      </c>
      <c r="CK195" s="52" t="str">
        <f>IF(X195&lt;&gt;"NEMA","",IF(IFERROR(MATCH(W195,W$12:W194,0),0)&lt;&gt;0,"",W195))</f>
        <v/>
      </c>
      <c r="CL195" s="73" t="str">
        <f>IF(CK195="","",IFERROR(INDEX(regKlub_alias_id,MATCH(CK195,regKlub_alias_alias,0)),"NEMA"))</f>
        <v/>
      </c>
      <c r="CM195" s="31" t="str">
        <f>IF(OR(CL195="",CL195&lt;&gt;"NEMA"),"",MAX(CM$12:CM194)+1)</f>
        <v/>
      </c>
      <c r="CN195" s="66" t="str">
        <f>IF(OR(CL195="",CL195&lt;&gt;"NEMA"),"",INDEX(regKlub_id,MATCH(CK195,regKlub_naziv,0)))</f>
        <v/>
      </c>
      <c r="CO195" s="47" t="s">
        <v>0</v>
      </c>
      <c r="CP195" s="19" t="str">
        <f>IF(OR(CL195="",CL195&lt;&gt;"NEMA"),"","INSERT INTO klub_alias(id,alias,klub_id) VALUES ("&amp;CM195&amp;",'"&amp;CK195&amp;"',"&amp;CN195&amp;");")</f>
        <v/>
      </c>
      <c r="CQ195" s="47" t="s">
        <v>0</v>
      </c>
      <c r="CR195" s="143" t="str">
        <f>IF(BR195="","",IF(BV195="",IF(IFERROR(MATCH(BR195,nat_noviKluboviAliasi,0),0)&gt;0,INDEX(nat_kluboviAliasi,MATCH(BR195,nat_noviKluboviAliasi,0)),BR195),BV195))</f>
        <v>OK Varaždin</v>
      </c>
      <c r="CS195" s="47" t="s">
        <v>0</v>
      </c>
      <c r="CT195" s="58" t="str">
        <f>IF(G195="","",G195)</f>
        <v>145:43</v>
      </c>
      <c r="CU195" s="73" t="str">
        <f>IF(H195="","",H195)</f>
        <v>0</v>
      </c>
      <c r="CV195" s="229" t="str">
        <f>IF(CT195="",IF(OR(AL195="",CU195&lt;&gt;"0"),"","GREŠKA"),IF(AND(65535&gt;=VALUE(LEFT(CT195,SEARCH(":",CT195)-1))*60+VALUE(RIGHT(CT195,2)),OR(CU195="0",CU195="1",CU195="2",CU195="3",CU195="4")),"","GREŠKA"))</f>
        <v/>
      </c>
      <c r="CW195" s="230">
        <f t="shared" si="183"/>
        <v>8743</v>
      </c>
      <c r="CX195" s="163">
        <f t="shared" si="143"/>
        <v>1</v>
      </c>
      <c r="CY195" s="47" t="s">
        <v>0</v>
      </c>
      <c r="CZ195" s="222" t="str">
        <f>IF(CV195&lt;&gt;"GREŠKA","",AK195&amp;" "&amp;AL195&amp;" – Molim u OEventu provjeriti i ispraviti rezultat – vrijeme ("&amp;IF(CT195="","nije upisano",CT195)&amp;") i classifier ("&amp;CU195&amp;").")&amp;IF(OR(CV195&lt;&gt;"GREŠKA",CX195&lt;&gt;5),"
","")&amp;IF(CX195&lt;&gt;5,"",AK195&amp;" "&amp;AL195&amp;" – Molim u provjeriti je li natjecatelj zaista diskvalificiran. Ako je koje je obrazloženje, ako nije molim u OEventu ispraviti rezultat")</f>
        <v xml:space="preserve">
</v>
      </c>
      <c r="DA195" s="223">
        <f t="shared" si="174"/>
        <v>6</v>
      </c>
      <c r="DB195" s="47" t="s">
        <v>0</v>
      </c>
      <c r="DC195" s="47"/>
      <c r="DD195" s="47"/>
      <c r="DE195" s="47"/>
      <c r="DF195" s="47" t="s">
        <v>0</v>
      </c>
      <c r="DG195" s="53" t="str">
        <f>IF(BD195="","",IF(DI195="O",1,""))</f>
        <v/>
      </c>
      <c r="DH195" t="s">
        <v>0</v>
      </c>
      <c r="DI195" s="128" t="str">
        <f>IF(Q195="","",LEFT(INDEX(regKategorija_oznaka,MATCH(S195,regKategorija_id,0)),1))</f>
        <v>O</v>
      </c>
      <c r="DJ195" t="s">
        <v>0</v>
      </c>
      <c r="DK195" s="52" t="str">
        <f>IF(BD195="","",IF(M195&lt;&gt;"CRO","","INSERT INTO osoba (id,reg_broj,oib,spol_id,dat_rodjenja) VALUES ("&amp;BD195&amp;",(SELECT max(os.reg_broj)+1 FROM osoba AS os),Null,'"&amp;DI195&amp;"',Null); INSERT INTO osoba_log (id,reg_broj,oib,spol_id,dat_rodjenja,dnevnik_id) SELECT id,reg_broj,oib,spol_id,dat_rodjenja,"&amp;data_dnevnik_id&amp;" FROM osoba WHERE id = "&amp;BD195&amp;";"))</f>
        <v/>
      </c>
      <c r="DL195" s="66" t="str">
        <f>IF(BD195="","","INSERT INTO imeprezime (id,osoba_id,rbr,ime,prezime,klub_id,identitet_id,sintaksa_id,info,aktivno,dnevnik_id) VALUES ("&amp;BD195&amp;","&amp;IF(DK195="","Null",BD195)&amp;",1,'"&amp;IF(AV195&lt;&gt;"",AV195,AK195)&amp;"','"&amp;IF(AW195&lt;&gt;"",AW195,AL195)&amp;"',(SELECT id FROM klub WHERE naziv = '"&amp;CR195&amp;"'),Null,1,'',1,"&amp;data_dnevnik_id&amp;");")</f>
        <v/>
      </c>
      <c r="DM195" t="s">
        <v>0</v>
      </c>
      <c r="DN195" s="19" t="str">
        <f t="shared" si="182"/>
        <v/>
      </c>
      <c r="DO195" s="47" t="s">
        <v>0</v>
      </c>
      <c r="DP195" s="19" t="str">
        <f>IF(BA195="","","INSERT INTO imeprezime_alias(id,alias,imeprezime_id) VALUES ("&amp;BB195&amp;",'"&amp;BA195&amp;"',"&amp;IF(BC195="NEMA",BD195,BC195)&amp;");")</f>
        <v/>
      </c>
      <c r="DQ195" s="47" t="s">
        <v>0</v>
      </c>
      <c r="DR195" s="52" t="str">
        <f>IF(AL195="","",DU195 &amp; IF(Q195="",""," – " &amp; Q195))</f>
        <v>Lucija – Šantek – OK Varaždin – OPEN</v>
      </c>
      <c r="DS195" s="53" t="str">
        <f t="shared" si="144"/>
        <v>NEMA</v>
      </c>
      <c r="DT195" s="47" t="s">
        <v>0</v>
      </c>
      <c r="DU195" s="52" t="str">
        <f>IF(AL195="","",DX195 &amp; IF(CR195="",""," – " &amp; CR195))</f>
        <v>Lucija – Šantek – OK Varaždin</v>
      </c>
      <c r="DV195" s="53">
        <f t="shared" si="145"/>
        <v>588</v>
      </c>
      <c r="DW195" s="47" t="s">
        <v>0</v>
      </c>
      <c r="DX195" s="52" t="str">
        <f>IF(BG195="","",BF195&amp;" – "&amp;BG195)</f>
        <v>Lucija – Šantek</v>
      </c>
      <c r="DY195" s="53">
        <f t="shared" si="146"/>
        <v>588</v>
      </c>
      <c r="DZ195" s="47" t="s">
        <v>0</v>
      </c>
      <c r="EA195" s="58">
        <f t="shared" si="175"/>
        <v>588</v>
      </c>
      <c r="EB195" s="53" cm="1">
        <f t="array" ref="EB195">IF(EA195&lt;&gt;"",INDEX(regNatjecatelj_id,EA195,0),IF(BD195&lt;&gt;"",BD195,""))</f>
        <v>1932</v>
      </c>
      <c r="EC195" s="47" t="s">
        <v>0</v>
      </c>
      <c r="ED195" s="58" t="str">
        <f>IF(AL195="","",IF(BD195&lt;&gt;"","novo",IF(AN195="","imepre","imepre(ali)")))</f>
        <v>imepre</v>
      </c>
      <c r="EE195" s="73" t="str">
        <f>IF(AL195="","",IF(BL195="",IF(IFERROR(INDEX(regNatjecatelj_klub,MATCH(EB195,regNatjecatelj_id,0)),"NEMA")="","klu",""),IF(OR(AND(BN195&lt;&gt;"",BN195&lt;&gt;"NEMA"),CD195&lt;&gt;""),"klu(ali)",IF(AND(BP195&lt;&gt;"",BP195&lt;&gt;BO195),"(raz-klu)","klu"))))</f>
        <v>klu</v>
      </c>
      <c r="EF195" s="73" t="str">
        <f>IF(AL195="","","kat"&amp;IF(AND(W195&lt;&gt;Q195,Q195&lt;&gt;"Open"),"(ali)",""))</f>
        <v>kat</v>
      </c>
      <c r="EG195" s="73" t="str">
        <f t="shared" si="147"/>
        <v/>
      </c>
      <c r="EH195" s="66" t="str">
        <f>IF(AL195="","",ED195&amp;IF(ED195="novo","","-"&amp;EE195&amp;"-"&amp;EF195)&amp;IF(EG195="","","-"&amp;EG195))</f>
        <v>imepre-klu-kat</v>
      </c>
      <c r="EI195" s="47" t="s">
        <v>0</v>
      </c>
      <c r="EJ195" s="58">
        <f>IF(AL195="","",MAX(EJ$12:EJ194)+1)</f>
        <v>355</v>
      </c>
      <c r="EK195" s="73">
        <f>IF(AO195="","",X195)</f>
        <v>34</v>
      </c>
      <c r="EL195" s="73">
        <f t="shared" si="176"/>
        <v>1932</v>
      </c>
      <c r="EM195" s="73">
        <f t="shared" si="148"/>
        <v>8743</v>
      </c>
      <c r="EN195" s="73">
        <f t="shared" si="149"/>
        <v>1</v>
      </c>
      <c r="EO195" s="73">
        <f t="shared" si="177"/>
        <v>0</v>
      </c>
      <c r="EP195" s="73">
        <f t="shared" si="178"/>
        <v>1</v>
      </c>
      <c r="EQ195" s="73" t="str">
        <f t="shared" si="150"/>
        <v>0</v>
      </c>
      <c r="ER195" s="73" t="str">
        <f>IF(OR(AN195="",AN195="NEMA"),BB195,AN195)</f>
        <v/>
      </c>
      <c r="ES195" s="73" t="str">
        <f>IF(AND(BN195&lt;&gt;"",BN195&lt;&gt;"NEMA"),BN195,IF(CG195&lt;&gt;"",CG195,IF(AND(CL195&lt;&gt;"",CL195&lt;&gt;"NEMA"),CL195,IF(CM195&lt;&gt;"",CM195,""))))</f>
        <v/>
      </c>
      <c r="ET195" s="53" t="str">
        <f>IF(INDEX(natKategorija_alias_Id,MATCH(S195,natKategorija_katRegId,0))="","",INDEX(natKategorija_alias_Id,MATCH(S195,natKategorija_katRegId,0)))</f>
        <v/>
      </c>
      <c r="EU195" s="47" t="s">
        <v>0</v>
      </c>
      <c r="EV195" s="19" t="str">
        <f t="shared" si="179"/>
        <v>INSERT INTO rezultat(id,stazakategorija_id,imeprezime_id,vrijeme_sec,status_id,registracija,uparivanje_id,originalstatus_id,imeprezimealias_id,klubalias_id,kategorijaalias_id) VALUES (355,34,1932,8743,1,0,1,0,Null,Null,Null);</v>
      </c>
      <c r="EW195" s="47" t="s">
        <v>0</v>
      </c>
      <c r="EX195" s="19" t="str">
        <f t="shared" si="180"/>
        <v/>
      </c>
      <c r="EY195" s="47" t="s">
        <v>0</v>
      </c>
      <c r="EZ195" s="180" t="str">
        <f>AG195&amp;IF(CP195="","","
")&amp;CP195&amp;IF(CI195="","","
")&amp;CI195&amp;IF(DN195="","","
")&amp;DN195&amp;IF(DP195="","","
")&amp;DP195&amp;IF(EV195="","","
")&amp;EV195&amp;IF(EX195="","","
")&amp;EX195</f>
        <v xml:space="preserve">
INSERT INTO rezultat(id,stazakategorija_id,imeprezime_id,vrijeme_sec,status_id,registracija,uparivanje_id,originalstatus_id,imeprezimealias_id,klubalias_id,kategorijaalias_id) VALUES (355,34,1932,8743,1,0,1,0,Null,Null,Null);</v>
      </c>
      <c r="FA195" s="47" t="s">
        <v>0</v>
      </c>
    </row>
    <row r="196" spans="1:157" x14ac:dyDescent="0.25">
      <c r="A196" t="s">
        <v>0</v>
      </c>
      <c r="B196" s="52" t="str">
        <f>IF(csv!F186="","",csv!T186)</f>
        <v>OPEN</v>
      </c>
      <c r="C196" s="31" t="s">
        <v>0</v>
      </c>
      <c r="D196" s="31" t="str">
        <f>IF(csv!F186="","",csv!F186)</f>
        <v>Sandra</v>
      </c>
      <c r="E196" s="31" t="str">
        <f>IF(csv!E186="","",csv!E186)</f>
        <v>Miletić</v>
      </c>
      <c r="F196" s="31" t="s">
        <v>0</v>
      </c>
      <c r="G196" s="73" t="str">
        <f>IF(csv!M186="","",csv!M186)</f>
        <v/>
      </c>
      <c r="H196" s="73" t="str">
        <f>IF(csv!N186="","",csv!N186)</f>
        <v>1</v>
      </c>
      <c r="I196" s="31" t="s">
        <v>0</v>
      </c>
      <c r="J196" s="31" t="str">
        <f>IF(csv!P186="","",csv!P186)</f>
        <v>KAP</v>
      </c>
      <c r="K196" s="31" t="str">
        <f>IF(csv!Q186="","",csv!Q186)</f>
        <v>OK Kapela</v>
      </c>
      <c r="L196" s="31" t="s">
        <v>0</v>
      </c>
      <c r="M196" s="66" t="str">
        <f>IF(csv!R186="","",csv!R186)</f>
        <v>CRO</v>
      </c>
      <c r="N196" s="47" t="s">
        <v>0</v>
      </c>
      <c r="O196" s="243" t="str">
        <f t="shared" si="151"/>
        <v>ok</v>
      </c>
      <c r="P196" s="47"/>
      <c r="Q196" s="52" t="str">
        <f t="shared" si="152"/>
        <v>OPEN</v>
      </c>
      <c r="R196" s="73">
        <f>IF(Q196="","",IF(COUNTIF(Q$12:Q195,Q196)=0,R195+1,R195))</f>
        <v>12</v>
      </c>
      <c r="S196" s="73">
        <f t="shared" si="153"/>
        <v>291</v>
      </c>
      <c r="T196" s="73">
        <f t="shared" si="128"/>
        <v>29</v>
      </c>
      <c r="U196" s="66" t="str">
        <f t="shared" si="129"/>
        <v>Otvorena</v>
      </c>
      <c r="V196" s="47" t="s">
        <v>0</v>
      </c>
      <c r="W196" s="222" t="str">
        <f t="shared" si="130"/>
        <v>Otvorena</v>
      </c>
      <c r="X196" s="223">
        <f t="shared" si="131"/>
        <v>34</v>
      </c>
      <c r="Y196" s="47" t="s">
        <v>0</v>
      </c>
      <c r="Z196" s="52" t="str">
        <f t="shared" si="154"/>
        <v>CRO</v>
      </c>
      <c r="AA196" s="73">
        <f t="shared" si="132"/>
        <v>1</v>
      </c>
      <c r="AB196" s="31" t="str">
        <f t="shared" si="155"/>
        <v/>
      </c>
      <c r="AC196" s="66" t="str">
        <f>IF(AB196="","",MAX(AC$12:AC195)+1)</f>
        <v/>
      </c>
      <c r="AD196" s="47" t="s">
        <v>0</v>
      </c>
      <c r="AE196" s="125"/>
      <c r="AF196" s="47" t="s">
        <v>0</v>
      </c>
      <c r="AG196" s="19" t="str">
        <f t="shared" si="156"/>
        <v/>
      </c>
      <c r="AH196" s="47" t="s">
        <v>0</v>
      </c>
      <c r="AI196" s="143" t="str">
        <f t="shared" si="157"/>
        <v>CRO</v>
      </c>
      <c r="AJ196" s="47"/>
      <c r="AK196" s="52" t="str">
        <f t="shared" si="158"/>
        <v>Sandra</v>
      </c>
      <c r="AL196" s="31" t="str">
        <f t="shared" si="159"/>
        <v>Miletić</v>
      </c>
      <c r="AM196" s="73">
        <f t="shared" si="160"/>
        <v>1964</v>
      </c>
      <c r="AN196" s="73" t="str">
        <f t="shared" si="161"/>
        <v/>
      </c>
      <c r="AO196" s="31" t="str">
        <f t="shared" si="133"/>
        <v>Sandra</v>
      </c>
      <c r="AP196" s="66" t="str">
        <f t="shared" si="134"/>
        <v>Miletić</v>
      </c>
      <c r="AQ196" s="47" t="s">
        <v>0</v>
      </c>
      <c r="AR196" s="82" t="str">
        <f t="shared" si="162"/>
        <v/>
      </c>
      <c r="AS196" s="47" t="s">
        <v>0</v>
      </c>
      <c r="AT196" s="19" t="str">
        <f t="shared" si="163"/>
        <v/>
      </c>
      <c r="AU196" s="47" t="s">
        <v>0</v>
      </c>
      <c r="AV196" s="103"/>
      <c r="AW196" s="105"/>
      <c r="AX196" s="47" t="s">
        <v>0</v>
      </c>
      <c r="AY196" s="256" t="str">
        <f t="shared" si="181"/>
        <v/>
      </c>
      <c r="AZ196" s="47" t="s">
        <v>0</v>
      </c>
      <c r="BA196" s="52" t="str">
        <f t="shared" si="135"/>
        <v/>
      </c>
      <c r="BB196" s="73" t="str">
        <f>IF(AV196&amp;AW196="","",MAX(BB$12:BB195)+1)</f>
        <v/>
      </c>
      <c r="BC196" s="268" t="str">
        <f t="shared" si="136"/>
        <v/>
      </c>
      <c r="BD196" s="53" t="str">
        <f>IF(AND(AM196="NEMA",AN196="NEMA",OR(AV196&amp;AW196="",BC196="NEMA")),MAX(BD$12:BD195)+1,"")</f>
        <v/>
      </c>
      <c r="BE196" s="47" t="s">
        <v>0</v>
      </c>
      <c r="BF196" s="52" t="str">
        <f t="shared" si="137"/>
        <v>Sandra</v>
      </c>
      <c r="BG196" s="31" t="str">
        <f t="shared" si="138"/>
        <v>Miletić</v>
      </c>
      <c r="BH196" s="73" t="str">
        <f t="shared" si="164"/>
        <v/>
      </c>
      <c r="BI196" s="53">
        <f t="shared" si="165"/>
        <v>1964</v>
      </c>
      <c r="BJ196" s="47" t="s">
        <v>0</v>
      </c>
      <c r="BK196" s="52" t="str">
        <f t="shared" si="139"/>
        <v>KAP</v>
      </c>
      <c r="BL196" s="31" t="str">
        <f t="shared" si="140"/>
        <v>OK Kapela</v>
      </c>
      <c r="BM196" s="73">
        <f t="shared" si="141"/>
        <v>5</v>
      </c>
      <c r="BN196" s="73" t="str">
        <f t="shared" si="142"/>
        <v/>
      </c>
      <c r="BO196" s="31" t="str" cm="1">
        <f t="array" ref="BO196">IF(BN196="",""&amp;BL196,IF(BN196="NEMA",BL196,INDEX(regKlub_naziv,MATCH(INDEX(regKlub_alias_klubId,BN196),regKlub_id,0))))</f>
        <v>OK Kapela</v>
      </c>
      <c r="BP196" s="31" t="str" cm="1">
        <f t="array" ref="BP196">IFERROR(""&amp;INDEX(regNatjecatelj_klub,DY196),"")</f>
        <v>OK Kapela</v>
      </c>
      <c r="BQ196" s="88" t="str">
        <f t="shared" si="166"/>
        <v/>
      </c>
      <c r="BR196" s="66" t="str">
        <f t="shared" si="167"/>
        <v>OK Kapela</v>
      </c>
      <c r="BS196" s="47" t="s">
        <v>0</v>
      </c>
      <c r="BT196" s="82" t="str">
        <f>IF(BN196&lt;&gt;"NEMA","",IF(IFERROR(MATCH(BL196,BL$12:BL195,0),0)&lt;&gt;0,"",BL196))</f>
        <v/>
      </c>
      <c r="BU196" s="47" t="s">
        <v>0</v>
      </c>
      <c r="BV196" s="125"/>
      <c r="BW196" s="47" t="s">
        <v>0</v>
      </c>
      <c r="BX196" s="58" t="str">
        <f t="shared" si="168"/>
        <v/>
      </c>
      <c r="BY196" s="31" t="str">
        <f t="shared" si="169"/>
        <v/>
      </c>
      <c r="BZ196" s="31" t="str">
        <f>IF(BY196="","",MAX(BZ$12:BZ195)+1)</f>
        <v/>
      </c>
      <c r="CA196" s="31" t="str">
        <f>IF(BY196="","",IF(AA196="","",IF(AA196="NEMA",AC196,AA196)))</f>
        <v/>
      </c>
      <c r="CB196" s="31" t="str">
        <f t="shared" si="170"/>
        <v/>
      </c>
      <c r="CC196" s="31" t="str">
        <f>IF(BV196="","",MAX(CC$12:CC195)+1)</f>
        <v/>
      </c>
      <c r="CD196" s="31" t="str">
        <f t="shared" si="171"/>
        <v/>
      </c>
      <c r="CE196" s="66" t="str">
        <f t="shared" si="172"/>
        <v/>
      </c>
      <c r="CF196" s="47" t="s">
        <v>0</v>
      </c>
      <c r="CG196" s="73" t="str">
        <f>IF(BN196="","",IF(BN196&lt;&gt;"NEMA","",IFERROR(INDEX(nat_klubAliasId,MATCH(BL196,nat_noviKluboviAliasi,0)),"")))</f>
        <v/>
      </c>
      <c r="CH196" s="47"/>
      <c r="CI196" s="19" t="str">
        <f t="shared" si="173"/>
        <v/>
      </c>
      <c r="CJ196" s="47" t="s">
        <v>0</v>
      </c>
      <c r="CK196" s="52" t="str">
        <f>IF(X196&lt;&gt;"NEMA","",IF(IFERROR(MATCH(W196,W$12:W195,0),0)&lt;&gt;0,"",W196))</f>
        <v/>
      </c>
      <c r="CL196" s="73" t="str">
        <f>IF(CK196="","",IFERROR(INDEX(regKlub_alias_id,MATCH(CK196,regKlub_alias_alias,0)),"NEMA"))</f>
        <v/>
      </c>
      <c r="CM196" s="31" t="str">
        <f>IF(OR(CL196="",CL196&lt;&gt;"NEMA"),"",MAX(CM$12:CM195)+1)</f>
        <v/>
      </c>
      <c r="CN196" s="66" t="str">
        <f>IF(OR(CL196="",CL196&lt;&gt;"NEMA"),"",INDEX(regKlub_id,MATCH(CK196,regKlub_naziv,0)))</f>
        <v/>
      </c>
      <c r="CO196" s="47" t="s">
        <v>0</v>
      </c>
      <c r="CP196" s="19" t="str">
        <f>IF(OR(CL196="",CL196&lt;&gt;"NEMA"),"","INSERT INTO klub_alias(id,alias,klub_id) VALUES ("&amp;CM196&amp;",'"&amp;CK196&amp;"',"&amp;CN196&amp;");")</f>
        <v/>
      </c>
      <c r="CQ196" s="47" t="s">
        <v>0</v>
      </c>
      <c r="CR196" s="143" t="str">
        <f>IF(BR196="","",IF(BV196="",IF(IFERROR(MATCH(BR196,nat_noviKluboviAliasi,0),0)&gt;0,INDEX(nat_kluboviAliasi,MATCH(BR196,nat_noviKluboviAliasi,0)),BR196),BV196))</f>
        <v>OK Kapela</v>
      </c>
      <c r="CS196" s="47" t="s">
        <v>0</v>
      </c>
      <c r="CT196" s="58" t="str">
        <f>IF(G196="","",G196)</f>
        <v/>
      </c>
      <c r="CU196" s="73" t="str">
        <f>IF(H196="","",H196)</f>
        <v>1</v>
      </c>
      <c r="CV196" s="229" t="str">
        <f>IF(CT196="",IF(OR(AL196="",CU196&lt;&gt;"0"),"","GREŠKA"),IF(AND(65535&gt;=VALUE(LEFT(CT196,SEARCH(":",CT196)-1))*60+VALUE(RIGHT(CT196,2)),OR(CU196="0",CU196="1",CU196="2",CU196="3",CU196="4")),"","GREŠKA"))</f>
        <v/>
      </c>
      <c r="CW196" s="230" t="str">
        <f t="shared" si="183"/>
        <v/>
      </c>
      <c r="CX196" s="163">
        <f t="shared" si="143"/>
        <v>6</v>
      </c>
      <c r="CY196" s="47" t="s">
        <v>0</v>
      </c>
      <c r="CZ196" s="222" t="str">
        <f>IF(CV196&lt;&gt;"GREŠKA","",AK196&amp;" "&amp;AL196&amp;" – Molim u OEventu provjeriti i ispraviti rezultat – vrijeme ("&amp;IF(CT196="","nije upisano",CT196)&amp;") i classifier ("&amp;CU196&amp;").")&amp;IF(OR(CV196&lt;&gt;"GREŠKA",CX196&lt;&gt;5),"
","")&amp;IF(CX196&lt;&gt;5,"",AK196&amp;" "&amp;AL196&amp;" – Molim u provjeriti je li natjecatelj zaista diskvalificiran. Ako je koje je obrazloženje, ako nije molim u OEventu ispraviti rezultat")</f>
        <v xml:space="preserve">
</v>
      </c>
      <c r="DA196" s="223" t="e">
        <f t="shared" si="174"/>
        <v>#N/A</v>
      </c>
      <c r="DB196" s="47" t="s">
        <v>0</v>
      </c>
      <c r="DC196" s="47"/>
      <c r="DD196" s="47"/>
      <c r="DE196" s="47"/>
      <c r="DF196" s="47" t="s">
        <v>0</v>
      </c>
      <c r="DG196" s="53" t="str">
        <f>IF(BD196="","",IF(DI196="O",1,""))</f>
        <v/>
      </c>
      <c r="DH196" t="s">
        <v>0</v>
      </c>
      <c r="DI196" s="128" t="str">
        <f>IF(Q196="","",LEFT(INDEX(regKategorija_oznaka,MATCH(S196,regKategorija_id,0)),1))</f>
        <v>O</v>
      </c>
      <c r="DJ196" t="s">
        <v>0</v>
      </c>
      <c r="DK196" s="52" t="str">
        <f>IF(BD196="","",IF(M196&lt;&gt;"CRO","","INSERT INTO osoba (id,reg_broj,oib,spol_id,dat_rodjenja) VALUES ("&amp;BD196&amp;",(SELECT max(os.reg_broj)+1 FROM osoba AS os),Null,'"&amp;DI196&amp;"',Null); INSERT INTO osoba_log (id,reg_broj,oib,spol_id,dat_rodjenja,dnevnik_id) SELECT id,reg_broj,oib,spol_id,dat_rodjenja,"&amp;data_dnevnik_id&amp;" FROM osoba WHERE id = "&amp;BD196&amp;";"))</f>
        <v/>
      </c>
      <c r="DL196" s="66" t="str">
        <f>IF(BD196="","","INSERT INTO imeprezime (id,osoba_id,rbr,ime,prezime,klub_id,identitet_id,sintaksa_id,info,aktivno,dnevnik_id) VALUES ("&amp;BD196&amp;","&amp;IF(DK196="","Null",BD196)&amp;",1,'"&amp;IF(AV196&lt;&gt;"",AV196,AK196)&amp;"','"&amp;IF(AW196&lt;&gt;"",AW196,AL196)&amp;"',(SELECT id FROM klub WHERE naziv = '"&amp;CR196&amp;"'),Null,1,'',1,"&amp;data_dnevnik_id&amp;");")</f>
        <v/>
      </c>
      <c r="DM196" t="s">
        <v>0</v>
      </c>
      <c r="DN196" s="19" t="str">
        <f t="shared" si="182"/>
        <v/>
      </c>
      <c r="DO196" s="47" t="s">
        <v>0</v>
      </c>
      <c r="DP196" s="19" t="str">
        <f>IF(BA196="","","INSERT INTO imeprezime_alias(id,alias,imeprezime_id) VALUES ("&amp;BB196&amp;",'"&amp;BA196&amp;"',"&amp;IF(BC196="NEMA",BD196,BC196)&amp;");")</f>
        <v/>
      </c>
      <c r="DQ196" s="47" t="s">
        <v>0</v>
      </c>
      <c r="DR196" s="52" t="str">
        <f>IF(AL196="","",DU196 &amp; IF(Q196="",""," – " &amp; Q196))</f>
        <v>Sandra – Miletić – OK Kapela – OPEN</v>
      </c>
      <c r="DS196" s="53" t="str">
        <f t="shared" si="144"/>
        <v>NEMA</v>
      </c>
      <c r="DT196" s="47" t="s">
        <v>0</v>
      </c>
      <c r="DU196" s="52" t="str">
        <f>IF(AL196="","",DX196 &amp; IF(CR196="",""," – " &amp; CR196))</f>
        <v>Sandra – Miletić – OK Kapela</v>
      </c>
      <c r="DV196" s="53">
        <f t="shared" si="145"/>
        <v>283</v>
      </c>
      <c r="DW196" s="47" t="s">
        <v>0</v>
      </c>
      <c r="DX196" s="52" t="str">
        <f>IF(BG196="","",BF196&amp;" – "&amp;BG196)</f>
        <v>Sandra – Miletić</v>
      </c>
      <c r="DY196" s="53">
        <f t="shared" si="146"/>
        <v>283</v>
      </c>
      <c r="DZ196" s="47" t="s">
        <v>0</v>
      </c>
      <c r="EA196" s="58">
        <f t="shared" si="175"/>
        <v>283</v>
      </c>
      <c r="EB196" s="53" cm="1">
        <f t="array" ref="EB196">IF(EA196&lt;&gt;"",INDEX(regNatjecatelj_id,EA196,0),IF(BD196&lt;&gt;"",BD196,""))</f>
        <v>1964</v>
      </c>
      <c r="EC196" s="47" t="s">
        <v>0</v>
      </c>
      <c r="ED196" s="58" t="str">
        <f>IF(AL196="","",IF(BD196&lt;&gt;"","novo",IF(AN196="","imepre","imepre(ali)")))</f>
        <v>imepre</v>
      </c>
      <c r="EE196" s="73" t="str">
        <f>IF(AL196="","",IF(BL196="",IF(IFERROR(INDEX(regNatjecatelj_klub,MATCH(EB196,regNatjecatelj_id,0)),"NEMA")="","klu",""),IF(OR(AND(BN196&lt;&gt;"",BN196&lt;&gt;"NEMA"),CD196&lt;&gt;""),"klu(ali)",IF(AND(BP196&lt;&gt;"",BP196&lt;&gt;BO196),"(raz-klu)","klu"))))</f>
        <v>klu</v>
      </c>
      <c r="EF196" s="73" t="str">
        <f>IF(AL196="","","kat"&amp;IF(AND(W196&lt;&gt;Q196,Q196&lt;&gt;"Open"),"(ali)",""))</f>
        <v>kat</v>
      </c>
      <c r="EG196" s="73" t="str">
        <f t="shared" si="147"/>
        <v/>
      </c>
      <c r="EH196" s="66" t="str">
        <f>IF(AL196="","",ED196&amp;IF(ED196="novo","","-"&amp;EE196&amp;"-"&amp;EF196)&amp;IF(EG196="","","-"&amp;EG196))</f>
        <v>imepre-klu-kat</v>
      </c>
      <c r="EI196" s="47" t="s">
        <v>0</v>
      </c>
      <c r="EJ196" s="58">
        <f>IF(AL196="","",MAX(EJ$12:EJ195)+1)</f>
        <v>356</v>
      </c>
      <c r="EK196" s="73">
        <f>IF(AO196="","",X196)</f>
        <v>34</v>
      </c>
      <c r="EL196" s="73">
        <f t="shared" si="176"/>
        <v>1964</v>
      </c>
      <c r="EM196" s="73" t="str">
        <f t="shared" si="148"/>
        <v/>
      </c>
      <c r="EN196" s="73">
        <f t="shared" si="149"/>
        <v>6</v>
      </c>
      <c r="EO196" s="73">
        <f t="shared" si="177"/>
        <v>0</v>
      </c>
      <c r="EP196" s="73">
        <f t="shared" si="178"/>
        <v>1</v>
      </c>
      <c r="EQ196" s="73" t="str">
        <f t="shared" si="150"/>
        <v>1</v>
      </c>
      <c r="ER196" s="73" t="str">
        <f>IF(OR(AN196="",AN196="NEMA"),BB196,AN196)</f>
        <v/>
      </c>
      <c r="ES196" s="73" t="str">
        <f>IF(AND(BN196&lt;&gt;"",BN196&lt;&gt;"NEMA"),BN196,IF(CG196&lt;&gt;"",CG196,IF(AND(CL196&lt;&gt;"",CL196&lt;&gt;"NEMA"),CL196,IF(CM196&lt;&gt;"",CM196,""))))</f>
        <v/>
      </c>
      <c r="ET196" s="53" t="str">
        <f>IF(INDEX(natKategorija_alias_Id,MATCH(S196,natKategorija_katRegId,0))="","",INDEX(natKategorija_alias_Id,MATCH(S196,natKategorija_katRegId,0)))</f>
        <v/>
      </c>
      <c r="EU196" s="47" t="s">
        <v>0</v>
      </c>
      <c r="EV196" s="19" t="str">
        <f t="shared" si="179"/>
        <v>INSERT INTO rezultat(id,stazakategorija_id,imeprezime_id,vrijeme_sec,status_id,registracija,uparivanje_id,originalstatus_id,imeprezimealias_id,klubalias_id,kategorijaalias_id) VALUES (356,34,1964,Null,6,0,1,1,Null,Null,Null);</v>
      </c>
      <c r="EW196" s="47" t="s">
        <v>0</v>
      </c>
      <c r="EX196" s="19" t="str">
        <f t="shared" si="180"/>
        <v/>
      </c>
      <c r="EY196" s="47" t="s">
        <v>0</v>
      </c>
      <c r="EZ196" s="180" t="str">
        <f>AG196&amp;IF(CP196="","","
")&amp;CP196&amp;IF(CI196="","","
")&amp;CI196&amp;IF(DN196="","","
")&amp;DN196&amp;IF(DP196="","","
")&amp;DP196&amp;IF(EV196="","","
")&amp;EV196&amp;IF(EX196="","","
")&amp;EX196</f>
        <v xml:space="preserve">
INSERT INTO rezultat(id,stazakategorija_id,imeprezime_id,vrijeme_sec,status_id,registracija,uparivanje_id,originalstatus_id,imeprezimealias_id,klubalias_id,kategorijaalias_id) VALUES (356,34,1964,Null,6,0,1,1,Null,Null,Null);</v>
      </c>
      <c r="FA196" s="47" t="s">
        <v>0</v>
      </c>
    </row>
    <row r="197" spans="1:157" x14ac:dyDescent="0.25">
      <c r="A197" t="s">
        <v>0</v>
      </c>
      <c r="B197" s="52" t="str">
        <f>IF(csv!F187="","",csv!T187)</f>
        <v>OPEN</v>
      </c>
      <c r="C197" s="31" t="s">
        <v>0</v>
      </c>
      <c r="D197" s="31" t="str">
        <f>IF(csv!F187="","",csv!F187)</f>
        <v>Rafael</v>
      </c>
      <c r="E197" s="31" t="str">
        <f>IF(csv!E187="","",csv!E187)</f>
        <v>Sandalj</v>
      </c>
      <c r="F197" s="31" t="s">
        <v>0</v>
      </c>
      <c r="G197" s="73" t="str">
        <f>IF(csv!M187="","",csv!M187)</f>
        <v>95:32</v>
      </c>
      <c r="H197" s="73" t="str">
        <f>IF(csv!N187="","",csv!N187)</f>
        <v>3</v>
      </c>
      <c r="I197" s="31" t="s">
        <v>0</v>
      </c>
      <c r="J197" s="31" t="str">
        <f>IF(csv!P187="","",csv!P187)</f>
        <v/>
      </c>
      <c r="K197" s="31" t="str">
        <f>IF(csv!Q187="","",csv!Q187)</f>
        <v/>
      </c>
      <c r="L197" s="31" t="s">
        <v>0</v>
      </c>
      <c r="M197" s="66" t="str">
        <f>IF(csv!R187="","",csv!R187)</f>
        <v/>
      </c>
      <c r="N197" s="47" t="s">
        <v>0</v>
      </c>
      <c r="O197" s="243" t="str">
        <f t="shared" si="151"/>
        <v>ok</v>
      </c>
      <c r="P197" s="47"/>
      <c r="Q197" s="52" t="str">
        <f t="shared" si="152"/>
        <v>OPEN</v>
      </c>
      <c r="R197" s="73">
        <f>IF(Q197="","",IF(COUNTIF(Q$12:Q196,Q197)=0,R196+1,R196))</f>
        <v>12</v>
      </c>
      <c r="S197" s="73">
        <f t="shared" si="153"/>
        <v>291</v>
      </c>
      <c r="T197" s="73">
        <f t="shared" si="128"/>
        <v>29</v>
      </c>
      <c r="U197" s="66" t="str">
        <f t="shared" si="129"/>
        <v>Otvorena</v>
      </c>
      <c r="V197" s="47" t="s">
        <v>0</v>
      </c>
      <c r="W197" s="222" t="str">
        <f t="shared" si="130"/>
        <v>Otvorena</v>
      </c>
      <c r="X197" s="223">
        <f t="shared" si="131"/>
        <v>34</v>
      </c>
      <c r="Y197" s="47" t="s">
        <v>0</v>
      </c>
      <c r="Z197" s="52" t="str">
        <f t="shared" si="154"/>
        <v/>
      </c>
      <c r="AA197" s="73" t="str">
        <f t="shared" si="132"/>
        <v/>
      </c>
      <c r="AB197" s="31" t="str">
        <f t="shared" si="155"/>
        <v/>
      </c>
      <c r="AC197" s="66" t="str">
        <f>IF(AB197="","",MAX(AC$12:AC196)+1)</f>
        <v/>
      </c>
      <c r="AD197" s="47" t="s">
        <v>0</v>
      </c>
      <c r="AE197" s="125"/>
      <c r="AF197" s="47" t="s">
        <v>0</v>
      </c>
      <c r="AG197" s="19" t="str">
        <f t="shared" si="156"/>
        <v/>
      </c>
      <c r="AH197" s="47" t="s">
        <v>0</v>
      </c>
      <c r="AI197" s="143" t="str">
        <f t="shared" si="157"/>
        <v/>
      </c>
      <c r="AJ197" s="47"/>
      <c r="AK197" s="52" t="str">
        <f t="shared" si="158"/>
        <v>Rafael</v>
      </c>
      <c r="AL197" s="31" t="str">
        <f t="shared" si="159"/>
        <v>Sandalj</v>
      </c>
      <c r="AM197" s="73" t="str">
        <f t="shared" si="160"/>
        <v>NEMA</v>
      </c>
      <c r="AN197" s="73" t="str">
        <f t="shared" si="161"/>
        <v>NEMA</v>
      </c>
      <c r="AO197" s="31" t="str">
        <f t="shared" si="133"/>
        <v>Rafael</v>
      </c>
      <c r="AP197" s="66" t="str">
        <f t="shared" si="134"/>
        <v>Sandalj</v>
      </c>
      <c r="AQ197" s="47" t="s">
        <v>0</v>
      </c>
      <c r="AR197" s="82" t="str">
        <f t="shared" si="162"/>
        <v>Rafael Sandalj</v>
      </c>
      <c r="AS197" s="47" t="s">
        <v>0</v>
      </c>
      <c r="AT197" s="19" t="str">
        <f t="shared" si="163"/>
        <v>SELECT 'Rafael – Sandalj', ime, prezime FROM imeprezime WHERE ime LIKE '%afae%' Or prezime LIKE '%andal%' Or ime LIKE '%andal%' Or prezime LIKE '%afae%' ORDER BY ime, prezime;</v>
      </c>
      <c r="AU197" s="47" t="s">
        <v>0</v>
      </c>
      <c r="AV197" s="103"/>
      <c r="AW197" s="105"/>
      <c r="AX197" s="47" t="s">
        <v>0</v>
      </c>
      <c r="AY197" s="256" t="str">
        <f t="shared" si="181"/>
        <v/>
      </c>
      <c r="AZ197" s="47" t="s">
        <v>0</v>
      </c>
      <c r="BA197" s="52" t="str">
        <f t="shared" si="135"/>
        <v/>
      </c>
      <c r="BB197" s="73" t="str">
        <f>IF(AV197&amp;AW197="","",MAX(BB$12:BB196)+1)</f>
        <v/>
      </c>
      <c r="BC197" s="268" t="str">
        <f t="shared" si="136"/>
        <v/>
      </c>
      <c r="BD197" s="53">
        <f>IF(AND(AM197="NEMA",AN197="NEMA",OR(AV197&amp;AW197="",BC197="NEMA")),MAX(BD$12:BD196)+1,"")</f>
        <v>1968</v>
      </c>
      <c r="BE197" s="47" t="s">
        <v>0</v>
      </c>
      <c r="BF197" s="52" t="str">
        <f t="shared" si="137"/>
        <v>Rafael</v>
      </c>
      <c r="BG197" s="31" t="str">
        <f t="shared" si="138"/>
        <v>Sandalj</v>
      </c>
      <c r="BH197" s="73" t="str">
        <f t="shared" si="164"/>
        <v/>
      </c>
      <c r="BI197" s="53">
        <f t="shared" si="165"/>
        <v>1968</v>
      </c>
      <c r="BJ197" s="47" t="s">
        <v>0</v>
      </c>
      <c r="BK197" s="52" t="str">
        <f t="shared" si="139"/>
        <v/>
      </c>
      <c r="BL197" s="31" t="str">
        <f t="shared" si="140"/>
        <v/>
      </c>
      <c r="BM197" s="73" t="str">
        <f t="shared" si="141"/>
        <v/>
      </c>
      <c r="BN197" s="73" t="str">
        <f t="shared" si="142"/>
        <v/>
      </c>
      <c r="BO197" s="31" t="str" cm="1">
        <f t="array" ref="BO197">IF(BN197="",""&amp;BL197,IF(BN197="NEMA",BL197,INDEX(regKlub_naziv,MATCH(INDEX(regKlub_alias_klubId,BN197),regKlub_id,0))))</f>
        <v/>
      </c>
      <c r="BP197" s="31" t="str" cm="1">
        <f t="array" ref="BP197">IFERROR(""&amp;INDEX(regNatjecatelj_klub,DY197),"")</f>
        <v/>
      </c>
      <c r="BQ197" s="88" t="str">
        <f t="shared" si="166"/>
        <v/>
      </c>
      <c r="BR197" s="66" t="str">
        <f t="shared" si="167"/>
        <v/>
      </c>
      <c r="BS197" s="47" t="s">
        <v>0</v>
      </c>
      <c r="BT197" s="82" t="str">
        <f>IF(BN197&lt;&gt;"NEMA","",IF(IFERROR(MATCH(BL197,BL$12:BL196,0),0)&lt;&gt;0,"",BL197))</f>
        <v/>
      </c>
      <c r="BU197" s="47" t="s">
        <v>0</v>
      </c>
      <c r="BV197" s="125"/>
      <c r="BW197" s="47" t="s">
        <v>0</v>
      </c>
      <c r="BX197" s="58" t="str">
        <f t="shared" si="168"/>
        <v/>
      </c>
      <c r="BY197" s="31" t="str">
        <f t="shared" si="169"/>
        <v/>
      </c>
      <c r="BZ197" s="31" t="str">
        <f>IF(BY197="","",MAX(BZ$12:BZ196)+1)</f>
        <v/>
      </c>
      <c r="CA197" s="31" t="str">
        <f>IF(BY197="","",IF(AA197="","",IF(AA197="NEMA",AC197,AA197)))</f>
        <v/>
      </c>
      <c r="CB197" s="31" t="str">
        <f t="shared" si="170"/>
        <v/>
      </c>
      <c r="CC197" s="31" t="str">
        <f>IF(BV197="","",MAX(CC$12:CC196)+1)</f>
        <v/>
      </c>
      <c r="CD197" s="31" t="str">
        <f t="shared" si="171"/>
        <v/>
      </c>
      <c r="CE197" s="66" t="str">
        <f t="shared" si="172"/>
        <v/>
      </c>
      <c r="CF197" s="47" t="s">
        <v>0</v>
      </c>
      <c r="CG197" s="73" t="str">
        <f>IF(BN197="","",IF(BN197&lt;&gt;"NEMA","",IFERROR(INDEX(nat_klubAliasId,MATCH(BL197,nat_noviKluboviAliasi,0)),"")))</f>
        <v/>
      </c>
      <c r="CH197" s="47"/>
      <c r="CI197" s="19" t="str">
        <f t="shared" si="173"/>
        <v/>
      </c>
      <c r="CJ197" s="47" t="s">
        <v>0</v>
      </c>
      <c r="CK197" s="52" t="str">
        <f>IF(X197&lt;&gt;"NEMA","",IF(IFERROR(MATCH(W197,W$12:W196,0),0)&lt;&gt;0,"",W197))</f>
        <v/>
      </c>
      <c r="CL197" s="73" t="str">
        <f>IF(CK197="","",IFERROR(INDEX(regKlub_alias_id,MATCH(CK197,regKlub_alias_alias,0)),"NEMA"))</f>
        <v/>
      </c>
      <c r="CM197" s="31" t="str">
        <f>IF(OR(CL197="",CL197&lt;&gt;"NEMA"),"",MAX(CM$12:CM196)+1)</f>
        <v/>
      </c>
      <c r="CN197" s="66" t="str">
        <f>IF(OR(CL197="",CL197&lt;&gt;"NEMA"),"",INDEX(regKlub_id,MATCH(CK197,regKlub_naziv,0)))</f>
        <v/>
      </c>
      <c r="CO197" s="47" t="s">
        <v>0</v>
      </c>
      <c r="CP197" s="19" t="str">
        <f>IF(OR(CL197="",CL197&lt;&gt;"NEMA"),"","INSERT INTO klub_alias(id,alias,klub_id) VALUES ("&amp;CM197&amp;",'"&amp;CK197&amp;"',"&amp;CN197&amp;");")</f>
        <v/>
      </c>
      <c r="CQ197" s="47" t="s">
        <v>0</v>
      </c>
      <c r="CR197" s="143" t="str">
        <f>IF(BR197="","",IF(BV197="",IF(IFERROR(MATCH(BR197,nat_noviKluboviAliasi,0),0)&gt;0,INDEX(nat_kluboviAliasi,MATCH(BR197,nat_noviKluboviAliasi,0)),BR197),BV197))</f>
        <v/>
      </c>
      <c r="CS197" s="47" t="s">
        <v>0</v>
      </c>
      <c r="CT197" s="58" t="str">
        <f>IF(G197="","",G197)</f>
        <v>95:32</v>
      </c>
      <c r="CU197" s="73" t="str">
        <f>IF(H197="","",H197)</f>
        <v>3</v>
      </c>
      <c r="CV197" s="229" t="str">
        <f>IF(CT197="",IF(OR(AL197="",CU197&lt;&gt;"0"),"","GREŠKA"),IF(AND(65535&gt;=VALUE(LEFT(CT197,SEARCH(":",CT197)-1))*60+VALUE(RIGHT(CT197,2)),OR(CU197="0",CU197="1",CU197="2",CU197="3",CU197="4")),"","GREŠKA"))</f>
        <v/>
      </c>
      <c r="CW197" s="230">
        <f t="shared" si="183"/>
        <v>5732</v>
      </c>
      <c r="CX197" s="163">
        <f t="shared" si="143"/>
        <v>3</v>
      </c>
      <c r="CY197" s="47" t="s">
        <v>0</v>
      </c>
      <c r="CZ197" s="222" t="str">
        <f>IF(CV197&lt;&gt;"GREŠKA","",AK197&amp;" "&amp;AL197&amp;" – Molim u OEventu provjeriti i ispraviti rezultat – vrijeme ("&amp;IF(CT197="","nije upisano",CT197)&amp;") i classifier ("&amp;CU197&amp;").")&amp;IF(OR(CV197&lt;&gt;"GREŠKA",CX197&lt;&gt;5),"
","")&amp;IF(CX197&lt;&gt;5,"",AK197&amp;" "&amp;AL197&amp;" – Molim u provjeriti je li natjecatelj zaista diskvalificiran. Ako je koje je obrazloženje, ako nije molim u OEventu ispraviti rezultat")</f>
        <v xml:space="preserve">
</v>
      </c>
      <c r="DA197" s="223" t="str">
        <f t="shared" si="174"/>
        <v/>
      </c>
      <c r="DB197" s="47" t="s">
        <v>0</v>
      </c>
      <c r="DC197" s="47"/>
      <c r="DD197" s="47"/>
      <c r="DE197" s="47"/>
      <c r="DF197" s="47" t="s">
        <v>0</v>
      </c>
      <c r="DG197" s="53">
        <f>IF(BD197="","",IF(DI197="O",1,""))</f>
        <v>1</v>
      </c>
      <c r="DH197" t="s">
        <v>0</v>
      </c>
      <c r="DI197" s="128" t="str">
        <f>IF(Q197="","",LEFT(INDEX(regKategorija_oznaka,MATCH(S197,regKategorija_id,0)),1))</f>
        <v>O</v>
      </c>
      <c r="DJ197" t="s">
        <v>0</v>
      </c>
      <c r="DK197" s="52" t="str">
        <f>IF(BD197="","",IF(M197&lt;&gt;"CRO","","INSERT INTO osoba (id,reg_broj,oib,spol_id,dat_rodjenja) VALUES ("&amp;BD197&amp;",(SELECT max(os.reg_broj)+1 FROM osoba AS os),Null,'"&amp;DI197&amp;"',Null); INSERT INTO osoba_log (id,reg_broj,oib,spol_id,dat_rodjenja,dnevnik_id) SELECT id,reg_broj,oib,spol_id,dat_rodjenja,"&amp;data_dnevnik_id&amp;" FROM osoba WHERE id = "&amp;BD197&amp;";"))</f>
        <v/>
      </c>
      <c r="DL197" s="66" t="str">
        <f>IF(BD197="","","INSERT INTO imeprezime (id,osoba_id,rbr,ime,prezime,klub_id,identitet_id,sintaksa_id,info,aktivno,dnevnik_id) VALUES ("&amp;BD197&amp;","&amp;IF(DK197="","Null",BD197)&amp;",1,'"&amp;IF(AV197&lt;&gt;"",AV197,AK197)&amp;"','"&amp;IF(AW197&lt;&gt;"",AW197,AL197)&amp;"',(SELECT id FROM klub WHERE naziv = '"&amp;CR197&amp;"'),Null,1,'',1,"&amp;data_dnevnik_id&amp;");")</f>
        <v>INSERT INTO imeprezime (id,osoba_id,rbr,ime,prezime,klub_id,identitet_id,sintaksa_id,info,aktivno,dnevnik_id) VALUES (1968,Null,1,'Rafael','Sandalj',(SELECT id FROM klub WHERE naziv = ''),Null,1,'',1,882);</v>
      </c>
      <c r="DM197" t="s">
        <v>0</v>
      </c>
      <c r="DN197" s="19" t="str">
        <f t="shared" si="182"/>
        <v>INSERT INTO imeprezime (id,osoba_id,rbr,ime,prezime,klub_id,identitet_id,sintaksa_id,info,aktivno,dnevnik_id) VALUES (1968,Null,1,'Rafael','Sandalj',(SELECT id FROM klub WHERE naziv = ''),Null,1,'',1,882);</v>
      </c>
      <c r="DO197" s="47" t="s">
        <v>0</v>
      </c>
      <c r="DP197" s="19" t="str">
        <f>IF(BA197="","","INSERT INTO imeprezime_alias(id,alias,imeprezime_id) VALUES ("&amp;BB197&amp;",'"&amp;BA197&amp;"',"&amp;IF(BC197="NEMA",BD197,BC197)&amp;");")</f>
        <v/>
      </c>
      <c r="DQ197" s="47" t="s">
        <v>0</v>
      </c>
      <c r="DR197" s="52" t="str">
        <f>IF(AL197="","",DU197 &amp; IF(Q197="",""," – " &amp; Q197))</f>
        <v>Rafael – Sandalj – OPEN</v>
      </c>
      <c r="DS197" s="53" t="str">
        <f t="shared" si="144"/>
        <v>NEMA</v>
      </c>
      <c r="DT197" s="47" t="s">
        <v>0</v>
      </c>
      <c r="DU197" s="52" t="str">
        <f>IF(AL197="","",DX197 &amp; IF(CR197="",""," – " &amp; CR197))</f>
        <v>Rafael – Sandalj</v>
      </c>
      <c r="DV197" s="53" t="str">
        <f t="shared" si="145"/>
        <v>NEMA</v>
      </c>
      <c r="DW197" s="47" t="s">
        <v>0</v>
      </c>
      <c r="DX197" s="52" t="str">
        <f>IF(BG197="","",BF197&amp;" – "&amp;BG197)</f>
        <v>Rafael – Sandalj</v>
      </c>
      <c r="DY197" s="53" t="str">
        <f t="shared" si="146"/>
        <v>NEMA</v>
      </c>
      <c r="DZ197" s="47" t="s">
        <v>0</v>
      </c>
      <c r="EA197" s="58" t="str">
        <f t="shared" si="175"/>
        <v/>
      </c>
      <c r="EB197" s="53" cm="1">
        <f t="array" ref="EB197">IF(EA197&lt;&gt;"",INDEX(regNatjecatelj_id,EA197,0),IF(BD197&lt;&gt;"",BD197,""))</f>
        <v>1968</v>
      </c>
      <c r="EC197" s="47" t="s">
        <v>0</v>
      </c>
      <c r="ED197" s="58" t="str">
        <f>IF(AL197="","",IF(BD197&lt;&gt;"","novo",IF(AN197="","imepre","imepre(ali)")))</f>
        <v>novo</v>
      </c>
      <c r="EE197" s="73" t="str">
        <f>IF(AL197="","",IF(BL197="",IF(IFERROR(INDEX(regNatjecatelj_klub,MATCH(EB197,regNatjecatelj_id,0)),"NEMA")="","klu",""),IF(OR(AND(BN197&lt;&gt;"",BN197&lt;&gt;"NEMA"),CD197&lt;&gt;""),"klu(ali)",IF(AND(BP197&lt;&gt;"",BP197&lt;&gt;BO197),"(raz-klu)","klu"))))</f>
        <v/>
      </c>
      <c r="EF197" s="73" t="str">
        <f>IF(AL197="","","kat"&amp;IF(AND(W197&lt;&gt;Q197,Q197&lt;&gt;"Open"),"(ali)",""))</f>
        <v>kat</v>
      </c>
      <c r="EG197" s="73" t="str">
        <f t="shared" si="147"/>
        <v/>
      </c>
      <c r="EH197" s="66" t="str">
        <f>IF(AL197="","",ED197&amp;IF(ED197="novo","","-"&amp;EE197&amp;"-"&amp;EF197)&amp;IF(EG197="","","-"&amp;EG197))</f>
        <v>novo</v>
      </c>
      <c r="EI197" s="47" t="s">
        <v>0</v>
      </c>
      <c r="EJ197" s="58">
        <f>IF(AL197="","",MAX(EJ$12:EJ196)+1)</f>
        <v>357</v>
      </c>
      <c r="EK197" s="73">
        <f>IF(AO197="","",X197)</f>
        <v>34</v>
      </c>
      <c r="EL197" s="73">
        <f t="shared" si="176"/>
        <v>1968</v>
      </c>
      <c r="EM197" s="73">
        <f t="shared" si="148"/>
        <v>5732</v>
      </c>
      <c r="EN197" s="73">
        <f t="shared" si="149"/>
        <v>3</v>
      </c>
      <c r="EO197" s="73">
        <f t="shared" si="177"/>
        <v>0</v>
      </c>
      <c r="EP197" s="73">
        <f t="shared" si="178"/>
        <v>33</v>
      </c>
      <c r="EQ197" s="73" t="str">
        <f t="shared" si="150"/>
        <v>3</v>
      </c>
      <c r="ER197" s="73" t="str">
        <f>IF(OR(AN197="",AN197="NEMA"),BB197,AN197)</f>
        <v/>
      </c>
      <c r="ES197" s="73" t="str">
        <f>IF(AND(BN197&lt;&gt;"",BN197&lt;&gt;"NEMA"),BN197,IF(CG197&lt;&gt;"",CG197,IF(AND(CL197&lt;&gt;"",CL197&lt;&gt;"NEMA"),CL197,IF(CM197&lt;&gt;"",CM197,""))))</f>
        <v/>
      </c>
      <c r="ET197" s="53" t="str">
        <f>IF(INDEX(natKategorija_alias_Id,MATCH(S197,natKategorija_katRegId,0))="","",INDEX(natKategorija_alias_Id,MATCH(S197,natKategorija_katRegId,0)))</f>
        <v/>
      </c>
      <c r="EU197" s="47" t="s">
        <v>0</v>
      </c>
      <c r="EV197" s="19" t="str">
        <f t="shared" si="179"/>
        <v>INSERT INTO rezultat(id,stazakategorija_id,imeprezime_id,vrijeme_sec,status_id,registracija,uparivanje_id,originalstatus_id,imeprezimealias_id,klubalias_id,kategorijaalias_id) VALUES (357,34,1968,5732,3,0,33,3,Null,Null,Null);</v>
      </c>
      <c r="EW197" s="47" t="s">
        <v>0</v>
      </c>
      <c r="EX197" s="19" t="str">
        <f t="shared" si="180"/>
        <v/>
      </c>
      <c r="EY197" s="47" t="s">
        <v>0</v>
      </c>
      <c r="EZ197" s="180" t="str">
        <f>AG197&amp;IF(CP197="","","
")&amp;CP197&amp;IF(CI197="","","
")&amp;CI197&amp;IF(DN197="","","
")&amp;DN197&amp;IF(DP197="","","
")&amp;DP197&amp;IF(EV197="","","
")&amp;EV197&amp;IF(EX197="","","
")&amp;EX197</f>
        <v xml:space="preserve">
INSERT INTO imeprezime (id,osoba_id,rbr,ime,prezime,klub_id,identitet_id,sintaksa_id,info,aktivno,dnevnik_id) VALUES (1968,Null,1,'Rafael','Sandalj',(SELECT id FROM klub WHERE naziv = ''),Null,1,'',1,882);
INSERT INTO rezultat(id,stazakategorija_id,imeprezime_id,vrijeme_sec,status_id,registracija,uparivanje_id,originalstatus_id,imeprezimealias_id,klubalias_id,kategorijaalias_id) VALUES (357,34,1968,5732,3,0,33,3,Null,Null,Null);</v>
      </c>
      <c r="FA197" s="47" t="s">
        <v>0</v>
      </c>
    </row>
    <row r="198" spans="1:157" x14ac:dyDescent="0.25">
      <c r="A198" t="s">
        <v>0</v>
      </c>
      <c r="B198" s="52" t="str">
        <f>IF(csv!F188="","",csv!T188)</f>
        <v>OPEN</v>
      </c>
      <c r="C198" s="31" t="s">
        <v>0</v>
      </c>
      <c r="D198" s="31" t="str">
        <f>IF(csv!F188="","",csv!F188)</f>
        <v>Martin</v>
      </c>
      <c r="E198" s="31" t="str">
        <f>IF(csv!E188="","",csv!E188)</f>
        <v>Vukmanović</v>
      </c>
      <c r="F198" s="31" t="s">
        <v>0</v>
      </c>
      <c r="G198" s="73" t="str">
        <f>IF(csv!M188="","",csv!M188)</f>
        <v/>
      </c>
      <c r="H198" s="73" t="str">
        <f>IF(csv!N188="","",csv!N188)</f>
        <v>1</v>
      </c>
      <c r="I198" s="31" t="s">
        <v>0</v>
      </c>
      <c r="J198" s="31" t="str">
        <f>IF(csv!P188="","",csv!P188)</f>
        <v>KAP</v>
      </c>
      <c r="K198" s="31" t="str">
        <f>IF(csv!Q188="","",csv!Q188)</f>
        <v>OK Kapela</v>
      </c>
      <c r="L198" s="31" t="s">
        <v>0</v>
      </c>
      <c r="M198" s="66" t="str">
        <f>IF(csv!R188="","",csv!R188)</f>
        <v>CRO</v>
      </c>
      <c r="N198" s="47" t="s">
        <v>0</v>
      </c>
      <c r="O198" s="243" t="str">
        <f t="shared" si="151"/>
        <v>ok</v>
      </c>
      <c r="P198" s="47"/>
      <c r="Q198" s="52" t="str">
        <f t="shared" si="152"/>
        <v>OPEN</v>
      </c>
      <c r="R198" s="73">
        <f>IF(Q198="","",IF(COUNTIF(Q$12:Q197,Q198)=0,R197+1,R197))</f>
        <v>12</v>
      </c>
      <c r="S198" s="73">
        <f t="shared" si="153"/>
        <v>291</v>
      </c>
      <c r="T198" s="73">
        <f t="shared" si="128"/>
        <v>29</v>
      </c>
      <c r="U198" s="66" t="str">
        <f t="shared" si="129"/>
        <v>Otvorena</v>
      </c>
      <c r="V198" s="47" t="s">
        <v>0</v>
      </c>
      <c r="W198" s="222" t="str">
        <f t="shared" si="130"/>
        <v>Otvorena</v>
      </c>
      <c r="X198" s="223">
        <f t="shared" si="131"/>
        <v>34</v>
      </c>
      <c r="Y198" s="47" t="s">
        <v>0</v>
      </c>
      <c r="Z198" s="52" t="str">
        <f t="shared" si="154"/>
        <v>CRO</v>
      </c>
      <c r="AA198" s="73">
        <f t="shared" si="132"/>
        <v>1</v>
      </c>
      <c r="AB198" s="31" t="str">
        <f t="shared" si="155"/>
        <v/>
      </c>
      <c r="AC198" s="66" t="str">
        <f>IF(AB198="","",MAX(AC$12:AC197)+1)</f>
        <v/>
      </c>
      <c r="AD198" s="47" t="s">
        <v>0</v>
      </c>
      <c r="AE198" s="125"/>
      <c r="AF198" s="47" t="s">
        <v>0</v>
      </c>
      <c r="AG198" s="19" t="str">
        <f t="shared" si="156"/>
        <v/>
      </c>
      <c r="AH198" s="47" t="s">
        <v>0</v>
      </c>
      <c r="AI198" s="143" t="str">
        <f t="shared" si="157"/>
        <v>CRO</v>
      </c>
      <c r="AJ198" s="47"/>
      <c r="AK198" s="52" t="str">
        <f t="shared" si="158"/>
        <v>Martin</v>
      </c>
      <c r="AL198" s="31" t="str">
        <f t="shared" si="159"/>
        <v>Vukmanović</v>
      </c>
      <c r="AM198" s="73">
        <f t="shared" si="160"/>
        <v>1960</v>
      </c>
      <c r="AN198" s="73" t="str">
        <f t="shared" si="161"/>
        <v/>
      </c>
      <c r="AO198" s="31" t="str">
        <f t="shared" si="133"/>
        <v>Martin</v>
      </c>
      <c r="AP198" s="66" t="str">
        <f t="shared" si="134"/>
        <v>Vukmanović</v>
      </c>
      <c r="AQ198" s="47" t="s">
        <v>0</v>
      </c>
      <c r="AR198" s="82" t="str">
        <f t="shared" si="162"/>
        <v/>
      </c>
      <c r="AS198" s="47" t="s">
        <v>0</v>
      </c>
      <c r="AT198" s="19" t="str">
        <f t="shared" si="163"/>
        <v/>
      </c>
      <c r="AU198" s="47" t="s">
        <v>0</v>
      </c>
      <c r="AV198" s="103"/>
      <c r="AW198" s="105"/>
      <c r="AX198" s="47" t="s">
        <v>0</v>
      </c>
      <c r="AY198" s="256" t="str">
        <f t="shared" si="181"/>
        <v/>
      </c>
      <c r="AZ198" s="47" t="s">
        <v>0</v>
      </c>
      <c r="BA198" s="52" t="str">
        <f t="shared" si="135"/>
        <v/>
      </c>
      <c r="BB198" s="73" t="str">
        <f>IF(AV198&amp;AW198="","",MAX(BB$12:BB197)+1)</f>
        <v/>
      </c>
      <c r="BC198" s="268" t="str">
        <f t="shared" si="136"/>
        <v/>
      </c>
      <c r="BD198" s="53" t="str">
        <f>IF(AND(AM198="NEMA",AN198="NEMA",OR(AV198&amp;AW198="",BC198="NEMA")),MAX(BD$12:BD197)+1,"")</f>
        <v/>
      </c>
      <c r="BE198" s="47" t="s">
        <v>0</v>
      </c>
      <c r="BF198" s="52" t="str">
        <f t="shared" si="137"/>
        <v>Martin</v>
      </c>
      <c r="BG198" s="31" t="str">
        <f t="shared" si="138"/>
        <v>Vukmanović</v>
      </c>
      <c r="BH198" s="73" t="str">
        <f t="shared" si="164"/>
        <v/>
      </c>
      <c r="BI198" s="53">
        <f t="shared" si="165"/>
        <v>1960</v>
      </c>
      <c r="BJ198" s="47" t="s">
        <v>0</v>
      </c>
      <c r="BK198" s="52" t="str">
        <f t="shared" si="139"/>
        <v>KAP</v>
      </c>
      <c r="BL198" s="31" t="str">
        <f t="shared" si="140"/>
        <v>OK Kapela</v>
      </c>
      <c r="BM198" s="73">
        <f t="shared" si="141"/>
        <v>5</v>
      </c>
      <c r="BN198" s="73" t="str">
        <f t="shared" si="142"/>
        <v/>
      </c>
      <c r="BO198" s="31" t="str" cm="1">
        <f t="array" ref="BO198">IF(BN198="",""&amp;BL198,IF(BN198="NEMA",BL198,INDEX(regKlub_naziv,MATCH(INDEX(regKlub_alias_klubId,BN198),regKlub_id,0))))</f>
        <v>OK Kapela</v>
      </c>
      <c r="BP198" s="31" t="str" cm="1">
        <f t="array" ref="BP198">IFERROR(""&amp;INDEX(regNatjecatelj_klub,DY198),"")</f>
        <v>OK Kapela</v>
      </c>
      <c r="BQ198" s="88" t="str">
        <f t="shared" si="166"/>
        <v/>
      </c>
      <c r="BR198" s="66" t="str">
        <f t="shared" si="167"/>
        <v>OK Kapela</v>
      </c>
      <c r="BS198" s="47" t="s">
        <v>0</v>
      </c>
      <c r="BT198" s="82" t="str">
        <f>IF(BN198&lt;&gt;"NEMA","",IF(IFERROR(MATCH(BL198,BL$12:BL197,0),0)&lt;&gt;0,"",BL198))</f>
        <v/>
      </c>
      <c r="BU198" s="47" t="s">
        <v>0</v>
      </c>
      <c r="BV198" s="125"/>
      <c r="BW198" s="47" t="s">
        <v>0</v>
      </c>
      <c r="BX198" s="58" t="str">
        <f t="shared" si="168"/>
        <v/>
      </c>
      <c r="BY198" s="31" t="str">
        <f t="shared" si="169"/>
        <v/>
      </c>
      <c r="BZ198" s="31" t="str">
        <f>IF(BY198="","",MAX(BZ$12:BZ197)+1)</f>
        <v/>
      </c>
      <c r="CA198" s="31" t="str">
        <f>IF(BY198="","",IF(AA198="","",IF(AA198="NEMA",AC198,AA198)))</f>
        <v/>
      </c>
      <c r="CB198" s="31" t="str">
        <f t="shared" si="170"/>
        <v/>
      </c>
      <c r="CC198" s="31" t="str">
        <f>IF(BV198="","",MAX(CC$12:CC197)+1)</f>
        <v/>
      </c>
      <c r="CD198" s="31" t="str">
        <f t="shared" si="171"/>
        <v/>
      </c>
      <c r="CE198" s="66" t="str">
        <f t="shared" si="172"/>
        <v/>
      </c>
      <c r="CF198" s="47" t="s">
        <v>0</v>
      </c>
      <c r="CG198" s="73" t="str">
        <f>IF(BN198="","",IF(BN198&lt;&gt;"NEMA","",IFERROR(INDEX(nat_klubAliasId,MATCH(BL198,nat_noviKluboviAliasi,0)),"")))</f>
        <v/>
      </c>
      <c r="CH198" s="47"/>
      <c r="CI198" s="19" t="str">
        <f t="shared" si="173"/>
        <v/>
      </c>
      <c r="CJ198" s="47" t="s">
        <v>0</v>
      </c>
      <c r="CK198" s="52" t="str">
        <f>IF(X198&lt;&gt;"NEMA","",IF(IFERROR(MATCH(W198,W$12:W197,0),0)&lt;&gt;0,"",W198))</f>
        <v/>
      </c>
      <c r="CL198" s="73" t="str">
        <f>IF(CK198="","",IFERROR(INDEX(regKlub_alias_id,MATCH(CK198,regKlub_alias_alias,0)),"NEMA"))</f>
        <v/>
      </c>
      <c r="CM198" s="31" t="str">
        <f>IF(OR(CL198="",CL198&lt;&gt;"NEMA"),"",MAX(CM$12:CM197)+1)</f>
        <v/>
      </c>
      <c r="CN198" s="66" t="str">
        <f>IF(OR(CL198="",CL198&lt;&gt;"NEMA"),"",INDEX(regKlub_id,MATCH(CK198,regKlub_naziv,0)))</f>
        <v/>
      </c>
      <c r="CO198" s="47" t="s">
        <v>0</v>
      </c>
      <c r="CP198" s="19" t="str">
        <f>IF(OR(CL198="",CL198&lt;&gt;"NEMA"),"","INSERT INTO klub_alias(id,alias,klub_id) VALUES ("&amp;CM198&amp;",'"&amp;CK198&amp;"',"&amp;CN198&amp;");")</f>
        <v/>
      </c>
      <c r="CQ198" s="47" t="s">
        <v>0</v>
      </c>
      <c r="CR198" s="143" t="str">
        <f>IF(BR198="","",IF(BV198="",IF(IFERROR(MATCH(BR198,nat_noviKluboviAliasi,0),0)&gt;0,INDEX(nat_kluboviAliasi,MATCH(BR198,nat_noviKluboviAliasi,0)),BR198),BV198))</f>
        <v>OK Kapela</v>
      </c>
      <c r="CS198" s="47" t="s">
        <v>0</v>
      </c>
      <c r="CT198" s="58" t="str">
        <f>IF(G198="","",G198)</f>
        <v/>
      </c>
      <c r="CU198" s="73" t="str">
        <f>IF(H198="","",H198)</f>
        <v>1</v>
      </c>
      <c r="CV198" s="229" t="str">
        <f>IF(CT198="",IF(OR(AL198="",CU198&lt;&gt;"0"),"","GREŠKA"),IF(AND(65535&gt;=VALUE(LEFT(CT198,SEARCH(":",CT198)-1))*60+VALUE(RIGHT(CT198,2)),OR(CU198="0",CU198="1",CU198="2",CU198="3",CU198="4")),"","GREŠKA"))</f>
        <v/>
      </c>
      <c r="CW198" s="230" t="str">
        <f t="shared" si="183"/>
        <v/>
      </c>
      <c r="CX198" s="163">
        <f t="shared" si="143"/>
        <v>6</v>
      </c>
      <c r="CY198" s="47" t="s">
        <v>0</v>
      </c>
      <c r="CZ198" s="222" t="str">
        <f>IF(CV198&lt;&gt;"GREŠKA","",AK198&amp;" "&amp;AL198&amp;" – Molim u OEventu provjeriti i ispraviti rezultat – vrijeme ("&amp;IF(CT198="","nije upisano",CT198)&amp;") i classifier ("&amp;CU198&amp;").")&amp;IF(OR(CV198&lt;&gt;"GREŠKA",CX198&lt;&gt;5),"
","")&amp;IF(CX198&lt;&gt;5,"",AK198&amp;" "&amp;AL198&amp;" – Molim u provjeriti je li natjecatelj zaista diskvalificiran. Ako je koje je obrazloženje, ako nije molim u OEventu ispraviti rezultat")</f>
        <v xml:space="preserve">
</v>
      </c>
      <c r="DA198" s="223" t="e">
        <f t="shared" si="174"/>
        <v>#N/A</v>
      </c>
      <c r="DB198" s="47" t="s">
        <v>0</v>
      </c>
      <c r="DC198" s="47"/>
      <c r="DD198" s="47"/>
      <c r="DE198" s="47"/>
      <c r="DF198" s="47" t="s">
        <v>0</v>
      </c>
      <c r="DG198" s="53" t="str">
        <f>IF(BD198="","",IF(DI198="O",1,""))</f>
        <v/>
      </c>
      <c r="DH198" t="s">
        <v>0</v>
      </c>
      <c r="DI198" s="128" t="str">
        <f>IF(Q198="","",LEFT(INDEX(regKategorija_oznaka,MATCH(S198,regKategorija_id,0)),1))</f>
        <v>O</v>
      </c>
      <c r="DJ198" t="s">
        <v>0</v>
      </c>
      <c r="DK198" s="52" t="str">
        <f>IF(BD198="","",IF(M198&lt;&gt;"CRO","","INSERT INTO osoba (id,reg_broj,oib,spol_id,dat_rodjenja) VALUES ("&amp;BD198&amp;",(SELECT max(os.reg_broj)+1 FROM osoba AS os),Null,'"&amp;DI198&amp;"',Null); INSERT INTO osoba_log (id,reg_broj,oib,spol_id,dat_rodjenja,dnevnik_id) SELECT id,reg_broj,oib,spol_id,dat_rodjenja,"&amp;data_dnevnik_id&amp;" FROM osoba WHERE id = "&amp;BD198&amp;";"))</f>
        <v/>
      </c>
      <c r="DL198" s="66" t="str">
        <f>IF(BD198="","","INSERT INTO imeprezime (id,osoba_id,rbr,ime,prezime,klub_id,identitet_id,sintaksa_id,info,aktivno,dnevnik_id) VALUES ("&amp;BD198&amp;","&amp;IF(DK198="","Null",BD198)&amp;",1,'"&amp;IF(AV198&lt;&gt;"",AV198,AK198)&amp;"','"&amp;IF(AW198&lt;&gt;"",AW198,AL198)&amp;"',(SELECT id FROM klub WHERE naziv = '"&amp;CR198&amp;"'),Null,1,'',1,"&amp;data_dnevnik_id&amp;");")</f>
        <v/>
      </c>
      <c r="DM198" t="s">
        <v>0</v>
      </c>
      <c r="DN198" s="19" t="str">
        <f t="shared" si="182"/>
        <v/>
      </c>
      <c r="DO198" s="47" t="s">
        <v>0</v>
      </c>
      <c r="DP198" s="19" t="str">
        <f>IF(BA198="","","INSERT INTO imeprezime_alias(id,alias,imeprezime_id) VALUES ("&amp;BB198&amp;",'"&amp;BA198&amp;"',"&amp;IF(BC198="NEMA",BD198,BC198)&amp;");")</f>
        <v/>
      </c>
      <c r="DQ198" s="47" t="s">
        <v>0</v>
      </c>
      <c r="DR198" s="52" t="str">
        <f>IF(AL198="","",DU198 &amp; IF(Q198="",""," – " &amp; Q198))</f>
        <v>Martin – Vukmanović – OK Kapela – OPEN</v>
      </c>
      <c r="DS198" s="53" t="str">
        <f t="shared" si="144"/>
        <v>NEMA</v>
      </c>
      <c r="DT198" s="47" t="s">
        <v>0</v>
      </c>
      <c r="DU198" s="52" t="str">
        <f>IF(AL198="","",DX198 &amp; IF(CR198="",""," – " &amp; CR198))</f>
        <v>Martin – Vukmanović – OK Kapela</v>
      </c>
      <c r="DV198" s="53">
        <f t="shared" si="145"/>
        <v>330</v>
      </c>
      <c r="DW198" s="47" t="s">
        <v>0</v>
      </c>
      <c r="DX198" s="52" t="str">
        <f>IF(BG198="","",BF198&amp;" – "&amp;BG198)</f>
        <v>Martin – Vukmanović</v>
      </c>
      <c r="DY198" s="53">
        <f t="shared" si="146"/>
        <v>330</v>
      </c>
      <c r="DZ198" s="47" t="s">
        <v>0</v>
      </c>
      <c r="EA198" s="58">
        <f t="shared" si="175"/>
        <v>330</v>
      </c>
      <c r="EB198" s="53" cm="1">
        <f t="array" ref="EB198">IF(EA198&lt;&gt;"",INDEX(regNatjecatelj_id,EA198,0),IF(BD198&lt;&gt;"",BD198,""))</f>
        <v>1960</v>
      </c>
      <c r="EC198" s="47" t="s">
        <v>0</v>
      </c>
      <c r="ED198" s="58" t="str">
        <f>IF(AL198="","",IF(BD198&lt;&gt;"","novo",IF(AN198="","imepre","imepre(ali)")))</f>
        <v>imepre</v>
      </c>
      <c r="EE198" s="73" t="str">
        <f>IF(AL198="","",IF(BL198="",IF(IFERROR(INDEX(regNatjecatelj_klub,MATCH(EB198,regNatjecatelj_id,0)),"NEMA")="","klu",""),IF(OR(AND(BN198&lt;&gt;"",BN198&lt;&gt;"NEMA"),CD198&lt;&gt;""),"klu(ali)",IF(AND(BP198&lt;&gt;"",BP198&lt;&gt;BO198),"(raz-klu)","klu"))))</f>
        <v>klu</v>
      </c>
      <c r="EF198" s="73" t="str">
        <f>IF(AL198="","","kat"&amp;IF(AND(W198&lt;&gt;Q198,Q198&lt;&gt;"Open"),"(ali)",""))</f>
        <v>kat</v>
      </c>
      <c r="EG198" s="73" t="str">
        <f t="shared" si="147"/>
        <v/>
      </c>
      <c r="EH198" s="66" t="str">
        <f>IF(AL198="","",ED198&amp;IF(ED198="novo","","-"&amp;EE198&amp;"-"&amp;EF198)&amp;IF(EG198="","","-"&amp;EG198))</f>
        <v>imepre-klu-kat</v>
      </c>
      <c r="EI198" s="47" t="s">
        <v>0</v>
      </c>
      <c r="EJ198" s="58">
        <f>IF(AL198="","",MAX(EJ$12:EJ197)+1)</f>
        <v>358</v>
      </c>
      <c r="EK198" s="73">
        <f>IF(AO198="","",X198)</f>
        <v>34</v>
      </c>
      <c r="EL198" s="73">
        <f t="shared" si="176"/>
        <v>1960</v>
      </c>
      <c r="EM198" s="73" t="str">
        <f t="shared" si="148"/>
        <v/>
      </c>
      <c r="EN198" s="73">
        <f t="shared" si="149"/>
        <v>6</v>
      </c>
      <c r="EO198" s="73">
        <f t="shared" si="177"/>
        <v>0</v>
      </c>
      <c r="EP198" s="73">
        <f t="shared" si="178"/>
        <v>1</v>
      </c>
      <c r="EQ198" s="73" t="str">
        <f t="shared" si="150"/>
        <v>1</v>
      </c>
      <c r="ER198" s="73" t="str">
        <f>IF(OR(AN198="",AN198="NEMA"),BB198,AN198)</f>
        <v/>
      </c>
      <c r="ES198" s="73" t="str">
        <f>IF(AND(BN198&lt;&gt;"",BN198&lt;&gt;"NEMA"),BN198,IF(CG198&lt;&gt;"",CG198,IF(AND(CL198&lt;&gt;"",CL198&lt;&gt;"NEMA"),CL198,IF(CM198&lt;&gt;"",CM198,""))))</f>
        <v/>
      </c>
      <c r="ET198" s="53" t="str">
        <f>IF(INDEX(natKategorija_alias_Id,MATCH(S198,natKategorija_katRegId,0))="","",INDEX(natKategorija_alias_Id,MATCH(S198,natKategorija_katRegId,0)))</f>
        <v/>
      </c>
      <c r="EU198" s="47" t="s">
        <v>0</v>
      </c>
      <c r="EV198" s="19" t="str">
        <f t="shared" si="179"/>
        <v>INSERT INTO rezultat(id,stazakategorija_id,imeprezime_id,vrijeme_sec,status_id,registracija,uparivanje_id,originalstatus_id,imeprezimealias_id,klubalias_id,kategorijaalias_id) VALUES (358,34,1960,Null,6,0,1,1,Null,Null,Null);</v>
      </c>
      <c r="EW198" s="47" t="s">
        <v>0</v>
      </c>
      <c r="EX198" s="19" t="str">
        <f t="shared" si="180"/>
        <v/>
      </c>
      <c r="EY198" s="47" t="s">
        <v>0</v>
      </c>
      <c r="EZ198" s="180" t="str">
        <f>AG198&amp;IF(CP198="","","
")&amp;CP198&amp;IF(CI198="","","
")&amp;CI198&amp;IF(DN198="","","
")&amp;DN198&amp;IF(DP198="","","
")&amp;DP198&amp;IF(EV198="","","
")&amp;EV198&amp;IF(EX198="","","
")&amp;EX198</f>
        <v xml:space="preserve">
INSERT INTO rezultat(id,stazakategorija_id,imeprezime_id,vrijeme_sec,status_id,registracija,uparivanje_id,originalstatus_id,imeprezimealias_id,klubalias_id,kategorijaalias_id) VALUES (358,34,1960,Null,6,0,1,1,Null,Null,Null);</v>
      </c>
      <c r="FA198" s="47" t="s">
        <v>0</v>
      </c>
    </row>
    <row r="199" spans="1:157" x14ac:dyDescent="0.25">
      <c r="A199" t="s">
        <v>0</v>
      </c>
      <c r="B199" s="52" t="str">
        <f>IF(csv!F189="","",csv!T189)</f>
        <v>OPEN</v>
      </c>
      <c r="C199" s="31" t="s">
        <v>0</v>
      </c>
      <c r="D199" s="31" t="str">
        <f>IF(csv!F189="","",csv!F189)</f>
        <v>Maja</v>
      </c>
      <c r="E199" s="31" t="str">
        <f>IF(csv!E189="","",csv!E189)</f>
        <v>Katušić</v>
      </c>
      <c r="F199" s="31" t="s">
        <v>0</v>
      </c>
      <c r="G199" s="73" t="str">
        <f>IF(csv!M189="","",csv!M189)</f>
        <v>148:32</v>
      </c>
      <c r="H199" s="73" t="str">
        <f>IF(csv!N189="","",csv!N189)</f>
        <v>3</v>
      </c>
      <c r="I199" s="31" t="s">
        <v>0</v>
      </c>
      <c r="J199" s="31" t="str">
        <f>IF(csv!P189="","",csv!P189)</f>
        <v>Vihor</v>
      </c>
      <c r="K199" s="31" t="str">
        <f>IF(csv!Q189="","",csv!Q189)</f>
        <v>OK Vihor</v>
      </c>
      <c r="L199" s="31" t="s">
        <v>0</v>
      </c>
      <c r="M199" s="66" t="str">
        <f>IF(csv!R189="","",csv!R189)</f>
        <v>CRO</v>
      </c>
      <c r="N199" s="47" t="s">
        <v>0</v>
      </c>
      <c r="O199" s="243" t="str">
        <f t="shared" si="151"/>
        <v>ok</v>
      </c>
      <c r="P199" s="47"/>
      <c r="Q199" s="52" t="str">
        <f t="shared" si="152"/>
        <v>OPEN</v>
      </c>
      <c r="R199" s="73">
        <f>IF(Q199="","",IF(COUNTIF(Q$12:Q198,Q199)=0,R198+1,R198))</f>
        <v>12</v>
      </c>
      <c r="S199" s="73">
        <f t="shared" si="153"/>
        <v>291</v>
      </c>
      <c r="T199" s="73">
        <f t="shared" si="128"/>
        <v>29</v>
      </c>
      <c r="U199" s="66" t="str">
        <f t="shared" si="129"/>
        <v>Otvorena</v>
      </c>
      <c r="V199" s="47" t="s">
        <v>0</v>
      </c>
      <c r="W199" s="222" t="str">
        <f t="shared" si="130"/>
        <v>Otvorena</v>
      </c>
      <c r="X199" s="223">
        <f t="shared" si="131"/>
        <v>34</v>
      </c>
      <c r="Y199" s="47" t="s">
        <v>0</v>
      </c>
      <c r="Z199" s="52" t="str">
        <f t="shared" si="154"/>
        <v>CRO</v>
      </c>
      <c r="AA199" s="73">
        <f t="shared" si="132"/>
        <v>1</v>
      </c>
      <c r="AB199" s="31" t="str">
        <f t="shared" si="155"/>
        <v/>
      </c>
      <c r="AC199" s="66" t="str">
        <f>IF(AB199="","",MAX(AC$12:AC198)+1)</f>
        <v/>
      </c>
      <c r="AD199" s="47" t="s">
        <v>0</v>
      </c>
      <c r="AE199" s="125"/>
      <c r="AF199" s="47" t="s">
        <v>0</v>
      </c>
      <c r="AG199" s="19" t="str">
        <f t="shared" si="156"/>
        <v/>
      </c>
      <c r="AH199" s="47" t="s">
        <v>0</v>
      </c>
      <c r="AI199" s="143" t="str">
        <f t="shared" si="157"/>
        <v>CRO</v>
      </c>
      <c r="AJ199" s="47"/>
      <c r="AK199" s="52" t="str">
        <f t="shared" si="158"/>
        <v>Maja</v>
      </c>
      <c r="AL199" s="31" t="str">
        <f t="shared" si="159"/>
        <v>Katušić</v>
      </c>
      <c r="AM199" s="73">
        <f t="shared" si="160"/>
        <v>1894</v>
      </c>
      <c r="AN199" s="73" t="str">
        <f t="shared" si="161"/>
        <v/>
      </c>
      <c r="AO199" s="31" t="str">
        <f t="shared" si="133"/>
        <v>Maja</v>
      </c>
      <c r="AP199" s="66" t="str">
        <f t="shared" si="134"/>
        <v>Katušić</v>
      </c>
      <c r="AQ199" s="47" t="s">
        <v>0</v>
      </c>
      <c r="AR199" s="82" t="str">
        <f t="shared" si="162"/>
        <v/>
      </c>
      <c r="AS199" s="47" t="s">
        <v>0</v>
      </c>
      <c r="AT199" s="19" t="str">
        <f t="shared" si="163"/>
        <v/>
      </c>
      <c r="AU199" s="47" t="s">
        <v>0</v>
      </c>
      <c r="AV199" s="103"/>
      <c r="AW199" s="105"/>
      <c r="AX199" s="47" t="s">
        <v>0</v>
      </c>
      <c r="AY199" s="256" t="str">
        <f t="shared" si="181"/>
        <v/>
      </c>
      <c r="AZ199" s="47" t="s">
        <v>0</v>
      </c>
      <c r="BA199" s="52" t="str">
        <f t="shared" si="135"/>
        <v/>
      </c>
      <c r="BB199" s="73" t="str">
        <f>IF(AV199&amp;AW199="","",MAX(BB$12:BB198)+1)</f>
        <v/>
      </c>
      <c r="BC199" s="268" t="str">
        <f t="shared" si="136"/>
        <v/>
      </c>
      <c r="BD199" s="53" t="str">
        <f>IF(AND(AM199="NEMA",AN199="NEMA",OR(AV199&amp;AW199="",BC199="NEMA")),MAX(BD$12:BD198)+1,"")</f>
        <v/>
      </c>
      <c r="BE199" s="47" t="s">
        <v>0</v>
      </c>
      <c r="BF199" s="52" t="str">
        <f t="shared" si="137"/>
        <v>Maja</v>
      </c>
      <c r="BG199" s="31" t="str">
        <f t="shared" si="138"/>
        <v>Katušić</v>
      </c>
      <c r="BH199" s="73" t="str">
        <f t="shared" si="164"/>
        <v/>
      </c>
      <c r="BI199" s="53">
        <f t="shared" si="165"/>
        <v>1894</v>
      </c>
      <c r="BJ199" s="47" t="s">
        <v>0</v>
      </c>
      <c r="BK199" s="52" t="str">
        <f t="shared" si="139"/>
        <v>Vihor</v>
      </c>
      <c r="BL199" s="31" t="str">
        <f t="shared" si="140"/>
        <v>OK Vihor</v>
      </c>
      <c r="BM199" s="73">
        <f t="shared" si="141"/>
        <v>12</v>
      </c>
      <c r="BN199" s="73" t="str">
        <f t="shared" si="142"/>
        <v/>
      </c>
      <c r="BO199" s="31" t="str" cm="1">
        <f t="array" ref="BO199">IF(BN199="",""&amp;BL199,IF(BN199="NEMA",BL199,INDEX(regKlub_naziv,MATCH(INDEX(regKlub_alias_klubId,BN199),regKlub_id,0))))</f>
        <v>OK Vihor</v>
      </c>
      <c r="BP199" s="31" t="str" cm="1">
        <f t="array" ref="BP199">IFERROR(""&amp;INDEX(regNatjecatelj_klub,DY199),"")</f>
        <v>OK Vihor</v>
      </c>
      <c r="BQ199" s="88" t="str">
        <f t="shared" si="166"/>
        <v/>
      </c>
      <c r="BR199" s="66" t="str">
        <f t="shared" si="167"/>
        <v>OK Vihor</v>
      </c>
      <c r="BS199" s="47" t="s">
        <v>0</v>
      </c>
      <c r="BT199" s="82" t="str">
        <f>IF(BN199&lt;&gt;"NEMA","",IF(IFERROR(MATCH(BL199,BL$12:BL198,0),0)&lt;&gt;0,"",BL199))</f>
        <v/>
      </c>
      <c r="BU199" s="47" t="s">
        <v>0</v>
      </c>
      <c r="BV199" s="125"/>
      <c r="BW199" s="47" t="s">
        <v>0</v>
      </c>
      <c r="BX199" s="58" t="str">
        <f t="shared" si="168"/>
        <v/>
      </c>
      <c r="BY199" s="31" t="str">
        <f t="shared" si="169"/>
        <v/>
      </c>
      <c r="BZ199" s="31" t="str">
        <f>IF(BY199="","",MAX(BZ$12:BZ198)+1)</f>
        <v/>
      </c>
      <c r="CA199" s="31" t="str">
        <f>IF(BY199="","",IF(AA199="","",IF(AA199="NEMA",AC199,AA199)))</f>
        <v/>
      </c>
      <c r="CB199" s="31" t="str">
        <f t="shared" si="170"/>
        <v/>
      </c>
      <c r="CC199" s="31" t="str">
        <f>IF(BV199="","",MAX(CC$12:CC198)+1)</f>
        <v/>
      </c>
      <c r="CD199" s="31" t="str">
        <f t="shared" si="171"/>
        <v/>
      </c>
      <c r="CE199" s="66" t="str">
        <f t="shared" si="172"/>
        <v/>
      </c>
      <c r="CF199" s="47" t="s">
        <v>0</v>
      </c>
      <c r="CG199" s="73" t="str">
        <f>IF(BN199="","",IF(BN199&lt;&gt;"NEMA","",IFERROR(INDEX(nat_klubAliasId,MATCH(BL199,nat_noviKluboviAliasi,0)),"")))</f>
        <v/>
      </c>
      <c r="CH199" s="47"/>
      <c r="CI199" s="19" t="str">
        <f t="shared" si="173"/>
        <v/>
      </c>
      <c r="CJ199" s="47" t="s">
        <v>0</v>
      </c>
      <c r="CK199" s="52" t="str">
        <f>IF(X199&lt;&gt;"NEMA","",IF(IFERROR(MATCH(W199,W$12:W198,0),0)&lt;&gt;0,"",W199))</f>
        <v/>
      </c>
      <c r="CL199" s="73" t="str">
        <f>IF(CK199="","",IFERROR(INDEX(regKlub_alias_id,MATCH(CK199,regKlub_alias_alias,0)),"NEMA"))</f>
        <v/>
      </c>
      <c r="CM199" s="31" t="str">
        <f>IF(OR(CL199="",CL199&lt;&gt;"NEMA"),"",MAX(CM$12:CM198)+1)</f>
        <v/>
      </c>
      <c r="CN199" s="66" t="str">
        <f>IF(OR(CL199="",CL199&lt;&gt;"NEMA"),"",INDEX(regKlub_id,MATCH(CK199,regKlub_naziv,0)))</f>
        <v/>
      </c>
      <c r="CO199" s="47" t="s">
        <v>0</v>
      </c>
      <c r="CP199" s="19" t="str">
        <f>IF(OR(CL199="",CL199&lt;&gt;"NEMA"),"","INSERT INTO klub_alias(id,alias,klub_id) VALUES ("&amp;CM199&amp;",'"&amp;CK199&amp;"',"&amp;CN199&amp;");")</f>
        <v/>
      </c>
      <c r="CQ199" s="47" t="s">
        <v>0</v>
      </c>
      <c r="CR199" s="143" t="str">
        <f>IF(BR199="","",IF(BV199="",IF(IFERROR(MATCH(BR199,nat_noviKluboviAliasi,0),0)&gt;0,INDEX(nat_kluboviAliasi,MATCH(BR199,nat_noviKluboviAliasi,0)),BR199),BV199))</f>
        <v>OK Vihor</v>
      </c>
      <c r="CS199" s="47" t="s">
        <v>0</v>
      </c>
      <c r="CT199" s="58" t="str">
        <f>IF(G199="","",G199)</f>
        <v>148:32</v>
      </c>
      <c r="CU199" s="73" t="str">
        <f>IF(H199="","",H199)</f>
        <v>3</v>
      </c>
      <c r="CV199" s="229" t="str">
        <f>IF(CT199="",IF(OR(AL199="",CU199&lt;&gt;"0"),"","GREŠKA"),IF(AND(65535&gt;=VALUE(LEFT(CT199,SEARCH(":",CT199)-1))*60+VALUE(RIGHT(CT199,2)),OR(CU199="0",CU199="1",CU199="2",CU199="3",CU199="4")),"","GREŠKA"))</f>
        <v/>
      </c>
      <c r="CW199" s="230">
        <f t="shared" si="183"/>
        <v>8912</v>
      </c>
      <c r="CX199" s="163">
        <f t="shared" si="143"/>
        <v>3</v>
      </c>
      <c r="CY199" s="47" t="s">
        <v>0</v>
      </c>
      <c r="CZ199" s="222" t="str">
        <f>IF(CV199&lt;&gt;"GREŠKA","",AK199&amp;" "&amp;AL199&amp;" – Molim u OEventu provjeriti i ispraviti rezultat – vrijeme ("&amp;IF(CT199="","nije upisano",CT199)&amp;") i classifier ("&amp;CU199&amp;").")&amp;IF(OR(CV199&lt;&gt;"GREŠKA",CX199&lt;&gt;5),"
","")&amp;IF(CX199&lt;&gt;5,"",AK199&amp;" "&amp;AL199&amp;" – Molim u provjeriti je li natjecatelj zaista diskvalificiran. Ako je koje je obrazloženje, ako nije molim u OEventu ispraviti rezultat")</f>
        <v xml:space="preserve">
</v>
      </c>
      <c r="DA199" s="223">
        <f t="shared" si="174"/>
        <v>3</v>
      </c>
      <c r="DB199" s="47" t="s">
        <v>0</v>
      </c>
      <c r="DC199" s="47"/>
      <c r="DD199" s="47"/>
      <c r="DE199" s="47"/>
      <c r="DF199" s="47" t="s">
        <v>0</v>
      </c>
      <c r="DG199" s="53" t="str">
        <f>IF(BD199="","",IF(DI199="O",1,""))</f>
        <v/>
      </c>
      <c r="DH199" t="s">
        <v>0</v>
      </c>
      <c r="DI199" s="128" t="str">
        <f>IF(Q199="","",LEFT(INDEX(regKategorija_oznaka,MATCH(S199,regKategorija_id,0)),1))</f>
        <v>O</v>
      </c>
      <c r="DJ199" t="s">
        <v>0</v>
      </c>
      <c r="DK199" s="52" t="str">
        <f>IF(BD199="","",IF(M199&lt;&gt;"CRO","","INSERT INTO osoba (id,reg_broj,oib,spol_id,dat_rodjenja) VALUES ("&amp;BD199&amp;",(SELECT max(os.reg_broj)+1 FROM osoba AS os),Null,'"&amp;DI199&amp;"',Null); INSERT INTO osoba_log (id,reg_broj,oib,spol_id,dat_rodjenja,dnevnik_id) SELECT id,reg_broj,oib,spol_id,dat_rodjenja,"&amp;data_dnevnik_id&amp;" FROM osoba WHERE id = "&amp;BD199&amp;";"))</f>
        <v/>
      </c>
      <c r="DL199" s="66" t="str">
        <f>IF(BD199="","","INSERT INTO imeprezime (id,osoba_id,rbr,ime,prezime,klub_id,identitet_id,sintaksa_id,info,aktivno,dnevnik_id) VALUES ("&amp;BD199&amp;","&amp;IF(DK199="","Null",BD199)&amp;",1,'"&amp;IF(AV199&lt;&gt;"",AV199,AK199)&amp;"','"&amp;IF(AW199&lt;&gt;"",AW199,AL199)&amp;"',(SELECT id FROM klub WHERE naziv = '"&amp;CR199&amp;"'),Null,1,'',1,"&amp;data_dnevnik_id&amp;");")</f>
        <v/>
      </c>
      <c r="DM199" t="s">
        <v>0</v>
      </c>
      <c r="DN199" s="19" t="str">
        <f t="shared" si="182"/>
        <v/>
      </c>
      <c r="DO199" s="47" t="s">
        <v>0</v>
      </c>
      <c r="DP199" s="19" t="str">
        <f>IF(BA199="","","INSERT INTO imeprezime_alias(id,alias,imeprezime_id) VALUES ("&amp;BB199&amp;",'"&amp;BA199&amp;"',"&amp;IF(BC199="NEMA",BD199,BC199)&amp;");")</f>
        <v/>
      </c>
      <c r="DQ199" s="47" t="s">
        <v>0</v>
      </c>
      <c r="DR199" s="52" t="str">
        <f>IF(AL199="","",DU199 &amp; IF(Q199="",""," – " &amp; Q199))</f>
        <v>Maja – Katušić – OK Vihor – OPEN</v>
      </c>
      <c r="DS199" s="53" t="str">
        <f t="shared" si="144"/>
        <v>NEMA</v>
      </c>
      <c r="DT199" s="47" t="s">
        <v>0</v>
      </c>
      <c r="DU199" s="52" t="str">
        <f>IF(AL199="","",DX199 &amp; IF(CR199="",""," – " &amp; CR199))</f>
        <v>Maja – Katušić – OK Vihor</v>
      </c>
      <c r="DV199" s="53">
        <f t="shared" si="145"/>
        <v>733</v>
      </c>
      <c r="DW199" s="47" t="s">
        <v>0</v>
      </c>
      <c r="DX199" s="52" t="str">
        <f>IF(BG199="","",BF199&amp;" – "&amp;BG199)</f>
        <v>Maja – Katušić</v>
      </c>
      <c r="DY199" s="53">
        <f t="shared" si="146"/>
        <v>733</v>
      </c>
      <c r="DZ199" s="47" t="s">
        <v>0</v>
      </c>
      <c r="EA199" s="58">
        <f t="shared" si="175"/>
        <v>733</v>
      </c>
      <c r="EB199" s="53" cm="1">
        <f t="array" ref="EB199">IF(EA199&lt;&gt;"",INDEX(regNatjecatelj_id,EA199,0),IF(BD199&lt;&gt;"",BD199,""))</f>
        <v>1894</v>
      </c>
      <c r="EC199" s="47" t="s">
        <v>0</v>
      </c>
      <c r="ED199" s="58" t="str">
        <f>IF(AL199="","",IF(BD199&lt;&gt;"","novo",IF(AN199="","imepre","imepre(ali)")))</f>
        <v>imepre</v>
      </c>
      <c r="EE199" s="73" t="str">
        <f>IF(AL199="","",IF(BL199="",IF(IFERROR(INDEX(regNatjecatelj_klub,MATCH(EB199,regNatjecatelj_id,0)),"NEMA")="","klu",""),IF(OR(AND(BN199&lt;&gt;"",BN199&lt;&gt;"NEMA"),CD199&lt;&gt;""),"klu(ali)",IF(AND(BP199&lt;&gt;"",BP199&lt;&gt;BO199),"(raz-klu)","klu"))))</f>
        <v>klu</v>
      </c>
      <c r="EF199" s="73" t="str">
        <f>IF(AL199="","","kat"&amp;IF(AND(W199&lt;&gt;Q199,Q199&lt;&gt;"Open"),"(ali)",""))</f>
        <v>kat</v>
      </c>
      <c r="EG199" s="73" t="str">
        <f t="shared" si="147"/>
        <v/>
      </c>
      <c r="EH199" s="66" t="str">
        <f>IF(AL199="","",ED199&amp;IF(ED199="novo","","-"&amp;EE199&amp;"-"&amp;EF199)&amp;IF(EG199="","","-"&amp;EG199))</f>
        <v>imepre-klu-kat</v>
      </c>
      <c r="EI199" s="47" t="s">
        <v>0</v>
      </c>
      <c r="EJ199" s="58">
        <f>IF(AL199="","",MAX(EJ$12:EJ198)+1)</f>
        <v>359</v>
      </c>
      <c r="EK199" s="73">
        <f>IF(AO199="","",X199)</f>
        <v>34</v>
      </c>
      <c r="EL199" s="73">
        <f t="shared" si="176"/>
        <v>1894</v>
      </c>
      <c r="EM199" s="73">
        <f t="shared" si="148"/>
        <v>8912</v>
      </c>
      <c r="EN199" s="73">
        <f t="shared" si="149"/>
        <v>3</v>
      </c>
      <c r="EO199" s="73">
        <f t="shared" si="177"/>
        <v>0</v>
      </c>
      <c r="EP199" s="73">
        <f t="shared" si="178"/>
        <v>1</v>
      </c>
      <c r="EQ199" s="73" t="str">
        <f t="shared" si="150"/>
        <v>3</v>
      </c>
      <c r="ER199" s="73" t="str">
        <f>IF(OR(AN199="",AN199="NEMA"),BB199,AN199)</f>
        <v/>
      </c>
      <c r="ES199" s="73" t="str">
        <f>IF(AND(BN199&lt;&gt;"",BN199&lt;&gt;"NEMA"),BN199,IF(CG199&lt;&gt;"",CG199,IF(AND(CL199&lt;&gt;"",CL199&lt;&gt;"NEMA"),CL199,IF(CM199&lt;&gt;"",CM199,""))))</f>
        <v/>
      </c>
      <c r="ET199" s="53" t="str">
        <f>IF(INDEX(natKategorija_alias_Id,MATCH(S199,natKategorija_katRegId,0))="","",INDEX(natKategorija_alias_Id,MATCH(S199,natKategorija_katRegId,0)))</f>
        <v/>
      </c>
      <c r="EU199" s="47" t="s">
        <v>0</v>
      </c>
      <c r="EV199" s="19" t="str">
        <f t="shared" si="179"/>
        <v>INSERT INTO rezultat(id,stazakategorija_id,imeprezime_id,vrijeme_sec,status_id,registracija,uparivanje_id,originalstatus_id,imeprezimealias_id,klubalias_id,kategorijaalias_id) VALUES (359,34,1894,8912,3,0,1,3,Null,Null,Null);</v>
      </c>
      <c r="EW199" s="47" t="s">
        <v>0</v>
      </c>
      <c r="EX199" s="19" t="str">
        <f t="shared" si="180"/>
        <v/>
      </c>
      <c r="EY199" s="47" t="s">
        <v>0</v>
      </c>
      <c r="EZ199" s="180" t="str">
        <f>AG199&amp;IF(CP199="","","
")&amp;CP199&amp;IF(CI199="","","
")&amp;CI199&amp;IF(DN199="","","
")&amp;DN199&amp;IF(DP199="","","
")&amp;DP199&amp;IF(EV199="","","
")&amp;EV199&amp;IF(EX199="","","
")&amp;EX199</f>
        <v xml:space="preserve">
INSERT INTO rezultat(id,stazakategorija_id,imeprezime_id,vrijeme_sec,status_id,registracija,uparivanje_id,originalstatus_id,imeprezimealias_id,klubalias_id,kategorijaalias_id) VALUES (359,34,1894,8912,3,0,1,3,Null,Null,Null);</v>
      </c>
      <c r="FA199" s="47" t="s">
        <v>0</v>
      </c>
    </row>
    <row r="200" spans="1:157" x14ac:dyDescent="0.25">
      <c r="A200" t="s">
        <v>0</v>
      </c>
      <c r="B200" s="52" t="str">
        <f>IF(csv!F190="","",csv!T190)</f>
        <v>OPEN</v>
      </c>
      <c r="C200" s="31" t="s">
        <v>0</v>
      </c>
      <c r="D200" s="31" t="str">
        <f>IF(csv!F190="","",csv!F190)</f>
        <v>Petra</v>
      </c>
      <c r="E200" s="31" t="str">
        <f>IF(csv!E190="","",csv!E190)</f>
        <v>Jurić</v>
      </c>
      <c r="F200" s="31" t="s">
        <v>0</v>
      </c>
      <c r="G200" s="73" t="str">
        <f>IF(csv!M190="","",csv!M190)</f>
        <v>72:49</v>
      </c>
      <c r="H200" s="73" t="str">
        <f>IF(csv!N190="","",csv!N190)</f>
        <v>3</v>
      </c>
      <c r="I200" s="31" t="s">
        <v>0</v>
      </c>
      <c r="J200" s="31" t="str">
        <f>IF(csv!P190="","",csv!P190)</f>
        <v>Vihor</v>
      </c>
      <c r="K200" s="31" t="str">
        <f>IF(csv!Q190="","",csv!Q190)</f>
        <v>OK Vihor</v>
      </c>
      <c r="L200" s="31" t="s">
        <v>0</v>
      </c>
      <c r="M200" s="66" t="str">
        <f>IF(csv!R190="","",csv!R190)</f>
        <v>CRO</v>
      </c>
      <c r="N200" s="47" t="s">
        <v>0</v>
      </c>
      <c r="O200" s="243" t="str">
        <f t="shared" si="151"/>
        <v>ok</v>
      </c>
      <c r="P200" s="47"/>
      <c r="Q200" s="52" t="str">
        <f t="shared" si="152"/>
        <v>OPEN</v>
      </c>
      <c r="R200" s="73">
        <f>IF(Q200="","",IF(COUNTIF(Q$12:Q199,Q200)=0,R199+1,R199))</f>
        <v>12</v>
      </c>
      <c r="S200" s="73">
        <f t="shared" si="153"/>
        <v>291</v>
      </c>
      <c r="T200" s="73">
        <f t="shared" si="128"/>
        <v>29</v>
      </c>
      <c r="U200" s="66" t="str">
        <f t="shared" si="129"/>
        <v>Otvorena</v>
      </c>
      <c r="V200" s="47" t="s">
        <v>0</v>
      </c>
      <c r="W200" s="222" t="str">
        <f t="shared" si="130"/>
        <v>Otvorena</v>
      </c>
      <c r="X200" s="223">
        <f t="shared" si="131"/>
        <v>34</v>
      </c>
      <c r="Y200" s="47" t="s">
        <v>0</v>
      </c>
      <c r="Z200" s="52" t="str">
        <f t="shared" si="154"/>
        <v>CRO</v>
      </c>
      <c r="AA200" s="73">
        <f t="shared" si="132"/>
        <v>1</v>
      </c>
      <c r="AB200" s="31" t="str">
        <f t="shared" si="155"/>
        <v/>
      </c>
      <c r="AC200" s="66" t="str">
        <f>IF(AB200="","",MAX(AC$12:AC199)+1)</f>
        <v/>
      </c>
      <c r="AD200" s="47" t="s">
        <v>0</v>
      </c>
      <c r="AE200" s="125"/>
      <c r="AF200" s="47" t="s">
        <v>0</v>
      </c>
      <c r="AG200" s="19" t="str">
        <f t="shared" si="156"/>
        <v/>
      </c>
      <c r="AH200" s="47" t="s">
        <v>0</v>
      </c>
      <c r="AI200" s="143" t="str">
        <f t="shared" si="157"/>
        <v>CRO</v>
      </c>
      <c r="AJ200" s="47"/>
      <c r="AK200" s="52" t="str">
        <f t="shared" si="158"/>
        <v>Petra</v>
      </c>
      <c r="AL200" s="31" t="str">
        <f t="shared" si="159"/>
        <v>Jurić</v>
      </c>
      <c r="AM200" s="73">
        <f t="shared" si="160"/>
        <v>1893</v>
      </c>
      <c r="AN200" s="73" t="str">
        <f t="shared" si="161"/>
        <v/>
      </c>
      <c r="AO200" s="31" t="str">
        <f t="shared" si="133"/>
        <v>Petra</v>
      </c>
      <c r="AP200" s="66" t="str">
        <f t="shared" si="134"/>
        <v>Jurić</v>
      </c>
      <c r="AQ200" s="47" t="s">
        <v>0</v>
      </c>
      <c r="AR200" s="82" t="str">
        <f t="shared" si="162"/>
        <v/>
      </c>
      <c r="AS200" s="47" t="s">
        <v>0</v>
      </c>
      <c r="AT200" s="19" t="str">
        <f t="shared" si="163"/>
        <v/>
      </c>
      <c r="AU200" s="47" t="s">
        <v>0</v>
      </c>
      <c r="AV200" s="103"/>
      <c r="AW200" s="105"/>
      <c r="AX200" s="47" t="s">
        <v>0</v>
      </c>
      <c r="AY200" s="256" t="str">
        <f t="shared" si="181"/>
        <v/>
      </c>
      <c r="AZ200" s="47" t="s">
        <v>0</v>
      </c>
      <c r="BA200" s="52" t="str">
        <f t="shared" si="135"/>
        <v/>
      </c>
      <c r="BB200" s="73" t="str">
        <f>IF(AV200&amp;AW200="","",MAX(BB$12:BB199)+1)</f>
        <v/>
      </c>
      <c r="BC200" s="268" t="str">
        <f t="shared" si="136"/>
        <v/>
      </c>
      <c r="BD200" s="53" t="str">
        <f>IF(AND(AM200="NEMA",AN200="NEMA",OR(AV200&amp;AW200="",BC200="NEMA")),MAX(BD$12:BD199)+1,"")</f>
        <v/>
      </c>
      <c r="BE200" s="47" t="s">
        <v>0</v>
      </c>
      <c r="BF200" s="52" t="str">
        <f t="shared" si="137"/>
        <v>Petra</v>
      </c>
      <c r="BG200" s="31" t="str">
        <f t="shared" si="138"/>
        <v>Jurić</v>
      </c>
      <c r="BH200" s="73" t="str">
        <f t="shared" si="164"/>
        <v/>
      </c>
      <c r="BI200" s="53">
        <f t="shared" si="165"/>
        <v>1893</v>
      </c>
      <c r="BJ200" s="47" t="s">
        <v>0</v>
      </c>
      <c r="BK200" s="52" t="str">
        <f t="shared" si="139"/>
        <v>Vihor</v>
      </c>
      <c r="BL200" s="31" t="str">
        <f t="shared" si="140"/>
        <v>OK Vihor</v>
      </c>
      <c r="BM200" s="73">
        <f t="shared" si="141"/>
        <v>12</v>
      </c>
      <c r="BN200" s="73" t="str">
        <f t="shared" si="142"/>
        <v/>
      </c>
      <c r="BO200" s="31" t="str" cm="1">
        <f t="array" ref="BO200">IF(BN200="",""&amp;BL200,IF(BN200="NEMA",BL200,INDEX(regKlub_naziv,MATCH(INDEX(regKlub_alias_klubId,BN200),regKlub_id,0))))</f>
        <v>OK Vihor</v>
      </c>
      <c r="BP200" s="31" t="str" cm="1">
        <f t="array" ref="BP200">IFERROR(""&amp;INDEX(regNatjecatelj_klub,DY200),"")</f>
        <v>OK Vihor</v>
      </c>
      <c r="BQ200" s="88" t="str">
        <f t="shared" si="166"/>
        <v/>
      </c>
      <c r="BR200" s="66" t="str">
        <f t="shared" si="167"/>
        <v>OK Vihor</v>
      </c>
      <c r="BS200" s="47" t="s">
        <v>0</v>
      </c>
      <c r="BT200" s="82" t="str">
        <f>IF(BN200&lt;&gt;"NEMA","",IF(IFERROR(MATCH(BL200,BL$12:BL199,0),0)&lt;&gt;0,"",BL200))</f>
        <v/>
      </c>
      <c r="BU200" s="47" t="s">
        <v>0</v>
      </c>
      <c r="BV200" s="125"/>
      <c r="BW200" s="47" t="s">
        <v>0</v>
      </c>
      <c r="BX200" s="58" t="str">
        <f t="shared" si="168"/>
        <v/>
      </c>
      <c r="BY200" s="31" t="str">
        <f t="shared" si="169"/>
        <v/>
      </c>
      <c r="BZ200" s="31" t="str">
        <f>IF(BY200="","",MAX(BZ$12:BZ199)+1)</f>
        <v/>
      </c>
      <c r="CA200" s="31" t="str">
        <f>IF(BY200="","",IF(AA200="","",IF(AA200="NEMA",AC200,AA200)))</f>
        <v/>
      </c>
      <c r="CB200" s="31" t="str">
        <f t="shared" si="170"/>
        <v/>
      </c>
      <c r="CC200" s="31" t="str">
        <f>IF(BV200="","",MAX(CC$12:CC199)+1)</f>
        <v/>
      </c>
      <c r="CD200" s="31" t="str">
        <f t="shared" si="171"/>
        <v/>
      </c>
      <c r="CE200" s="66" t="str">
        <f t="shared" si="172"/>
        <v/>
      </c>
      <c r="CF200" s="47" t="s">
        <v>0</v>
      </c>
      <c r="CG200" s="73" t="str">
        <f>IF(BN200="","",IF(BN200&lt;&gt;"NEMA","",IFERROR(INDEX(nat_klubAliasId,MATCH(BL200,nat_noviKluboviAliasi,0)),"")))</f>
        <v/>
      </c>
      <c r="CH200" s="47"/>
      <c r="CI200" s="19" t="str">
        <f t="shared" si="173"/>
        <v/>
      </c>
      <c r="CJ200" s="47" t="s">
        <v>0</v>
      </c>
      <c r="CK200" s="52" t="str">
        <f>IF(X200&lt;&gt;"NEMA","",IF(IFERROR(MATCH(W200,W$12:W199,0),0)&lt;&gt;0,"",W200))</f>
        <v/>
      </c>
      <c r="CL200" s="73" t="str">
        <f>IF(CK200="","",IFERROR(INDEX(regKlub_alias_id,MATCH(CK200,regKlub_alias_alias,0)),"NEMA"))</f>
        <v/>
      </c>
      <c r="CM200" s="31" t="str">
        <f>IF(OR(CL200="",CL200&lt;&gt;"NEMA"),"",MAX(CM$12:CM199)+1)</f>
        <v/>
      </c>
      <c r="CN200" s="66" t="str">
        <f>IF(OR(CL200="",CL200&lt;&gt;"NEMA"),"",INDEX(regKlub_id,MATCH(CK200,regKlub_naziv,0)))</f>
        <v/>
      </c>
      <c r="CO200" s="47" t="s">
        <v>0</v>
      </c>
      <c r="CP200" s="19" t="str">
        <f>IF(OR(CL200="",CL200&lt;&gt;"NEMA"),"","INSERT INTO klub_alias(id,alias,klub_id) VALUES ("&amp;CM200&amp;",'"&amp;CK200&amp;"',"&amp;CN200&amp;");")</f>
        <v/>
      </c>
      <c r="CQ200" s="47" t="s">
        <v>0</v>
      </c>
      <c r="CR200" s="143" t="str">
        <f>IF(BR200="","",IF(BV200="",IF(IFERROR(MATCH(BR200,nat_noviKluboviAliasi,0),0)&gt;0,INDEX(nat_kluboviAliasi,MATCH(BR200,nat_noviKluboviAliasi,0)),BR200),BV200))</f>
        <v>OK Vihor</v>
      </c>
      <c r="CS200" s="47" t="s">
        <v>0</v>
      </c>
      <c r="CT200" s="58" t="str">
        <f>IF(G200="","",G200)</f>
        <v>72:49</v>
      </c>
      <c r="CU200" s="73" t="str">
        <f>IF(H200="","",H200)</f>
        <v>3</v>
      </c>
      <c r="CV200" s="229" t="str">
        <f>IF(CT200="",IF(OR(AL200="",CU200&lt;&gt;"0"),"","GREŠKA"),IF(AND(65535&gt;=VALUE(LEFT(CT200,SEARCH(":",CT200)-1))*60+VALUE(RIGHT(CT200,2)),OR(CU200="0",CU200="1",CU200="2",CU200="3",CU200="4")),"","GREŠKA"))</f>
        <v/>
      </c>
      <c r="CW200" s="230">
        <f t="shared" si="183"/>
        <v>4369</v>
      </c>
      <c r="CX200" s="163">
        <f t="shared" si="143"/>
        <v>3</v>
      </c>
      <c r="CY200" s="47" t="s">
        <v>0</v>
      </c>
      <c r="CZ200" s="222" t="str">
        <f>IF(CV200&lt;&gt;"GREŠKA","",AK200&amp;" "&amp;AL200&amp;" – Molim u OEventu provjeriti i ispraviti rezultat – vrijeme ("&amp;IF(CT200="","nije upisano",CT200)&amp;") i classifier ("&amp;CU200&amp;").")&amp;IF(OR(CV200&lt;&gt;"GREŠKA",CX200&lt;&gt;5),"
","")&amp;IF(CX200&lt;&gt;5,"",AK200&amp;" "&amp;AL200&amp;" – Molim u provjeriti je li natjecatelj zaista diskvalificiran. Ako je koje je obrazloženje, ako nije molim u OEventu ispraviti rezultat")</f>
        <v xml:space="preserve">
</v>
      </c>
      <c r="DA200" s="223">
        <f t="shared" si="174"/>
        <v>3</v>
      </c>
      <c r="DB200" s="47" t="s">
        <v>0</v>
      </c>
      <c r="DC200" s="47"/>
      <c r="DD200" s="47"/>
      <c r="DE200" s="47"/>
      <c r="DF200" s="47" t="s">
        <v>0</v>
      </c>
      <c r="DG200" s="53" t="str">
        <f>IF(BD200="","",IF(DI200="O",1,""))</f>
        <v/>
      </c>
      <c r="DH200" t="s">
        <v>0</v>
      </c>
      <c r="DI200" s="128" t="str">
        <f>IF(Q200="","",LEFT(INDEX(regKategorija_oznaka,MATCH(S200,regKategorija_id,0)),1))</f>
        <v>O</v>
      </c>
      <c r="DJ200" t="s">
        <v>0</v>
      </c>
      <c r="DK200" s="52" t="str">
        <f>IF(BD200="","",IF(M200&lt;&gt;"CRO","","INSERT INTO osoba (id,reg_broj,oib,spol_id,dat_rodjenja) VALUES ("&amp;BD200&amp;",(SELECT max(os.reg_broj)+1 FROM osoba AS os),Null,'"&amp;DI200&amp;"',Null); INSERT INTO osoba_log (id,reg_broj,oib,spol_id,dat_rodjenja,dnevnik_id) SELECT id,reg_broj,oib,spol_id,dat_rodjenja,"&amp;data_dnevnik_id&amp;" FROM osoba WHERE id = "&amp;BD200&amp;";"))</f>
        <v/>
      </c>
      <c r="DL200" s="66" t="str">
        <f>IF(BD200="","","INSERT INTO imeprezime (id,osoba_id,rbr,ime,prezime,klub_id,identitet_id,sintaksa_id,info,aktivno,dnevnik_id) VALUES ("&amp;BD200&amp;","&amp;IF(DK200="","Null",BD200)&amp;",1,'"&amp;IF(AV200&lt;&gt;"",AV200,AK200)&amp;"','"&amp;IF(AW200&lt;&gt;"",AW200,AL200)&amp;"',(SELECT id FROM klub WHERE naziv = '"&amp;CR200&amp;"'),Null,1,'',1,"&amp;data_dnevnik_id&amp;");")</f>
        <v/>
      </c>
      <c r="DM200" t="s">
        <v>0</v>
      </c>
      <c r="DN200" s="19" t="str">
        <f t="shared" si="182"/>
        <v/>
      </c>
      <c r="DO200" s="47" t="s">
        <v>0</v>
      </c>
      <c r="DP200" s="19" t="str">
        <f>IF(BA200="","","INSERT INTO imeprezime_alias(id,alias,imeprezime_id) VALUES ("&amp;BB200&amp;",'"&amp;BA200&amp;"',"&amp;IF(BC200="NEMA",BD200,BC200)&amp;");")</f>
        <v/>
      </c>
      <c r="DQ200" s="47" t="s">
        <v>0</v>
      </c>
      <c r="DR200" s="52" t="str">
        <f>IF(AL200="","",DU200 &amp; IF(Q200="",""," – " &amp; Q200))</f>
        <v>Petra – Jurić – OK Vihor – OPEN</v>
      </c>
      <c r="DS200" s="53" t="str">
        <f t="shared" si="144"/>
        <v>NEMA</v>
      </c>
      <c r="DT200" s="47" t="s">
        <v>0</v>
      </c>
      <c r="DU200" s="52" t="str">
        <f>IF(AL200="","",DX200 &amp; IF(CR200="",""," – " &amp; CR200))</f>
        <v>Petra – Jurić – OK Vihor</v>
      </c>
      <c r="DV200" s="53">
        <f t="shared" si="145"/>
        <v>726</v>
      </c>
      <c r="DW200" s="47" t="s">
        <v>0</v>
      </c>
      <c r="DX200" s="52" t="str">
        <f>IF(BG200="","",BF200&amp;" – "&amp;BG200)</f>
        <v>Petra – Jurić</v>
      </c>
      <c r="DY200" s="53">
        <f t="shared" si="146"/>
        <v>726</v>
      </c>
      <c r="DZ200" s="47" t="s">
        <v>0</v>
      </c>
      <c r="EA200" s="58">
        <f t="shared" si="175"/>
        <v>726</v>
      </c>
      <c r="EB200" s="53" cm="1">
        <f t="array" ref="EB200">IF(EA200&lt;&gt;"",INDEX(regNatjecatelj_id,EA200,0),IF(BD200&lt;&gt;"",BD200,""))</f>
        <v>1893</v>
      </c>
      <c r="EC200" s="47" t="s">
        <v>0</v>
      </c>
      <c r="ED200" s="58" t="str">
        <f>IF(AL200="","",IF(BD200&lt;&gt;"","novo",IF(AN200="","imepre","imepre(ali)")))</f>
        <v>imepre</v>
      </c>
      <c r="EE200" s="73" t="str">
        <f>IF(AL200="","",IF(BL200="",IF(IFERROR(INDEX(regNatjecatelj_klub,MATCH(EB200,regNatjecatelj_id,0)),"NEMA")="","klu",""),IF(OR(AND(BN200&lt;&gt;"",BN200&lt;&gt;"NEMA"),CD200&lt;&gt;""),"klu(ali)",IF(AND(BP200&lt;&gt;"",BP200&lt;&gt;BO200),"(raz-klu)","klu"))))</f>
        <v>klu</v>
      </c>
      <c r="EF200" s="73" t="str">
        <f>IF(AL200="","","kat"&amp;IF(AND(W200&lt;&gt;Q200,Q200&lt;&gt;"Open"),"(ali)",""))</f>
        <v>kat</v>
      </c>
      <c r="EG200" s="73" t="str">
        <f t="shared" si="147"/>
        <v/>
      </c>
      <c r="EH200" s="66" t="str">
        <f>IF(AL200="","",ED200&amp;IF(ED200="novo","","-"&amp;EE200&amp;"-"&amp;EF200)&amp;IF(EG200="","","-"&amp;EG200))</f>
        <v>imepre-klu-kat</v>
      </c>
      <c r="EI200" s="47" t="s">
        <v>0</v>
      </c>
      <c r="EJ200" s="58">
        <f>IF(AL200="","",MAX(EJ$12:EJ199)+1)</f>
        <v>360</v>
      </c>
      <c r="EK200" s="73">
        <f>IF(AO200="","",X200)</f>
        <v>34</v>
      </c>
      <c r="EL200" s="73">
        <f t="shared" si="176"/>
        <v>1893</v>
      </c>
      <c r="EM200" s="73">
        <f t="shared" si="148"/>
        <v>4369</v>
      </c>
      <c r="EN200" s="73">
        <f t="shared" si="149"/>
        <v>3</v>
      </c>
      <c r="EO200" s="73">
        <f t="shared" si="177"/>
        <v>0</v>
      </c>
      <c r="EP200" s="73">
        <f t="shared" si="178"/>
        <v>1</v>
      </c>
      <c r="EQ200" s="73" t="str">
        <f t="shared" si="150"/>
        <v>3</v>
      </c>
      <c r="ER200" s="73" t="str">
        <f>IF(OR(AN200="",AN200="NEMA"),BB200,AN200)</f>
        <v/>
      </c>
      <c r="ES200" s="73" t="str">
        <f>IF(AND(BN200&lt;&gt;"",BN200&lt;&gt;"NEMA"),BN200,IF(CG200&lt;&gt;"",CG200,IF(AND(CL200&lt;&gt;"",CL200&lt;&gt;"NEMA"),CL200,IF(CM200&lt;&gt;"",CM200,""))))</f>
        <v/>
      </c>
      <c r="ET200" s="53" t="str">
        <f>IF(INDEX(natKategorija_alias_Id,MATCH(S200,natKategorija_katRegId,0))="","",INDEX(natKategorija_alias_Id,MATCH(S200,natKategorija_katRegId,0)))</f>
        <v/>
      </c>
      <c r="EU200" s="47" t="s">
        <v>0</v>
      </c>
      <c r="EV200" s="19" t="str">
        <f t="shared" si="179"/>
        <v>INSERT INTO rezultat(id,stazakategorija_id,imeprezime_id,vrijeme_sec,status_id,registracija,uparivanje_id,originalstatus_id,imeprezimealias_id,klubalias_id,kategorijaalias_id) VALUES (360,34,1893,4369,3,0,1,3,Null,Null,Null);</v>
      </c>
      <c r="EW200" s="47" t="s">
        <v>0</v>
      </c>
      <c r="EX200" s="19" t="str">
        <f t="shared" si="180"/>
        <v/>
      </c>
      <c r="EY200" s="47" t="s">
        <v>0</v>
      </c>
      <c r="EZ200" s="180" t="str">
        <f>AG200&amp;IF(CP200="","","
")&amp;CP200&amp;IF(CI200="","","
")&amp;CI200&amp;IF(DN200="","","
")&amp;DN200&amp;IF(DP200="","","
")&amp;DP200&amp;IF(EV200="","","
")&amp;EV200&amp;IF(EX200="","","
")&amp;EX200</f>
        <v xml:space="preserve">
INSERT INTO rezultat(id,stazakategorija_id,imeprezime_id,vrijeme_sec,status_id,registracija,uparivanje_id,originalstatus_id,imeprezimealias_id,klubalias_id,kategorijaalias_id) VALUES (360,34,1893,4369,3,0,1,3,Null,Null,Null);</v>
      </c>
      <c r="FA200" s="47" t="s">
        <v>0</v>
      </c>
    </row>
    <row r="201" spans="1:157" x14ac:dyDescent="0.25">
      <c r="A201" t="s">
        <v>0</v>
      </c>
      <c r="B201" s="52" t="str">
        <f>IF(csv!F191="","",csv!T191)</f>
        <v>OPEN</v>
      </c>
      <c r="C201" s="31" t="s">
        <v>0</v>
      </c>
      <c r="D201" s="31" t="str">
        <f>IF(csv!F191="","",csv!F191)</f>
        <v>Maša</v>
      </c>
      <c r="E201" s="31" t="str">
        <f>IF(csv!E191="","",csv!E191)</f>
        <v>Miščević</v>
      </c>
      <c r="F201" s="31" t="s">
        <v>0</v>
      </c>
      <c r="G201" s="73" t="str">
        <f>IF(csv!M191="","",csv!M191)</f>
        <v/>
      </c>
      <c r="H201" s="73" t="str">
        <f>IF(csv!N191="","",csv!N191)</f>
        <v>1</v>
      </c>
      <c r="I201" s="31" t="s">
        <v>0</v>
      </c>
      <c r="J201" s="31" t="str">
        <f>IF(csv!P191="","",csv!P191)</f>
        <v>Vihor</v>
      </c>
      <c r="K201" s="31" t="str">
        <f>IF(csv!Q191="","",csv!Q191)</f>
        <v>OK Vihor</v>
      </c>
      <c r="L201" s="31" t="s">
        <v>0</v>
      </c>
      <c r="M201" s="66" t="str">
        <f>IF(csv!R191="","",csv!R191)</f>
        <v>CRO</v>
      </c>
      <c r="N201" s="47" t="s">
        <v>0</v>
      </c>
      <c r="O201" s="243" t="str">
        <f t="shared" si="151"/>
        <v>ok</v>
      </c>
      <c r="P201" s="47"/>
      <c r="Q201" s="52" t="str">
        <f t="shared" si="152"/>
        <v>OPEN</v>
      </c>
      <c r="R201" s="73">
        <f>IF(Q201="","",IF(COUNTIF(Q$12:Q200,Q201)=0,R200+1,R200))</f>
        <v>12</v>
      </c>
      <c r="S201" s="73">
        <f t="shared" si="153"/>
        <v>291</v>
      </c>
      <c r="T201" s="73">
        <f t="shared" si="128"/>
        <v>29</v>
      </c>
      <c r="U201" s="66" t="str">
        <f t="shared" si="129"/>
        <v>Otvorena</v>
      </c>
      <c r="V201" s="47" t="s">
        <v>0</v>
      </c>
      <c r="W201" s="222" t="str">
        <f t="shared" si="130"/>
        <v>Otvorena</v>
      </c>
      <c r="X201" s="223">
        <f t="shared" si="131"/>
        <v>34</v>
      </c>
      <c r="Y201" s="47" t="s">
        <v>0</v>
      </c>
      <c r="Z201" s="52" t="str">
        <f t="shared" si="154"/>
        <v>CRO</v>
      </c>
      <c r="AA201" s="73">
        <f t="shared" si="132"/>
        <v>1</v>
      </c>
      <c r="AB201" s="31" t="str">
        <f t="shared" si="155"/>
        <v/>
      </c>
      <c r="AC201" s="66" t="str">
        <f>IF(AB201="","",MAX(AC$12:AC200)+1)</f>
        <v/>
      </c>
      <c r="AD201" s="47" t="s">
        <v>0</v>
      </c>
      <c r="AE201" s="125"/>
      <c r="AF201" s="47" t="s">
        <v>0</v>
      </c>
      <c r="AG201" s="19" t="str">
        <f t="shared" si="156"/>
        <v/>
      </c>
      <c r="AH201" s="47" t="s">
        <v>0</v>
      </c>
      <c r="AI201" s="143" t="str">
        <f t="shared" si="157"/>
        <v>CRO</v>
      </c>
      <c r="AJ201" s="47"/>
      <c r="AK201" s="52" t="str">
        <f t="shared" si="158"/>
        <v>Maša</v>
      </c>
      <c r="AL201" s="31" t="str">
        <f t="shared" si="159"/>
        <v>Miščević</v>
      </c>
      <c r="AM201" s="73">
        <f t="shared" si="160"/>
        <v>1902</v>
      </c>
      <c r="AN201" s="73" t="str">
        <f t="shared" si="161"/>
        <v/>
      </c>
      <c r="AO201" s="31" t="str">
        <f t="shared" si="133"/>
        <v>Maša</v>
      </c>
      <c r="AP201" s="66" t="str">
        <f t="shared" si="134"/>
        <v>Miščević</v>
      </c>
      <c r="AQ201" s="47" t="s">
        <v>0</v>
      </c>
      <c r="AR201" s="82" t="str">
        <f t="shared" si="162"/>
        <v/>
      </c>
      <c r="AS201" s="47" t="s">
        <v>0</v>
      </c>
      <c r="AT201" s="19" t="str">
        <f t="shared" si="163"/>
        <v/>
      </c>
      <c r="AU201" s="47" t="s">
        <v>0</v>
      </c>
      <c r="AV201" s="103"/>
      <c r="AW201" s="105"/>
      <c r="AX201" s="47" t="s">
        <v>0</v>
      </c>
      <c r="AY201" s="256" t="str">
        <f t="shared" si="181"/>
        <v/>
      </c>
      <c r="AZ201" s="47" t="s">
        <v>0</v>
      </c>
      <c r="BA201" s="52" t="str">
        <f t="shared" si="135"/>
        <v/>
      </c>
      <c r="BB201" s="73" t="str">
        <f>IF(AV201&amp;AW201="","",MAX(BB$12:BB200)+1)</f>
        <v/>
      </c>
      <c r="BC201" s="268" t="str">
        <f t="shared" si="136"/>
        <v/>
      </c>
      <c r="BD201" s="53" t="str">
        <f>IF(AND(AM201="NEMA",AN201="NEMA",OR(AV201&amp;AW201="",BC201="NEMA")),MAX(BD$12:BD200)+1,"")</f>
        <v/>
      </c>
      <c r="BE201" s="47" t="s">
        <v>0</v>
      </c>
      <c r="BF201" s="52" t="str">
        <f t="shared" si="137"/>
        <v>Maša</v>
      </c>
      <c r="BG201" s="31" t="str">
        <f t="shared" si="138"/>
        <v>Miščević</v>
      </c>
      <c r="BH201" s="73" t="str">
        <f t="shared" si="164"/>
        <v/>
      </c>
      <c r="BI201" s="53">
        <f t="shared" si="165"/>
        <v>1902</v>
      </c>
      <c r="BJ201" s="47" t="s">
        <v>0</v>
      </c>
      <c r="BK201" s="52" t="str">
        <f t="shared" si="139"/>
        <v>Vihor</v>
      </c>
      <c r="BL201" s="31" t="str">
        <f t="shared" si="140"/>
        <v>OK Vihor</v>
      </c>
      <c r="BM201" s="73">
        <f t="shared" si="141"/>
        <v>12</v>
      </c>
      <c r="BN201" s="73" t="str">
        <f t="shared" si="142"/>
        <v/>
      </c>
      <c r="BO201" s="31" t="str" cm="1">
        <f t="array" ref="BO201">IF(BN201="",""&amp;BL201,IF(BN201="NEMA",BL201,INDEX(regKlub_naziv,MATCH(INDEX(regKlub_alias_klubId,BN201),regKlub_id,0))))</f>
        <v>OK Vihor</v>
      </c>
      <c r="BP201" s="31" t="str" cm="1">
        <f t="array" ref="BP201">IFERROR(""&amp;INDEX(regNatjecatelj_klub,DY201),"")</f>
        <v>OK Vihor</v>
      </c>
      <c r="BQ201" s="88" t="str">
        <f t="shared" si="166"/>
        <v/>
      </c>
      <c r="BR201" s="66" t="str">
        <f t="shared" si="167"/>
        <v>OK Vihor</v>
      </c>
      <c r="BS201" s="47" t="s">
        <v>0</v>
      </c>
      <c r="BT201" s="82" t="str">
        <f>IF(BN201&lt;&gt;"NEMA","",IF(IFERROR(MATCH(BL201,BL$12:BL200,0),0)&lt;&gt;0,"",BL201))</f>
        <v/>
      </c>
      <c r="BU201" s="47" t="s">
        <v>0</v>
      </c>
      <c r="BV201" s="125"/>
      <c r="BW201" s="47" t="s">
        <v>0</v>
      </c>
      <c r="BX201" s="58" t="str">
        <f t="shared" si="168"/>
        <v/>
      </c>
      <c r="BY201" s="31" t="str">
        <f t="shared" si="169"/>
        <v/>
      </c>
      <c r="BZ201" s="31" t="str">
        <f>IF(BY201="","",MAX(BZ$12:BZ200)+1)</f>
        <v/>
      </c>
      <c r="CA201" s="31" t="str">
        <f>IF(BY201="","",IF(AA201="","",IF(AA201="NEMA",AC201,AA201)))</f>
        <v/>
      </c>
      <c r="CB201" s="31" t="str">
        <f t="shared" si="170"/>
        <v/>
      </c>
      <c r="CC201" s="31" t="str">
        <f>IF(BV201="","",MAX(CC$12:CC200)+1)</f>
        <v/>
      </c>
      <c r="CD201" s="31" t="str">
        <f t="shared" si="171"/>
        <v/>
      </c>
      <c r="CE201" s="66" t="str">
        <f t="shared" si="172"/>
        <v/>
      </c>
      <c r="CF201" s="47" t="s">
        <v>0</v>
      </c>
      <c r="CG201" s="73" t="str">
        <f>IF(BN201="","",IF(BN201&lt;&gt;"NEMA","",IFERROR(INDEX(nat_klubAliasId,MATCH(BL201,nat_noviKluboviAliasi,0)),"")))</f>
        <v/>
      </c>
      <c r="CH201" s="47"/>
      <c r="CI201" s="19" t="str">
        <f t="shared" si="173"/>
        <v/>
      </c>
      <c r="CJ201" s="47" t="s">
        <v>0</v>
      </c>
      <c r="CK201" s="52" t="str">
        <f>IF(X201&lt;&gt;"NEMA","",IF(IFERROR(MATCH(W201,W$12:W200,0),0)&lt;&gt;0,"",W201))</f>
        <v/>
      </c>
      <c r="CL201" s="73" t="str">
        <f>IF(CK201="","",IFERROR(INDEX(regKlub_alias_id,MATCH(CK201,regKlub_alias_alias,0)),"NEMA"))</f>
        <v/>
      </c>
      <c r="CM201" s="31" t="str">
        <f>IF(OR(CL201="",CL201&lt;&gt;"NEMA"),"",MAX(CM$12:CM200)+1)</f>
        <v/>
      </c>
      <c r="CN201" s="66" t="str">
        <f>IF(OR(CL201="",CL201&lt;&gt;"NEMA"),"",INDEX(regKlub_id,MATCH(CK201,regKlub_naziv,0)))</f>
        <v/>
      </c>
      <c r="CO201" s="47" t="s">
        <v>0</v>
      </c>
      <c r="CP201" s="19" t="str">
        <f>IF(OR(CL201="",CL201&lt;&gt;"NEMA"),"","INSERT INTO klub_alias(id,alias,klub_id) VALUES ("&amp;CM201&amp;",'"&amp;CK201&amp;"',"&amp;CN201&amp;");")</f>
        <v/>
      </c>
      <c r="CQ201" s="47" t="s">
        <v>0</v>
      </c>
      <c r="CR201" s="143" t="str">
        <f>IF(BR201="","",IF(BV201="",IF(IFERROR(MATCH(BR201,nat_noviKluboviAliasi,0),0)&gt;0,INDEX(nat_kluboviAliasi,MATCH(BR201,nat_noviKluboviAliasi,0)),BR201),BV201))</f>
        <v>OK Vihor</v>
      </c>
      <c r="CS201" s="47" t="s">
        <v>0</v>
      </c>
      <c r="CT201" s="58" t="str">
        <f>IF(G201="","",G201)</f>
        <v/>
      </c>
      <c r="CU201" s="73" t="str">
        <f>IF(H201="","",H201)</f>
        <v>1</v>
      </c>
      <c r="CV201" s="229" t="str">
        <f>IF(CT201="",IF(OR(AL201="",CU201&lt;&gt;"0"),"","GREŠKA"),IF(AND(65535&gt;=VALUE(LEFT(CT201,SEARCH(":",CT201)-1))*60+VALUE(RIGHT(CT201,2)),OR(CU201="0",CU201="1",CU201="2",CU201="3",CU201="4")),"","GREŠKA"))</f>
        <v/>
      </c>
      <c r="CW201" s="230" t="str">
        <f t="shared" si="183"/>
        <v/>
      </c>
      <c r="CX201" s="163">
        <f t="shared" si="143"/>
        <v>6</v>
      </c>
      <c r="CY201" s="47" t="s">
        <v>0</v>
      </c>
      <c r="CZ201" s="222" t="str">
        <f>IF(CV201&lt;&gt;"GREŠKA","",AK201&amp;" "&amp;AL201&amp;" – Molim u OEventu provjeriti i ispraviti rezultat – vrijeme ("&amp;IF(CT201="","nije upisano",CT201)&amp;") i classifier ("&amp;CU201&amp;").")&amp;IF(OR(CV201&lt;&gt;"GREŠKA",CX201&lt;&gt;5),"
","")&amp;IF(CX201&lt;&gt;5,"",AK201&amp;" "&amp;AL201&amp;" – Molim u provjeriti je li natjecatelj zaista diskvalificiran. Ako je koje je obrazloženje, ako nije molim u OEventu ispraviti rezultat")</f>
        <v xml:space="preserve">
</v>
      </c>
      <c r="DA201" s="223" t="e">
        <f t="shared" si="174"/>
        <v>#N/A</v>
      </c>
      <c r="DB201" s="47" t="s">
        <v>0</v>
      </c>
      <c r="DC201" s="47"/>
      <c r="DD201" s="47"/>
      <c r="DE201" s="47"/>
      <c r="DF201" s="47" t="s">
        <v>0</v>
      </c>
      <c r="DG201" s="53" t="str">
        <f>IF(BD201="","",IF(DI201="O",1,""))</f>
        <v/>
      </c>
      <c r="DH201" t="s">
        <v>0</v>
      </c>
      <c r="DI201" s="128" t="str">
        <f>IF(Q201="","",LEFT(INDEX(regKategorija_oznaka,MATCH(S201,regKategorija_id,0)),1))</f>
        <v>O</v>
      </c>
      <c r="DJ201" t="s">
        <v>0</v>
      </c>
      <c r="DK201" s="52" t="str">
        <f>IF(BD201="","",IF(M201&lt;&gt;"CRO","","INSERT INTO osoba (id,reg_broj,oib,spol_id,dat_rodjenja) VALUES ("&amp;BD201&amp;",(SELECT max(os.reg_broj)+1 FROM osoba AS os),Null,'"&amp;DI201&amp;"',Null); INSERT INTO osoba_log (id,reg_broj,oib,spol_id,dat_rodjenja,dnevnik_id) SELECT id,reg_broj,oib,spol_id,dat_rodjenja,"&amp;data_dnevnik_id&amp;" FROM osoba WHERE id = "&amp;BD201&amp;";"))</f>
        <v/>
      </c>
      <c r="DL201" s="66" t="str">
        <f>IF(BD201="","","INSERT INTO imeprezime (id,osoba_id,rbr,ime,prezime,klub_id,identitet_id,sintaksa_id,info,aktivno,dnevnik_id) VALUES ("&amp;BD201&amp;","&amp;IF(DK201="","Null",BD201)&amp;",1,'"&amp;IF(AV201&lt;&gt;"",AV201,AK201)&amp;"','"&amp;IF(AW201&lt;&gt;"",AW201,AL201)&amp;"',(SELECT id FROM klub WHERE naziv = '"&amp;CR201&amp;"'),Null,1,'',1,"&amp;data_dnevnik_id&amp;");")</f>
        <v/>
      </c>
      <c r="DM201" t="s">
        <v>0</v>
      </c>
      <c r="DN201" s="19" t="str">
        <f t="shared" si="182"/>
        <v/>
      </c>
      <c r="DO201" s="47" t="s">
        <v>0</v>
      </c>
      <c r="DP201" s="19" t="str">
        <f>IF(BA201="","","INSERT INTO imeprezime_alias(id,alias,imeprezime_id) VALUES ("&amp;BB201&amp;",'"&amp;BA201&amp;"',"&amp;IF(BC201="NEMA",BD201,BC201)&amp;");")</f>
        <v/>
      </c>
      <c r="DQ201" s="47" t="s">
        <v>0</v>
      </c>
      <c r="DR201" s="52" t="str">
        <f>IF(AL201="","",DU201 &amp; IF(Q201="",""," – " &amp; Q201))</f>
        <v>Maša – Miščević – OK Vihor – OPEN</v>
      </c>
      <c r="DS201" s="53" t="str">
        <f t="shared" si="144"/>
        <v>NEMA</v>
      </c>
      <c r="DT201" s="47" t="s">
        <v>0</v>
      </c>
      <c r="DU201" s="52" t="str">
        <f>IF(AL201="","",DX201 &amp; IF(CR201="",""," – " &amp; CR201))</f>
        <v>Maša – Miščević – OK Vihor</v>
      </c>
      <c r="DV201" s="53">
        <f t="shared" si="145"/>
        <v>815</v>
      </c>
      <c r="DW201" s="47" t="s">
        <v>0</v>
      </c>
      <c r="DX201" s="52" t="str">
        <f>IF(BG201="","",BF201&amp;" – "&amp;BG201)</f>
        <v>Maša – Miščević</v>
      </c>
      <c r="DY201" s="53">
        <f t="shared" si="146"/>
        <v>815</v>
      </c>
      <c r="DZ201" s="47" t="s">
        <v>0</v>
      </c>
      <c r="EA201" s="58">
        <f t="shared" si="175"/>
        <v>815</v>
      </c>
      <c r="EB201" s="53" cm="1">
        <f t="array" ref="EB201">IF(EA201&lt;&gt;"",INDEX(regNatjecatelj_id,EA201,0),IF(BD201&lt;&gt;"",BD201,""))</f>
        <v>1902</v>
      </c>
      <c r="EC201" s="47" t="s">
        <v>0</v>
      </c>
      <c r="ED201" s="58" t="str">
        <f>IF(AL201="","",IF(BD201&lt;&gt;"","novo",IF(AN201="","imepre","imepre(ali)")))</f>
        <v>imepre</v>
      </c>
      <c r="EE201" s="73" t="str">
        <f>IF(AL201="","",IF(BL201="",IF(IFERROR(INDEX(regNatjecatelj_klub,MATCH(EB201,regNatjecatelj_id,0)),"NEMA")="","klu",""),IF(OR(AND(BN201&lt;&gt;"",BN201&lt;&gt;"NEMA"),CD201&lt;&gt;""),"klu(ali)",IF(AND(BP201&lt;&gt;"",BP201&lt;&gt;BO201),"(raz-klu)","klu"))))</f>
        <v>klu</v>
      </c>
      <c r="EF201" s="73" t="str">
        <f>IF(AL201="","","kat"&amp;IF(AND(W201&lt;&gt;Q201,Q201&lt;&gt;"Open"),"(ali)",""))</f>
        <v>kat</v>
      </c>
      <c r="EG201" s="73" t="str">
        <f t="shared" si="147"/>
        <v/>
      </c>
      <c r="EH201" s="66" t="str">
        <f>IF(AL201="","",ED201&amp;IF(ED201="novo","","-"&amp;EE201&amp;"-"&amp;EF201)&amp;IF(EG201="","","-"&amp;EG201))</f>
        <v>imepre-klu-kat</v>
      </c>
      <c r="EI201" s="47" t="s">
        <v>0</v>
      </c>
      <c r="EJ201" s="58">
        <f>IF(AL201="","",MAX(EJ$12:EJ200)+1)</f>
        <v>361</v>
      </c>
      <c r="EK201" s="73">
        <f>IF(AO201="","",X201)</f>
        <v>34</v>
      </c>
      <c r="EL201" s="73">
        <f t="shared" si="176"/>
        <v>1902</v>
      </c>
      <c r="EM201" s="73" t="str">
        <f t="shared" si="148"/>
        <v/>
      </c>
      <c r="EN201" s="73">
        <f t="shared" si="149"/>
        <v>6</v>
      </c>
      <c r="EO201" s="73">
        <f t="shared" si="177"/>
        <v>0</v>
      </c>
      <c r="EP201" s="73">
        <f t="shared" si="178"/>
        <v>1</v>
      </c>
      <c r="EQ201" s="73" t="str">
        <f t="shared" si="150"/>
        <v>1</v>
      </c>
      <c r="ER201" s="73" t="str">
        <f>IF(OR(AN201="",AN201="NEMA"),BB201,AN201)</f>
        <v/>
      </c>
      <c r="ES201" s="73" t="str">
        <f>IF(AND(BN201&lt;&gt;"",BN201&lt;&gt;"NEMA"),BN201,IF(CG201&lt;&gt;"",CG201,IF(AND(CL201&lt;&gt;"",CL201&lt;&gt;"NEMA"),CL201,IF(CM201&lt;&gt;"",CM201,""))))</f>
        <v/>
      </c>
      <c r="ET201" s="53" t="str">
        <f>IF(INDEX(natKategorija_alias_Id,MATCH(S201,natKategorija_katRegId,0))="","",INDEX(natKategorija_alias_Id,MATCH(S201,natKategorija_katRegId,0)))</f>
        <v/>
      </c>
      <c r="EU201" s="47" t="s">
        <v>0</v>
      </c>
      <c r="EV201" s="19" t="str">
        <f t="shared" si="179"/>
        <v>INSERT INTO rezultat(id,stazakategorija_id,imeprezime_id,vrijeme_sec,status_id,registracija,uparivanje_id,originalstatus_id,imeprezimealias_id,klubalias_id,kategorijaalias_id) VALUES (361,34,1902,Null,6,0,1,1,Null,Null,Null);</v>
      </c>
      <c r="EW201" s="47" t="s">
        <v>0</v>
      </c>
      <c r="EX201" s="19" t="str">
        <f t="shared" si="180"/>
        <v/>
      </c>
      <c r="EY201" s="47" t="s">
        <v>0</v>
      </c>
      <c r="EZ201" s="180" t="str">
        <f>AG201&amp;IF(CP201="","","
")&amp;CP201&amp;IF(CI201="","","
")&amp;CI201&amp;IF(DN201="","","
")&amp;DN201&amp;IF(DP201="","","
")&amp;DP201&amp;IF(EV201="","","
")&amp;EV201&amp;IF(EX201="","","
")&amp;EX201</f>
        <v xml:space="preserve">
INSERT INTO rezultat(id,stazakategorija_id,imeprezime_id,vrijeme_sec,status_id,registracija,uparivanje_id,originalstatus_id,imeprezimealias_id,klubalias_id,kategorijaalias_id) VALUES (361,34,1902,Null,6,0,1,1,Null,Null,Null);</v>
      </c>
      <c r="FA201" s="47" t="s">
        <v>0</v>
      </c>
    </row>
    <row r="202" spans="1:157" x14ac:dyDescent="0.25">
      <c r="A202" t="s">
        <v>0</v>
      </c>
      <c r="B202" s="52" t="str">
        <f>IF(csv!F192="","",csv!T192)</f>
        <v>OPEN</v>
      </c>
      <c r="C202" s="31" t="s">
        <v>0</v>
      </c>
      <c r="D202" s="31" t="str">
        <f>IF(csv!F192="","",csv!F192)</f>
        <v>Ivan</v>
      </c>
      <c r="E202" s="31" t="str">
        <f>IF(csv!E192="","",csv!E192)</f>
        <v>Majnarić</v>
      </c>
      <c r="F202" s="31" t="s">
        <v>0</v>
      </c>
      <c r="G202" s="73" t="str">
        <f>IF(csv!M192="","",csv!M192)</f>
        <v>118:32</v>
      </c>
      <c r="H202" s="73" t="str">
        <f>IF(csv!N192="","",csv!N192)</f>
        <v>3</v>
      </c>
      <c r="I202" s="31" t="s">
        <v>0</v>
      </c>
      <c r="J202" s="31" t="str">
        <f>IF(csv!P192="","",csv!P192)</f>
        <v>Vihor</v>
      </c>
      <c r="K202" s="31" t="str">
        <f>IF(csv!Q192="","",csv!Q192)</f>
        <v>OK Vihor</v>
      </c>
      <c r="L202" s="31" t="s">
        <v>0</v>
      </c>
      <c r="M202" s="66" t="str">
        <f>IF(csv!R192="","",csv!R192)</f>
        <v>CRO</v>
      </c>
      <c r="N202" s="47" t="s">
        <v>0</v>
      </c>
      <c r="O202" s="243" t="str">
        <f t="shared" si="151"/>
        <v>ok</v>
      </c>
      <c r="P202" s="47"/>
      <c r="Q202" s="52" t="str">
        <f t="shared" si="152"/>
        <v>OPEN</v>
      </c>
      <c r="R202" s="73">
        <f>IF(Q202="","",IF(COUNTIF(Q$12:Q201,Q202)=0,R201+1,R201))</f>
        <v>12</v>
      </c>
      <c r="S202" s="73">
        <f t="shared" si="153"/>
        <v>291</v>
      </c>
      <c r="T202" s="73">
        <f t="shared" si="128"/>
        <v>29</v>
      </c>
      <c r="U202" s="66" t="str">
        <f t="shared" si="129"/>
        <v>Otvorena</v>
      </c>
      <c r="V202" s="47" t="s">
        <v>0</v>
      </c>
      <c r="W202" s="222" t="str">
        <f t="shared" si="130"/>
        <v>Otvorena</v>
      </c>
      <c r="X202" s="223">
        <f t="shared" si="131"/>
        <v>34</v>
      </c>
      <c r="Y202" s="47" t="s">
        <v>0</v>
      </c>
      <c r="Z202" s="52" t="str">
        <f t="shared" si="154"/>
        <v>CRO</v>
      </c>
      <c r="AA202" s="73">
        <f t="shared" si="132"/>
        <v>1</v>
      </c>
      <c r="AB202" s="31" t="str">
        <f t="shared" si="155"/>
        <v/>
      </c>
      <c r="AC202" s="66" t="str">
        <f>IF(AB202="","",MAX(AC$12:AC201)+1)</f>
        <v/>
      </c>
      <c r="AD202" s="47" t="s">
        <v>0</v>
      </c>
      <c r="AE202" s="125"/>
      <c r="AF202" s="47" t="s">
        <v>0</v>
      </c>
      <c r="AG202" s="19" t="str">
        <f t="shared" si="156"/>
        <v/>
      </c>
      <c r="AH202" s="47" t="s">
        <v>0</v>
      </c>
      <c r="AI202" s="143" t="str">
        <f t="shared" si="157"/>
        <v>CRO</v>
      </c>
      <c r="AJ202" s="47"/>
      <c r="AK202" s="52" t="str">
        <f t="shared" si="158"/>
        <v>Ivan</v>
      </c>
      <c r="AL202" s="31" t="str">
        <f t="shared" si="159"/>
        <v>Majnarić</v>
      </c>
      <c r="AM202" s="73">
        <f t="shared" si="160"/>
        <v>1899</v>
      </c>
      <c r="AN202" s="73" t="str">
        <f t="shared" si="161"/>
        <v/>
      </c>
      <c r="AO202" s="31" t="str">
        <f t="shared" si="133"/>
        <v>Ivan</v>
      </c>
      <c r="AP202" s="66" t="str">
        <f t="shared" si="134"/>
        <v>Majnarić</v>
      </c>
      <c r="AQ202" s="47" t="s">
        <v>0</v>
      </c>
      <c r="AR202" s="82" t="str">
        <f t="shared" si="162"/>
        <v/>
      </c>
      <c r="AS202" s="47" t="s">
        <v>0</v>
      </c>
      <c r="AT202" s="19" t="str">
        <f t="shared" si="163"/>
        <v/>
      </c>
      <c r="AU202" s="47" t="s">
        <v>0</v>
      </c>
      <c r="AV202" s="103"/>
      <c r="AW202" s="105"/>
      <c r="AX202" s="47" t="s">
        <v>0</v>
      </c>
      <c r="AY202" s="256" t="str">
        <f t="shared" si="181"/>
        <v/>
      </c>
      <c r="AZ202" s="47" t="s">
        <v>0</v>
      </c>
      <c r="BA202" s="52" t="str">
        <f t="shared" si="135"/>
        <v/>
      </c>
      <c r="BB202" s="73" t="str">
        <f>IF(AV202&amp;AW202="","",MAX(BB$12:BB201)+1)</f>
        <v/>
      </c>
      <c r="BC202" s="268" t="str">
        <f t="shared" si="136"/>
        <v/>
      </c>
      <c r="BD202" s="53" t="str">
        <f>IF(AND(AM202="NEMA",AN202="NEMA",OR(AV202&amp;AW202="",BC202="NEMA")),MAX(BD$12:BD201)+1,"")</f>
        <v/>
      </c>
      <c r="BE202" s="47" t="s">
        <v>0</v>
      </c>
      <c r="BF202" s="52" t="str">
        <f t="shared" si="137"/>
        <v>Ivan</v>
      </c>
      <c r="BG202" s="31" t="str">
        <f t="shared" si="138"/>
        <v>Majnarić</v>
      </c>
      <c r="BH202" s="73" t="str">
        <f t="shared" si="164"/>
        <v/>
      </c>
      <c r="BI202" s="53">
        <f t="shared" si="165"/>
        <v>1899</v>
      </c>
      <c r="BJ202" s="47" t="s">
        <v>0</v>
      </c>
      <c r="BK202" s="52" t="str">
        <f t="shared" si="139"/>
        <v>Vihor</v>
      </c>
      <c r="BL202" s="31" t="str">
        <f t="shared" si="140"/>
        <v>OK Vihor</v>
      </c>
      <c r="BM202" s="73">
        <f t="shared" si="141"/>
        <v>12</v>
      </c>
      <c r="BN202" s="73" t="str">
        <f t="shared" si="142"/>
        <v/>
      </c>
      <c r="BO202" s="31" t="str" cm="1">
        <f t="array" ref="BO202">IF(BN202="",""&amp;BL202,IF(BN202="NEMA",BL202,INDEX(regKlub_naziv,MATCH(INDEX(regKlub_alias_klubId,BN202),regKlub_id,0))))</f>
        <v>OK Vihor</v>
      </c>
      <c r="BP202" s="31" t="str" cm="1">
        <f t="array" ref="BP202">IFERROR(""&amp;INDEX(regNatjecatelj_klub,DY202),"")</f>
        <v>OK Vihor</v>
      </c>
      <c r="BQ202" s="88" t="str">
        <f t="shared" si="166"/>
        <v/>
      </c>
      <c r="BR202" s="66" t="str">
        <f t="shared" si="167"/>
        <v>OK Vihor</v>
      </c>
      <c r="BS202" s="47" t="s">
        <v>0</v>
      </c>
      <c r="BT202" s="82" t="str">
        <f>IF(BN202&lt;&gt;"NEMA","",IF(IFERROR(MATCH(BL202,BL$12:BL201,0),0)&lt;&gt;0,"",BL202))</f>
        <v/>
      </c>
      <c r="BU202" s="47" t="s">
        <v>0</v>
      </c>
      <c r="BV202" s="125"/>
      <c r="BW202" s="47" t="s">
        <v>0</v>
      </c>
      <c r="BX202" s="58" t="str">
        <f t="shared" si="168"/>
        <v/>
      </c>
      <c r="BY202" s="31" t="str">
        <f t="shared" si="169"/>
        <v/>
      </c>
      <c r="BZ202" s="31" t="str">
        <f>IF(BY202="","",MAX(BZ$12:BZ201)+1)</f>
        <v/>
      </c>
      <c r="CA202" s="31" t="str">
        <f>IF(BY202="","",IF(AA202="","",IF(AA202="NEMA",AC202,AA202)))</f>
        <v/>
      </c>
      <c r="CB202" s="31" t="str">
        <f t="shared" si="170"/>
        <v/>
      </c>
      <c r="CC202" s="31" t="str">
        <f>IF(BV202="","",MAX(CC$12:CC201)+1)</f>
        <v/>
      </c>
      <c r="CD202" s="31" t="str">
        <f t="shared" si="171"/>
        <v/>
      </c>
      <c r="CE202" s="66" t="str">
        <f t="shared" si="172"/>
        <v/>
      </c>
      <c r="CF202" s="47" t="s">
        <v>0</v>
      </c>
      <c r="CG202" s="73" t="str">
        <f>IF(BN202="","",IF(BN202&lt;&gt;"NEMA","",IFERROR(INDEX(nat_klubAliasId,MATCH(BL202,nat_noviKluboviAliasi,0)),"")))</f>
        <v/>
      </c>
      <c r="CH202" s="47"/>
      <c r="CI202" s="19" t="str">
        <f t="shared" si="173"/>
        <v/>
      </c>
      <c r="CJ202" s="47" t="s">
        <v>0</v>
      </c>
      <c r="CK202" s="52" t="str">
        <f>IF(X202&lt;&gt;"NEMA","",IF(IFERROR(MATCH(W202,W$12:W201,0),0)&lt;&gt;0,"",W202))</f>
        <v/>
      </c>
      <c r="CL202" s="73" t="str">
        <f>IF(CK202="","",IFERROR(INDEX(regKlub_alias_id,MATCH(CK202,regKlub_alias_alias,0)),"NEMA"))</f>
        <v/>
      </c>
      <c r="CM202" s="31" t="str">
        <f>IF(OR(CL202="",CL202&lt;&gt;"NEMA"),"",MAX(CM$12:CM201)+1)</f>
        <v/>
      </c>
      <c r="CN202" s="66" t="str">
        <f>IF(OR(CL202="",CL202&lt;&gt;"NEMA"),"",INDEX(regKlub_id,MATCH(CK202,regKlub_naziv,0)))</f>
        <v/>
      </c>
      <c r="CO202" s="47" t="s">
        <v>0</v>
      </c>
      <c r="CP202" s="19" t="str">
        <f>IF(OR(CL202="",CL202&lt;&gt;"NEMA"),"","INSERT INTO klub_alias(id,alias,klub_id) VALUES ("&amp;CM202&amp;",'"&amp;CK202&amp;"',"&amp;CN202&amp;");")</f>
        <v/>
      </c>
      <c r="CQ202" s="47" t="s">
        <v>0</v>
      </c>
      <c r="CR202" s="143" t="str">
        <f>IF(BR202="","",IF(BV202="",IF(IFERROR(MATCH(BR202,nat_noviKluboviAliasi,0),0)&gt;0,INDEX(nat_kluboviAliasi,MATCH(BR202,nat_noviKluboviAliasi,0)),BR202),BV202))</f>
        <v>OK Vihor</v>
      </c>
      <c r="CS202" s="47" t="s">
        <v>0</v>
      </c>
      <c r="CT202" s="58" t="str">
        <f>IF(G202="","",G202)</f>
        <v>118:32</v>
      </c>
      <c r="CU202" s="73" t="str">
        <f>IF(H202="","",H202)</f>
        <v>3</v>
      </c>
      <c r="CV202" s="229" t="str">
        <f>IF(CT202="",IF(OR(AL202="",CU202&lt;&gt;"0"),"","GREŠKA"),IF(AND(65535&gt;=VALUE(LEFT(CT202,SEARCH(":",CT202)-1))*60+VALUE(RIGHT(CT202,2)),OR(CU202="0",CU202="1",CU202="2",CU202="3",CU202="4")),"","GREŠKA"))</f>
        <v/>
      </c>
      <c r="CW202" s="230">
        <f t="shared" si="183"/>
        <v>7112</v>
      </c>
      <c r="CX202" s="163">
        <f t="shared" si="143"/>
        <v>3</v>
      </c>
      <c r="CY202" s="47" t="s">
        <v>0</v>
      </c>
      <c r="CZ202" s="222" t="str">
        <f>IF(CV202&lt;&gt;"GREŠKA","",AK202&amp;" "&amp;AL202&amp;" – Molim u OEventu provjeriti i ispraviti rezultat – vrijeme ("&amp;IF(CT202="","nije upisano",CT202)&amp;") i classifier ("&amp;CU202&amp;").")&amp;IF(OR(CV202&lt;&gt;"GREŠKA",CX202&lt;&gt;5),"
","")&amp;IF(CX202&lt;&gt;5,"",AK202&amp;" "&amp;AL202&amp;" – Molim u provjeriti je li natjecatelj zaista diskvalificiran. Ako je koje je obrazloženje, ako nije molim u OEventu ispraviti rezultat")</f>
        <v xml:space="preserve">
</v>
      </c>
      <c r="DA202" s="223">
        <f t="shared" si="174"/>
        <v>3</v>
      </c>
      <c r="DB202" s="47" t="s">
        <v>0</v>
      </c>
      <c r="DC202" s="47"/>
      <c r="DD202" s="47"/>
      <c r="DE202" s="47"/>
      <c r="DF202" s="47" t="s">
        <v>0</v>
      </c>
      <c r="DG202" s="53" t="str">
        <f>IF(BD202="","",IF(DI202="O",1,""))</f>
        <v/>
      </c>
      <c r="DH202" t="s">
        <v>0</v>
      </c>
      <c r="DI202" s="128" t="str">
        <f>IF(Q202="","",LEFT(INDEX(regKategorija_oznaka,MATCH(S202,regKategorija_id,0)),1))</f>
        <v>O</v>
      </c>
      <c r="DJ202" t="s">
        <v>0</v>
      </c>
      <c r="DK202" s="52" t="str">
        <f>IF(BD202="","",IF(M202&lt;&gt;"CRO","","INSERT INTO osoba (id,reg_broj,oib,spol_id,dat_rodjenja) VALUES ("&amp;BD202&amp;",(SELECT max(os.reg_broj)+1 FROM osoba AS os),Null,'"&amp;DI202&amp;"',Null); INSERT INTO osoba_log (id,reg_broj,oib,spol_id,dat_rodjenja,dnevnik_id) SELECT id,reg_broj,oib,spol_id,dat_rodjenja,"&amp;data_dnevnik_id&amp;" FROM osoba WHERE id = "&amp;BD202&amp;";"))</f>
        <v/>
      </c>
      <c r="DL202" s="66" t="str">
        <f>IF(BD202="","","INSERT INTO imeprezime (id,osoba_id,rbr,ime,prezime,klub_id,identitet_id,sintaksa_id,info,aktivno,dnevnik_id) VALUES ("&amp;BD202&amp;","&amp;IF(DK202="","Null",BD202)&amp;",1,'"&amp;IF(AV202&lt;&gt;"",AV202,AK202)&amp;"','"&amp;IF(AW202&lt;&gt;"",AW202,AL202)&amp;"',(SELECT id FROM klub WHERE naziv = '"&amp;CR202&amp;"'),Null,1,'',1,"&amp;data_dnevnik_id&amp;");")</f>
        <v/>
      </c>
      <c r="DM202" t="s">
        <v>0</v>
      </c>
      <c r="DN202" s="19" t="str">
        <f t="shared" si="182"/>
        <v/>
      </c>
      <c r="DO202" s="47" t="s">
        <v>0</v>
      </c>
      <c r="DP202" s="19" t="str">
        <f>IF(BA202="","","INSERT INTO imeprezime_alias(id,alias,imeprezime_id) VALUES ("&amp;BB202&amp;",'"&amp;BA202&amp;"',"&amp;IF(BC202="NEMA",BD202,BC202)&amp;");")</f>
        <v/>
      </c>
      <c r="DQ202" s="47" t="s">
        <v>0</v>
      </c>
      <c r="DR202" s="52" t="str">
        <f>IF(AL202="","",DU202 &amp; IF(Q202="",""," – " &amp; Q202))</f>
        <v>Ivan – Majnarić – OK Vihor – OPEN</v>
      </c>
      <c r="DS202" s="53" t="str">
        <f t="shared" si="144"/>
        <v>NEMA</v>
      </c>
      <c r="DT202" s="47" t="s">
        <v>0</v>
      </c>
      <c r="DU202" s="52" t="str">
        <f>IF(AL202="","",DX202 &amp; IF(CR202="",""," – " &amp; CR202))</f>
        <v>Ivan – Majnarić – OK Vihor</v>
      </c>
      <c r="DV202" s="53">
        <f t="shared" si="145"/>
        <v>779</v>
      </c>
      <c r="DW202" s="47" t="s">
        <v>0</v>
      </c>
      <c r="DX202" s="52" t="str">
        <f>IF(BG202="","",BF202&amp;" – "&amp;BG202)</f>
        <v>Ivan – Majnarić</v>
      </c>
      <c r="DY202" s="53">
        <f t="shared" si="146"/>
        <v>779</v>
      </c>
      <c r="DZ202" s="47" t="s">
        <v>0</v>
      </c>
      <c r="EA202" s="58">
        <f t="shared" si="175"/>
        <v>779</v>
      </c>
      <c r="EB202" s="53" cm="1">
        <f t="array" ref="EB202">IF(EA202&lt;&gt;"",INDEX(regNatjecatelj_id,EA202,0),IF(BD202&lt;&gt;"",BD202,""))</f>
        <v>1899</v>
      </c>
      <c r="EC202" s="47" t="s">
        <v>0</v>
      </c>
      <c r="ED202" s="58" t="str">
        <f>IF(AL202="","",IF(BD202&lt;&gt;"","novo",IF(AN202="","imepre","imepre(ali)")))</f>
        <v>imepre</v>
      </c>
      <c r="EE202" s="73" t="str">
        <f>IF(AL202="","",IF(BL202="",IF(IFERROR(INDEX(regNatjecatelj_klub,MATCH(EB202,regNatjecatelj_id,0)),"NEMA")="","klu",""),IF(OR(AND(BN202&lt;&gt;"",BN202&lt;&gt;"NEMA"),CD202&lt;&gt;""),"klu(ali)",IF(AND(BP202&lt;&gt;"",BP202&lt;&gt;BO202),"(raz-klu)","klu"))))</f>
        <v>klu</v>
      </c>
      <c r="EF202" s="73" t="str">
        <f>IF(AL202="","","kat"&amp;IF(AND(W202&lt;&gt;Q202,Q202&lt;&gt;"Open"),"(ali)",""))</f>
        <v>kat</v>
      </c>
      <c r="EG202" s="73" t="str">
        <f t="shared" si="147"/>
        <v/>
      </c>
      <c r="EH202" s="66" t="str">
        <f>IF(AL202="","",ED202&amp;IF(ED202="novo","","-"&amp;EE202&amp;"-"&amp;EF202)&amp;IF(EG202="","","-"&amp;EG202))</f>
        <v>imepre-klu-kat</v>
      </c>
      <c r="EI202" s="47" t="s">
        <v>0</v>
      </c>
      <c r="EJ202" s="58">
        <f>IF(AL202="","",MAX(EJ$12:EJ201)+1)</f>
        <v>362</v>
      </c>
      <c r="EK202" s="73">
        <f>IF(AO202="","",X202)</f>
        <v>34</v>
      </c>
      <c r="EL202" s="73">
        <f t="shared" si="176"/>
        <v>1899</v>
      </c>
      <c r="EM202" s="73">
        <f t="shared" si="148"/>
        <v>7112</v>
      </c>
      <c r="EN202" s="73">
        <f t="shared" si="149"/>
        <v>3</v>
      </c>
      <c r="EO202" s="73">
        <f t="shared" si="177"/>
        <v>0</v>
      </c>
      <c r="EP202" s="73">
        <f t="shared" si="178"/>
        <v>1</v>
      </c>
      <c r="EQ202" s="73" t="str">
        <f t="shared" si="150"/>
        <v>3</v>
      </c>
      <c r="ER202" s="73" t="str">
        <f>IF(OR(AN202="",AN202="NEMA"),BB202,AN202)</f>
        <v/>
      </c>
      <c r="ES202" s="73" t="str">
        <f>IF(AND(BN202&lt;&gt;"",BN202&lt;&gt;"NEMA"),BN202,IF(CG202&lt;&gt;"",CG202,IF(AND(CL202&lt;&gt;"",CL202&lt;&gt;"NEMA"),CL202,IF(CM202&lt;&gt;"",CM202,""))))</f>
        <v/>
      </c>
      <c r="ET202" s="53" t="str">
        <f>IF(INDEX(natKategorija_alias_Id,MATCH(S202,natKategorija_katRegId,0))="","",INDEX(natKategorija_alias_Id,MATCH(S202,natKategorija_katRegId,0)))</f>
        <v/>
      </c>
      <c r="EU202" s="47" t="s">
        <v>0</v>
      </c>
      <c r="EV202" s="19" t="str">
        <f t="shared" si="179"/>
        <v>INSERT INTO rezultat(id,stazakategorija_id,imeprezime_id,vrijeme_sec,status_id,registracija,uparivanje_id,originalstatus_id,imeprezimealias_id,klubalias_id,kategorijaalias_id) VALUES (362,34,1899,7112,3,0,1,3,Null,Null,Null);</v>
      </c>
      <c r="EW202" s="47" t="s">
        <v>0</v>
      </c>
      <c r="EX202" s="19" t="str">
        <f t="shared" si="180"/>
        <v/>
      </c>
      <c r="EY202" s="47" t="s">
        <v>0</v>
      </c>
      <c r="EZ202" s="180" t="str">
        <f>AG202&amp;IF(CP202="","","
")&amp;CP202&amp;IF(CI202="","","
")&amp;CI202&amp;IF(DN202="","","
")&amp;DN202&amp;IF(DP202="","","
")&amp;DP202&amp;IF(EV202="","","
")&amp;EV202&amp;IF(EX202="","","
")&amp;EX202</f>
        <v xml:space="preserve">
INSERT INTO rezultat(id,stazakategorija_id,imeprezime_id,vrijeme_sec,status_id,registracija,uparivanje_id,originalstatus_id,imeprezimealias_id,klubalias_id,kategorijaalias_id) VALUES (362,34,1899,7112,3,0,1,3,Null,Null,Null);</v>
      </c>
      <c r="FA202" s="47" t="s">
        <v>0</v>
      </c>
    </row>
    <row r="203" spans="1:157" x14ac:dyDescent="0.25">
      <c r="A203" t="s">
        <v>0</v>
      </c>
      <c r="B203" s="52" t="str">
        <f>IF(csv!F193="","",csv!T193)</f>
        <v>OPEN</v>
      </c>
      <c r="C203" s="31" t="s">
        <v>0</v>
      </c>
      <c r="D203" s="31" t="str">
        <f>IF(csv!F193="","",csv!F193)</f>
        <v>Luka</v>
      </c>
      <c r="E203" s="31" t="str">
        <f>IF(csv!E193="","",csv!E193)</f>
        <v>Hajnić</v>
      </c>
      <c r="F203" s="31" t="s">
        <v>0</v>
      </c>
      <c r="G203" s="73" t="str">
        <f>IF(csv!M193="","",csv!M193)</f>
        <v/>
      </c>
      <c r="H203" s="73" t="str">
        <f>IF(csv!N193="","",csv!N193)</f>
        <v>1</v>
      </c>
      <c r="I203" s="31" t="s">
        <v>0</v>
      </c>
      <c r="J203" s="31" t="str">
        <f>IF(csv!P193="","",csv!P193)</f>
        <v/>
      </c>
      <c r="K203" s="31" t="str">
        <f>IF(csv!Q193="","",csv!Q193)</f>
        <v/>
      </c>
      <c r="L203" s="31" t="s">
        <v>0</v>
      </c>
      <c r="M203" s="66" t="str">
        <f>IF(csv!R193="","",csv!R193)</f>
        <v/>
      </c>
      <c r="N203" s="47" t="s">
        <v>0</v>
      </c>
      <c r="O203" s="243" t="str">
        <f t="shared" si="151"/>
        <v>ok</v>
      </c>
      <c r="P203" s="47"/>
      <c r="Q203" s="52" t="str">
        <f t="shared" si="152"/>
        <v>OPEN</v>
      </c>
      <c r="R203" s="73">
        <f>IF(Q203="","",IF(COUNTIF(Q$12:Q202,Q203)=0,R202+1,R202))</f>
        <v>12</v>
      </c>
      <c r="S203" s="73">
        <f t="shared" si="153"/>
        <v>291</v>
      </c>
      <c r="T203" s="73">
        <f t="shared" si="128"/>
        <v>29</v>
      </c>
      <c r="U203" s="66" t="str">
        <f t="shared" si="129"/>
        <v>Otvorena</v>
      </c>
      <c r="V203" s="47" t="s">
        <v>0</v>
      </c>
      <c r="W203" s="222" t="str">
        <f t="shared" si="130"/>
        <v>Otvorena</v>
      </c>
      <c r="X203" s="223">
        <f t="shared" si="131"/>
        <v>34</v>
      </c>
      <c r="Y203" s="47" t="s">
        <v>0</v>
      </c>
      <c r="Z203" s="52" t="str">
        <f t="shared" si="154"/>
        <v/>
      </c>
      <c r="AA203" s="73" t="str">
        <f t="shared" si="132"/>
        <v/>
      </c>
      <c r="AB203" s="31" t="str">
        <f t="shared" si="155"/>
        <v/>
      </c>
      <c r="AC203" s="66" t="str">
        <f>IF(AB203="","",MAX(AC$12:AC202)+1)</f>
        <v/>
      </c>
      <c r="AD203" s="47" t="s">
        <v>0</v>
      </c>
      <c r="AE203" s="125"/>
      <c r="AF203" s="47" t="s">
        <v>0</v>
      </c>
      <c r="AG203" s="19" t="str">
        <f t="shared" si="156"/>
        <v/>
      </c>
      <c r="AH203" s="47" t="s">
        <v>0</v>
      </c>
      <c r="AI203" s="143" t="str">
        <f t="shared" si="157"/>
        <v/>
      </c>
      <c r="AJ203" s="47"/>
      <c r="AK203" s="52" t="str">
        <f t="shared" si="158"/>
        <v>Luka</v>
      </c>
      <c r="AL203" s="31" t="str">
        <f t="shared" si="159"/>
        <v>Hajnić</v>
      </c>
      <c r="AM203" s="73" t="str">
        <f t="shared" si="160"/>
        <v>NEMA</v>
      </c>
      <c r="AN203" s="73" t="str">
        <f t="shared" si="161"/>
        <v>NEMA</v>
      </c>
      <c r="AO203" s="31" t="str">
        <f t="shared" si="133"/>
        <v>Luka</v>
      </c>
      <c r="AP203" s="66" t="str">
        <f t="shared" si="134"/>
        <v>Hajnić</v>
      </c>
      <c r="AQ203" s="47" t="s">
        <v>0</v>
      </c>
      <c r="AR203" s="82" t="str">
        <f t="shared" si="162"/>
        <v>Luka Hajnić</v>
      </c>
      <c r="AS203" s="47" t="s">
        <v>0</v>
      </c>
      <c r="AT203" s="19" t="str">
        <f t="shared" si="163"/>
        <v>SELECT 'Luka – Hajnić', ime, prezime FROM imeprezime WHERE ime LIKE '%uk%' Or prezime LIKE '%ajni%' Or ime LIKE '%ajni%' Or prezime LIKE '%uk%' ORDER BY ime, prezime;</v>
      </c>
      <c r="AU203" s="47" t="s">
        <v>0</v>
      </c>
      <c r="AV203" s="103"/>
      <c r="AW203" s="105"/>
      <c r="AX203" s="47" t="s">
        <v>0</v>
      </c>
      <c r="AY203" s="256" t="str">
        <f t="shared" si="181"/>
        <v/>
      </c>
      <c r="AZ203" s="47" t="s">
        <v>0</v>
      </c>
      <c r="BA203" s="52" t="str">
        <f t="shared" si="135"/>
        <v/>
      </c>
      <c r="BB203" s="73" t="str">
        <f>IF(AV203&amp;AW203="","",MAX(BB$12:BB202)+1)</f>
        <v/>
      </c>
      <c r="BC203" s="268" t="str">
        <f t="shared" si="136"/>
        <v/>
      </c>
      <c r="BD203" s="53">
        <f>IF(AND(AM203="NEMA",AN203="NEMA",OR(AV203&amp;AW203="",BC203="NEMA")),MAX(BD$12:BD202)+1,"")</f>
        <v>1969</v>
      </c>
      <c r="BE203" s="47" t="s">
        <v>0</v>
      </c>
      <c r="BF203" s="52" t="str">
        <f t="shared" si="137"/>
        <v>Luka</v>
      </c>
      <c r="BG203" s="31" t="str">
        <f t="shared" si="138"/>
        <v>Hajnić</v>
      </c>
      <c r="BH203" s="73" t="str">
        <f t="shared" si="164"/>
        <v/>
      </c>
      <c r="BI203" s="53">
        <f t="shared" si="165"/>
        <v>1969</v>
      </c>
      <c r="BJ203" s="47" t="s">
        <v>0</v>
      </c>
      <c r="BK203" s="52" t="str">
        <f t="shared" si="139"/>
        <v/>
      </c>
      <c r="BL203" s="31" t="str">
        <f t="shared" si="140"/>
        <v/>
      </c>
      <c r="BM203" s="73" t="str">
        <f t="shared" si="141"/>
        <v/>
      </c>
      <c r="BN203" s="73" t="str">
        <f t="shared" si="142"/>
        <v/>
      </c>
      <c r="BO203" s="31" t="str" cm="1">
        <f t="array" ref="BO203">IF(BN203="",""&amp;BL203,IF(BN203="NEMA",BL203,INDEX(regKlub_naziv,MATCH(INDEX(regKlub_alias_klubId,BN203),regKlub_id,0))))</f>
        <v/>
      </c>
      <c r="BP203" s="31" t="str" cm="1">
        <f t="array" ref="BP203">IFERROR(""&amp;INDEX(regNatjecatelj_klub,DY203),"")</f>
        <v/>
      </c>
      <c r="BQ203" s="88" t="str">
        <f t="shared" si="166"/>
        <v/>
      </c>
      <c r="BR203" s="66" t="str">
        <f t="shared" si="167"/>
        <v/>
      </c>
      <c r="BS203" s="47" t="s">
        <v>0</v>
      </c>
      <c r="BT203" s="82" t="str">
        <f>IF(BN203&lt;&gt;"NEMA","",IF(IFERROR(MATCH(BL203,BL$12:BL202,0),0)&lt;&gt;0,"",BL203))</f>
        <v/>
      </c>
      <c r="BU203" s="47" t="s">
        <v>0</v>
      </c>
      <c r="BV203" s="125"/>
      <c r="BW203" s="47" t="s">
        <v>0</v>
      </c>
      <c r="BX203" s="58" t="str">
        <f t="shared" si="168"/>
        <v/>
      </c>
      <c r="BY203" s="31" t="str">
        <f t="shared" si="169"/>
        <v/>
      </c>
      <c r="BZ203" s="31" t="str">
        <f>IF(BY203="","",MAX(BZ$12:BZ202)+1)</f>
        <v/>
      </c>
      <c r="CA203" s="31" t="str">
        <f>IF(BY203="","",IF(AA203="","",IF(AA203="NEMA",AC203,AA203)))</f>
        <v/>
      </c>
      <c r="CB203" s="31" t="str">
        <f t="shared" si="170"/>
        <v/>
      </c>
      <c r="CC203" s="31" t="str">
        <f>IF(BV203="","",MAX(CC$12:CC202)+1)</f>
        <v/>
      </c>
      <c r="CD203" s="31" t="str">
        <f t="shared" si="171"/>
        <v/>
      </c>
      <c r="CE203" s="66" t="str">
        <f t="shared" si="172"/>
        <v/>
      </c>
      <c r="CF203" s="47" t="s">
        <v>0</v>
      </c>
      <c r="CG203" s="73" t="str">
        <f>IF(BN203="","",IF(BN203&lt;&gt;"NEMA","",IFERROR(INDEX(nat_klubAliasId,MATCH(BL203,nat_noviKluboviAliasi,0)),"")))</f>
        <v/>
      </c>
      <c r="CH203" s="47"/>
      <c r="CI203" s="19" t="str">
        <f t="shared" si="173"/>
        <v/>
      </c>
      <c r="CJ203" s="47" t="s">
        <v>0</v>
      </c>
      <c r="CK203" s="52" t="str">
        <f>IF(X203&lt;&gt;"NEMA","",IF(IFERROR(MATCH(W203,W$12:W202,0),0)&lt;&gt;0,"",W203))</f>
        <v/>
      </c>
      <c r="CL203" s="73" t="str">
        <f>IF(CK203="","",IFERROR(INDEX(regKlub_alias_id,MATCH(CK203,regKlub_alias_alias,0)),"NEMA"))</f>
        <v/>
      </c>
      <c r="CM203" s="31" t="str">
        <f>IF(OR(CL203="",CL203&lt;&gt;"NEMA"),"",MAX(CM$12:CM202)+1)</f>
        <v/>
      </c>
      <c r="CN203" s="66" t="str">
        <f>IF(OR(CL203="",CL203&lt;&gt;"NEMA"),"",INDEX(regKlub_id,MATCH(CK203,regKlub_naziv,0)))</f>
        <v/>
      </c>
      <c r="CO203" s="47" t="s">
        <v>0</v>
      </c>
      <c r="CP203" s="19" t="str">
        <f>IF(OR(CL203="",CL203&lt;&gt;"NEMA"),"","INSERT INTO klub_alias(id,alias,klub_id) VALUES ("&amp;CM203&amp;",'"&amp;CK203&amp;"',"&amp;CN203&amp;");")</f>
        <v/>
      </c>
      <c r="CQ203" s="47" t="s">
        <v>0</v>
      </c>
      <c r="CR203" s="143" t="str">
        <f>IF(BR203="","",IF(BV203="",IF(IFERROR(MATCH(BR203,nat_noviKluboviAliasi,0),0)&gt;0,INDEX(nat_kluboviAliasi,MATCH(BR203,nat_noviKluboviAliasi,0)),BR203),BV203))</f>
        <v/>
      </c>
      <c r="CS203" s="47" t="s">
        <v>0</v>
      </c>
      <c r="CT203" s="58" t="str">
        <f>IF(G203="","",G203)</f>
        <v/>
      </c>
      <c r="CU203" s="73" t="str">
        <f>IF(H203="","",H203)</f>
        <v>1</v>
      </c>
      <c r="CV203" s="229" t="str">
        <f>IF(CT203="",IF(OR(AL203="",CU203&lt;&gt;"0"),"","GREŠKA"),IF(AND(65535&gt;=VALUE(LEFT(CT203,SEARCH(":",CT203)-1))*60+VALUE(RIGHT(CT203,2)),OR(CU203="0",CU203="1",CU203="2",CU203="3",CU203="4")),"","GREŠKA"))</f>
        <v/>
      </c>
      <c r="CW203" s="230" t="str">
        <f t="shared" si="183"/>
        <v/>
      </c>
      <c r="CX203" s="163">
        <f t="shared" si="143"/>
        <v>6</v>
      </c>
      <c r="CY203" s="47" t="s">
        <v>0</v>
      </c>
      <c r="CZ203" s="222" t="str">
        <f>IF(CV203&lt;&gt;"GREŠKA","",AK203&amp;" "&amp;AL203&amp;" – Molim u OEventu provjeriti i ispraviti rezultat – vrijeme ("&amp;IF(CT203="","nije upisano",CT203)&amp;") i classifier ("&amp;CU203&amp;").")&amp;IF(OR(CV203&lt;&gt;"GREŠKA",CX203&lt;&gt;5),"
","")&amp;IF(CX203&lt;&gt;5,"",AK203&amp;" "&amp;AL203&amp;" – Molim u provjeriti je li natjecatelj zaista diskvalificiran. Ako je koje je obrazloženje, ako nije molim u OEventu ispraviti rezultat")</f>
        <v xml:space="preserve">
</v>
      </c>
      <c r="DA203" s="223" t="str">
        <f t="shared" si="174"/>
        <v/>
      </c>
      <c r="DB203" s="47" t="s">
        <v>0</v>
      </c>
      <c r="DC203" s="47"/>
      <c r="DD203" s="47"/>
      <c r="DE203" s="47"/>
      <c r="DF203" s="47" t="s">
        <v>0</v>
      </c>
      <c r="DG203" s="53">
        <f>IF(BD203="","",IF(DI203="O",1,""))</f>
        <v>1</v>
      </c>
      <c r="DH203" t="s">
        <v>0</v>
      </c>
      <c r="DI203" s="128" t="str">
        <f>IF(Q203="","",LEFT(INDEX(regKategorija_oznaka,MATCH(S203,regKategorija_id,0)),1))</f>
        <v>O</v>
      </c>
      <c r="DJ203" t="s">
        <v>0</v>
      </c>
      <c r="DK203" s="52" t="str">
        <f>IF(BD203="","",IF(M203&lt;&gt;"CRO","","INSERT INTO osoba (id,reg_broj,oib,spol_id,dat_rodjenja) VALUES ("&amp;BD203&amp;",(SELECT max(os.reg_broj)+1 FROM osoba AS os),Null,'"&amp;DI203&amp;"',Null); INSERT INTO osoba_log (id,reg_broj,oib,spol_id,dat_rodjenja,dnevnik_id) SELECT id,reg_broj,oib,spol_id,dat_rodjenja,"&amp;data_dnevnik_id&amp;" FROM osoba WHERE id = "&amp;BD203&amp;";"))</f>
        <v/>
      </c>
      <c r="DL203" s="66" t="str">
        <f>IF(BD203="","","INSERT INTO imeprezime (id,osoba_id,rbr,ime,prezime,klub_id,identitet_id,sintaksa_id,info,aktivno,dnevnik_id) VALUES ("&amp;BD203&amp;","&amp;IF(DK203="","Null",BD203)&amp;",1,'"&amp;IF(AV203&lt;&gt;"",AV203,AK203)&amp;"','"&amp;IF(AW203&lt;&gt;"",AW203,AL203)&amp;"',(SELECT id FROM klub WHERE naziv = '"&amp;CR203&amp;"'),Null,1,'',1,"&amp;data_dnevnik_id&amp;");")</f>
        <v>INSERT INTO imeprezime (id,osoba_id,rbr,ime,prezime,klub_id,identitet_id,sintaksa_id,info,aktivno,dnevnik_id) VALUES (1969,Null,1,'Luka','Hajnić',(SELECT id FROM klub WHERE naziv = ''),Null,1,'',1,882);</v>
      </c>
      <c r="DM203" t="s">
        <v>0</v>
      </c>
      <c r="DN203" s="19" t="str">
        <f t="shared" si="182"/>
        <v>INSERT INTO imeprezime (id,osoba_id,rbr,ime,prezime,klub_id,identitet_id,sintaksa_id,info,aktivno,dnevnik_id) VALUES (1969,Null,1,'Luka','Hajnić',(SELECT id FROM klub WHERE naziv = ''),Null,1,'',1,882);</v>
      </c>
      <c r="DO203" s="47" t="s">
        <v>0</v>
      </c>
      <c r="DP203" s="19" t="str">
        <f>IF(BA203="","","INSERT INTO imeprezime_alias(id,alias,imeprezime_id) VALUES ("&amp;BB203&amp;",'"&amp;BA203&amp;"',"&amp;IF(BC203="NEMA",BD203,BC203)&amp;");")</f>
        <v/>
      </c>
      <c r="DQ203" s="47" t="s">
        <v>0</v>
      </c>
      <c r="DR203" s="52" t="str">
        <f>IF(AL203="","",DU203 &amp; IF(Q203="",""," – " &amp; Q203))</f>
        <v>Luka – Hajnić – OPEN</v>
      </c>
      <c r="DS203" s="53" t="str">
        <f t="shared" si="144"/>
        <v>NEMA</v>
      </c>
      <c r="DT203" s="47" t="s">
        <v>0</v>
      </c>
      <c r="DU203" s="52" t="str">
        <f>IF(AL203="","",DX203 &amp; IF(CR203="",""," – " &amp; CR203))</f>
        <v>Luka – Hajnić</v>
      </c>
      <c r="DV203" s="53" t="str">
        <f t="shared" si="145"/>
        <v>NEMA</v>
      </c>
      <c r="DW203" s="47" t="s">
        <v>0</v>
      </c>
      <c r="DX203" s="52" t="str">
        <f>IF(BG203="","",BF203&amp;" – "&amp;BG203)</f>
        <v>Luka – Hajnić</v>
      </c>
      <c r="DY203" s="53" t="str">
        <f t="shared" si="146"/>
        <v>NEMA</v>
      </c>
      <c r="DZ203" s="47" t="s">
        <v>0</v>
      </c>
      <c r="EA203" s="58" t="str">
        <f t="shared" si="175"/>
        <v/>
      </c>
      <c r="EB203" s="53" cm="1">
        <f t="array" ref="EB203">IF(EA203&lt;&gt;"",INDEX(regNatjecatelj_id,EA203,0),IF(BD203&lt;&gt;"",BD203,""))</f>
        <v>1969</v>
      </c>
      <c r="EC203" s="47" t="s">
        <v>0</v>
      </c>
      <c r="ED203" s="58" t="str">
        <f>IF(AL203="","",IF(BD203&lt;&gt;"","novo",IF(AN203="","imepre","imepre(ali)")))</f>
        <v>novo</v>
      </c>
      <c r="EE203" s="73" t="str">
        <f>IF(AL203="","",IF(BL203="",IF(IFERROR(INDEX(regNatjecatelj_klub,MATCH(EB203,regNatjecatelj_id,0)),"NEMA")="","klu",""),IF(OR(AND(BN203&lt;&gt;"",BN203&lt;&gt;"NEMA"),CD203&lt;&gt;""),"klu(ali)",IF(AND(BP203&lt;&gt;"",BP203&lt;&gt;BO203),"(raz-klu)","klu"))))</f>
        <v/>
      </c>
      <c r="EF203" s="73" t="str">
        <f>IF(AL203="","","kat"&amp;IF(AND(W203&lt;&gt;Q203,Q203&lt;&gt;"Open"),"(ali)",""))</f>
        <v>kat</v>
      </c>
      <c r="EG203" s="73" t="str">
        <f t="shared" si="147"/>
        <v/>
      </c>
      <c r="EH203" s="66" t="str">
        <f>IF(AL203="","",ED203&amp;IF(ED203="novo","","-"&amp;EE203&amp;"-"&amp;EF203)&amp;IF(EG203="","","-"&amp;EG203))</f>
        <v>novo</v>
      </c>
      <c r="EI203" s="47" t="s">
        <v>0</v>
      </c>
      <c r="EJ203" s="58">
        <f>IF(AL203="","",MAX(EJ$12:EJ202)+1)</f>
        <v>363</v>
      </c>
      <c r="EK203" s="73">
        <f>IF(AO203="","",X203)</f>
        <v>34</v>
      </c>
      <c r="EL203" s="73">
        <f t="shared" si="176"/>
        <v>1969</v>
      </c>
      <c r="EM203" s="73" t="str">
        <f t="shared" si="148"/>
        <v/>
      </c>
      <c r="EN203" s="73">
        <f t="shared" si="149"/>
        <v>6</v>
      </c>
      <c r="EO203" s="73">
        <f t="shared" si="177"/>
        <v>0</v>
      </c>
      <c r="EP203" s="73">
        <f t="shared" si="178"/>
        <v>33</v>
      </c>
      <c r="EQ203" s="73" t="str">
        <f t="shared" si="150"/>
        <v>1</v>
      </c>
      <c r="ER203" s="73" t="str">
        <f>IF(OR(AN203="",AN203="NEMA"),BB203,AN203)</f>
        <v/>
      </c>
      <c r="ES203" s="73" t="str">
        <f>IF(AND(BN203&lt;&gt;"",BN203&lt;&gt;"NEMA"),BN203,IF(CG203&lt;&gt;"",CG203,IF(AND(CL203&lt;&gt;"",CL203&lt;&gt;"NEMA"),CL203,IF(CM203&lt;&gt;"",CM203,""))))</f>
        <v/>
      </c>
      <c r="ET203" s="53" t="str">
        <f>IF(INDEX(natKategorija_alias_Id,MATCH(S203,natKategorija_katRegId,0))="","",INDEX(natKategorija_alias_Id,MATCH(S203,natKategorija_katRegId,0)))</f>
        <v/>
      </c>
      <c r="EU203" s="47" t="s">
        <v>0</v>
      </c>
      <c r="EV203" s="19" t="str">
        <f t="shared" si="179"/>
        <v>INSERT INTO rezultat(id,stazakategorija_id,imeprezime_id,vrijeme_sec,status_id,registracija,uparivanje_id,originalstatus_id,imeprezimealias_id,klubalias_id,kategorijaalias_id) VALUES (363,34,1969,Null,6,0,33,1,Null,Null,Null);</v>
      </c>
      <c r="EW203" s="47" t="s">
        <v>0</v>
      </c>
      <c r="EX203" s="19" t="str">
        <f t="shared" si="180"/>
        <v/>
      </c>
      <c r="EY203" s="47" t="s">
        <v>0</v>
      </c>
      <c r="EZ203" s="180" t="str">
        <f>AG203&amp;IF(CP203="","","
")&amp;CP203&amp;IF(CI203="","","
")&amp;CI203&amp;IF(DN203="","","
")&amp;DN203&amp;IF(DP203="","","
")&amp;DP203&amp;IF(EV203="","","
")&amp;EV203&amp;IF(EX203="","","
")&amp;EX203</f>
        <v xml:space="preserve">
INSERT INTO imeprezime (id,osoba_id,rbr,ime,prezime,klub_id,identitet_id,sintaksa_id,info,aktivno,dnevnik_id) VALUES (1969,Null,1,'Luka','Hajnić',(SELECT id FROM klub WHERE naziv = ''),Null,1,'',1,882);
INSERT INTO rezultat(id,stazakategorija_id,imeprezime_id,vrijeme_sec,status_id,registracija,uparivanje_id,originalstatus_id,imeprezimealias_id,klubalias_id,kategorijaalias_id) VALUES (363,34,1969,Null,6,0,33,1,Null,Null,Null);</v>
      </c>
      <c r="FA203" s="47" t="s">
        <v>0</v>
      </c>
    </row>
    <row r="204" spans="1:157" x14ac:dyDescent="0.25">
      <c r="A204" t="s">
        <v>0</v>
      </c>
      <c r="B204" s="52" t="str">
        <f>IF(csv!F194="","",csv!T194)</f>
        <v>OPEN</v>
      </c>
      <c r="C204" s="31" t="s">
        <v>0</v>
      </c>
      <c r="D204" s="31" t="str">
        <f>IF(csv!F194="","",csv!F194)</f>
        <v>Nikola</v>
      </c>
      <c r="E204" s="31" t="str">
        <f>IF(csv!E194="","",csv!E194)</f>
        <v>Pavić</v>
      </c>
      <c r="F204" s="31" t="s">
        <v>0</v>
      </c>
      <c r="G204" s="73" t="str">
        <f>IF(csv!M194="","",csv!M194)</f>
        <v/>
      </c>
      <c r="H204" s="73" t="str">
        <f>IF(csv!N194="","",csv!N194)</f>
        <v>0</v>
      </c>
      <c r="I204" s="31" t="s">
        <v>0</v>
      </c>
      <c r="J204" s="31" t="str">
        <f>IF(csv!P194="","",csv!P194)</f>
        <v>OK Varaždin</v>
      </c>
      <c r="K204" s="31" t="str">
        <f>IF(csv!Q194="","",csv!Q194)</f>
        <v>OK Varaždin</v>
      </c>
      <c r="L204" s="31" t="s">
        <v>0</v>
      </c>
      <c r="M204" s="66" t="str">
        <f>IF(csv!R194="","",csv!R194)</f>
        <v>CRO</v>
      </c>
      <c r="N204" s="47" t="s">
        <v>0</v>
      </c>
      <c r="O204" s="243" t="str">
        <f t="shared" si="151"/>
        <v>ok</v>
      </c>
      <c r="P204" s="47"/>
      <c r="Q204" s="52" t="str">
        <f t="shared" si="152"/>
        <v>OPEN</v>
      </c>
      <c r="R204" s="73">
        <f>IF(Q204="","",IF(COUNTIF(Q$12:Q203,Q204)=0,R203+1,R203))</f>
        <v>12</v>
      </c>
      <c r="S204" s="73">
        <f t="shared" si="153"/>
        <v>291</v>
      </c>
      <c r="T204" s="73">
        <f t="shared" si="128"/>
        <v>29</v>
      </c>
      <c r="U204" s="66" t="str">
        <f t="shared" si="129"/>
        <v>Otvorena</v>
      </c>
      <c r="V204" s="47" t="s">
        <v>0</v>
      </c>
      <c r="W204" s="222" t="str">
        <f t="shared" si="130"/>
        <v>Otvorena</v>
      </c>
      <c r="X204" s="223">
        <f t="shared" si="131"/>
        <v>34</v>
      </c>
      <c r="Y204" s="47" t="s">
        <v>0</v>
      </c>
      <c r="Z204" s="52" t="str">
        <f t="shared" si="154"/>
        <v>CRO</v>
      </c>
      <c r="AA204" s="73">
        <f t="shared" si="132"/>
        <v>1</v>
      </c>
      <c r="AB204" s="31" t="str">
        <f t="shared" si="155"/>
        <v/>
      </c>
      <c r="AC204" s="66" t="str">
        <f>IF(AB204="","",MAX(AC$12:AC203)+1)</f>
        <v/>
      </c>
      <c r="AD204" s="47" t="s">
        <v>0</v>
      </c>
      <c r="AE204" s="125"/>
      <c r="AF204" s="47" t="s">
        <v>0</v>
      </c>
      <c r="AG204" s="19" t="str">
        <f t="shared" si="156"/>
        <v/>
      </c>
      <c r="AH204" s="47" t="s">
        <v>0</v>
      </c>
      <c r="AI204" s="143" t="str">
        <f t="shared" si="157"/>
        <v>CRO</v>
      </c>
      <c r="AJ204" s="47"/>
      <c r="AK204" s="52" t="str">
        <f t="shared" si="158"/>
        <v>Nikola</v>
      </c>
      <c r="AL204" s="31" t="str">
        <f t="shared" si="159"/>
        <v>Pavić</v>
      </c>
      <c r="AM204" s="73">
        <f t="shared" si="160"/>
        <v>1933</v>
      </c>
      <c r="AN204" s="73" t="str">
        <f t="shared" si="161"/>
        <v/>
      </c>
      <c r="AO204" s="31" t="str">
        <f t="shared" si="133"/>
        <v>Nikola</v>
      </c>
      <c r="AP204" s="66" t="str">
        <f t="shared" si="134"/>
        <v>Pavić</v>
      </c>
      <c r="AQ204" s="47" t="s">
        <v>0</v>
      </c>
      <c r="AR204" s="82" t="str">
        <f t="shared" si="162"/>
        <v/>
      </c>
      <c r="AS204" s="47" t="s">
        <v>0</v>
      </c>
      <c r="AT204" s="19" t="str">
        <f t="shared" si="163"/>
        <v/>
      </c>
      <c r="AU204" s="47" t="s">
        <v>0</v>
      </c>
      <c r="AV204" s="103"/>
      <c r="AW204" s="105"/>
      <c r="AX204" s="47" t="s">
        <v>0</v>
      </c>
      <c r="AY204" s="256" t="str">
        <f t="shared" si="181"/>
        <v/>
      </c>
      <c r="AZ204" s="47" t="s">
        <v>0</v>
      </c>
      <c r="BA204" s="52" t="str">
        <f t="shared" si="135"/>
        <v/>
      </c>
      <c r="BB204" s="73" t="str">
        <f>IF(AV204&amp;AW204="","",MAX(BB$12:BB203)+1)</f>
        <v/>
      </c>
      <c r="BC204" s="268" t="str">
        <f t="shared" si="136"/>
        <v/>
      </c>
      <c r="BD204" s="53" t="str">
        <f>IF(AND(AM204="NEMA",AN204="NEMA",OR(AV204&amp;AW204="",BC204="NEMA")),MAX(BD$12:BD203)+1,"")</f>
        <v/>
      </c>
      <c r="BE204" s="47" t="s">
        <v>0</v>
      </c>
      <c r="BF204" s="52" t="str">
        <f t="shared" si="137"/>
        <v>Nikola</v>
      </c>
      <c r="BG204" s="31" t="str">
        <f t="shared" si="138"/>
        <v>Pavić</v>
      </c>
      <c r="BH204" s="73" t="str">
        <f t="shared" si="164"/>
        <v/>
      </c>
      <c r="BI204" s="53">
        <f t="shared" si="165"/>
        <v>1933</v>
      </c>
      <c r="BJ204" s="47" t="s">
        <v>0</v>
      </c>
      <c r="BK204" s="52" t="str">
        <f t="shared" si="139"/>
        <v>OK Varaždin</v>
      </c>
      <c r="BL204" s="31" t="str">
        <f t="shared" si="140"/>
        <v>OK Varaždin</v>
      </c>
      <c r="BM204" s="73">
        <f t="shared" si="141"/>
        <v>11</v>
      </c>
      <c r="BN204" s="73" t="str">
        <f t="shared" si="142"/>
        <v/>
      </c>
      <c r="BO204" s="31" t="str" cm="1">
        <f t="array" ref="BO204">IF(BN204="",""&amp;BL204,IF(BN204="NEMA",BL204,INDEX(regKlub_naziv,MATCH(INDEX(regKlub_alias_klubId,BN204),regKlub_id,0))))</f>
        <v>OK Varaždin</v>
      </c>
      <c r="BP204" s="31" t="str" cm="1">
        <f t="array" ref="BP204">IFERROR(""&amp;INDEX(regNatjecatelj_klub,DY204),"")</f>
        <v>OK Varaždin</v>
      </c>
      <c r="BQ204" s="88" t="str">
        <f t="shared" si="166"/>
        <v/>
      </c>
      <c r="BR204" s="66" t="str">
        <f t="shared" si="167"/>
        <v>OK Varaždin</v>
      </c>
      <c r="BS204" s="47" t="s">
        <v>0</v>
      </c>
      <c r="BT204" s="82" t="str">
        <f>IF(BN204&lt;&gt;"NEMA","",IF(IFERROR(MATCH(BL204,BL$12:BL203,0),0)&lt;&gt;0,"",BL204))</f>
        <v/>
      </c>
      <c r="BU204" s="47" t="s">
        <v>0</v>
      </c>
      <c r="BV204" s="125"/>
      <c r="BW204" s="47" t="s">
        <v>0</v>
      </c>
      <c r="BX204" s="58" t="str">
        <f t="shared" si="168"/>
        <v/>
      </c>
      <c r="BY204" s="31" t="str">
        <f t="shared" si="169"/>
        <v/>
      </c>
      <c r="BZ204" s="31" t="str">
        <f>IF(BY204="","",MAX(BZ$12:BZ203)+1)</f>
        <v/>
      </c>
      <c r="CA204" s="31" t="str">
        <f>IF(BY204="","",IF(AA204="","",IF(AA204="NEMA",AC204,AA204)))</f>
        <v/>
      </c>
      <c r="CB204" s="31" t="str">
        <f t="shared" si="170"/>
        <v/>
      </c>
      <c r="CC204" s="31" t="str">
        <f>IF(BV204="","",MAX(CC$12:CC203)+1)</f>
        <v/>
      </c>
      <c r="CD204" s="31" t="str">
        <f t="shared" si="171"/>
        <v/>
      </c>
      <c r="CE204" s="66" t="str">
        <f t="shared" si="172"/>
        <v/>
      </c>
      <c r="CF204" s="47" t="s">
        <v>0</v>
      </c>
      <c r="CG204" s="73" t="str">
        <f>IF(BN204="","",IF(BN204&lt;&gt;"NEMA","",IFERROR(INDEX(nat_klubAliasId,MATCH(BL204,nat_noviKluboviAliasi,0)),"")))</f>
        <v/>
      </c>
      <c r="CH204" s="47"/>
      <c r="CI204" s="19" t="str">
        <f t="shared" si="173"/>
        <v/>
      </c>
      <c r="CJ204" s="47" t="s">
        <v>0</v>
      </c>
      <c r="CK204" s="52" t="str">
        <f>IF(X204&lt;&gt;"NEMA","",IF(IFERROR(MATCH(W204,W$12:W203,0),0)&lt;&gt;0,"",W204))</f>
        <v/>
      </c>
      <c r="CL204" s="73" t="str">
        <f>IF(CK204="","",IFERROR(INDEX(regKlub_alias_id,MATCH(CK204,regKlub_alias_alias,0)),"NEMA"))</f>
        <v/>
      </c>
      <c r="CM204" s="31" t="str">
        <f>IF(OR(CL204="",CL204&lt;&gt;"NEMA"),"",MAX(CM$12:CM203)+1)</f>
        <v/>
      </c>
      <c r="CN204" s="66" t="str">
        <f>IF(OR(CL204="",CL204&lt;&gt;"NEMA"),"",INDEX(regKlub_id,MATCH(CK204,regKlub_naziv,0)))</f>
        <v/>
      </c>
      <c r="CO204" s="47" t="s">
        <v>0</v>
      </c>
      <c r="CP204" s="19" t="str">
        <f>IF(OR(CL204="",CL204&lt;&gt;"NEMA"),"","INSERT INTO klub_alias(id,alias,klub_id) VALUES ("&amp;CM204&amp;",'"&amp;CK204&amp;"',"&amp;CN204&amp;");")</f>
        <v/>
      </c>
      <c r="CQ204" s="47" t="s">
        <v>0</v>
      </c>
      <c r="CR204" s="143" t="str">
        <f>IF(BR204="","",IF(BV204="",IF(IFERROR(MATCH(BR204,nat_noviKluboviAliasi,0),0)&gt;0,INDEX(nat_kluboviAliasi,MATCH(BR204,nat_noviKluboviAliasi,0)),BR204),BV204))</f>
        <v>OK Varaždin</v>
      </c>
      <c r="CS204" s="47" t="s">
        <v>0</v>
      </c>
      <c r="CT204" s="58" t="str">
        <f>IF(G204="","",G204)</f>
        <v/>
      </c>
      <c r="CU204" s="73" t="str">
        <f>IF(H204="","",H204)</f>
        <v>0</v>
      </c>
      <c r="CV204" s="229" t="str">
        <f>IF(CT204="",IF(OR(AL204="",CU204&lt;&gt;"0"),"","GREŠKA"),IF(AND(65535&gt;=VALUE(LEFT(CT204,SEARCH(":",CT204)-1))*60+VALUE(RIGHT(CT204,2)),OR(CU204="0",CU204="1",CU204="2",CU204="3",CU204="4")),"","GREŠKA"))</f>
        <v>GREŠKA</v>
      </c>
      <c r="CW204" s="230" t="str">
        <f t="shared" si="183"/>
        <v/>
      </c>
      <c r="CX204" s="163">
        <f t="shared" si="143"/>
        <v>1</v>
      </c>
      <c r="CY204" s="47" t="s">
        <v>0</v>
      </c>
      <c r="CZ204" s="222" t="str">
        <f>IF(CV204&lt;&gt;"GREŠKA","",AK204&amp;" "&amp;AL204&amp;" – Molim u OEventu provjeriti i ispraviti rezultat – vrijeme ("&amp;IF(CT204="","nije upisano",CT204)&amp;") i classifier ("&amp;CU204&amp;").")&amp;IF(OR(CV204&lt;&gt;"GREŠKA",CX204&lt;&gt;5),"
","")&amp;IF(CX204&lt;&gt;5,"",AK204&amp;" "&amp;AL204&amp;" – Molim u provjeriti je li natjecatelj zaista diskvalificiran. Ako je koje je obrazloženje, ako nije molim u OEventu ispraviti rezultat")</f>
        <v xml:space="preserve">Nikola Pavić – Molim u OEventu provjeriti i ispraviti rezultat – vrijeme (nije upisano) i classifier (0).
</v>
      </c>
      <c r="DA204" s="223">
        <f t="shared" si="174"/>
        <v>6</v>
      </c>
      <c r="DB204" s="47" t="s">
        <v>0</v>
      </c>
      <c r="DC204" s="47"/>
      <c r="DD204" s="47"/>
      <c r="DE204" s="47"/>
      <c r="DF204" s="47" t="s">
        <v>0</v>
      </c>
      <c r="DG204" s="53" t="str">
        <f>IF(BD204="","",IF(DI204="O",1,""))</f>
        <v/>
      </c>
      <c r="DH204" t="s">
        <v>0</v>
      </c>
      <c r="DI204" s="128" t="str">
        <f>IF(Q204="","",LEFT(INDEX(regKategorija_oznaka,MATCH(S204,regKategorija_id,0)),1))</f>
        <v>O</v>
      </c>
      <c r="DJ204" t="s">
        <v>0</v>
      </c>
      <c r="DK204" s="52" t="str">
        <f>IF(BD204="","",IF(M204&lt;&gt;"CRO","","INSERT INTO osoba (id,reg_broj,oib,spol_id,dat_rodjenja) VALUES ("&amp;BD204&amp;",(SELECT max(os.reg_broj)+1 FROM osoba AS os),Null,'"&amp;DI204&amp;"',Null); INSERT INTO osoba_log (id,reg_broj,oib,spol_id,dat_rodjenja,dnevnik_id) SELECT id,reg_broj,oib,spol_id,dat_rodjenja,"&amp;data_dnevnik_id&amp;" FROM osoba WHERE id = "&amp;BD204&amp;";"))</f>
        <v/>
      </c>
      <c r="DL204" s="66" t="str">
        <f>IF(BD204="","","INSERT INTO imeprezime (id,osoba_id,rbr,ime,prezime,klub_id,identitet_id,sintaksa_id,info,aktivno,dnevnik_id) VALUES ("&amp;BD204&amp;","&amp;IF(DK204="","Null",BD204)&amp;",1,'"&amp;IF(AV204&lt;&gt;"",AV204,AK204)&amp;"','"&amp;IF(AW204&lt;&gt;"",AW204,AL204)&amp;"',(SELECT id FROM klub WHERE naziv = '"&amp;CR204&amp;"'),Null,1,'',1,"&amp;data_dnevnik_id&amp;");")</f>
        <v/>
      </c>
      <c r="DM204" t="s">
        <v>0</v>
      </c>
      <c r="DN204" s="19" t="str">
        <f t="shared" si="182"/>
        <v/>
      </c>
      <c r="DO204" s="47" t="s">
        <v>0</v>
      </c>
      <c r="DP204" s="19" t="str">
        <f>IF(BA204="","","INSERT INTO imeprezime_alias(id,alias,imeprezime_id) VALUES ("&amp;BB204&amp;",'"&amp;BA204&amp;"',"&amp;IF(BC204="NEMA",BD204,BC204)&amp;");")</f>
        <v/>
      </c>
      <c r="DQ204" s="47" t="s">
        <v>0</v>
      </c>
      <c r="DR204" s="52" t="str">
        <f>IF(AL204="","",DU204 &amp; IF(Q204="",""," – " &amp; Q204))</f>
        <v>Nikola – Pavić – OK Varaždin – OPEN</v>
      </c>
      <c r="DS204" s="53" t="str">
        <f t="shared" si="144"/>
        <v>NEMA</v>
      </c>
      <c r="DT204" s="47" t="s">
        <v>0</v>
      </c>
      <c r="DU204" s="52" t="str">
        <f>IF(AL204="","",DX204 &amp; IF(CR204="",""," – " &amp; CR204))</f>
        <v>Nikola – Pavić – OK Varaždin</v>
      </c>
      <c r="DV204" s="53">
        <f t="shared" si="145"/>
        <v>571</v>
      </c>
      <c r="DW204" s="47" t="s">
        <v>0</v>
      </c>
      <c r="DX204" s="52" t="str">
        <f>IF(BG204="","",BF204&amp;" – "&amp;BG204)</f>
        <v>Nikola – Pavić</v>
      </c>
      <c r="DY204" s="53">
        <f t="shared" si="146"/>
        <v>571</v>
      </c>
      <c r="DZ204" s="47" t="s">
        <v>0</v>
      </c>
      <c r="EA204" s="58">
        <f t="shared" si="175"/>
        <v>571</v>
      </c>
      <c r="EB204" s="53" cm="1">
        <f t="array" ref="EB204">IF(EA204&lt;&gt;"",INDEX(regNatjecatelj_id,EA204,0),IF(BD204&lt;&gt;"",BD204,""))</f>
        <v>1933</v>
      </c>
      <c r="EC204" s="47" t="s">
        <v>0</v>
      </c>
      <c r="ED204" s="58" t="str">
        <f>IF(AL204="","",IF(BD204&lt;&gt;"","novo",IF(AN204="","imepre","imepre(ali)")))</f>
        <v>imepre</v>
      </c>
      <c r="EE204" s="73" t="str">
        <f>IF(AL204="","",IF(BL204="",IF(IFERROR(INDEX(regNatjecatelj_klub,MATCH(EB204,regNatjecatelj_id,0)),"NEMA")="","klu",""),IF(OR(AND(BN204&lt;&gt;"",BN204&lt;&gt;"NEMA"),CD204&lt;&gt;""),"klu(ali)",IF(AND(BP204&lt;&gt;"",BP204&lt;&gt;BO204),"(raz-klu)","klu"))))</f>
        <v>klu</v>
      </c>
      <c r="EF204" s="73" t="str">
        <f>IF(AL204="","","kat"&amp;IF(AND(W204&lt;&gt;Q204,Q204&lt;&gt;"Open"),"(ali)",""))</f>
        <v>kat</v>
      </c>
      <c r="EG204" s="73" t="str">
        <f t="shared" si="147"/>
        <v>ot</v>
      </c>
      <c r="EH204" s="66" t="str">
        <f>IF(AL204="","",ED204&amp;IF(ED204="novo","","-"&amp;EE204&amp;"-"&amp;EF204)&amp;IF(EG204="","","-"&amp;EG204))</f>
        <v>imepre-klu-kat-ot</v>
      </c>
      <c r="EI204" s="47" t="s">
        <v>0</v>
      </c>
      <c r="EJ204" s="58">
        <f>IF(AL204="","",MAX(EJ$12:EJ203)+1)</f>
        <v>364</v>
      </c>
      <c r="EK204" s="73">
        <f>IF(AO204="","",X204)</f>
        <v>34</v>
      </c>
      <c r="EL204" s="73">
        <f t="shared" si="176"/>
        <v>1933</v>
      </c>
      <c r="EM204" s="73" t="str">
        <f t="shared" si="148"/>
        <v/>
      </c>
      <c r="EN204" s="73">
        <f t="shared" si="149"/>
        <v>6</v>
      </c>
      <c r="EO204" s="73">
        <f t="shared" si="177"/>
        <v>0</v>
      </c>
      <c r="EP204" s="73">
        <f t="shared" si="178"/>
        <v>2</v>
      </c>
      <c r="EQ204" s="73" t="str">
        <f t="shared" si="150"/>
        <v>0</v>
      </c>
      <c r="ER204" s="73" t="str">
        <f>IF(OR(AN204="",AN204="NEMA"),BB204,AN204)</f>
        <v/>
      </c>
      <c r="ES204" s="73" t="str">
        <f>IF(AND(BN204&lt;&gt;"",BN204&lt;&gt;"NEMA"),BN204,IF(CG204&lt;&gt;"",CG204,IF(AND(CL204&lt;&gt;"",CL204&lt;&gt;"NEMA"),CL204,IF(CM204&lt;&gt;"",CM204,""))))</f>
        <v/>
      </c>
      <c r="ET204" s="53" t="str">
        <f>IF(INDEX(natKategorija_alias_Id,MATCH(S204,natKategorija_katRegId,0))="","",INDEX(natKategorija_alias_Id,MATCH(S204,natKategorija_katRegId,0)))</f>
        <v/>
      </c>
      <c r="EU204" s="47" t="s">
        <v>0</v>
      </c>
      <c r="EV204" s="19" t="str">
        <f t="shared" si="179"/>
        <v>INSERT INTO rezultat(id,stazakategorija_id,imeprezime_id,vrijeme_sec,status_id,registracija,uparivanje_id,originalstatus_id,imeprezimealias_id,klubalias_id,kategorijaalias_id) VALUES (364,34,1933,Null,6,0,2,0,Null,Null,Null);</v>
      </c>
      <c r="EW204" s="47" t="s">
        <v>0</v>
      </c>
      <c r="EX204" s="19" t="str">
        <f t="shared" si="180"/>
        <v/>
      </c>
      <c r="EY204" s="47" t="s">
        <v>0</v>
      </c>
      <c r="EZ204" s="180" t="str">
        <f>AG204&amp;IF(CP204="","","
")&amp;CP204&amp;IF(CI204="","","
")&amp;CI204&amp;IF(DN204="","","
")&amp;DN204&amp;IF(DP204="","","
")&amp;DP204&amp;IF(EV204="","","
")&amp;EV204&amp;IF(EX204="","","
")&amp;EX204</f>
        <v xml:space="preserve">
INSERT INTO rezultat(id,stazakategorija_id,imeprezime_id,vrijeme_sec,status_id,registracija,uparivanje_id,originalstatus_id,imeprezimealias_id,klubalias_id,kategorijaalias_id) VALUES (364,34,1933,Null,6,0,2,0,Null,Null,Null);</v>
      </c>
      <c r="FA204" s="47" t="s">
        <v>0</v>
      </c>
    </row>
    <row r="205" spans="1:157" x14ac:dyDescent="0.25">
      <c r="A205" t="s">
        <v>0</v>
      </c>
      <c r="B205" s="52" t="str">
        <f>IF(csv!F195="","",csv!T195)</f>
        <v>OPEN</v>
      </c>
      <c r="C205" s="31" t="s">
        <v>0</v>
      </c>
      <c r="D205" s="31" t="str">
        <f>IF(csv!F195="","",csv!F195)</f>
        <v>Mirjana</v>
      </c>
      <c r="E205" s="31" t="str">
        <f>IF(csv!E195="","",csv!E195)</f>
        <v>Jurić</v>
      </c>
      <c r="F205" s="31" t="s">
        <v>0</v>
      </c>
      <c r="G205" s="73" t="str">
        <f>IF(csv!M195="","",csv!M195)</f>
        <v/>
      </c>
      <c r="H205" s="73" t="str">
        <f>IF(csv!N195="","",csv!N195)</f>
        <v>1</v>
      </c>
      <c r="I205" s="31" t="s">
        <v>0</v>
      </c>
      <c r="J205" s="31" t="str">
        <f>IF(csv!P195="","",csv!P195)</f>
        <v>Vihor</v>
      </c>
      <c r="K205" s="31" t="str">
        <f>IF(csv!Q195="","",csv!Q195)</f>
        <v>OK Vihor</v>
      </c>
      <c r="L205" s="31" t="s">
        <v>0</v>
      </c>
      <c r="M205" s="66" t="str">
        <f>IF(csv!R195="","",csv!R195)</f>
        <v>CRO</v>
      </c>
      <c r="N205" s="47" t="s">
        <v>0</v>
      </c>
      <c r="O205" s="243" t="str">
        <f t="shared" si="151"/>
        <v>ok</v>
      </c>
      <c r="P205" s="47"/>
      <c r="Q205" s="52" t="str">
        <f t="shared" si="152"/>
        <v>OPEN</v>
      </c>
      <c r="R205" s="73">
        <f>IF(Q205="","",IF(COUNTIF(Q$12:Q204,Q205)=0,R204+1,R204))</f>
        <v>12</v>
      </c>
      <c r="S205" s="73">
        <f t="shared" si="153"/>
        <v>291</v>
      </c>
      <c r="T205" s="73">
        <f t="shared" ref="T205:T268" si="184">IF(Q205="","",IFERROR(INDEX(natStaza_id,MATCH(Q205,natStaza_kategorija,0)),""))</f>
        <v>29</v>
      </c>
      <c r="U205" s="66" t="str">
        <f t="shared" ref="U205:U268" si="185">IF(T205="","",INDEX(natStaza_naziv,MATCH(T205,natStaza_id,0)))</f>
        <v>Otvorena</v>
      </c>
      <c r="V205" s="47" t="s">
        <v>0</v>
      </c>
      <c r="W205" s="222" t="str">
        <f t="shared" ref="W205:W268" si="186">IF(O205="","",INDEX(regKategorija_oznaka,MATCH(S205,regKategorija_id,0)))</f>
        <v>Otvorena</v>
      </c>
      <c r="X205" s="223">
        <f t="shared" ref="X205:X268" si="187">IF(W205="","",INDEX(natKategorija_stazaKatId,MATCH(S205,natKategorija_katRegId,0)))</f>
        <v>34</v>
      </c>
      <c r="Y205" s="47" t="s">
        <v>0</v>
      </c>
      <c r="Z205" s="52" t="str">
        <f t="shared" si="154"/>
        <v>CRO</v>
      </c>
      <c r="AA205" s="73">
        <f t="shared" ref="AA205:AA268" si="188">IF(Z205="","",IFERROR(INDEX(regDrzava_id,MATCH(Z205,regDrzava_oznaka,0)),"NEMA"))</f>
        <v>1</v>
      </c>
      <c r="AB205" s="31" t="str">
        <f t="shared" si="155"/>
        <v/>
      </c>
      <c r="AC205" s="66" t="str">
        <f>IF(AB205="","",MAX(AC$12:AC204)+1)</f>
        <v/>
      </c>
      <c r="AD205" s="47" t="s">
        <v>0</v>
      </c>
      <c r="AE205" s="125"/>
      <c r="AF205" s="47" t="s">
        <v>0</v>
      </c>
      <c r="AG205" s="19" t="str">
        <f t="shared" si="156"/>
        <v/>
      </c>
      <c r="AH205" s="47" t="s">
        <v>0</v>
      </c>
      <c r="AI205" s="143" t="str">
        <f t="shared" si="157"/>
        <v>CRO</v>
      </c>
      <c r="AJ205" s="47"/>
      <c r="AK205" s="52" t="str">
        <f t="shared" si="158"/>
        <v>Mirjana</v>
      </c>
      <c r="AL205" s="31" t="str">
        <f t="shared" si="159"/>
        <v>Jurić</v>
      </c>
      <c r="AM205" s="73">
        <f t="shared" si="160"/>
        <v>1891</v>
      </c>
      <c r="AN205" s="73" t="str">
        <f t="shared" si="161"/>
        <v/>
      </c>
      <c r="AO205" s="31" t="str">
        <f t="shared" ref="AO205:AO268" si="189">IF(O205="","",IF(OR(AN205="",AN205="NEMA"),AK205,INDEX(regNatjecatelj_ime,MATCH(AN205,regNatjecatelj_id,0))))</f>
        <v>Mirjana</v>
      </c>
      <c r="AP205" s="66" t="str">
        <f t="shared" ref="AP205:AP268" si="190">IF(O205="","",IF(OR(AN205="",AN205="NEMA"),AL205,INDEX(regNatjecatelj_prezime,MATCH(AN205,regNatjecatelj_id,0))))</f>
        <v>Jurić</v>
      </c>
      <c r="AQ205" s="47" t="s">
        <v>0</v>
      </c>
      <c r="AR205" s="82" t="str">
        <f t="shared" si="162"/>
        <v/>
      </c>
      <c r="AS205" s="47" t="s">
        <v>0</v>
      </c>
      <c r="AT205" s="19" t="str">
        <f t="shared" si="163"/>
        <v/>
      </c>
      <c r="AU205" s="47" t="s">
        <v>0</v>
      </c>
      <c r="AV205" s="103"/>
      <c r="AW205" s="105"/>
      <c r="AX205" s="47" t="s">
        <v>0</v>
      </c>
      <c r="AY205" s="256" t="str">
        <f t="shared" si="181"/>
        <v/>
      </c>
      <c r="AZ205" s="47" t="s">
        <v>0</v>
      </c>
      <c r="BA205" s="52" t="str">
        <f t="shared" ref="BA205:BA268" si="191">IF(AV205&amp;AW205="","",AR205)</f>
        <v/>
      </c>
      <c r="BB205" s="73" t="str">
        <f>IF(AV205&amp;AW205="","",MAX(BB$12:BB204)+1)</f>
        <v/>
      </c>
      <c r="BC205" s="268" t="str">
        <f t="shared" ref="BC205:BC268" si="192">IF(AV205&amp;AW205="","",IFERROR(INDEX(regNatjecatelj_id,MATCH(AV205&amp;" – "&amp;AW205,regNatjecatelj_imePrezime,0)),"NEMA"))</f>
        <v/>
      </c>
      <c r="BD205" s="53" t="str">
        <f>IF(AND(AM205="NEMA",AN205="NEMA",OR(AV205&amp;AW205="",BC205="NEMA")),MAX(BD$12:BD204)+1,"")</f>
        <v/>
      </c>
      <c r="BE205" s="47" t="s">
        <v>0</v>
      </c>
      <c r="BF205" s="52" t="str">
        <f t="shared" ref="BF205:BF268" si="193">IF(O205="","",IF(BC205="",AO205,IF(BC205="NEMA",AV205,INDEX(regNatjecatelj_ime,MATCH(BC205,regNatjecatelj_id,0)))))</f>
        <v>Mirjana</v>
      </c>
      <c r="BG205" s="31" t="str">
        <f t="shared" ref="BG205:BG268" si="194">IF(O205="","",IF(BC205="",AP205,IF(BC205="NEMA",AW205,INDEX(regNatjecatelj_prezime,MATCH(BC205,regNatjecatelj_id,0)))))</f>
        <v>Jurić</v>
      </c>
      <c r="BH205" s="73" t="str">
        <f t="shared" si="164"/>
        <v/>
      </c>
      <c r="BI205" s="53">
        <f t="shared" si="165"/>
        <v>1891</v>
      </c>
      <c r="BJ205" s="47" t="s">
        <v>0</v>
      </c>
      <c r="BK205" s="52" t="str">
        <f t="shared" ref="BK205:BK268" si="195">IF(O205="","",J205)</f>
        <v>Vihor</v>
      </c>
      <c r="BL205" s="31" t="str">
        <f t="shared" ref="BL205:BL268" si="196">IF(O205="","",K205)</f>
        <v>OK Vihor</v>
      </c>
      <c r="BM205" s="73">
        <f t="shared" ref="BM205:BM268" si="197">IF(BL205="","",IFERROR(INDEX(regKlub_id,MATCH(BL205,regKlub_naziv,0)),"NEMA"))</f>
        <v>12</v>
      </c>
      <c r="BN205" s="73" t="str">
        <f t="shared" ref="BN205:BN268" si="198">IF(BL205="","",IF(IFERROR(MATCH(BL205,regKlub_naziv,0),"")&lt;&gt;"","",IFERROR(MATCH(BL205,regKlub_alias_alias,0),"NEMA")))</f>
        <v/>
      </c>
      <c r="BO205" s="31" t="str" cm="1">
        <f t="array" ref="BO205">IF(BN205="",""&amp;BL205,IF(BN205="NEMA",BL205,INDEX(regKlub_naziv,MATCH(INDEX(regKlub_alias_klubId,BN205),regKlub_id,0))))</f>
        <v>OK Vihor</v>
      </c>
      <c r="BP205" s="31" t="str" cm="1">
        <f t="array" ref="BP205">IFERROR(""&amp;INDEX(regNatjecatelj_klub,DY205),"")</f>
        <v>OK Vihor</v>
      </c>
      <c r="BQ205" s="88" t="str">
        <f t="shared" si="166"/>
        <v/>
      </c>
      <c r="BR205" s="66" t="str">
        <f t="shared" si="167"/>
        <v>OK Vihor</v>
      </c>
      <c r="BS205" s="47" t="s">
        <v>0</v>
      </c>
      <c r="BT205" s="82" t="str">
        <f>IF(BN205&lt;&gt;"NEMA","",IF(IFERROR(MATCH(BL205,BL$12:BL204,0),0)&lt;&gt;0,"",BL205))</f>
        <v/>
      </c>
      <c r="BU205" s="47" t="s">
        <v>0</v>
      </c>
      <c r="BV205" s="125"/>
      <c r="BW205" s="47" t="s">
        <v>0</v>
      </c>
      <c r="BX205" s="58" t="str">
        <f t="shared" si="168"/>
        <v/>
      </c>
      <c r="BY205" s="31" t="str">
        <f t="shared" si="169"/>
        <v/>
      </c>
      <c r="BZ205" s="31" t="str">
        <f>IF(BY205="","",MAX(BZ$12:BZ204)+1)</f>
        <v/>
      </c>
      <c r="CA205" s="31" t="str">
        <f>IF(BY205="","",IF(AA205="","",IF(AA205="NEMA",AC205,AA205)))</f>
        <v/>
      </c>
      <c r="CB205" s="31" t="str">
        <f t="shared" si="170"/>
        <v/>
      </c>
      <c r="CC205" s="31" t="str">
        <f>IF(BV205="","",MAX(CC$12:CC204)+1)</f>
        <v/>
      </c>
      <c r="CD205" s="31" t="str">
        <f t="shared" si="171"/>
        <v/>
      </c>
      <c r="CE205" s="66" t="str">
        <f t="shared" si="172"/>
        <v/>
      </c>
      <c r="CF205" s="47" t="s">
        <v>0</v>
      </c>
      <c r="CG205" s="73" t="str">
        <f>IF(BN205="","",IF(BN205&lt;&gt;"NEMA","",IFERROR(INDEX(nat_klubAliasId,MATCH(BL205,nat_noviKluboviAliasi,0)),"")))</f>
        <v/>
      </c>
      <c r="CH205" s="47"/>
      <c r="CI205" s="19" t="str">
        <f t="shared" si="173"/>
        <v/>
      </c>
      <c r="CJ205" s="47" t="s">
        <v>0</v>
      </c>
      <c r="CK205" s="52" t="str">
        <f>IF(X205&lt;&gt;"NEMA","",IF(IFERROR(MATCH(W205,W$12:W204,0),0)&lt;&gt;0,"",W205))</f>
        <v/>
      </c>
      <c r="CL205" s="73" t="str">
        <f>IF(CK205="","",IFERROR(INDEX(regKlub_alias_id,MATCH(CK205,regKlub_alias_alias,0)),"NEMA"))</f>
        <v/>
      </c>
      <c r="CM205" s="31" t="str">
        <f>IF(OR(CL205="",CL205&lt;&gt;"NEMA"),"",MAX(CM$12:CM204)+1)</f>
        <v/>
      </c>
      <c r="CN205" s="66" t="str">
        <f>IF(OR(CL205="",CL205&lt;&gt;"NEMA"),"",INDEX(regKlub_id,MATCH(CK205,regKlub_naziv,0)))</f>
        <v/>
      </c>
      <c r="CO205" s="47" t="s">
        <v>0</v>
      </c>
      <c r="CP205" s="19" t="str">
        <f>IF(OR(CL205="",CL205&lt;&gt;"NEMA"),"","INSERT INTO klub_alias(id,alias,klub_id) VALUES ("&amp;CM205&amp;",'"&amp;CK205&amp;"',"&amp;CN205&amp;");")</f>
        <v/>
      </c>
      <c r="CQ205" s="47" t="s">
        <v>0</v>
      </c>
      <c r="CR205" s="143" t="str">
        <f>IF(BR205="","",IF(BV205="",IF(IFERROR(MATCH(BR205,nat_noviKluboviAliasi,0),0)&gt;0,INDEX(nat_kluboviAliasi,MATCH(BR205,nat_noviKluboviAliasi,0)),BR205),BV205))</f>
        <v>OK Vihor</v>
      </c>
      <c r="CS205" s="47" t="s">
        <v>0</v>
      </c>
      <c r="CT205" s="58" t="str">
        <f>IF(G205="","",G205)</f>
        <v/>
      </c>
      <c r="CU205" s="73" t="str">
        <f>IF(H205="","",H205)</f>
        <v>1</v>
      </c>
      <c r="CV205" s="229" t="str">
        <f>IF(CT205="",IF(OR(AL205="",CU205&lt;&gt;"0"),"","GREŠKA"),IF(AND(65535&gt;=VALUE(LEFT(CT205,SEARCH(":",CT205)-1))*60+VALUE(RIGHT(CT205,2)),OR(CU205="0",CU205="1",CU205="2",CU205="3",CU205="4")),"","GREŠKA"))</f>
        <v/>
      </c>
      <c r="CW205" s="230" t="str">
        <f t="shared" si="183"/>
        <v/>
      </c>
      <c r="CX205" s="163">
        <f t="shared" ref="CX205:CX268" si="199">IF(DX205="","",IF(AND(CU205="0",N(CW205)&gt;data_max_minuta*60),2,INDEX(regStatusRezultat_id,MATCH(VALUE(CU205),regStatusRezultat_oEvent,0))))</f>
        <v>6</v>
      </c>
      <c r="CY205" s="47" t="s">
        <v>0</v>
      </c>
      <c r="CZ205" s="222" t="str">
        <f>IF(CV205&lt;&gt;"GREŠKA","",AK205&amp;" "&amp;AL205&amp;" – Molim u OEventu provjeriti i ispraviti rezultat – vrijeme ("&amp;IF(CT205="","nije upisano",CT205)&amp;") i classifier ("&amp;CU205&amp;").")&amp;IF(OR(CV205&lt;&gt;"GREŠKA",CX205&lt;&gt;5),"
","")&amp;IF(CX205&lt;&gt;5,"",AK205&amp;" "&amp;AL205&amp;" – Molim u provjeriti je li natjecatelj zaista diskvalificiran. Ako je koje je obrazloženje, ako nije molim u OEventu ispraviti rezultat")</f>
        <v xml:space="preserve">
</v>
      </c>
      <c r="DA205" s="223" t="e">
        <f t="shared" si="174"/>
        <v>#N/A</v>
      </c>
      <c r="DB205" s="47" t="s">
        <v>0</v>
      </c>
      <c r="DC205" s="47"/>
      <c r="DD205" s="47"/>
      <c r="DE205" s="47"/>
      <c r="DF205" s="47" t="s">
        <v>0</v>
      </c>
      <c r="DG205" s="53" t="str">
        <f>IF(BD205="","",IF(DI205="O",1,""))</f>
        <v/>
      </c>
      <c r="DH205" t="s">
        <v>0</v>
      </c>
      <c r="DI205" s="128" t="str">
        <f>IF(Q205="","",LEFT(INDEX(regKategorija_oznaka,MATCH(S205,regKategorija_id,0)),1))</f>
        <v>O</v>
      </c>
      <c r="DJ205" t="s">
        <v>0</v>
      </c>
      <c r="DK205" s="52" t="str">
        <f>IF(BD205="","",IF(M205&lt;&gt;"CRO","","INSERT INTO osoba (id,reg_broj,oib,spol_id,dat_rodjenja) VALUES ("&amp;BD205&amp;",(SELECT max(os.reg_broj)+1 FROM osoba AS os),Null,'"&amp;DI205&amp;"',Null); INSERT INTO osoba_log (id,reg_broj,oib,spol_id,dat_rodjenja,dnevnik_id) SELECT id,reg_broj,oib,spol_id,dat_rodjenja,"&amp;data_dnevnik_id&amp;" FROM osoba WHERE id = "&amp;BD205&amp;";"))</f>
        <v/>
      </c>
      <c r="DL205" s="66" t="str">
        <f>IF(BD205="","","INSERT INTO imeprezime (id,osoba_id,rbr,ime,prezime,klub_id,identitet_id,sintaksa_id,info,aktivno,dnevnik_id) VALUES ("&amp;BD205&amp;","&amp;IF(DK205="","Null",BD205)&amp;",1,'"&amp;IF(AV205&lt;&gt;"",AV205,AK205)&amp;"','"&amp;IF(AW205&lt;&gt;"",AW205,AL205)&amp;"',(SELECT id FROM klub WHERE naziv = '"&amp;CR205&amp;"'),Null,1,'',1,"&amp;data_dnevnik_id&amp;");")</f>
        <v/>
      </c>
      <c r="DM205" t="s">
        <v>0</v>
      </c>
      <c r="DN205" s="19" t="str">
        <f t="shared" si="182"/>
        <v/>
      </c>
      <c r="DO205" s="47" t="s">
        <v>0</v>
      </c>
      <c r="DP205" s="19" t="str">
        <f>IF(BA205="","","INSERT INTO imeprezime_alias(id,alias,imeprezime_id) VALUES ("&amp;BB205&amp;",'"&amp;BA205&amp;"',"&amp;IF(BC205="NEMA",BD205,BC205)&amp;");")</f>
        <v/>
      </c>
      <c r="DQ205" s="47" t="s">
        <v>0</v>
      </c>
      <c r="DR205" s="52" t="str">
        <f>IF(AL205="","",DU205 &amp; IF(Q205="",""," – " &amp; Q205))</f>
        <v>Mirjana – Jurić – OK Vihor – OPEN</v>
      </c>
      <c r="DS205" s="53" t="str">
        <f t="shared" ref="DS205:DS268" si="200">IF(DR205="","",IFERROR(MATCH(DR205,regNatjecatelj_imePrezimeKlubKategorija,0),"NEMA"))</f>
        <v>NEMA</v>
      </c>
      <c r="DT205" s="47" t="s">
        <v>0</v>
      </c>
      <c r="DU205" s="52" t="str">
        <f>IF(AL205="","",DX205 &amp; IF(CR205="",""," – " &amp; CR205))</f>
        <v>Mirjana – Jurić – OK Vihor</v>
      </c>
      <c r="DV205" s="53">
        <f t="shared" ref="DV205:DV268" si="201">IF(DU205="","",IFERROR(MATCH(DU205,regNatjecatelj_imePrezimeKlub,0),"NEMA"))</f>
        <v>724</v>
      </c>
      <c r="DW205" s="47" t="s">
        <v>0</v>
      </c>
      <c r="DX205" s="52" t="str">
        <f>IF(BG205="","",BF205&amp;" – "&amp;BG205)</f>
        <v>Mirjana – Jurić</v>
      </c>
      <c r="DY205" s="53">
        <f t="shared" ref="DY205:DY268" si="202">IF(DX205="","",IFERROR(MATCH(DX205,regNatjecatelj_imePrezime,0),"NEMA"))</f>
        <v>724</v>
      </c>
      <c r="DZ205" s="47" t="s">
        <v>0</v>
      </c>
      <c r="EA205" s="58">
        <f t="shared" si="175"/>
        <v>724</v>
      </c>
      <c r="EB205" s="53" cm="1">
        <f t="array" ref="EB205">IF(EA205&lt;&gt;"",INDEX(regNatjecatelj_id,EA205,0),IF(BD205&lt;&gt;"",BD205,""))</f>
        <v>1891</v>
      </c>
      <c r="EC205" s="47" t="s">
        <v>0</v>
      </c>
      <c r="ED205" s="58" t="str">
        <f>IF(AL205="","",IF(BD205&lt;&gt;"","novo",IF(AN205="","imepre","imepre(ali)")))</f>
        <v>imepre</v>
      </c>
      <c r="EE205" s="73" t="str">
        <f>IF(AL205="","",IF(BL205="",IF(IFERROR(INDEX(regNatjecatelj_klub,MATCH(EB205,regNatjecatelj_id,0)),"NEMA")="","klu",""),IF(OR(AND(BN205&lt;&gt;"",BN205&lt;&gt;"NEMA"),CD205&lt;&gt;""),"klu(ali)",IF(AND(BP205&lt;&gt;"",BP205&lt;&gt;BO205),"(raz-klu)","klu"))))</f>
        <v>klu</v>
      </c>
      <c r="EF205" s="73" t="str">
        <f>IF(AL205="","","kat"&amp;IF(AND(W205&lt;&gt;Q205,Q205&lt;&gt;"Open"),"(ali)",""))</f>
        <v>kat</v>
      </c>
      <c r="EG205" s="73" t="str">
        <f t="shared" ref="EG205:EG268" si="203">IF(OR(CV205&lt;&gt;"",CX205=2),"ot","")</f>
        <v/>
      </c>
      <c r="EH205" s="66" t="str">
        <f>IF(AL205="","",ED205&amp;IF(ED205="novo","","-"&amp;EE205&amp;"-"&amp;EF205)&amp;IF(EG205="","","-"&amp;EG205))</f>
        <v>imepre-klu-kat</v>
      </c>
      <c r="EI205" s="47" t="s">
        <v>0</v>
      </c>
      <c r="EJ205" s="58">
        <f>IF(AL205="","",MAX(EJ$12:EJ204)+1)</f>
        <v>365</v>
      </c>
      <c r="EK205" s="73">
        <f>IF(AO205="","",X205)</f>
        <v>34</v>
      </c>
      <c r="EL205" s="73">
        <f t="shared" si="176"/>
        <v>1891</v>
      </c>
      <c r="EM205" s="73" t="str">
        <f t="shared" ref="EM205:EM268" si="204">IF(CW205="","",CW205)</f>
        <v/>
      </c>
      <c r="EN205" s="73">
        <f t="shared" ref="EN205:EN268" si="205">IF(CX205="","",IF(AND(EM205="",CX205=1),6,CX205))</f>
        <v>6</v>
      </c>
      <c r="EO205" s="73">
        <f t="shared" si="177"/>
        <v>0</v>
      </c>
      <c r="EP205" s="73">
        <f t="shared" si="178"/>
        <v>1</v>
      </c>
      <c r="EQ205" s="73" t="str">
        <f t="shared" ref="EQ205:EQ268" si="206">IF(CX205="","",CU205)</f>
        <v>1</v>
      </c>
      <c r="ER205" s="73" t="str">
        <f>IF(OR(AN205="",AN205="NEMA"),BB205,AN205)</f>
        <v/>
      </c>
      <c r="ES205" s="73" t="str">
        <f>IF(AND(BN205&lt;&gt;"",BN205&lt;&gt;"NEMA"),BN205,IF(CG205&lt;&gt;"",CG205,IF(AND(CL205&lt;&gt;"",CL205&lt;&gt;"NEMA"),CL205,IF(CM205&lt;&gt;"",CM205,""))))</f>
        <v/>
      </c>
      <c r="ET205" s="53" t="str">
        <f>IF(INDEX(natKategorija_alias_Id,MATCH(S205,natKategorija_katRegId,0))="","",INDEX(natKategorija_alias_Id,MATCH(S205,natKategorija_katRegId,0)))</f>
        <v/>
      </c>
      <c r="EU205" s="47" t="s">
        <v>0</v>
      </c>
      <c r="EV205" s="19" t="str">
        <f t="shared" si="179"/>
        <v>INSERT INTO rezultat(id,stazakategorija_id,imeprezime_id,vrijeme_sec,status_id,registracija,uparivanje_id,originalstatus_id,imeprezimealias_id,klubalias_id,kategorijaalias_id) VALUES (365,34,1891,Null,6,0,1,1,Null,Null,Null);</v>
      </c>
      <c r="EW205" s="47" t="s">
        <v>0</v>
      </c>
      <c r="EX205" s="19" t="str">
        <f t="shared" si="180"/>
        <v/>
      </c>
      <c r="EY205" s="47" t="s">
        <v>0</v>
      </c>
      <c r="EZ205" s="180" t="str">
        <f>AG205&amp;IF(CP205="","","
")&amp;CP205&amp;IF(CI205="","","
")&amp;CI205&amp;IF(DN205="","","
")&amp;DN205&amp;IF(DP205="","","
")&amp;DP205&amp;IF(EV205="","","
")&amp;EV205&amp;IF(EX205="","","
")&amp;EX205</f>
        <v xml:space="preserve">
INSERT INTO rezultat(id,stazakategorija_id,imeprezime_id,vrijeme_sec,status_id,registracija,uparivanje_id,originalstatus_id,imeprezimealias_id,klubalias_id,kategorijaalias_id) VALUES (365,34,1891,Null,6,0,1,1,Null,Null,Null);</v>
      </c>
      <c r="FA205" s="47" t="s">
        <v>0</v>
      </c>
    </row>
    <row r="206" spans="1:157" x14ac:dyDescent="0.25">
      <c r="A206" t="s">
        <v>0</v>
      </c>
      <c r="B206" s="52" t="str">
        <f>IF(csv!F196="","",csv!T196)</f>
        <v>OPEN</v>
      </c>
      <c r="C206" s="31" t="s">
        <v>0</v>
      </c>
      <c r="D206" s="31" t="str">
        <f>IF(csv!F196="","",csv!F196)</f>
        <v>Nika</v>
      </c>
      <c r="E206" s="31" t="str">
        <f>IF(csv!E196="","",csv!E196)</f>
        <v>Juričan</v>
      </c>
      <c r="F206" s="31" t="s">
        <v>0</v>
      </c>
      <c r="G206" s="73" t="str">
        <f>IF(csv!M196="","",csv!M196)</f>
        <v/>
      </c>
      <c r="H206" s="73" t="str">
        <f>IF(csv!N196="","",csv!N196)</f>
        <v>2</v>
      </c>
      <c r="I206" s="31" t="s">
        <v>0</v>
      </c>
      <c r="J206" s="31" t="str">
        <f>IF(csv!P196="","",csv!P196)</f>
        <v>OK Varaždin</v>
      </c>
      <c r="K206" s="31" t="str">
        <f>IF(csv!Q196="","",csv!Q196)</f>
        <v>OK Varaždin</v>
      </c>
      <c r="L206" s="31" t="s">
        <v>0</v>
      </c>
      <c r="M206" s="66" t="str">
        <f>IF(csv!R196="","",csv!R196)</f>
        <v>CRO</v>
      </c>
      <c r="N206" s="47" t="s">
        <v>0</v>
      </c>
      <c r="O206" s="243" t="str">
        <f t="shared" ref="O206:O269" si="207">IF(E206="","","ok")</f>
        <v>ok</v>
      </c>
      <c r="P206" s="47"/>
      <c r="Q206" s="52" t="str">
        <f t="shared" ref="Q206:Q269" si="208">IF(B206="","",B206)</f>
        <v>OPEN</v>
      </c>
      <c r="R206" s="73">
        <f>IF(Q206="","",IF(COUNTIF(Q$12:Q205,Q206)=0,R205+1,R205))</f>
        <v>12</v>
      </c>
      <c r="S206" s="73">
        <f t="shared" ref="S206:S269" si="209">IF(Q206="","",IFERROR(INDEX(regKategorija_id,MATCH(Q206,regKategorija_oznaka,0)),IFERROR(INDEX(regKategorija_alias_id,MATCH(Q206,regKategorija_alias_oznaka,0)),INDEX(natKategorija_katRegId,MATCH(Q206,natKategorija_kategorija,0)))))</f>
        <v>291</v>
      </c>
      <c r="T206" s="73">
        <f t="shared" si="184"/>
        <v>29</v>
      </c>
      <c r="U206" s="66" t="str">
        <f t="shared" si="185"/>
        <v>Otvorena</v>
      </c>
      <c r="V206" s="47" t="s">
        <v>0</v>
      </c>
      <c r="W206" s="222" t="str">
        <f t="shared" si="186"/>
        <v>Otvorena</v>
      </c>
      <c r="X206" s="223">
        <f t="shared" si="187"/>
        <v>34</v>
      </c>
      <c r="Y206" s="47" t="s">
        <v>0</v>
      </c>
      <c r="Z206" s="52" t="str">
        <f t="shared" ref="Z206:Z269" si="210">IF(O206="","",M206)</f>
        <v>CRO</v>
      </c>
      <c r="AA206" s="73">
        <f t="shared" si="188"/>
        <v>1</v>
      </c>
      <c r="AB206" s="31" t="str">
        <f t="shared" ref="AB206:AB269" si="211">IF(OR(AA206="",AA206&lt;&gt;"NEMA"),"",Z206)</f>
        <v/>
      </c>
      <c r="AC206" s="66" t="str">
        <f>IF(AB206="","",MAX(AC$12:AC205)+1)</f>
        <v/>
      </c>
      <c r="AD206" s="47" t="s">
        <v>0</v>
      </c>
      <c r="AE206" s="125"/>
      <c r="AF206" s="47" t="s">
        <v>0</v>
      </c>
      <c r="AG206" s="19" t="str">
        <f t="shared" ref="AG206:AG269" si="212">IF(AB206="","","INSERT INTO drzava(id,naziv,oznaka) VALUES ("&amp;AC206&amp;",'"&amp;AE206&amp;"','"&amp;UPPER(LEFT(AB206,1))&amp;LOWER(RIGHT(AB206,2))&amp;"');")</f>
        <v/>
      </c>
      <c r="AH206" s="47" t="s">
        <v>0</v>
      </c>
      <c r="AI206" s="143" t="str">
        <f t="shared" ref="AI206:AI269" si="213">IF(AA206="","",IF(AA206="NEMA",AB206,Z206))</f>
        <v>CRO</v>
      </c>
      <c r="AJ206" s="47"/>
      <c r="AK206" s="52" t="str">
        <f t="shared" ref="AK206:AK269" si="214">IF(O206="","",D206)</f>
        <v>Nika</v>
      </c>
      <c r="AL206" s="31" t="str">
        <f t="shared" ref="AL206:AL269" si="215">IF(O206="","",E206)</f>
        <v>Juričan</v>
      </c>
      <c r="AM206" s="73">
        <f t="shared" ref="AM206:AM269" si="216">IF(AL206="","",IFERROR(INDEX(regNatjecatelj_id,MATCH(AK206&amp;" – "&amp;AL206,regNatjecatelj_imePrezime,0)),"NEMA"))</f>
        <v>1401</v>
      </c>
      <c r="AN206" s="73" t="str">
        <f t="shared" ref="AN206:AN269" si="217">IF(AM206&lt;&gt;"NEMA","",IFERROR(INDEX(regNatjecatelj_alias_natjecateljId,MATCH(AK206&amp;" "&amp;AL206,regNatjecatelj_alias_alias,0)),"NEMA"))</f>
        <v/>
      </c>
      <c r="AO206" s="31" t="str">
        <f t="shared" si="189"/>
        <v>Nika</v>
      </c>
      <c r="AP206" s="66" t="str">
        <f t="shared" si="190"/>
        <v>Juričan</v>
      </c>
      <c r="AQ206" s="47" t="s">
        <v>0</v>
      </c>
      <c r="AR206" s="82" t="str">
        <f t="shared" ref="AR206:AR269" si="218">IF(OR(O206="",AN206&lt;&gt;"NEMA"),"",AK206&amp;" "&amp;AL206)</f>
        <v/>
      </c>
      <c r="AS206" s="47" t="s">
        <v>0</v>
      </c>
      <c r="AT206" s="19" t="str">
        <f t="shared" ref="AT206:AT269" si="219">IF(OR(AM206&lt;&gt;"NEMA",AN206&lt;&gt;"NEMA"),"","SELECT '"&amp;AO206&amp;" – "&amp;AP206&amp;"', ime, prezime FROM imeprezime WHERE ime LIKE '%"&amp;MID(AO206,2,LEN(AO206)-2)&amp;"%' Or prezime LIKE '%"&amp;MID(AP206,2,LEN(AP206)-2)&amp;"%' Or ime LIKE '%"&amp;MID(AP206,2,LEN(AP206)-2)&amp;"%' Or prezime LIKE '%"&amp;MID(AO206,2,LEN(AO206)-2)&amp;"%' ORDER BY ime, prezime;")</f>
        <v/>
      </c>
      <c r="AU206" s="47" t="s">
        <v>0</v>
      </c>
      <c r="AV206" s="103"/>
      <c r="AW206" s="105"/>
      <c r="AX206" s="47" t="s">
        <v>0</v>
      </c>
      <c r="AY206" s="256" t="str">
        <f t="shared" si="181"/>
        <v/>
      </c>
      <c r="AZ206" s="47" t="s">
        <v>0</v>
      </c>
      <c r="BA206" s="52" t="str">
        <f t="shared" si="191"/>
        <v/>
      </c>
      <c r="BB206" s="73" t="str">
        <f>IF(AV206&amp;AW206="","",MAX(BB$12:BB205)+1)</f>
        <v/>
      </c>
      <c r="BC206" s="268" t="str">
        <f t="shared" si="192"/>
        <v/>
      </c>
      <c r="BD206" s="53" t="str">
        <f>IF(AND(AM206="NEMA",AN206="NEMA",OR(AV206&amp;AW206="",BC206="NEMA")),MAX(BD$12:BD205)+1,"")</f>
        <v/>
      </c>
      <c r="BE206" s="47" t="s">
        <v>0</v>
      </c>
      <c r="BF206" s="52" t="str">
        <f t="shared" si="193"/>
        <v>Nika</v>
      </c>
      <c r="BG206" s="31" t="str">
        <f t="shared" si="194"/>
        <v>Juričan</v>
      </c>
      <c r="BH206" s="73" t="str">
        <f t="shared" ref="BH206:BH269" si="220">IF(AND(AN206&lt;&gt;"",AN206&lt;&gt;"NEMA"),AN206,IF(BB206&lt;&gt;"",BB206,""))</f>
        <v/>
      </c>
      <c r="BI206" s="53">
        <f t="shared" ref="BI206:BI269" si="221">IF(AND(AM206&lt;&gt;"",AM206&lt;&gt;"NEMA"),AM206,IF(BC206&lt;&gt;"",BC206,IF(BD206&lt;&gt;"",BD206,"")))</f>
        <v>1401</v>
      </c>
      <c r="BJ206" s="47" t="s">
        <v>0</v>
      </c>
      <c r="BK206" s="52" t="str">
        <f t="shared" si="195"/>
        <v>OK Varaždin</v>
      </c>
      <c r="BL206" s="31" t="str">
        <f t="shared" si="196"/>
        <v>OK Varaždin</v>
      </c>
      <c r="BM206" s="73">
        <f t="shared" si="197"/>
        <v>11</v>
      </c>
      <c r="BN206" s="73" t="str">
        <f t="shared" si="198"/>
        <v/>
      </c>
      <c r="BO206" s="31" t="str" cm="1">
        <f t="array" ref="BO206">IF(BN206="",""&amp;BL206,IF(BN206="NEMA",BL206,INDEX(regKlub_naziv,MATCH(INDEX(regKlub_alias_klubId,BN206),regKlub_id,0))))</f>
        <v>OK Varaždin</v>
      </c>
      <c r="BP206" s="31" t="str" cm="1">
        <f t="array" ref="BP206">IFERROR(""&amp;INDEX(regNatjecatelj_klub,DY206),"")</f>
        <v>OK Varaždin</v>
      </c>
      <c r="BQ206" s="88" t="str">
        <f t="shared" ref="BQ206:BQ269" si="222">IF(BO206=BP206,"",IF(BP206="","",1))</f>
        <v/>
      </c>
      <c r="BR206" s="66" t="str">
        <f t="shared" ref="BR206:BR269" si="223">IF(AND(BP206&lt;&gt;"",BP206&lt;&gt;BO206),BP206,""&amp;BO206)</f>
        <v>OK Varaždin</v>
      </c>
      <c r="BS206" s="47" t="s">
        <v>0</v>
      </c>
      <c r="BT206" s="82" t="str">
        <f>IF(BN206&lt;&gt;"NEMA","",IF(IFERROR(MATCH(BL206,BL$12:BL205,0),0)&lt;&gt;0,"",BL206))</f>
        <v/>
      </c>
      <c r="BU206" s="47" t="s">
        <v>0</v>
      </c>
      <c r="BV206" s="125"/>
      <c r="BW206" s="47" t="s">
        <v>0</v>
      </c>
      <c r="BX206" s="58" t="str">
        <f t="shared" ref="BX206:BX269" si="224">IF(BV206="","",IFERROR(INDEX(regKlub_id,MATCH(BV206,regKlub_naziv,0)),"NEMA"))</f>
        <v/>
      </c>
      <c r="BY206" s="31" t="str">
        <f t="shared" ref="BY206:BY269" si="225">IF(BT206="","",IF(BV206="",BT206,""))</f>
        <v/>
      </c>
      <c r="BZ206" s="31" t="str">
        <f>IF(BY206="","",MAX(BZ$12:BZ205)+1)</f>
        <v/>
      </c>
      <c r="CA206" s="31" t="str">
        <f>IF(BY206="","",IF(AA206="","",IF(AA206="NEMA",AC206,AA206)))</f>
        <v/>
      </c>
      <c r="CB206" s="31" t="str">
        <f t="shared" ref="CB206:CB269" si="226">IF(BY206="","","INSERT INTO klub(id,naziv,drzava_id,aktivan) VALUES ("&amp;BZ206&amp;",'"&amp;BY206&amp;"',"&amp;CA206&amp;",1);")</f>
        <v/>
      </c>
      <c r="CC206" s="31" t="str">
        <f>IF(BV206="","",MAX(CC$12:CC205)+1)</f>
        <v/>
      </c>
      <c r="CD206" s="31" t="str">
        <f t="shared" ref="CD206:CD269" si="227">IF(BV206="","",IF(BZ206="",INDEX(regKlub_id,MATCH(BV206,regKlub_naziv,0)),BZ206))</f>
        <v/>
      </c>
      <c r="CE206" s="66" t="str">
        <f t="shared" ref="CE206:CE269" si="228">IF(BV206="","","INSERT INTO klub_alias(id,alias,klub_id) VALUES ("&amp;CC206&amp;",'"&amp;BT206&amp;"',"&amp;CD206&amp;");")</f>
        <v/>
      </c>
      <c r="CF206" s="47" t="s">
        <v>0</v>
      </c>
      <c r="CG206" s="73" t="str">
        <f>IF(BN206="","",IF(BN206&lt;&gt;"NEMA","",IFERROR(INDEX(nat_klubAliasId,MATCH(BL206,nat_noviKluboviAliasi,0)),"")))</f>
        <v/>
      </c>
      <c r="CH206" s="47"/>
      <c r="CI206" s="19" t="str">
        <f t="shared" ref="CI206:CI269" si="229">""&amp;CB206&amp;IF(AND(CB206&lt;&gt;"",CE206&lt;&gt;""),"
","")&amp;CE206</f>
        <v/>
      </c>
      <c r="CJ206" s="47" t="s">
        <v>0</v>
      </c>
      <c r="CK206" s="52" t="str">
        <f>IF(X206&lt;&gt;"NEMA","",IF(IFERROR(MATCH(W206,W$12:W205,0),0)&lt;&gt;0,"",W206))</f>
        <v/>
      </c>
      <c r="CL206" s="73" t="str">
        <f>IF(CK206="","",IFERROR(INDEX(regKlub_alias_id,MATCH(CK206,regKlub_alias_alias,0)),"NEMA"))</f>
        <v/>
      </c>
      <c r="CM206" s="31" t="str">
        <f>IF(OR(CL206="",CL206&lt;&gt;"NEMA"),"",MAX(CM$12:CM205)+1)</f>
        <v/>
      </c>
      <c r="CN206" s="66" t="str">
        <f>IF(OR(CL206="",CL206&lt;&gt;"NEMA"),"",INDEX(regKlub_id,MATCH(CK206,regKlub_naziv,0)))</f>
        <v/>
      </c>
      <c r="CO206" s="47" t="s">
        <v>0</v>
      </c>
      <c r="CP206" s="19" t="str">
        <f>IF(OR(CL206="",CL206&lt;&gt;"NEMA"),"","INSERT INTO klub_alias(id,alias,klub_id) VALUES ("&amp;CM206&amp;",'"&amp;CK206&amp;"',"&amp;CN206&amp;");")</f>
        <v/>
      </c>
      <c r="CQ206" s="47" t="s">
        <v>0</v>
      </c>
      <c r="CR206" s="143" t="str">
        <f>IF(BR206="","",IF(BV206="",IF(IFERROR(MATCH(BR206,nat_noviKluboviAliasi,0),0)&gt;0,INDEX(nat_kluboviAliasi,MATCH(BR206,nat_noviKluboviAliasi,0)),BR206),BV206))</f>
        <v>OK Varaždin</v>
      </c>
      <c r="CS206" s="47" t="s">
        <v>0</v>
      </c>
      <c r="CT206" s="58" t="str">
        <f>IF(G206="","",G206)</f>
        <v/>
      </c>
      <c r="CU206" s="73" t="str">
        <f>IF(H206="","",H206)</f>
        <v>2</v>
      </c>
      <c r="CV206" s="229" t="str">
        <f>IF(CT206="",IF(OR(AL206="",CU206&lt;&gt;"0"),"","GREŠKA"),IF(AND(65535&gt;=VALUE(LEFT(CT206,SEARCH(":",CT206)-1))*60+VALUE(RIGHT(CT206,2)),OR(CU206="0",CU206="1",CU206="2",CU206="3",CU206="4")),"","GREŠKA"))</f>
        <v/>
      </c>
      <c r="CW206" s="230" t="str">
        <f t="shared" si="183"/>
        <v/>
      </c>
      <c r="CX206" s="163">
        <f t="shared" si="199"/>
        <v>4</v>
      </c>
      <c r="CY206" s="47" t="s">
        <v>0</v>
      </c>
      <c r="CZ206" s="222" t="str">
        <f>IF(CV206&lt;&gt;"GREŠKA","",AK206&amp;" "&amp;AL206&amp;" – Molim u OEventu provjeriti i ispraviti rezultat – vrijeme ("&amp;IF(CT206="","nije upisano",CT206)&amp;") i classifier ("&amp;CU206&amp;").")&amp;IF(OR(CV206&lt;&gt;"GREŠKA",CX206&lt;&gt;5),"
","")&amp;IF(CX206&lt;&gt;5,"",AK206&amp;" "&amp;AL206&amp;" – Molim u provjeriti je li natjecatelj zaista diskvalificiran. Ako je koje je obrazloženje, ako nije molim u OEventu ispraviti rezultat")</f>
        <v xml:space="preserve">
</v>
      </c>
      <c r="DA206" s="223">
        <f t="shared" ref="DA206:DA269" si="230">IF(EA206="","",IF(AND(CX206="0",N(CZ206)&gt;data_max_minuta*60),2,INDEX(regStatusRezultat_id,MATCH(VALUE(CX206),regStatusRezultat_oEvent,0))))</f>
        <v>5</v>
      </c>
      <c r="DB206" s="47" t="s">
        <v>0</v>
      </c>
      <c r="DC206" s="47"/>
      <c r="DD206" s="47"/>
      <c r="DE206" s="47"/>
      <c r="DF206" s="47" t="s">
        <v>0</v>
      </c>
      <c r="DG206" s="53" t="str">
        <f>IF(BD206="","",IF(DI206="O",1,""))</f>
        <v/>
      </c>
      <c r="DH206" t="s">
        <v>0</v>
      </c>
      <c r="DI206" s="128" t="str">
        <f>IF(Q206="","",LEFT(INDEX(regKategorija_oznaka,MATCH(S206,regKategorija_id,0)),1))</f>
        <v>O</v>
      </c>
      <c r="DJ206" t="s">
        <v>0</v>
      </c>
      <c r="DK206" s="52" t="str">
        <f>IF(BD206="","",IF(M206&lt;&gt;"CRO","","INSERT INTO osoba (id,reg_broj,oib,spol_id,dat_rodjenja) VALUES ("&amp;BD206&amp;",(SELECT max(os.reg_broj)+1 FROM osoba AS os),Null,'"&amp;DI206&amp;"',Null); INSERT INTO osoba_log (id,reg_broj,oib,spol_id,dat_rodjenja,dnevnik_id) SELECT id,reg_broj,oib,spol_id,dat_rodjenja,"&amp;data_dnevnik_id&amp;" FROM osoba WHERE id = "&amp;BD206&amp;";"))</f>
        <v/>
      </c>
      <c r="DL206" s="66" t="str">
        <f>IF(BD206="","","INSERT INTO imeprezime (id,osoba_id,rbr,ime,prezime,klub_id,identitet_id,sintaksa_id,info,aktivno,dnevnik_id) VALUES ("&amp;BD206&amp;","&amp;IF(DK206="","Null",BD206)&amp;",1,'"&amp;IF(AV206&lt;&gt;"",AV206,AK206)&amp;"','"&amp;IF(AW206&lt;&gt;"",AW206,AL206)&amp;"',(SELECT id FROM klub WHERE naziv = '"&amp;CR206&amp;"'),Null,1,'',1,"&amp;data_dnevnik_id&amp;");")</f>
        <v/>
      </c>
      <c r="DM206" t="s">
        <v>0</v>
      </c>
      <c r="DN206" s="19" t="str">
        <f t="shared" si="182"/>
        <v/>
      </c>
      <c r="DO206" s="47" t="s">
        <v>0</v>
      </c>
      <c r="DP206" s="19" t="str">
        <f>IF(BA206="","","INSERT INTO imeprezime_alias(id,alias,imeprezime_id) VALUES ("&amp;BB206&amp;",'"&amp;BA206&amp;"',"&amp;IF(BC206="NEMA",BD206,BC206)&amp;");")</f>
        <v/>
      </c>
      <c r="DQ206" s="47" t="s">
        <v>0</v>
      </c>
      <c r="DR206" s="52" t="str">
        <f>IF(AL206="","",DU206 &amp; IF(Q206="",""," – " &amp; Q206))</f>
        <v>Nika – Juričan – OK Varaždin – OPEN</v>
      </c>
      <c r="DS206" s="53" t="str">
        <f t="shared" si="200"/>
        <v>NEMA</v>
      </c>
      <c r="DT206" s="47" t="s">
        <v>0</v>
      </c>
      <c r="DU206" s="52" t="str">
        <f>IF(AL206="","",DX206 &amp; IF(CR206="",""," – " &amp; CR206))</f>
        <v>Nika – Juričan – OK Varaždin</v>
      </c>
      <c r="DV206" s="53">
        <f t="shared" si="201"/>
        <v>541</v>
      </c>
      <c r="DW206" s="47" t="s">
        <v>0</v>
      </c>
      <c r="DX206" s="52" t="str">
        <f>IF(BG206="","",BF206&amp;" – "&amp;BG206)</f>
        <v>Nika – Juričan</v>
      </c>
      <c r="DY206" s="53">
        <f t="shared" si="202"/>
        <v>541</v>
      </c>
      <c r="DZ206" s="47" t="s">
        <v>0</v>
      </c>
      <c r="EA206" s="58">
        <f t="shared" ref="EA206:EA269" si="231">IF(DS206="","",IF(DS206&lt;&gt;"NEMA",DS206,IF(DV206&lt;&gt;"NEMA",DV206,IF(DY206&lt;&gt;"NEMA",DY206,""))))</f>
        <v>541</v>
      </c>
      <c r="EB206" s="53" cm="1">
        <f t="array" ref="EB206">IF(EA206&lt;&gt;"",INDEX(regNatjecatelj_id,EA206,0),IF(BD206&lt;&gt;"",BD206,""))</f>
        <v>1401</v>
      </c>
      <c r="EC206" s="47" t="s">
        <v>0</v>
      </c>
      <c r="ED206" s="58" t="str">
        <f>IF(AL206="","",IF(BD206&lt;&gt;"","novo",IF(AN206="","imepre","imepre(ali)")))</f>
        <v>imepre</v>
      </c>
      <c r="EE206" s="73" t="str">
        <f>IF(AL206="","",IF(BL206="",IF(IFERROR(INDEX(regNatjecatelj_klub,MATCH(EB206,regNatjecatelj_id,0)),"NEMA")="","klu",""),IF(OR(AND(BN206&lt;&gt;"",BN206&lt;&gt;"NEMA"),CD206&lt;&gt;""),"klu(ali)",IF(AND(BP206&lt;&gt;"",BP206&lt;&gt;BO206),"(raz-klu)","klu"))))</f>
        <v>klu</v>
      </c>
      <c r="EF206" s="73" t="str">
        <f>IF(AL206="","","kat"&amp;IF(AND(W206&lt;&gt;Q206,Q206&lt;&gt;"Open"),"(ali)",""))</f>
        <v>kat</v>
      </c>
      <c r="EG206" s="73" t="str">
        <f t="shared" si="203"/>
        <v/>
      </c>
      <c r="EH206" s="66" t="str">
        <f>IF(AL206="","",ED206&amp;IF(ED206="novo","","-"&amp;EE206&amp;"-"&amp;EF206)&amp;IF(EG206="","","-"&amp;EG206))</f>
        <v>imepre-klu-kat</v>
      </c>
      <c r="EI206" s="47" t="s">
        <v>0</v>
      </c>
      <c r="EJ206" s="58">
        <f>IF(AL206="","",MAX(EJ$12:EJ205)+1)</f>
        <v>366</v>
      </c>
      <c r="EK206" s="73">
        <f>IF(AO206="","",X206)</f>
        <v>34</v>
      </c>
      <c r="EL206" s="73">
        <f t="shared" ref="EL206:EL269" si="232">IF(EB206="","",EB206)</f>
        <v>1401</v>
      </c>
      <c r="EM206" s="73" t="str">
        <f t="shared" si="204"/>
        <v/>
      </c>
      <c r="EN206" s="73">
        <f t="shared" si="205"/>
        <v>4</v>
      </c>
      <c r="EO206" s="73">
        <f t="shared" ref="EO206:EO269" si="233">IF(DX206="","",IF(data_trka_je_rangirana=0,0,IF(OR(DS206="",DS206="NEMA"),0,1)))</f>
        <v>0</v>
      </c>
      <c r="EP206" s="73">
        <f t="shared" ref="EP206:EP269" si="234">IF(EJ206="","",INDEX(regUparivanje_id,MATCH(EH206,regUparivanje_oznaka,0)))</f>
        <v>1</v>
      </c>
      <c r="EQ206" s="73" t="str">
        <f t="shared" si="206"/>
        <v>2</v>
      </c>
      <c r="ER206" s="73" t="str">
        <f>IF(OR(AN206="",AN206="NEMA"),BB206,AN206)</f>
        <v/>
      </c>
      <c r="ES206" s="73" t="str">
        <f>IF(AND(BN206&lt;&gt;"",BN206&lt;&gt;"NEMA"),BN206,IF(CG206&lt;&gt;"",CG206,IF(AND(CL206&lt;&gt;"",CL206&lt;&gt;"NEMA"),CL206,IF(CM206&lt;&gt;"",CM206,""))))</f>
        <v/>
      </c>
      <c r="ET206" s="53" t="str">
        <f>IF(INDEX(natKategorija_alias_Id,MATCH(S206,natKategorija_katRegId,0))="","",INDEX(natKategorija_alias_Id,MATCH(S206,natKategorija_katRegId,0)))</f>
        <v/>
      </c>
      <c r="EU206" s="47" t="s">
        <v>0</v>
      </c>
      <c r="EV206" s="19" t="str">
        <f t="shared" ref="EV206:EV269" si="235">IF(EK206="","","INSERT INTO rezultat(id,stazakategorija_id,imeprezime_id,vrijeme_sec,status_id,registracija,uparivanje_id,originalstatus_id,imeprezimealias_id,klubalias_id,kategorijaalias_id) VALUES ("&amp;EJ206&amp;","&amp;EK206&amp;","&amp;EL206&amp;","&amp;IF(EM206="","Null",EM206)&amp;","&amp;EN206&amp;","&amp;EO206&amp;","&amp;EP206&amp;","&amp;EQ206&amp;","&amp;IF(ER206="","Null",ER206)&amp;","&amp;IF(ES206="","Null",ES206)&amp;","&amp;IF(ET206="","Null",ET206)&amp;");")</f>
        <v>INSERT INTO rezultat(id,stazakategorija_id,imeprezime_id,vrijeme_sec,status_id,registracija,uparivanje_id,originalstatus_id,imeprezimealias_id,klubalias_id,kategorijaalias_id) VALUES (366,34,1401,Null,4,0,1,2,Null,Null,Null);</v>
      </c>
      <c r="EW206" s="47" t="s">
        <v>0</v>
      </c>
      <c r="EX206" s="19" t="str">
        <f t="shared" ref="EX206:EX269" si="236">IF(EK206="","",IF(EO206=1,"UPDATE
	registar
SET
	potvrda = 1
WHERE
	imeprezime_id="&amp;EL206&amp;"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"&amp;EK206&amp;")
                         		AND
                         	kategorija_liga.liga_id = "&amp;data_liga_id&amp;")
		AND
	datum_od &lt;= '"&amp;data_datum_natjecanja&amp;"'
    	AND
    datum_do is Null;",""))</f>
        <v/>
      </c>
      <c r="EY206" s="47" t="s">
        <v>0</v>
      </c>
      <c r="EZ206" s="180" t="str">
        <f>AG206&amp;IF(CP206="","","
")&amp;CP206&amp;IF(CI206="","","
")&amp;CI206&amp;IF(DN206="","","
")&amp;DN206&amp;IF(DP206="","","
")&amp;DP206&amp;IF(EV206="","","
")&amp;EV206&amp;IF(EX206="","","
")&amp;EX206</f>
        <v xml:space="preserve">
INSERT INTO rezultat(id,stazakategorija_id,imeprezime_id,vrijeme_sec,status_id,registracija,uparivanje_id,originalstatus_id,imeprezimealias_id,klubalias_id,kategorijaalias_id) VALUES (366,34,1401,Null,4,0,1,2,Null,Null,Null);</v>
      </c>
      <c r="FA206" s="47" t="s">
        <v>0</v>
      </c>
    </row>
    <row r="207" spans="1:157" x14ac:dyDescent="0.25">
      <c r="A207" t="s">
        <v>0</v>
      </c>
      <c r="B207" s="52" t="str">
        <f>IF(csv!F197="","",csv!T197)</f>
        <v>OPEN</v>
      </c>
      <c r="C207" s="31" t="s">
        <v>0</v>
      </c>
      <c r="D207" s="31" t="str">
        <f>IF(csv!F197="","",csv!F197)</f>
        <v>Jure</v>
      </c>
      <c r="E207" s="31" t="str">
        <f>IF(csv!E197="","",csv!E197)</f>
        <v>Janković</v>
      </c>
      <c r="F207" s="31" t="s">
        <v>0</v>
      </c>
      <c r="G207" s="73" t="str">
        <f>IF(csv!M197="","",csv!M197)</f>
        <v/>
      </c>
      <c r="H207" s="73" t="str">
        <f>IF(csv!N197="","",csv!N197)</f>
        <v>1</v>
      </c>
      <c r="I207" s="31" t="s">
        <v>0</v>
      </c>
      <c r="J207" s="31" t="str">
        <f>IF(csv!P197="","",csv!P197)</f>
        <v/>
      </c>
      <c r="K207" s="31" t="str">
        <f>IF(csv!Q197="","",csv!Q197)</f>
        <v/>
      </c>
      <c r="L207" s="31" t="s">
        <v>0</v>
      </c>
      <c r="M207" s="66" t="str">
        <f>IF(csv!R197="","",csv!R197)</f>
        <v/>
      </c>
      <c r="N207" s="47" t="s">
        <v>0</v>
      </c>
      <c r="O207" s="243" t="str">
        <f t="shared" si="207"/>
        <v>ok</v>
      </c>
      <c r="P207" s="47"/>
      <c r="Q207" s="52" t="str">
        <f t="shared" si="208"/>
        <v>OPEN</v>
      </c>
      <c r="R207" s="73">
        <f>IF(Q207="","",IF(COUNTIF(Q$12:Q206,Q207)=0,R206+1,R206))</f>
        <v>12</v>
      </c>
      <c r="S207" s="73">
        <f t="shared" si="209"/>
        <v>291</v>
      </c>
      <c r="T207" s="73">
        <f t="shared" si="184"/>
        <v>29</v>
      </c>
      <c r="U207" s="66" t="str">
        <f t="shared" si="185"/>
        <v>Otvorena</v>
      </c>
      <c r="V207" s="47" t="s">
        <v>0</v>
      </c>
      <c r="W207" s="222" t="str">
        <f t="shared" si="186"/>
        <v>Otvorena</v>
      </c>
      <c r="X207" s="223">
        <f t="shared" si="187"/>
        <v>34</v>
      </c>
      <c r="Y207" s="47" t="s">
        <v>0</v>
      </c>
      <c r="Z207" s="52" t="str">
        <f t="shared" si="210"/>
        <v/>
      </c>
      <c r="AA207" s="73" t="str">
        <f t="shared" si="188"/>
        <v/>
      </c>
      <c r="AB207" s="31" t="str">
        <f t="shared" si="211"/>
        <v/>
      </c>
      <c r="AC207" s="66" t="str">
        <f>IF(AB207="","",MAX(AC$12:AC206)+1)</f>
        <v/>
      </c>
      <c r="AD207" s="47" t="s">
        <v>0</v>
      </c>
      <c r="AE207" s="125"/>
      <c r="AF207" s="47" t="s">
        <v>0</v>
      </c>
      <c r="AG207" s="19" t="str">
        <f t="shared" si="212"/>
        <v/>
      </c>
      <c r="AH207" s="47" t="s">
        <v>0</v>
      </c>
      <c r="AI207" s="143" t="str">
        <f t="shared" si="213"/>
        <v/>
      </c>
      <c r="AJ207" s="47"/>
      <c r="AK207" s="52" t="str">
        <f t="shared" si="214"/>
        <v>Jure</v>
      </c>
      <c r="AL207" s="31" t="str">
        <f t="shared" si="215"/>
        <v>Janković</v>
      </c>
      <c r="AM207" s="73" t="str">
        <f t="shared" si="216"/>
        <v>NEMA</v>
      </c>
      <c r="AN207" s="73" t="str">
        <f t="shared" si="217"/>
        <v>NEMA</v>
      </c>
      <c r="AO207" s="31" t="str">
        <f t="shared" si="189"/>
        <v>Jure</v>
      </c>
      <c r="AP207" s="66" t="str">
        <f t="shared" si="190"/>
        <v>Janković</v>
      </c>
      <c r="AQ207" s="47" t="s">
        <v>0</v>
      </c>
      <c r="AR207" s="82" t="str">
        <f t="shared" si="218"/>
        <v>Jure Janković</v>
      </c>
      <c r="AS207" s="47" t="s">
        <v>0</v>
      </c>
      <c r="AT207" s="19" t="str">
        <f t="shared" si="219"/>
        <v>SELECT 'Jure – Janković', ime, prezime FROM imeprezime WHERE ime LIKE '%ur%' Or prezime LIKE '%ankovi%' Or ime LIKE '%ankovi%' Or prezime LIKE '%ur%' ORDER BY ime, prezime;</v>
      </c>
      <c r="AU207" s="47" t="s">
        <v>0</v>
      </c>
      <c r="AV207" s="103"/>
      <c r="AW207" s="105"/>
      <c r="AX207" s="47" t="s">
        <v>0</v>
      </c>
      <c r="AY207" s="256" t="str">
        <f t="shared" si="181"/>
        <v/>
      </c>
      <c r="AZ207" s="47" t="s">
        <v>0</v>
      </c>
      <c r="BA207" s="52" t="str">
        <f t="shared" si="191"/>
        <v/>
      </c>
      <c r="BB207" s="73" t="str">
        <f>IF(AV207&amp;AW207="","",MAX(BB$12:BB206)+1)</f>
        <v/>
      </c>
      <c r="BC207" s="268" t="str">
        <f t="shared" si="192"/>
        <v/>
      </c>
      <c r="BD207" s="53">
        <f>IF(AND(AM207="NEMA",AN207="NEMA",OR(AV207&amp;AW207="",BC207="NEMA")),MAX(BD$12:BD206)+1,"")</f>
        <v>1970</v>
      </c>
      <c r="BE207" s="47" t="s">
        <v>0</v>
      </c>
      <c r="BF207" s="52" t="str">
        <f t="shared" si="193"/>
        <v>Jure</v>
      </c>
      <c r="BG207" s="31" t="str">
        <f t="shared" si="194"/>
        <v>Janković</v>
      </c>
      <c r="BH207" s="73" t="str">
        <f t="shared" si="220"/>
        <v/>
      </c>
      <c r="BI207" s="53">
        <f t="shared" si="221"/>
        <v>1970</v>
      </c>
      <c r="BJ207" s="47" t="s">
        <v>0</v>
      </c>
      <c r="BK207" s="52" t="str">
        <f t="shared" si="195"/>
        <v/>
      </c>
      <c r="BL207" s="31" t="str">
        <f t="shared" si="196"/>
        <v/>
      </c>
      <c r="BM207" s="73" t="str">
        <f t="shared" si="197"/>
        <v/>
      </c>
      <c r="BN207" s="73" t="str">
        <f t="shared" si="198"/>
        <v/>
      </c>
      <c r="BO207" s="31" t="str" cm="1">
        <f t="array" ref="BO207">IF(BN207="",""&amp;BL207,IF(BN207="NEMA",BL207,INDEX(regKlub_naziv,MATCH(INDEX(regKlub_alias_klubId,BN207),regKlub_id,0))))</f>
        <v/>
      </c>
      <c r="BP207" s="31" t="str" cm="1">
        <f t="array" ref="BP207">IFERROR(""&amp;INDEX(regNatjecatelj_klub,DY207),"")</f>
        <v/>
      </c>
      <c r="BQ207" s="88" t="str">
        <f t="shared" si="222"/>
        <v/>
      </c>
      <c r="BR207" s="66" t="str">
        <f t="shared" si="223"/>
        <v/>
      </c>
      <c r="BS207" s="47" t="s">
        <v>0</v>
      </c>
      <c r="BT207" s="82" t="str">
        <f>IF(BN207&lt;&gt;"NEMA","",IF(IFERROR(MATCH(BL207,BL$12:BL206,0),0)&lt;&gt;0,"",BL207))</f>
        <v/>
      </c>
      <c r="BU207" s="47" t="s">
        <v>0</v>
      </c>
      <c r="BV207" s="125"/>
      <c r="BW207" s="47" t="s">
        <v>0</v>
      </c>
      <c r="BX207" s="58" t="str">
        <f t="shared" si="224"/>
        <v/>
      </c>
      <c r="BY207" s="31" t="str">
        <f t="shared" si="225"/>
        <v/>
      </c>
      <c r="BZ207" s="31" t="str">
        <f>IF(BY207="","",MAX(BZ$12:BZ206)+1)</f>
        <v/>
      </c>
      <c r="CA207" s="31" t="str">
        <f>IF(BY207="","",IF(AA207="","",IF(AA207="NEMA",AC207,AA207)))</f>
        <v/>
      </c>
      <c r="CB207" s="31" t="str">
        <f t="shared" si="226"/>
        <v/>
      </c>
      <c r="CC207" s="31" t="str">
        <f>IF(BV207="","",MAX(CC$12:CC206)+1)</f>
        <v/>
      </c>
      <c r="CD207" s="31" t="str">
        <f t="shared" si="227"/>
        <v/>
      </c>
      <c r="CE207" s="66" t="str">
        <f t="shared" si="228"/>
        <v/>
      </c>
      <c r="CF207" s="47" t="s">
        <v>0</v>
      </c>
      <c r="CG207" s="73" t="str">
        <f>IF(BN207="","",IF(BN207&lt;&gt;"NEMA","",IFERROR(INDEX(nat_klubAliasId,MATCH(BL207,nat_noviKluboviAliasi,0)),"")))</f>
        <v/>
      </c>
      <c r="CH207" s="47"/>
      <c r="CI207" s="19" t="str">
        <f t="shared" si="229"/>
        <v/>
      </c>
      <c r="CJ207" s="47" t="s">
        <v>0</v>
      </c>
      <c r="CK207" s="52" t="str">
        <f>IF(X207&lt;&gt;"NEMA","",IF(IFERROR(MATCH(W207,W$12:W206,0),0)&lt;&gt;0,"",W207))</f>
        <v/>
      </c>
      <c r="CL207" s="73" t="str">
        <f>IF(CK207="","",IFERROR(INDEX(regKlub_alias_id,MATCH(CK207,regKlub_alias_alias,0)),"NEMA"))</f>
        <v/>
      </c>
      <c r="CM207" s="31" t="str">
        <f>IF(OR(CL207="",CL207&lt;&gt;"NEMA"),"",MAX(CM$12:CM206)+1)</f>
        <v/>
      </c>
      <c r="CN207" s="66" t="str">
        <f>IF(OR(CL207="",CL207&lt;&gt;"NEMA"),"",INDEX(regKlub_id,MATCH(CK207,regKlub_naziv,0)))</f>
        <v/>
      </c>
      <c r="CO207" s="47" t="s">
        <v>0</v>
      </c>
      <c r="CP207" s="19" t="str">
        <f>IF(OR(CL207="",CL207&lt;&gt;"NEMA"),"","INSERT INTO klub_alias(id,alias,klub_id) VALUES ("&amp;CM207&amp;",'"&amp;CK207&amp;"',"&amp;CN207&amp;");")</f>
        <v/>
      </c>
      <c r="CQ207" s="47" t="s">
        <v>0</v>
      </c>
      <c r="CR207" s="143" t="str">
        <f>IF(BR207="","",IF(BV207="",IF(IFERROR(MATCH(BR207,nat_noviKluboviAliasi,0),0)&gt;0,INDEX(nat_kluboviAliasi,MATCH(BR207,nat_noviKluboviAliasi,0)),BR207),BV207))</f>
        <v/>
      </c>
      <c r="CS207" s="47" t="s">
        <v>0</v>
      </c>
      <c r="CT207" s="58" t="str">
        <f>IF(G207="","",G207)</f>
        <v/>
      </c>
      <c r="CU207" s="73" t="str">
        <f>IF(H207="","",H207)</f>
        <v>1</v>
      </c>
      <c r="CV207" s="229" t="str">
        <f>IF(CT207="",IF(OR(AL207="",CU207&lt;&gt;"0"),"","GREŠKA"),IF(AND(65535&gt;=VALUE(LEFT(CT207,SEARCH(":",CT207)-1))*60+VALUE(RIGHT(CT207,2)),OR(CU207="0",CU207="1",CU207="2",CU207="3",CU207="4")),"","GREŠKA"))</f>
        <v/>
      </c>
      <c r="CW207" s="230" t="str">
        <f t="shared" si="183"/>
        <v/>
      </c>
      <c r="CX207" s="163">
        <f t="shared" si="199"/>
        <v>6</v>
      </c>
      <c r="CY207" s="47" t="s">
        <v>0</v>
      </c>
      <c r="CZ207" s="222" t="str">
        <f>IF(CV207&lt;&gt;"GREŠKA","",AK207&amp;" "&amp;AL207&amp;" – Molim u OEventu provjeriti i ispraviti rezultat – vrijeme ("&amp;IF(CT207="","nije upisano",CT207)&amp;") i classifier ("&amp;CU207&amp;").")&amp;IF(OR(CV207&lt;&gt;"GREŠKA",CX207&lt;&gt;5),"
","")&amp;IF(CX207&lt;&gt;5,"",AK207&amp;" "&amp;AL207&amp;" – Molim u provjeriti je li natjecatelj zaista diskvalificiran. Ako je koje je obrazloženje, ako nije molim u OEventu ispraviti rezultat")</f>
        <v xml:space="preserve">
</v>
      </c>
      <c r="DA207" s="223" t="str">
        <f t="shared" si="230"/>
        <v/>
      </c>
      <c r="DB207" s="47" t="s">
        <v>0</v>
      </c>
      <c r="DC207" s="47"/>
      <c r="DD207" s="47"/>
      <c r="DE207" s="47"/>
      <c r="DF207" s="47" t="s">
        <v>0</v>
      </c>
      <c r="DG207" s="53">
        <f>IF(BD207="","",IF(DI207="O",1,""))</f>
        <v>1</v>
      </c>
      <c r="DH207" t="s">
        <v>0</v>
      </c>
      <c r="DI207" s="128" t="str">
        <f>IF(Q207="","",LEFT(INDEX(regKategorija_oznaka,MATCH(S207,regKategorija_id,0)),1))</f>
        <v>O</v>
      </c>
      <c r="DJ207" t="s">
        <v>0</v>
      </c>
      <c r="DK207" s="52" t="str">
        <f>IF(BD207="","",IF(M207&lt;&gt;"CRO","","INSERT INTO osoba (id,reg_broj,oib,spol_id,dat_rodjenja) VALUES ("&amp;BD207&amp;",(SELECT max(os.reg_broj)+1 FROM osoba AS os),Null,'"&amp;DI207&amp;"',Null); INSERT INTO osoba_log (id,reg_broj,oib,spol_id,dat_rodjenja,dnevnik_id) SELECT id,reg_broj,oib,spol_id,dat_rodjenja,"&amp;data_dnevnik_id&amp;" FROM osoba WHERE id = "&amp;BD207&amp;";"))</f>
        <v/>
      </c>
      <c r="DL207" s="66" t="str">
        <f>IF(BD207="","","INSERT INTO imeprezime (id,osoba_id,rbr,ime,prezime,klub_id,identitet_id,sintaksa_id,info,aktivno,dnevnik_id) VALUES ("&amp;BD207&amp;","&amp;IF(DK207="","Null",BD207)&amp;",1,'"&amp;IF(AV207&lt;&gt;"",AV207,AK207)&amp;"','"&amp;IF(AW207&lt;&gt;"",AW207,AL207)&amp;"',(SELECT id FROM klub WHERE naziv = '"&amp;CR207&amp;"'),Null,1,'',1,"&amp;data_dnevnik_id&amp;");")</f>
        <v>INSERT INTO imeprezime (id,osoba_id,rbr,ime,prezime,klub_id,identitet_id,sintaksa_id,info,aktivno,dnevnik_id) VALUES (1970,Null,1,'Jure','Janković',(SELECT id FROM klub WHERE naziv = ''),Null,1,'',1,882);</v>
      </c>
      <c r="DM207" t="s">
        <v>0</v>
      </c>
      <c r="DN207" s="19" t="str">
        <f t="shared" si="182"/>
        <v>INSERT INTO imeprezime (id,osoba_id,rbr,ime,prezime,klub_id,identitet_id,sintaksa_id,info,aktivno,dnevnik_id) VALUES (1970,Null,1,'Jure','Janković',(SELECT id FROM klub WHERE naziv = ''),Null,1,'',1,882);</v>
      </c>
      <c r="DO207" s="47" t="s">
        <v>0</v>
      </c>
      <c r="DP207" s="19" t="str">
        <f>IF(BA207="","","INSERT INTO imeprezime_alias(id,alias,imeprezime_id) VALUES ("&amp;BB207&amp;",'"&amp;BA207&amp;"',"&amp;IF(BC207="NEMA",BD207,BC207)&amp;");")</f>
        <v/>
      </c>
      <c r="DQ207" s="47" t="s">
        <v>0</v>
      </c>
      <c r="DR207" s="52" t="str">
        <f>IF(AL207="","",DU207 &amp; IF(Q207="",""," – " &amp; Q207))</f>
        <v>Jure – Janković – OPEN</v>
      </c>
      <c r="DS207" s="53" t="str">
        <f t="shared" si="200"/>
        <v>NEMA</v>
      </c>
      <c r="DT207" s="47" t="s">
        <v>0</v>
      </c>
      <c r="DU207" s="52" t="str">
        <f>IF(AL207="","",DX207 &amp; IF(CR207="",""," – " &amp; CR207))</f>
        <v>Jure – Janković</v>
      </c>
      <c r="DV207" s="53" t="str">
        <f t="shared" si="201"/>
        <v>NEMA</v>
      </c>
      <c r="DW207" s="47" t="s">
        <v>0</v>
      </c>
      <c r="DX207" s="52" t="str">
        <f>IF(BG207="","",BF207&amp;" – "&amp;BG207)</f>
        <v>Jure – Janković</v>
      </c>
      <c r="DY207" s="53" t="str">
        <f t="shared" si="202"/>
        <v>NEMA</v>
      </c>
      <c r="DZ207" s="47" t="s">
        <v>0</v>
      </c>
      <c r="EA207" s="58" t="str">
        <f t="shared" si="231"/>
        <v/>
      </c>
      <c r="EB207" s="53" cm="1">
        <f t="array" ref="EB207">IF(EA207&lt;&gt;"",INDEX(regNatjecatelj_id,EA207,0),IF(BD207&lt;&gt;"",BD207,""))</f>
        <v>1970</v>
      </c>
      <c r="EC207" s="47" t="s">
        <v>0</v>
      </c>
      <c r="ED207" s="58" t="str">
        <f>IF(AL207="","",IF(BD207&lt;&gt;"","novo",IF(AN207="","imepre","imepre(ali)")))</f>
        <v>novo</v>
      </c>
      <c r="EE207" s="73" t="str">
        <f>IF(AL207="","",IF(BL207="",IF(IFERROR(INDEX(regNatjecatelj_klub,MATCH(EB207,regNatjecatelj_id,0)),"NEMA")="","klu",""),IF(OR(AND(BN207&lt;&gt;"",BN207&lt;&gt;"NEMA"),CD207&lt;&gt;""),"klu(ali)",IF(AND(BP207&lt;&gt;"",BP207&lt;&gt;BO207),"(raz-klu)","klu"))))</f>
        <v/>
      </c>
      <c r="EF207" s="73" t="str">
        <f>IF(AL207="","","kat"&amp;IF(AND(W207&lt;&gt;Q207,Q207&lt;&gt;"Open"),"(ali)",""))</f>
        <v>kat</v>
      </c>
      <c r="EG207" s="73" t="str">
        <f t="shared" si="203"/>
        <v/>
      </c>
      <c r="EH207" s="66" t="str">
        <f>IF(AL207="","",ED207&amp;IF(ED207="novo","","-"&amp;EE207&amp;"-"&amp;EF207)&amp;IF(EG207="","","-"&amp;EG207))</f>
        <v>novo</v>
      </c>
      <c r="EI207" s="47" t="s">
        <v>0</v>
      </c>
      <c r="EJ207" s="58">
        <f>IF(AL207="","",MAX(EJ$12:EJ206)+1)</f>
        <v>367</v>
      </c>
      <c r="EK207" s="73">
        <f>IF(AO207="","",X207)</f>
        <v>34</v>
      </c>
      <c r="EL207" s="73">
        <f t="shared" si="232"/>
        <v>1970</v>
      </c>
      <c r="EM207" s="73" t="str">
        <f t="shared" si="204"/>
        <v/>
      </c>
      <c r="EN207" s="73">
        <f t="shared" si="205"/>
        <v>6</v>
      </c>
      <c r="EO207" s="73">
        <f t="shared" si="233"/>
        <v>0</v>
      </c>
      <c r="EP207" s="73">
        <f t="shared" si="234"/>
        <v>33</v>
      </c>
      <c r="EQ207" s="73" t="str">
        <f t="shared" si="206"/>
        <v>1</v>
      </c>
      <c r="ER207" s="73" t="str">
        <f>IF(OR(AN207="",AN207="NEMA"),BB207,AN207)</f>
        <v/>
      </c>
      <c r="ES207" s="73" t="str">
        <f>IF(AND(BN207&lt;&gt;"",BN207&lt;&gt;"NEMA"),BN207,IF(CG207&lt;&gt;"",CG207,IF(AND(CL207&lt;&gt;"",CL207&lt;&gt;"NEMA"),CL207,IF(CM207&lt;&gt;"",CM207,""))))</f>
        <v/>
      </c>
      <c r="ET207" s="53" t="str">
        <f>IF(INDEX(natKategorija_alias_Id,MATCH(S207,natKategorija_katRegId,0))="","",INDEX(natKategorija_alias_Id,MATCH(S207,natKategorija_katRegId,0)))</f>
        <v/>
      </c>
      <c r="EU207" s="47" t="s">
        <v>0</v>
      </c>
      <c r="EV207" s="19" t="str">
        <f t="shared" si="235"/>
        <v>INSERT INTO rezultat(id,stazakategorija_id,imeprezime_id,vrijeme_sec,status_id,registracija,uparivanje_id,originalstatus_id,imeprezimealias_id,klubalias_id,kategorijaalias_id) VALUES (367,34,1970,Null,6,0,33,1,Null,Null,Null);</v>
      </c>
      <c r="EW207" s="47" t="s">
        <v>0</v>
      </c>
      <c r="EX207" s="19" t="str">
        <f t="shared" si="236"/>
        <v/>
      </c>
      <c r="EY207" s="47" t="s">
        <v>0</v>
      </c>
      <c r="EZ207" s="180" t="str">
        <f>AG207&amp;IF(CP207="","","
")&amp;CP207&amp;IF(CI207="","","
")&amp;CI207&amp;IF(DN207="","","
")&amp;DN207&amp;IF(DP207="","","
")&amp;DP207&amp;IF(EV207="","","
")&amp;EV207&amp;IF(EX207="","","
")&amp;EX207</f>
        <v xml:space="preserve">
INSERT INTO imeprezime (id,osoba_id,rbr,ime,prezime,klub_id,identitet_id,sintaksa_id,info,aktivno,dnevnik_id) VALUES (1970,Null,1,'Jure','Janković',(SELECT id FROM klub WHERE naziv = ''),Null,1,'',1,882);
INSERT INTO rezultat(id,stazakategorija_id,imeprezime_id,vrijeme_sec,status_id,registracija,uparivanje_id,originalstatus_id,imeprezimealias_id,klubalias_id,kategorijaalias_id) VALUES (367,34,1970,Null,6,0,33,1,Null,Null,Null);</v>
      </c>
      <c r="FA207" s="47" t="s">
        <v>0</v>
      </c>
    </row>
    <row r="208" spans="1:157" x14ac:dyDescent="0.25">
      <c r="A208" t="s">
        <v>0</v>
      </c>
      <c r="B208" s="52" t="str">
        <f>IF(csv!F198="","",csv!T198)</f>
        <v>OPEN</v>
      </c>
      <c r="C208" s="31" t="s">
        <v>0</v>
      </c>
      <c r="D208" s="31" t="str">
        <f>IF(csv!F198="","",csv!F198)</f>
        <v>Petar</v>
      </c>
      <c r="E208" s="31" t="str">
        <f>IF(csv!E198="","",csv!E198)</f>
        <v>Barulek</v>
      </c>
      <c r="F208" s="31" t="s">
        <v>0</v>
      </c>
      <c r="G208" s="73" t="str">
        <f>IF(csv!M198="","",csv!M198)</f>
        <v/>
      </c>
      <c r="H208" s="73" t="str">
        <f>IF(csv!N198="","",csv!N198)</f>
        <v>1</v>
      </c>
      <c r="I208" s="31" t="s">
        <v>0</v>
      </c>
      <c r="J208" s="31" t="str">
        <f>IF(csv!P198="","",csv!P198)</f>
        <v>OK Varaždin</v>
      </c>
      <c r="K208" s="31" t="str">
        <f>IF(csv!Q198="","",csv!Q198)</f>
        <v>OK Varaždin</v>
      </c>
      <c r="L208" s="31" t="s">
        <v>0</v>
      </c>
      <c r="M208" s="66" t="str">
        <f>IF(csv!R198="","",csv!R198)</f>
        <v>CRO</v>
      </c>
      <c r="N208" s="47" t="s">
        <v>0</v>
      </c>
      <c r="O208" s="243" t="str">
        <f t="shared" si="207"/>
        <v>ok</v>
      </c>
      <c r="P208" s="47"/>
      <c r="Q208" s="52" t="str">
        <f t="shared" si="208"/>
        <v>OPEN</v>
      </c>
      <c r="R208" s="73">
        <f>IF(Q208="","",IF(COUNTIF(Q$12:Q207,Q208)=0,R207+1,R207))</f>
        <v>12</v>
      </c>
      <c r="S208" s="73">
        <f t="shared" si="209"/>
        <v>291</v>
      </c>
      <c r="T208" s="73">
        <f t="shared" si="184"/>
        <v>29</v>
      </c>
      <c r="U208" s="66" t="str">
        <f t="shared" si="185"/>
        <v>Otvorena</v>
      </c>
      <c r="V208" s="47" t="s">
        <v>0</v>
      </c>
      <c r="W208" s="222" t="str">
        <f t="shared" si="186"/>
        <v>Otvorena</v>
      </c>
      <c r="X208" s="223">
        <f t="shared" si="187"/>
        <v>34</v>
      </c>
      <c r="Y208" s="47" t="s">
        <v>0</v>
      </c>
      <c r="Z208" s="52" t="str">
        <f t="shared" si="210"/>
        <v>CRO</v>
      </c>
      <c r="AA208" s="73">
        <f t="shared" si="188"/>
        <v>1</v>
      </c>
      <c r="AB208" s="31" t="str">
        <f t="shared" si="211"/>
        <v/>
      </c>
      <c r="AC208" s="66" t="str">
        <f>IF(AB208="","",MAX(AC$12:AC207)+1)</f>
        <v/>
      </c>
      <c r="AD208" s="47" t="s">
        <v>0</v>
      </c>
      <c r="AE208" s="125"/>
      <c r="AF208" s="47" t="s">
        <v>0</v>
      </c>
      <c r="AG208" s="19" t="str">
        <f t="shared" si="212"/>
        <v/>
      </c>
      <c r="AH208" s="47" t="s">
        <v>0</v>
      </c>
      <c r="AI208" s="143" t="str">
        <f t="shared" si="213"/>
        <v>CRO</v>
      </c>
      <c r="AJ208" s="47"/>
      <c r="AK208" s="52" t="str">
        <f t="shared" si="214"/>
        <v>Petar</v>
      </c>
      <c r="AL208" s="31" t="str">
        <f t="shared" si="215"/>
        <v>Barulek</v>
      </c>
      <c r="AM208" s="73">
        <f t="shared" si="216"/>
        <v>1379</v>
      </c>
      <c r="AN208" s="73" t="str">
        <f t="shared" si="217"/>
        <v/>
      </c>
      <c r="AO208" s="31" t="str">
        <f t="shared" si="189"/>
        <v>Petar</v>
      </c>
      <c r="AP208" s="66" t="str">
        <f t="shared" si="190"/>
        <v>Barulek</v>
      </c>
      <c r="AQ208" s="47" t="s">
        <v>0</v>
      </c>
      <c r="AR208" s="82" t="str">
        <f t="shared" si="218"/>
        <v/>
      </c>
      <c r="AS208" s="47" t="s">
        <v>0</v>
      </c>
      <c r="AT208" s="19" t="str">
        <f t="shared" si="219"/>
        <v/>
      </c>
      <c r="AU208" s="47" t="s">
        <v>0</v>
      </c>
      <c r="AV208" s="103"/>
      <c r="AW208" s="105"/>
      <c r="AX208" s="47" t="s">
        <v>0</v>
      </c>
      <c r="AY208" s="256" t="str">
        <f t="shared" si="181"/>
        <v/>
      </c>
      <c r="AZ208" s="47" t="s">
        <v>0</v>
      </c>
      <c r="BA208" s="52" t="str">
        <f t="shared" si="191"/>
        <v/>
      </c>
      <c r="BB208" s="73" t="str">
        <f>IF(AV208&amp;AW208="","",MAX(BB$12:BB207)+1)</f>
        <v/>
      </c>
      <c r="BC208" s="268" t="str">
        <f t="shared" si="192"/>
        <v/>
      </c>
      <c r="BD208" s="53" t="str">
        <f>IF(AND(AM208="NEMA",AN208="NEMA",OR(AV208&amp;AW208="",BC208="NEMA")),MAX(BD$12:BD207)+1,"")</f>
        <v/>
      </c>
      <c r="BE208" s="47" t="s">
        <v>0</v>
      </c>
      <c r="BF208" s="52" t="str">
        <f t="shared" si="193"/>
        <v>Petar</v>
      </c>
      <c r="BG208" s="31" t="str">
        <f t="shared" si="194"/>
        <v>Barulek</v>
      </c>
      <c r="BH208" s="73" t="str">
        <f t="shared" si="220"/>
        <v/>
      </c>
      <c r="BI208" s="53">
        <f t="shared" si="221"/>
        <v>1379</v>
      </c>
      <c r="BJ208" s="47" t="s">
        <v>0</v>
      </c>
      <c r="BK208" s="52" t="str">
        <f t="shared" si="195"/>
        <v>OK Varaždin</v>
      </c>
      <c r="BL208" s="31" t="str">
        <f t="shared" si="196"/>
        <v>OK Varaždin</v>
      </c>
      <c r="BM208" s="73">
        <f t="shared" si="197"/>
        <v>11</v>
      </c>
      <c r="BN208" s="73" t="str">
        <f t="shared" si="198"/>
        <v/>
      </c>
      <c r="BO208" s="31" t="str" cm="1">
        <f t="array" ref="BO208">IF(BN208="",""&amp;BL208,IF(BN208="NEMA",BL208,INDEX(regKlub_naziv,MATCH(INDEX(regKlub_alias_klubId,BN208),regKlub_id,0))))</f>
        <v>OK Varaždin</v>
      </c>
      <c r="BP208" s="31" t="str" cm="1">
        <f t="array" ref="BP208">IFERROR(""&amp;INDEX(regNatjecatelj_klub,DY208),"")</f>
        <v>OK Varaždin</v>
      </c>
      <c r="BQ208" s="88" t="str">
        <f t="shared" si="222"/>
        <v/>
      </c>
      <c r="BR208" s="66" t="str">
        <f t="shared" si="223"/>
        <v>OK Varaždin</v>
      </c>
      <c r="BS208" s="47" t="s">
        <v>0</v>
      </c>
      <c r="BT208" s="82" t="str">
        <f>IF(BN208&lt;&gt;"NEMA","",IF(IFERROR(MATCH(BL208,BL$12:BL207,0),0)&lt;&gt;0,"",BL208))</f>
        <v/>
      </c>
      <c r="BU208" s="47" t="s">
        <v>0</v>
      </c>
      <c r="BV208" s="125"/>
      <c r="BW208" s="47" t="s">
        <v>0</v>
      </c>
      <c r="BX208" s="58" t="str">
        <f t="shared" si="224"/>
        <v/>
      </c>
      <c r="BY208" s="31" t="str">
        <f t="shared" si="225"/>
        <v/>
      </c>
      <c r="BZ208" s="31" t="str">
        <f>IF(BY208="","",MAX(BZ$12:BZ207)+1)</f>
        <v/>
      </c>
      <c r="CA208" s="31" t="str">
        <f>IF(BY208="","",IF(AA208="","",IF(AA208="NEMA",AC208,AA208)))</f>
        <v/>
      </c>
      <c r="CB208" s="31" t="str">
        <f t="shared" si="226"/>
        <v/>
      </c>
      <c r="CC208" s="31" t="str">
        <f>IF(BV208="","",MAX(CC$12:CC207)+1)</f>
        <v/>
      </c>
      <c r="CD208" s="31" t="str">
        <f t="shared" si="227"/>
        <v/>
      </c>
      <c r="CE208" s="66" t="str">
        <f t="shared" si="228"/>
        <v/>
      </c>
      <c r="CF208" s="47" t="s">
        <v>0</v>
      </c>
      <c r="CG208" s="73" t="str">
        <f>IF(BN208="","",IF(BN208&lt;&gt;"NEMA","",IFERROR(INDEX(nat_klubAliasId,MATCH(BL208,nat_noviKluboviAliasi,0)),"")))</f>
        <v/>
      </c>
      <c r="CH208" s="47"/>
      <c r="CI208" s="19" t="str">
        <f t="shared" si="229"/>
        <v/>
      </c>
      <c r="CJ208" s="47" t="s">
        <v>0</v>
      </c>
      <c r="CK208" s="52" t="str">
        <f>IF(X208&lt;&gt;"NEMA","",IF(IFERROR(MATCH(W208,W$12:W207,0),0)&lt;&gt;0,"",W208))</f>
        <v/>
      </c>
      <c r="CL208" s="73" t="str">
        <f>IF(CK208="","",IFERROR(INDEX(regKlub_alias_id,MATCH(CK208,regKlub_alias_alias,0)),"NEMA"))</f>
        <v/>
      </c>
      <c r="CM208" s="31" t="str">
        <f>IF(OR(CL208="",CL208&lt;&gt;"NEMA"),"",MAX(CM$12:CM207)+1)</f>
        <v/>
      </c>
      <c r="CN208" s="66" t="str">
        <f>IF(OR(CL208="",CL208&lt;&gt;"NEMA"),"",INDEX(regKlub_id,MATCH(CK208,regKlub_naziv,0)))</f>
        <v/>
      </c>
      <c r="CO208" s="47" t="s">
        <v>0</v>
      </c>
      <c r="CP208" s="19" t="str">
        <f>IF(OR(CL208="",CL208&lt;&gt;"NEMA"),"","INSERT INTO klub_alias(id,alias,klub_id) VALUES ("&amp;CM208&amp;",'"&amp;CK208&amp;"',"&amp;CN208&amp;");")</f>
        <v/>
      </c>
      <c r="CQ208" s="47" t="s">
        <v>0</v>
      </c>
      <c r="CR208" s="143" t="str">
        <f>IF(BR208="","",IF(BV208="",IF(IFERROR(MATCH(BR208,nat_noviKluboviAliasi,0),0)&gt;0,INDEX(nat_kluboviAliasi,MATCH(BR208,nat_noviKluboviAliasi,0)),BR208),BV208))</f>
        <v>OK Varaždin</v>
      </c>
      <c r="CS208" s="47" t="s">
        <v>0</v>
      </c>
      <c r="CT208" s="58" t="str">
        <f>IF(G208="","",G208)</f>
        <v/>
      </c>
      <c r="CU208" s="73" t="str">
        <f>IF(H208="","",H208)</f>
        <v>1</v>
      </c>
      <c r="CV208" s="229" t="str">
        <f>IF(CT208="",IF(OR(AL208="",CU208&lt;&gt;"0"),"","GREŠKA"),IF(AND(65535&gt;=VALUE(LEFT(CT208,SEARCH(":",CT208)-1))*60+VALUE(RIGHT(CT208,2)),OR(CU208="0",CU208="1",CU208="2",CU208="3",CU208="4")),"","GREŠKA"))</f>
        <v/>
      </c>
      <c r="CW208" s="230" t="str">
        <f t="shared" si="183"/>
        <v/>
      </c>
      <c r="CX208" s="163">
        <f t="shared" si="199"/>
        <v>6</v>
      </c>
      <c r="CY208" s="47" t="s">
        <v>0</v>
      </c>
      <c r="CZ208" s="222" t="str">
        <f>IF(CV208&lt;&gt;"GREŠKA","",AK208&amp;" "&amp;AL208&amp;" – Molim u OEventu provjeriti i ispraviti rezultat – vrijeme ("&amp;IF(CT208="","nije upisano",CT208)&amp;") i classifier ("&amp;CU208&amp;").")&amp;IF(OR(CV208&lt;&gt;"GREŠKA",CX208&lt;&gt;5),"
","")&amp;IF(CX208&lt;&gt;5,"",AK208&amp;" "&amp;AL208&amp;" – Molim u provjeriti je li natjecatelj zaista diskvalificiran. Ako je koje je obrazloženje, ako nije molim u OEventu ispraviti rezultat")</f>
        <v xml:space="preserve">
</v>
      </c>
      <c r="DA208" s="223" t="e">
        <f t="shared" si="230"/>
        <v>#N/A</v>
      </c>
      <c r="DB208" s="47" t="s">
        <v>0</v>
      </c>
      <c r="DC208" s="47"/>
      <c r="DD208" s="47"/>
      <c r="DE208" s="47"/>
      <c r="DF208" s="47" t="s">
        <v>0</v>
      </c>
      <c r="DG208" s="53" t="str">
        <f>IF(BD208="","",IF(DI208="O",1,""))</f>
        <v/>
      </c>
      <c r="DH208" t="s">
        <v>0</v>
      </c>
      <c r="DI208" s="128" t="str">
        <f>IF(Q208="","",LEFT(INDEX(regKategorija_oznaka,MATCH(S208,regKategorija_id,0)),1))</f>
        <v>O</v>
      </c>
      <c r="DJ208" t="s">
        <v>0</v>
      </c>
      <c r="DK208" s="52" t="str">
        <f>IF(BD208="","",IF(M208&lt;&gt;"CRO","","INSERT INTO osoba (id,reg_broj,oib,spol_id,dat_rodjenja) VALUES ("&amp;BD208&amp;",(SELECT max(os.reg_broj)+1 FROM osoba AS os),Null,'"&amp;DI208&amp;"',Null); INSERT INTO osoba_log (id,reg_broj,oib,spol_id,dat_rodjenja,dnevnik_id) SELECT id,reg_broj,oib,spol_id,dat_rodjenja,"&amp;data_dnevnik_id&amp;" FROM osoba WHERE id = "&amp;BD208&amp;";"))</f>
        <v/>
      </c>
      <c r="DL208" s="66" t="str">
        <f>IF(BD208="","","INSERT INTO imeprezime (id,osoba_id,rbr,ime,prezime,klub_id,identitet_id,sintaksa_id,info,aktivno,dnevnik_id) VALUES ("&amp;BD208&amp;","&amp;IF(DK208="","Null",BD208)&amp;",1,'"&amp;IF(AV208&lt;&gt;"",AV208,AK208)&amp;"','"&amp;IF(AW208&lt;&gt;"",AW208,AL208)&amp;"',(SELECT id FROM klub WHERE naziv = '"&amp;CR208&amp;"'),Null,1,'',1,"&amp;data_dnevnik_id&amp;");")</f>
        <v/>
      </c>
      <c r="DM208" t="s">
        <v>0</v>
      </c>
      <c r="DN208" s="19" t="str">
        <f t="shared" si="182"/>
        <v/>
      </c>
      <c r="DO208" s="47" t="s">
        <v>0</v>
      </c>
      <c r="DP208" s="19" t="str">
        <f>IF(BA208="","","INSERT INTO imeprezime_alias(id,alias,imeprezime_id) VALUES ("&amp;BB208&amp;",'"&amp;BA208&amp;"',"&amp;IF(BC208="NEMA",BD208,BC208)&amp;");")</f>
        <v/>
      </c>
      <c r="DQ208" s="47" t="s">
        <v>0</v>
      </c>
      <c r="DR208" s="52" t="str">
        <f>IF(AL208="","",DU208 &amp; IF(Q208="",""," – " &amp; Q208))</f>
        <v>Petar – Barulek – OK Varaždin – OPEN</v>
      </c>
      <c r="DS208" s="53" t="str">
        <f t="shared" si="200"/>
        <v>NEMA</v>
      </c>
      <c r="DT208" s="47" t="s">
        <v>0</v>
      </c>
      <c r="DU208" s="52" t="str">
        <f>IF(AL208="","",DX208 &amp; IF(CR208="",""," – " &amp; CR208))</f>
        <v>Petar – Barulek – OK Varaždin</v>
      </c>
      <c r="DV208" s="53">
        <f t="shared" si="201"/>
        <v>521</v>
      </c>
      <c r="DW208" s="47" t="s">
        <v>0</v>
      </c>
      <c r="DX208" s="52" t="str">
        <f>IF(BG208="","",BF208&amp;" – "&amp;BG208)</f>
        <v>Petar – Barulek</v>
      </c>
      <c r="DY208" s="53">
        <f t="shared" si="202"/>
        <v>521</v>
      </c>
      <c r="DZ208" s="47" t="s">
        <v>0</v>
      </c>
      <c r="EA208" s="58">
        <f t="shared" si="231"/>
        <v>521</v>
      </c>
      <c r="EB208" s="53" cm="1">
        <f t="array" ref="EB208">IF(EA208&lt;&gt;"",INDEX(regNatjecatelj_id,EA208,0),IF(BD208&lt;&gt;"",BD208,""))</f>
        <v>1379</v>
      </c>
      <c r="EC208" s="47" t="s">
        <v>0</v>
      </c>
      <c r="ED208" s="58" t="str">
        <f>IF(AL208="","",IF(BD208&lt;&gt;"","novo",IF(AN208="","imepre","imepre(ali)")))</f>
        <v>imepre</v>
      </c>
      <c r="EE208" s="73" t="str">
        <f>IF(AL208="","",IF(BL208="",IF(IFERROR(INDEX(regNatjecatelj_klub,MATCH(EB208,regNatjecatelj_id,0)),"NEMA")="","klu",""),IF(OR(AND(BN208&lt;&gt;"",BN208&lt;&gt;"NEMA"),CD208&lt;&gt;""),"klu(ali)",IF(AND(BP208&lt;&gt;"",BP208&lt;&gt;BO208),"(raz-klu)","klu"))))</f>
        <v>klu</v>
      </c>
      <c r="EF208" s="73" t="str">
        <f>IF(AL208="","","kat"&amp;IF(AND(W208&lt;&gt;Q208,Q208&lt;&gt;"Open"),"(ali)",""))</f>
        <v>kat</v>
      </c>
      <c r="EG208" s="73" t="str">
        <f t="shared" si="203"/>
        <v/>
      </c>
      <c r="EH208" s="66" t="str">
        <f>IF(AL208="","",ED208&amp;IF(ED208="novo","","-"&amp;EE208&amp;"-"&amp;EF208)&amp;IF(EG208="","","-"&amp;EG208))</f>
        <v>imepre-klu-kat</v>
      </c>
      <c r="EI208" s="47" t="s">
        <v>0</v>
      </c>
      <c r="EJ208" s="58">
        <f>IF(AL208="","",MAX(EJ$12:EJ207)+1)</f>
        <v>368</v>
      </c>
      <c r="EK208" s="73">
        <f>IF(AO208="","",X208)</f>
        <v>34</v>
      </c>
      <c r="EL208" s="73">
        <f t="shared" si="232"/>
        <v>1379</v>
      </c>
      <c r="EM208" s="73" t="str">
        <f t="shared" si="204"/>
        <v/>
      </c>
      <c r="EN208" s="73">
        <f t="shared" si="205"/>
        <v>6</v>
      </c>
      <c r="EO208" s="73">
        <f t="shared" si="233"/>
        <v>0</v>
      </c>
      <c r="EP208" s="73">
        <f t="shared" si="234"/>
        <v>1</v>
      </c>
      <c r="EQ208" s="73" t="str">
        <f t="shared" si="206"/>
        <v>1</v>
      </c>
      <c r="ER208" s="73" t="str">
        <f>IF(OR(AN208="",AN208="NEMA"),BB208,AN208)</f>
        <v/>
      </c>
      <c r="ES208" s="73" t="str">
        <f>IF(AND(BN208&lt;&gt;"",BN208&lt;&gt;"NEMA"),BN208,IF(CG208&lt;&gt;"",CG208,IF(AND(CL208&lt;&gt;"",CL208&lt;&gt;"NEMA"),CL208,IF(CM208&lt;&gt;"",CM208,""))))</f>
        <v/>
      </c>
      <c r="ET208" s="53" t="str">
        <f>IF(INDEX(natKategorija_alias_Id,MATCH(S208,natKategorija_katRegId,0))="","",INDEX(natKategorija_alias_Id,MATCH(S208,natKategorija_katRegId,0)))</f>
        <v/>
      </c>
      <c r="EU208" s="47" t="s">
        <v>0</v>
      </c>
      <c r="EV208" s="19" t="str">
        <f t="shared" si="235"/>
        <v>INSERT INTO rezultat(id,stazakategorija_id,imeprezime_id,vrijeme_sec,status_id,registracija,uparivanje_id,originalstatus_id,imeprezimealias_id,klubalias_id,kategorijaalias_id) VALUES (368,34,1379,Null,6,0,1,1,Null,Null,Null);</v>
      </c>
      <c r="EW208" s="47" t="s">
        <v>0</v>
      </c>
      <c r="EX208" s="19" t="str">
        <f t="shared" si="236"/>
        <v/>
      </c>
      <c r="EY208" s="47" t="s">
        <v>0</v>
      </c>
      <c r="EZ208" s="180" t="str">
        <f>AG208&amp;IF(CP208="","","
")&amp;CP208&amp;IF(CI208="","","
")&amp;CI208&amp;IF(DN208="","","
")&amp;DN208&amp;IF(DP208="","","
")&amp;DP208&amp;IF(EV208="","","
")&amp;EV208&amp;IF(EX208="","","
")&amp;EX208</f>
        <v xml:space="preserve">
INSERT INTO rezultat(id,stazakategorija_id,imeprezime_id,vrijeme_sec,status_id,registracija,uparivanje_id,originalstatus_id,imeprezimealias_id,klubalias_id,kategorijaalias_id) VALUES (368,34,1379,Null,6,0,1,1,Null,Null,Null);</v>
      </c>
      <c r="FA208" s="47" t="s">
        <v>0</v>
      </c>
    </row>
    <row r="209" spans="1:157" x14ac:dyDescent="0.25">
      <c r="A209" t="s">
        <v>0</v>
      </c>
      <c r="B209" s="52" t="str">
        <f>IF(csv!F199="","",csv!T199)</f>
        <v>Ž12</v>
      </c>
      <c r="C209" s="31" t="s">
        <v>0</v>
      </c>
      <c r="D209" s="31" t="str">
        <f>IF(csv!F199="","",csv!F199)</f>
        <v>Sara</v>
      </c>
      <c r="E209" s="31" t="str">
        <f>IF(csv!E199="","",csv!E199)</f>
        <v>Delić</v>
      </c>
      <c r="F209" s="31" t="s">
        <v>0</v>
      </c>
      <c r="G209" s="73" t="str">
        <f>IF(csv!M199="","",csv!M199)</f>
        <v>21:20</v>
      </c>
      <c r="H209" s="73" t="str">
        <f>IF(csv!N199="","",csv!N199)</f>
        <v>0</v>
      </c>
      <c r="I209" s="31" t="s">
        <v>0</v>
      </c>
      <c r="J209" s="31" t="str">
        <f>IF(csv!P199="","",csv!P199)</f>
        <v>OK Jelen</v>
      </c>
      <c r="K209" s="31" t="str">
        <f>IF(csv!Q199="","",csv!Q199)</f>
        <v>OK Jelen</v>
      </c>
      <c r="L209" s="31" t="s">
        <v>0</v>
      </c>
      <c r="M209" s="66" t="str">
        <f>IF(csv!R199="","",csv!R199)</f>
        <v>CRO</v>
      </c>
      <c r="N209" s="47" t="s">
        <v>0</v>
      </c>
      <c r="O209" s="243" t="str">
        <f t="shared" si="207"/>
        <v>ok</v>
      </c>
      <c r="P209" s="47"/>
      <c r="Q209" s="52" t="str">
        <f t="shared" si="208"/>
        <v>Ž12</v>
      </c>
      <c r="R209" s="73">
        <f>IF(Q209="","",IF(COUNTIF(Q$12:Q208,Q209)=0,R208+1,R208))</f>
        <v>13</v>
      </c>
      <c r="S209" s="73">
        <f t="shared" si="209"/>
        <v>122</v>
      </c>
      <c r="T209" s="73">
        <f t="shared" si="184"/>
        <v>22</v>
      </c>
      <c r="U209" s="66" t="str">
        <f t="shared" si="185"/>
        <v>M12 – Ž12</v>
      </c>
      <c r="V209" s="47" t="s">
        <v>0</v>
      </c>
      <c r="W209" s="222" t="str">
        <f t="shared" si="186"/>
        <v>Ž12</v>
      </c>
      <c r="X209" s="223">
        <f t="shared" si="187"/>
        <v>35</v>
      </c>
      <c r="Y209" s="47" t="s">
        <v>0</v>
      </c>
      <c r="Z209" s="52" t="str">
        <f t="shared" si="210"/>
        <v>CRO</v>
      </c>
      <c r="AA209" s="73">
        <f t="shared" si="188"/>
        <v>1</v>
      </c>
      <c r="AB209" s="31" t="str">
        <f t="shared" si="211"/>
        <v/>
      </c>
      <c r="AC209" s="66" t="str">
        <f>IF(AB209="","",MAX(AC$12:AC208)+1)</f>
        <v/>
      </c>
      <c r="AD209" s="47" t="s">
        <v>0</v>
      </c>
      <c r="AE209" s="125"/>
      <c r="AF209" s="47" t="s">
        <v>0</v>
      </c>
      <c r="AG209" s="19" t="str">
        <f t="shared" si="212"/>
        <v/>
      </c>
      <c r="AH209" s="47" t="s">
        <v>0</v>
      </c>
      <c r="AI209" s="143" t="str">
        <f t="shared" si="213"/>
        <v>CRO</v>
      </c>
      <c r="AJ209" s="47"/>
      <c r="AK209" s="52" t="str">
        <f t="shared" si="214"/>
        <v>Sara</v>
      </c>
      <c r="AL209" s="31" t="str">
        <f t="shared" si="215"/>
        <v>Delić</v>
      </c>
      <c r="AM209" s="73">
        <f t="shared" si="216"/>
        <v>1528</v>
      </c>
      <c r="AN209" s="73" t="str">
        <f t="shared" si="217"/>
        <v/>
      </c>
      <c r="AO209" s="31" t="str">
        <f t="shared" si="189"/>
        <v>Sara</v>
      </c>
      <c r="AP209" s="66" t="str">
        <f t="shared" si="190"/>
        <v>Delić</v>
      </c>
      <c r="AQ209" s="47" t="s">
        <v>0</v>
      </c>
      <c r="AR209" s="82" t="str">
        <f t="shared" si="218"/>
        <v/>
      </c>
      <c r="AS209" s="47" t="s">
        <v>0</v>
      </c>
      <c r="AT209" s="19" t="str">
        <f t="shared" si="219"/>
        <v/>
      </c>
      <c r="AU209" s="47" t="s">
        <v>0</v>
      </c>
      <c r="AV209" s="103"/>
      <c r="AW209" s="105"/>
      <c r="AX209" s="47" t="s">
        <v>0</v>
      </c>
      <c r="AY209" s="256" t="str">
        <f t="shared" si="181"/>
        <v/>
      </c>
      <c r="AZ209" s="47" t="s">
        <v>0</v>
      </c>
      <c r="BA209" s="52" t="str">
        <f t="shared" si="191"/>
        <v/>
      </c>
      <c r="BB209" s="73" t="str">
        <f>IF(AV209&amp;AW209="","",MAX(BB$12:BB208)+1)</f>
        <v/>
      </c>
      <c r="BC209" s="268" t="str">
        <f t="shared" si="192"/>
        <v/>
      </c>
      <c r="BD209" s="53" t="str">
        <f>IF(AND(AM209="NEMA",AN209="NEMA",OR(AV209&amp;AW209="",BC209="NEMA")),MAX(BD$12:BD208)+1,"")</f>
        <v/>
      </c>
      <c r="BE209" s="47" t="s">
        <v>0</v>
      </c>
      <c r="BF209" s="52" t="str">
        <f t="shared" si="193"/>
        <v>Sara</v>
      </c>
      <c r="BG209" s="31" t="str">
        <f t="shared" si="194"/>
        <v>Delić</v>
      </c>
      <c r="BH209" s="73" t="str">
        <f t="shared" si="220"/>
        <v/>
      </c>
      <c r="BI209" s="53">
        <f t="shared" si="221"/>
        <v>1528</v>
      </c>
      <c r="BJ209" s="47" t="s">
        <v>0</v>
      </c>
      <c r="BK209" s="52" t="str">
        <f t="shared" si="195"/>
        <v>OK Jelen</v>
      </c>
      <c r="BL209" s="31" t="str">
        <f t="shared" si="196"/>
        <v>OK Jelen</v>
      </c>
      <c r="BM209" s="73">
        <f t="shared" si="197"/>
        <v>4</v>
      </c>
      <c r="BN209" s="73" t="str">
        <f t="shared" si="198"/>
        <v/>
      </c>
      <c r="BO209" s="31" t="str" cm="1">
        <f t="array" ref="BO209">IF(BN209="",""&amp;BL209,IF(BN209="NEMA",BL209,INDEX(regKlub_naziv,MATCH(INDEX(regKlub_alias_klubId,BN209),regKlub_id,0))))</f>
        <v>OK Jelen</v>
      </c>
      <c r="BP209" s="31" t="str" cm="1">
        <f t="array" ref="BP209">IFERROR(""&amp;INDEX(regNatjecatelj_klub,DY209),"")</f>
        <v>OK Jelen</v>
      </c>
      <c r="BQ209" s="88" t="str">
        <f t="shared" si="222"/>
        <v/>
      </c>
      <c r="BR209" s="66" t="str">
        <f t="shared" si="223"/>
        <v>OK Jelen</v>
      </c>
      <c r="BS209" s="47" t="s">
        <v>0</v>
      </c>
      <c r="BT209" s="82" t="str">
        <f>IF(BN209&lt;&gt;"NEMA","",IF(IFERROR(MATCH(BL209,BL$12:BL208,0),0)&lt;&gt;0,"",BL209))</f>
        <v/>
      </c>
      <c r="BU209" s="47" t="s">
        <v>0</v>
      </c>
      <c r="BV209" s="125"/>
      <c r="BW209" s="47" t="s">
        <v>0</v>
      </c>
      <c r="BX209" s="58" t="str">
        <f t="shared" si="224"/>
        <v/>
      </c>
      <c r="BY209" s="31" t="str">
        <f t="shared" si="225"/>
        <v/>
      </c>
      <c r="BZ209" s="31" t="str">
        <f>IF(BY209="","",MAX(BZ$12:BZ208)+1)</f>
        <v/>
      </c>
      <c r="CA209" s="31" t="str">
        <f>IF(BY209="","",IF(AA209="","",IF(AA209="NEMA",AC209,AA209)))</f>
        <v/>
      </c>
      <c r="CB209" s="31" t="str">
        <f t="shared" si="226"/>
        <v/>
      </c>
      <c r="CC209" s="31" t="str">
        <f>IF(BV209="","",MAX(CC$12:CC208)+1)</f>
        <v/>
      </c>
      <c r="CD209" s="31" t="str">
        <f t="shared" si="227"/>
        <v/>
      </c>
      <c r="CE209" s="66" t="str">
        <f t="shared" si="228"/>
        <v/>
      </c>
      <c r="CF209" s="47" t="s">
        <v>0</v>
      </c>
      <c r="CG209" s="73" t="str">
        <f>IF(BN209="","",IF(BN209&lt;&gt;"NEMA","",IFERROR(INDEX(nat_klubAliasId,MATCH(BL209,nat_noviKluboviAliasi,0)),"")))</f>
        <v/>
      </c>
      <c r="CH209" s="47"/>
      <c r="CI209" s="19" t="str">
        <f t="shared" si="229"/>
        <v/>
      </c>
      <c r="CJ209" s="47" t="s">
        <v>0</v>
      </c>
      <c r="CK209" s="52" t="str">
        <f>IF(X209&lt;&gt;"NEMA","",IF(IFERROR(MATCH(W209,W$12:W208,0),0)&lt;&gt;0,"",W209))</f>
        <v/>
      </c>
      <c r="CL209" s="73" t="str">
        <f>IF(CK209="","",IFERROR(INDEX(regKlub_alias_id,MATCH(CK209,regKlub_alias_alias,0)),"NEMA"))</f>
        <v/>
      </c>
      <c r="CM209" s="31" t="str">
        <f>IF(OR(CL209="",CL209&lt;&gt;"NEMA"),"",MAX(CM$12:CM208)+1)</f>
        <v/>
      </c>
      <c r="CN209" s="66" t="str">
        <f>IF(OR(CL209="",CL209&lt;&gt;"NEMA"),"",INDEX(regKlub_id,MATCH(CK209,regKlub_naziv,0)))</f>
        <v/>
      </c>
      <c r="CO209" s="47" t="s">
        <v>0</v>
      </c>
      <c r="CP209" s="19" t="str">
        <f>IF(OR(CL209="",CL209&lt;&gt;"NEMA"),"","INSERT INTO klub_alias(id,alias,klub_id) VALUES ("&amp;CM209&amp;",'"&amp;CK209&amp;"',"&amp;CN209&amp;");")</f>
        <v/>
      </c>
      <c r="CQ209" s="47" t="s">
        <v>0</v>
      </c>
      <c r="CR209" s="143" t="str">
        <f>IF(BR209="","",IF(BV209="",IF(IFERROR(MATCH(BR209,nat_noviKluboviAliasi,0),0)&gt;0,INDEX(nat_kluboviAliasi,MATCH(BR209,nat_noviKluboviAliasi,0)),BR209),BV209))</f>
        <v>OK Jelen</v>
      </c>
      <c r="CS209" s="47" t="s">
        <v>0</v>
      </c>
      <c r="CT209" s="58" t="str">
        <f>IF(G209="","",G209)</f>
        <v>21:20</v>
      </c>
      <c r="CU209" s="73" t="str">
        <f>IF(H209="","",H209)</f>
        <v>0</v>
      </c>
      <c r="CV209" s="229" t="str">
        <f>IF(CT209="",IF(OR(AL209="",CU209&lt;&gt;"0"),"","GREŠKA"),IF(AND(65535&gt;=VALUE(LEFT(CT209,SEARCH(":",CT209)-1))*60+VALUE(RIGHT(CT209,2)),OR(CU209="0",CU209="1",CU209="2",CU209="3",CU209="4")),"","GREŠKA"))</f>
        <v/>
      </c>
      <c r="CW209" s="230">
        <f t="shared" si="183"/>
        <v>1280</v>
      </c>
      <c r="CX209" s="163">
        <f t="shared" si="199"/>
        <v>1</v>
      </c>
      <c r="CY209" s="47" t="s">
        <v>0</v>
      </c>
      <c r="CZ209" s="222" t="str">
        <f>IF(CV209&lt;&gt;"GREŠKA","",AK209&amp;" "&amp;AL209&amp;" – Molim u OEventu provjeriti i ispraviti rezultat – vrijeme ("&amp;IF(CT209="","nije upisano",CT209)&amp;") i classifier ("&amp;CU209&amp;").")&amp;IF(OR(CV209&lt;&gt;"GREŠKA",CX209&lt;&gt;5),"
","")&amp;IF(CX209&lt;&gt;5,"",AK209&amp;" "&amp;AL209&amp;" – Molim u provjeriti je li natjecatelj zaista diskvalificiran. Ako je koje je obrazloženje, ako nije molim u OEventu ispraviti rezultat")</f>
        <v xml:space="preserve">
</v>
      </c>
      <c r="DA209" s="223">
        <f t="shared" si="230"/>
        <v>6</v>
      </c>
      <c r="DB209" s="47" t="s">
        <v>0</v>
      </c>
      <c r="DC209" s="47"/>
      <c r="DD209" s="47"/>
      <c r="DE209" s="47"/>
      <c r="DF209" s="47" t="s">
        <v>0</v>
      </c>
      <c r="DG209" s="53" t="str">
        <f>IF(BD209="","",IF(DI209="O",1,""))</f>
        <v/>
      </c>
      <c r="DH209" t="s">
        <v>0</v>
      </c>
      <c r="DI209" s="128" t="str">
        <f>IF(Q209="","",LEFT(INDEX(regKategorija_oznaka,MATCH(S209,regKategorija_id,0)),1))</f>
        <v>Ž</v>
      </c>
      <c r="DJ209" t="s">
        <v>0</v>
      </c>
      <c r="DK209" s="52" t="str">
        <f>IF(BD209="","",IF(M209&lt;&gt;"CRO","","INSERT INTO osoba (id,reg_broj,oib,spol_id,dat_rodjenja) VALUES ("&amp;BD209&amp;",(SELECT max(os.reg_broj)+1 FROM osoba AS os),Null,'"&amp;DI209&amp;"',Null); INSERT INTO osoba_log (id,reg_broj,oib,spol_id,dat_rodjenja,dnevnik_id) SELECT id,reg_broj,oib,spol_id,dat_rodjenja,"&amp;data_dnevnik_id&amp;" FROM osoba WHERE id = "&amp;BD209&amp;";"))</f>
        <v/>
      </c>
      <c r="DL209" s="66" t="str">
        <f>IF(BD209="","","INSERT INTO imeprezime (id,osoba_id,rbr,ime,prezime,klub_id,identitet_id,sintaksa_id,info,aktivno,dnevnik_id) VALUES ("&amp;BD209&amp;","&amp;IF(DK209="","Null",BD209)&amp;",1,'"&amp;IF(AV209&lt;&gt;"",AV209,AK209)&amp;"','"&amp;IF(AW209&lt;&gt;"",AW209,AL209)&amp;"',(SELECT id FROM klub WHERE naziv = '"&amp;CR209&amp;"'),Null,1,'',1,"&amp;data_dnevnik_id&amp;");")</f>
        <v/>
      </c>
      <c r="DM209" t="s">
        <v>0</v>
      </c>
      <c r="DN209" s="19" t="str">
        <f t="shared" si="182"/>
        <v/>
      </c>
      <c r="DO209" s="47" t="s">
        <v>0</v>
      </c>
      <c r="DP209" s="19" t="str">
        <f>IF(BA209="","","INSERT INTO imeprezime_alias(id,alias,imeprezime_id) VALUES ("&amp;BB209&amp;",'"&amp;BA209&amp;"',"&amp;IF(BC209="NEMA",BD209,BC209)&amp;");")</f>
        <v/>
      </c>
      <c r="DQ209" s="47" t="s">
        <v>0</v>
      </c>
      <c r="DR209" s="52" t="str">
        <f>IF(AL209="","",DU209 &amp; IF(Q209="",""," – " &amp; Q209))</f>
        <v>Sara – Delić – OK Jelen – Ž12</v>
      </c>
      <c r="DS209" s="53">
        <f t="shared" si="200"/>
        <v>159</v>
      </c>
      <c r="DT209" s="47" t="s">
        <v>0</v>
      </c>
      <c r="DU209" s="52" t="str">
        <f>IF(AL209="","",DX209 &amp; IF(CR209="",""," – " &amp; CR209))</f>
        <v>Sara – Delić – OK Jelen</v>
      </c>
      <c r="DV209" s="53">
        <f t="shared" si="201"/>
        <v>159</v>
      </c>
      <c r="DW209" s="47" t="s">
        <v>0</v>
      </c>
      <c r="DX209" s="52" t="str">
        <f>IF(BG209="","",BF209&amp;" – "&amp;BG209)</f>
        <v>Sara – Delić</v>
      </c>
      <c r="DY209" s="53">
        <f t="shared" si="202"/>
        <v>159</v>
      </c>
      <c r="DZ209" s="47" t="s">
        <v>0</v>
      </c>
      <c r="EA209" s="58">
        <f t="shared" si="231"/>
        <v>159</v>
      </c>
      <c r="EB209" s="53" cm="1">
        <f t="array" ref="EB209">IF(EA209&lt;&gt;"",INDEX(regNatjecatelj_id,EA209,0),IF(BD209&lt;&gt;"",BD209,""))</f>
        <v>1528</v>
      </c>
      <c r="EC209" s="47" t="s">
        <v>0</v>
      </c>
      <c r="ED209" s="58" t="str">
        <f>IF(AL209="","",IF(BD209&lt;&gt;"","novo",IF(AN209="","imepre","imepre(ali)")))</f>
        <v>imepre</v>
      </c>
      <c r="EE209" s="73" t="str">
        <f>IF(AL209="","",IF(BL209="",IF(IFERROR(INDEX(regNatjecatelj_klub,MATCH(EB209,regNatjecatelj_id,0)),"NEMA")="","klu",""),IF(OR(AND(BN209&lt;&gt;"",BN209&lt;&gt;"NEMA"),CD209&lt;&gt;""),"klu(ali)",IF(AND(BP209&lt;&gt;"",BP209&lt;&gt;BO209),"(raz-klu)","klu"))))</f>
        <v>klu</v>
      </c>
      <c r="EF209" s="73" t="str">
        <f>IF(AL209="","","kat"&amp;IF(AND(W209&lt;&gt;Q209,Q209&lt;&gt;"Open"),"(ali)",""))</f>
        <v>kat</v>
      </c>
      <c r="EG209" s="73" t="str">
        <f t="shared" si="203"/>
        <v/>
      </c>
      <c r="EH209" s="66" t="str">
        <f>IF(AL209="","",ED209&amp;IF(ED209="novo","","-"&amp;EE209&amp;"-"&amp;EF209)&amp;IF(EG209="","","-"&amp;EG209))</f>
        <v>imepre-klu-kat</v>
      </c>
      <c r="EI209" s="47" t="s">
        <v>0</v>
      </c>
      <c r="EJ209" s="58">
        <f>IF(AL209="","",MAX(EJ$12:EJ208)+1)</f>
        <v>369</v>
      </c>
      <c r="EK209" s="73">
        <f>IF(AO209="","",X209)</f>
        <v>35</v>
      </c>
      <c r="EL209" s="73">
        <f t="shared" si="232"/>
        <v>1528</v>
      </c>
      <c r="EM209" s="73">
        <f t="shared" si="204"/>
        <v>1280</v>
      </c>
      <c r="EN209" s="73">
        <f t="shared" si="205"/>
        <v>1</v>
      </c>
      <c r="EO209" s="73">
        <f t="shared" si="233"/>
        <v>1</v>
      </c>
      <c r="EP209" s="73">
        <f t="shared" si="234"/>
        <v>1</v>
      </c>
      <c r="EQ209" s="73" t="str">
        <f t="shared" si="206"/>
        <v>0</v>
      </c>
      <c r="ER209" s="73" t="str">
        <f>IF(OR(AN209="",AN209="NEMA"),BB209,AN209)</f>
        <v/>
      </c>
      <c r="ES209" s="73" t="str">
        <f>IF(AND(BN209&lt;&gt;"",BN209&lt;&gt;"NEMA"),BN209,IF(CG209&lt;&gt;"",CG209,IF(AND(CL209&lt;&gt;"",CL209&lt;&gt;"NEMA"),CL209,IF(CM209&lt;&gt;"",CM209,""))))</f>
        <v/>
      </c>
      <c r="ET209" s="53" t="str">
        <f>IF(INDEX(natKategorija_alias_Id,MATCH(S209,natKategorija_katRegId,0))="","",INDEX(natKategorija_alias_Id,MATCH(S209,natKategorija_katRegId,0)))</f>
        <v/>
      </c>
      <c r="EU209" s="47" t="s">
        <v>0</v>
      </c>
      <c r="EV209" s="19" t="str">
        <f t="shared" si="235"/>
        <v>INSERT INTO rezultat(id,stazakategorija_id,imeprezime_id,vrijeme_sec,status_id,registracija,uparivanje_id,originalstatus_id,imeprezimealias_id,klubalias_id,kategorijaalias_id) VALUES (369,35,1528,1280,1,1,1,0,Null,Null,Null);</v>
      </c>
      <c r="EW209" s="47" t="s">
        <v>0</v>
      </c>
      <c r="EX209" s="19" t="str">
        <f t="shared" si="236"/>
        <v>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09" s="47" t="s">
        <v>0</v>
      </c>
      <c r="EZ209" s="180" t="str">
        <f>AG209&amp;IF(CP209="","","
")&amp;CP209&amp;IF(CI209="","","
")&amp;CI209&amp;IF(DN209="","","
")&amp;DN209&amp;IF(DP209="","","
")&amp;DP209&amp;IF(EV209="","","
")&amp;EV209&amp;IF(EX209="","","
")&amp;EX209</f>
        <v xml:space="preserve">
INSERT INTO rezultat(id,stazakategorija_id,imeprezime_id,vrijeme_sec,status_id,registracija,uparivanje_id,originalstatus_id,imeprezimealias_id,klubalias_id,kategorijaalias_id) VALUES (369,35,1528,1280,1,1,1,0,Null,Null,Null);
UPDATE
	registar
SET
	potvrda = 1
WHERE
	imeprezime_id=1528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09" s="47" t="s">
        <v>0</v>
      </c>
    </row>
    <row r="210" spans="1:157" x14ac:dyDescent="0.25">
      <c r="A210" t="s">
        <v>0</v>
      </c>
      <c r="B210" s="52" t="str">
        <f>IF(csv!F200="","",csv!T200)</f>
        <v>Ž12</v>
      </c>
      <c r="C210" s="31" t="s">
        <v>0</v>
      </c>
      <c r="D210" s="31" t="str">
        <f>IF(csv!F200="","",csv!F200)</f>
        <v>Dora</v>
      </c>
      <c r="E210" s="31" t="str">
        <f>IF(csv!E200="","",csv!E200)</f>
        <v>Delić</v>
      </c>
      <c r="F210" s="31" t="s">
        <v>0</v>
      </c>
      <c r="G210" s="73" t="str">
        <f>IF(csv!M200="","",csv!M200)</f>
        <v>25:12</v>
      </c>
      <c r="H210" s="73" t="str">
        <f>IF(csv!N200="","",csv!N200)</f>
        <v>0</v>
      </c>
      <c r="I210" s="31" t="s">
        <v>0</v>
      </c>
      <c r="J210" s="31" t="str">
        <f>IF(csv!P200="","",csv!P200)</f>
        <v>OK Jelen</v>
      </c>
      <c r="K210" s="31" t="str">
        <f>IF(csv!Q200="","",csv!Q200)</f>
        <v>OK Jelen</v>
      </c>
      <c r="L210" s="31" t="s">
        <v>0</v>
      </c>
      <c r="M210" s="66" t="str">
        <f>IF(csv!R200="","",csv!R200)</f>
        <v>CRO</v>
      </c>
      <c r="N210" s="47" t="s">
        <v>0</v>
      </c>
      <c r="O210" s="243" t="str">
        <f t="shared" si="207"/>
        <v>ok</v>
      </c>
      <c r="P210" s="47"/>
      <c r="Q210" s="52" t="str">
        <f t="shared" si="208"/>
        <v>Ž12</v>
      </c>
      <c r="R210" s="73">
        <f>IF(Q210="","",IF(COUNTIF(Q$12:Q209,Q210)=0,R209+1,R209))</f>
        <v>13</v>
      </c>
      <c r="S210" s="73">
        <f t="shared" si="209"/>
        <v>122</v>
      </c>
      <c r="T210" s="73">
        <f t="shared" si="184"/>
        <v>22</v>
      </c>
      <c r="U210" s="66" t="str">
        <f t="shared" si="185"/>
        <v>M12 – Ž12</v>
      </c>
      <c r="V210" s="47" t="s">
        <v>0</v>
      </c>
      <c r="W210" s="222" t="str">
        <f t="shared" si="186"/>
        <v>Ž12</v>
      </c>
      <c r="X210" s="223">
        <f t="shared" si="187"/>
        <v>35</v>
      </c>
      <c r="Y210" s="47" t="s">
        <v>0</v>
      </c>
      <c r="Z210" s="52" t="str">
        <f t="shared" si="210"/>
        <v>CRO</v>
      </c>
      <c r="AA210" s="73">
        <f t="shared" si="188"/>
        <v>1</v>
      </c>
      <c r="AB210" s="31" t="str">
        <f t="shared" si="211"/>
        <v/>
      </c>
      <c r="AC210" s="66" t="str">
        <f>IF(AB210="","",MAX(AC$12:AC209)+1)</f>
        <v/>
      </c>
      <c r="AD210" s="47" t="s">
        <v>0</v>
      </c>
      <c r="AE210" s="125"/>
      <c r="AF210" s="47" t="s">
        <v>0</v>
      </c>
      <c r="AG210" s="19" t="str">
        <f t="shared" si="212"/>
        <v/>
      </c>
      <c r="AH210" s="47" t="s">
        <v>0</v>
      </c>
      <c r="AI210" s="143" t="str">
        <f t="shared" si="213"/>
        <v>CRO</v>
      </c>
      <c r="AJ210" s="47"/>
      <c r="AK210" s="52" t="str">
        <f t="shared" si="214"/>
        <v>Dora</v>
      </c>
      <c r="AL210" s="31" t="str">
        <f t="shared" si="215"/>
        <v>Delić</v>
      </c>
      <c r="AM210" s="73">
        <f t="shared" si="216"/>
        <v>1338</v>
      </c>
      <c r="AN210" s="73" t="str">
        <f t="shared" si="217"/>
        <v/>
      </c>
      <c r="AO210" s="31" t="str">
        <f t="shared" si="189"/>
        <v>Dora</v>
      </c>
      <c r="AP210" s="66" t="str">
        <f t="shared" si="190"/>
        <v>Delić</v>
      </c>
      <c r="AQ210" s="47" t="s">
        <v>0</v>
      </c>
      <c r="AR210" s="82" t="str">
        <f t="shared" si="218"/>
        <v/>
      </c>
      <c r="AS210" s="47" t="s">
        <v>0</v>
      </c>
      <c r="AT210" s="19" t="str">
        <f t="shared" si="219"/>
        <v/>
      </c>
      <c r="AU210" s="47" t="s">
        <v>0</v>
      </c>
      <c r="AV210" s="103"/>
      <c r="AW210" s="105"/>
      <c r="AX210" s="47" t="s">
        <v>0</v>
      </c>
      <c r="AY210" s="256" t="str">
        <f t="shared" si="181"/>
        <v/>
      </c>
      <c r="AZ210" s="47" t="s">
        <v>0</v>
      </c>
      <c r="BA210" s="52" t="str">
        <f t="shared" si="191"/>
        <v/>
      </c>
      <c r="BB210" s="73" t="str">
        <f>IF(AV210&amp;AW210="","",MAX(BB$12:BB209)+1)</f>
        <v/>
      </c>
      <c r="BC210" s="268" t="str">
        <f t="shared" si="192"/>
        <v/>
      </c>
      <c r="BD210" s="53" t="str">
        <f>IF(AND(AM210="NEMA",AN210="NEMA",OR(AV210&amp;AW210="",BC210="NEMA")),MAX(BD$12:BD209)+1,"")</f>
        <v/>
      </c>
      <c r="BE210" s="47" t="s">
        <v>0</v>
      </c>
      <c r="BF210" s="52" t="str">
        <f t="shared" si="193"/>
        <v>Dora</v>
      </c>
      <c r="BG210" s="31" t="str">
        <f t="shared" si="194"/>
        <v>Delić</v>
      </c>
      <c r="BH210" s="73" t="str">
        <f t="shared" si="220"/>
        <v/>
      </c>
      <c r="BI210" s="53">
        <f t="shared" si="221"/>
        <v>1338</v>
      </c>
      <c r="BJ210" s="47" t="s">
        <v>0</v>
      </c>
      <c r="BK210" s="52" t="str">
        <f t="shared" si="195"/>
        <v>OK Jelen</v>
      </c>
      <c r="BL210" s="31" t="str">
        <f t="shared" si="196"/>
        <v>OK Jelen</v>
      </c>
      <c r="BM210" s="73">
        <f t="shared" si="197"/>
        <v>4</v>
      </c>
      <c r="BN210" s="73" t="str">
        <f t="shared" si="198"/>
        <v/>
      </c>
      <c r="BO210" s="31" t="str" cm="1">
        <f t="array" ref="BO210">IF(BN210="",""&amp;BL210,IF(BN210="NEMA",BL210,INDEX(regKlub_naziv,MATCH(INDEX(regKlub_alias_klubId,BN210),regKlub_id,0))))</f>
        <v>OK Jelen</v>
      </c>
      <c r="BP210" s="31" t="str" cm="1">
        <f t="array" ref="BP210">IFERROR(""&amp;INDEX(regNatjecatelj_klub,DY210),"")</f>
        <v>OK Jelen</v>
      </c>
      <c r="BQ210" s="88" t="str">
        <f t="shared" si="222"/>
        <v/>
      </c>
      <c r="BR210" s="66" t="str">
        <f t="shared" si="223"/>
        <v>OK Jelen</v>
      </c>
      <c r="BS210" s="47" t="s">
        <v>0</v>
      </c>
      <c r="BT210" s="82" t="str">
        <f>IF(BN210&lt;&gt;"NEMA","",IF(IFERROR(MATCH(BL210,BL$12:BL209,0),0)&lt;&gt;0,"",BL210))</f>
        <v/>
      </c>
      <c r="BU210" s="47" t="s">
        <v>0</v>
      </c>
      <c r="BV210" s="125"/>
      <c r="BW210" s="47" t="s">
        <v>0</v>
      </c>
      <c r="BX210" s="58" t="str">
        <f t="shared" si="224"/>
        <v/>
      </c>
      <c r="BY210" s="31" t="str">
        <f t="shared" si="225"/>
        <v/>
      </c>
      <c r="BZ210" s="31" t="str">
        <f>IF(BY210="","",MAX(BZ$12:BZ209)+1)</f>
        <v/>
      </c>
      <c r="CA210" s="31" t="str">
        <f>IF(BY210="","",IF(AA210="","",IF(AA210="NEMA",AC210,AA210)))</f>
        <v/>
      </c>
      <c r="CB210" s="31" t="str">
        <f t="shared" si="226"/>
        <v/>
      </c>
      <c r="CC210" s="31" t="str">
        <f>IF(BV210="","",MAX(CC$12:CC209)+1)</f>
        <v/>
      </c>
      <c r="CD210" s="31" t="str">
        <f t="shared" si="227"/>
        <v/>
      </c>
      <c r="CE210" s="66" t="str">
        <f t="shared" si="228"/>
        <v/>
      </c>
      <c r="CF210" s="47" t="s">
        <v>0</v>
      </c>
      <c r="CG210" s="73" t="str">
        <f>IF(BN210="","",IF(BN210&lt;&gt;"NEMA","",IFERROR(INDEX(nat_klubAliasId,MATCH(BL210,nat_noviKluboviAliasi,0)),"")))</f>
        <v/>
      </c>
      <c r="CH210" s="47"/>
      <c r="CI210" s="19" t="str">
        <f t="shared" si="229"/>
        <v/>
      </c>
      <c r="CJ210" s="47" t="s">
        <v>0</v>
      </c>
      <c r="CK210" s="52" t="str">
        <f>IF(X210&lt;&gt;"NEMA","",IF(IFERROR(MATCH(W210,W$12:W209,0),0)&lt;&gt;0,"",W210))</f>
        <v/>
      </c>
      <c r="CL210" s="73" t="str">
        <f>IF(CK210="","",IFERROR(INDEX(regKlub_alias_id,MATCH(CK210,regKlub_alias_alias,0)),"NEMA"))</f>
        <v/>
      </c>
      <c r="CM210" s="31" t="str">
        <f>IF(OR(CL210="",CL210&lt;&gt;"NEMA"),"",MAX(CM$12:CM209)+1)</f>
        <v/>
      </c>
      <c r="CN210" s="66" t="str">
        <f>IF(OR(CL210="",CL210&lt;&gt;"NEMA"),"",INDEX(regKlub_id,MATCH(CK210,regKlub_naziv,0)))</f>
        <v/>
      </c>
      <c r="CO210" s="47" t="s">
        <v>0</v>
      </c>
      <c r="CP210" s="19" t="str">
        <f>IF(OR(CL210="",CL210&lt;&gt;"NEMA"),"","INSERT INTO klub_alias(id,alias,klub_id) VALUES ("&amp;CM210&amp;",'"&amp;CK210&amp;"',"&amp;CN210&amp;");")</f>
        <v/>
      </c>
      <c r="CQ210" s="47" t="s">
        <v>0</v>
      </c>
      <c r="CR210" s="143" t="str">
        <f>IF(BR210="","",IF(BV210="",IF(IFERROR(MATCH(BR210,nat_noviKluboviAliasi,0),0)&gt;0,INDEX(nat_kluboviAliasi,MATCH(BR210,nat_noviKluboviAliasi,0)),BR210),BV210))</f>
        <v>OK Jelen</v>
      </c>
      <c r="CS210" s="47" t="s">
        <v>0</v>
      </c>
      <c r="CT210" s="58" t="str">
        <f>IF(G210="","",G210)</f>
        <v>25:12</v>
      </c>
      <c r="CU210" s="73" t="str">
        <f>IF(H210="","",H210)</f>
        <v>0</v>
      </c>
      <c r="CV210" s="229" t="str">
        <f>IF(CT210="",IF(OR(AL210="",CU210&lt;&gt;"0"),"","GREŠKA"),IF(AND(65535&gt;=VALUE(LEFT(CT210,SEARCH(":",CT210)-1))*60+VALUE(RIGHT(CT210,2)),OR(CU210="0",CU210="1",CU210="2",CU210="3",CU210="4")),"","GREŠKA"))</f>
        <v/>
      </c>
      <c r="CW210" s="230">
        <f t="shared" si="183"/>
        <v>1512</v>
      </c>
      <c r="CX210" s="163">
        <f t="shared" si="199"/>
        <v>1</v>
      </c>
      <c r="CY210" s="47" t="s">
        <v>0</v>
      </c>
      <c r="CZ210" s="222" t="str">
        <f>IF(CV210&lt;&gt;"GREŠKA","",AK210&amp;" "&amp;AL210&amp;" – Molim u OEventu provjeriti i ispraviti rezultat – vrijeme ("&amp;IF(CT210="","nije upisano",CT210)&amp;") i classifier ("&amp;CU210&amp;").")&amp;IF(OR(CV210&lt;&gt;"GREŠKA",CX210&lt;&gt;5),"
","")&amp;IF(CX210&lt;&gt;5,"",AK210&amp;" "&amp;AL210&amp;" – Molim u provjeriti je li natjecatelj zaista diskvalificiran. Ako je koje je obrazloženje, ako nije molim u OEventu ispraviti rezultat")</f>
        <v xml:space="preserve">
</v>
      </c>
      <c r="DA210" s="223">
        <f t="shared" si="230"/>
        <v>6</v>
      </c>
      <c r="DB210" s="47" t="s">
        <v>0</v>
      </c>
      <c r="DC210" s="47"/>
      <c r="DD210" s="47"/>
      <c r="DE210" s="47"/>
      <c r="DF210" s="47" t="s">
        <v>0</v>
      </c>
      <c r="DG210" s="53" t="str">
        <f>IF(BD210="","",IF(DI210="O",1,""))</f>
        <v/>
      </c>
      <c r="DH210" t="s">
        <v>0</v>
      </c>
      <c r="DI210" s="128" t="str">
        <f>IF(Q210="","",LEFT(INDEX(regKategorija_oznaka,MATCH(S210,regKategorija_id,0)),1))</f>
        <v>Ž</v>
      </c>
      <c r="DJ210" t="s">
        <v>0</v>
      </c>
      <c r="DK210" s="52" t="str">
        <f>IF(BD210="","",IF(M210&lt;&gt;"CRO","","INSERT INTO osoba (id,reg_broj,oib,spol_id,dat_rodjenja) VALUES ("&amp;BD210&amp;",(SELECT max(os.reg_broj)+1 FROM osoba AS os),Null,'"&amp;DI210&amp;"',Null); INSERT INTO osoba_log (id,reg_broj,oib,spol_id,dat_rodjenja,dnevnik_id) SELECT id,reg_broj,oib,spol_id,dat_rodjenja,"&amp;data_dnevnik_id&amp;" FROM osoba WHERE id = "&amp;BD210&amp;";"))</f>
        <v/>
      </c>
      <c r="DL210" s="66" t="str">
        <f>IF(BD210="","","INSERT INTO imeprezime (id,osoba_id,rbr,ime,prezime,klub_id,identitet_id,sintaksa_id,info,aktivno,dnevnik_id) VALUES ("&amp;BD210&amp;","&amp;IF(DK210="","Null",BD210)&amp;",1,'"&amp;IF(AV210&lt;&gt;"",AV210,AK210)&amp;"','"&amp;IF(AW210&lt;&gt;"",AW210,AL210)&amp;"',(SELECT id FROM klub WHERE naziv = '"&amp;CR210&amp;"'),Null,1,'',1,"&amp;data_dnevnik_id&amp;");")</f>
        <v/>
      </c>
      <c r="DM210" t="s">
        <v>0</v>
      </c>
      <c r="DN210" s="19" t="str">
        <f t="shared" si="182"/>
        <v/>
      </c>
      <c r="DO210" s="47" t="s">
        <v>0</v>
      </c>
      <c r="DP210" s="19" t="str">
        <f>IF(BA210="","","INSERT INTO imeprezime_alias(id,alias,imeprezime_id) VALUES ("&amp;BB210&amp;",'"&amp;BA210&amp;"',"&amp;IF(BC210="NEMA",BD210,BC210)&amp;");")</f>
        <v/>
      </c>
      <c r="DQ210" s="47" t="s">
        <v>0</v>
      </c>
      <c r="DR210" s="52" t="str">
        <f>IF(AL210="","",DU210 &amp; IF(Q210="",""," – " &amp; Q210))</f>
        <v>Dora – Delić – OK Jelen – Ž12</v>
      </c>
      <c r="DS210" s="53">
        <f t="shared" si="200"/>
        <v>158</v>
      </c>
      <c r="DT210" s="47" t="s">
        <v>0</v>
      </c>
      <c r="DU210" s="52" t="str">
        <f>IF(AL210="","",DX210 &amp; IF(CR210="",""," – " &amp; CR210))</f>
        <v>Dora – Delić – OK Jelen</v>
      </c>
      <c r="DV210" s="53">
        <f t="shared" si="201"/>
        <v>158</v>
      </c>
      <c r="DW210" s="47" t="s">
        <v>0</v>
      </c>
      <c r="DX210" s="52" t="str">
        <f>IF(BG210="","",BF210&amp;" – "&amp;BG210)</f>
        <v>Dora – Delić</v>
      </c>
      <c r="DY210" s="53">
        <f t="shared" si="202"/>
        <v>158</v>
      </c>
      <c r="DZ210" s="47" t="s">
        <v>0</v>
      </c>
      <c r="EA210" s="58">
        <f t="shared" si="231"/>
        <v>158</v>
      </c>
      <c r="EB210" s="53" cm="1">
        <f t="array" ref="EB210">IF(EA210&lt;&gt;"",INDEX(regNatjecatelj_id,EA210,0),IF(BD210&lt;&gt;"",BD210,""))</f>
        <v>1338</v>
      </c>
      <c r="EC210" s="47" t="s">
        <v>0</v>
      </c>
      <c r="ED210" s="58" t="str">
        <f>IF(AL210="","",IF(BD210&lt;&gt;"","novo",IF(AN210="","imepre","imepre(ali)")))</f>
        <v>imepre</v>
      </c>
      <c r="EE210" s="73" t="str">
        <f>IF(AL210="","",IF(BL210="",IF(IFERROR(INDEX(regNatjecatelj_klub,MATCH(EB210,regNatjecatelj_id,0)),"NEMA")="","klu",""),IF(OR(AND(BN210&lt;&gt;"",BN210&lt;&gt;"NEMA"),CD210&lt;&gt;""),"klu(ali)",IF(AND(BP210&lt;&gt;"",BP210&lt;&gt;BO210),"(raz-klu)","klu"))))</f>
        <v>klu</v>
      </c>
      <c r="EF210" s="73" t="str">
        <f>IF(AL210="","","kat"&amp;IF(AND(W210&lt;&gt;Q210,Q210&lt;&gt;"Open"),"(ali)",""))</f>
        <v>kat</v>
      </c>
      <c r="EG210" s="73" t="str">
        <f t="shared" si="203"/>
        <v/>
      </c>
      <c r="EH210" s="66" t="str">
        <f>IF(AL210="","",ED210&amp;IF(ED210="novo","","-"&amp;EE210&amp;"-"&amp;EF210)&amp;IF(EG210="","","-"&amp;EG210))</f>
        <v>imepre-klu-kat</v>
      </c>
      <c r="EI210" s="47" t="s">
        <v>0</v>
      </c>
      <c r="EJ210" s="58">
        <f>IF(AL210="","",MAX(EJ$12:EJ209)+1)</f>
        <v>370</v>
      </c>
      <c r="EK210" s="73">
        <f>IF(AO210="","",X210)</f>
        <v>35</v>
      </c>
      <c r="EL210" s="73">
        <f t="shared" si="232"/>
        <v>1338</v>
      </c>
      <c r="EM210" s="73">
        <f t="shared" si="204"/>
        <v>1512</v>
      </c>
      <c r="EN210" s="73">
        <f t="shared" si="205"/>
        <v>1</v>
      </c>
      <c r="EO210" s="73">
        <f t="shared" si="233"/>
        <v>1</v>
      </c>
      <c r="EP210" s="73">
        <f t="shared" si="234"/>
        <v>1</v>
      </c>
      <c r="EQ210" s="73" t="str">
        <f t="shared" si="206"/>
        <v>0</v>
      </c>
      <c r="ER210" s="73" t="str">
        <f>IF(OR(AN210="",AN210="NEMA"),BB210,AN210)</f>
        <v/>
      </c>
      <c r="ES210" s="73" t="str">
        <f>IF(AND(BN210&lt;&gt;"",BN210&lt;&gt;"NEMA"),BN210,IF(CG210&lt;&gt;"",CG210,IF(AND(CL210&lt;&gt;"",CL210&lt;&gt;"NEMA"),CL210,IF(CM210&lt;&gt;"",CM210,""))))</f>
        <v/>
      </c>
      <c r="ET210" s="53" t="str">
        <f>IF(INDEX(natKategorija_alias_Id,MATCH(S210,natKategorija_katRegId,0))="","",INDEX(natKategorija_alias_Id,MATCH(S210,natKategorija_katRegId,0)))</f>
        <v/>
      </c>
      <c r="EU210" s="47" t="s">
        <v>0</v>
      </c>
      <c r="EV210" s="19" t="str">
        <f t="shared" si="235"/>
        <v>INSERT INTO rezultat(id,stazakategorija_id,imeprezime_id,vrijeme_sec,status_id,registracija,uparivanje_id,originalstatus_id,imeprezimealias_id,klubalias_id,kategorijaalias_id) VALUES (370,35,1338,1512,1,1,1,0,Null,Null,Null);</v>
      </c>
      <c r="EW210" s="47" t="s">
        <v>0</v>
      </c>
      <c r="EX210" s="19" t="str">
        <f t="shared" si="236"/>
        <v>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0" s="47" t="s">
        <v>0</v>
      </c>
      <c r="EZ210" s="180" t="str">
        <f>AG210&amp;IF(CP210="","","
")&amp;CP210&amp;IF(CI210="","","
")&amp;CI210&amp;IF(DN210="","","
")&amp;DN210&amp;IF(DP210="","","
")&amp;DP210&amp;IF(EV210="","","
")&amp;EV210&amp;IF(EX210="","","
")&amp;EX210</f>
        <v xml:space="preserve">
INSERT INTO rezultat(id,stazakategorija_id,imeprezime_id,vrijeme_sec,status_id,registracija,uparivanje_id,originalstatus_id,imeprezimealias_id,klubalias_id,kategorijaalias_id) VALUES (370,35,1338,1512,1,1,1,0,Null,Null,Null);
UPDATE
	registar
SET
	potvrda = 1
WHERE
	imeprezime_id=1338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0" s="47" t="s">
        <v>0</v>
      </c>
    </row>
    <row r="211" spans="1:157" x14ac:dyDescent="0.25">
      <c r="A211" t="s">
        <v>0</v>
      </c>
      <c r="B211" s="52" t="str">
        <f>IF(csv!F201="","",csv!T201)</f>
        <v>Ž12</v>
      </c>
      <c r="C211" s="31" t="s">
        <v>0</v>
      </c>
      <c r="D211" s="31" t="str">
        <f>IF(csv!F201="","",csv!F201)</f>
        <v>Veronika</v>
      </c>
      <c r="E211" s="31" t="str">
        <f>IF(csv!E201="","",csv!E201)</f>
        <v>Šantić</v>
      </c>
      <c r="F211" s="31" t="s">
        <v>0</v>
      </c>
      <c r="G211" s="73" t="str">
        <f>IF(csv!M201="","",csv!M201)</f>
        <v>25:18</v>
      </c>
      <c r="H211" s="73" t="str">
        <f>IF(csv!N201="","",csv!N201)</f>
        <v>0</v>
      </c>
      <c r="I211" s="31" t="s">
        <v>0</v>
      </c>
      <c r="J211" s="31" t="str">
        <f>IF(csv!P201="","",csv!P201)</f>
        <v>BJE</v>
      </c>
      <c r="K211" s="31" t="str">
        <f>IF(csv!Q201="","",csv!Q201)</f>
        <v>OK Bjelovar</v>
      </c>
      <c r="L211" s="31" t="s">
        <v>0</v>
      </c>
      <c r="M211" s="66" t="str">
        <f>IF(csv!R201="","",csv!R201)</f>
        <v>CRO</v>
      </c>
      <c r="N211" s="47" t="s">
        <v>0</v>
      </c>
      <c r="O211" s="243" t="str">
        <f t="shared" si="207"/>
        <v>ok</v>
      </c>
      <c r="P211" s="47"/>
      <c r="Q211" s="52" t="str">
        <f t="shared" si="208"/>
        <v>Ž12</v>
      </c>
      <c r="R211" s="73">
        <f>IF(Q211="","",IF(COUNTIF(Q$12:Q210,Q211)=0,R210+1,R210))</f>
        <v>13</v>
      </c>
      <c r="S211" s="73">
        <f t="shared" si="209"/>
        <v>122</v>
      </c>
      <c r="T211" s="73">
        <f t="shared" si="184"/>
        <v>22</v>
      </c>
      <c r="U211" s="66" t="str">
        <f t="shared" si="185"/>
        <v>M12 – Ž12</v>
      </c>
      <c r="V211" s="47" t="s">
        <v>0</v>
      </c>
      <c r="W211" s="222" t="str">
        <f t="shared" si="186"/>
        <v>Ž12</v>
      </c>
      <c r="X211" s="223">
        <f t="shared" si="187"/>
        <v>35</v>
      </c>
      <c r="Y211" s="47" t="s">
        <v>0</v>
      </c>
      <c r="Z211" s="52" t="str">
        <f t="shared" si="210"/>
        <v>CRO</v>
      </c>
      <c r="AA211" s="73">
        <f t="shared" si="188"/>
        <v>1</v>
      </c>
      <c r="AB211" s="31" t="str">
        <f t="shared" si="211"/>
        <v/>
      </c>
      <c r="AC211" s="66" t="str">
        <f>IF(AB211="","",MAX(AC$12:AC210)+1)</f>
        <v/>
      </c>
      <c r="AD211" s="47" t="s">
        <v>0</v>
      </c>
      <c r="AE211" s="125"/>
      <c r="AF211" s="47" t="s">
        <v>0</v>
      </c>
      <c r="AG211" s="19" t="str">
        <f t="shared" si="212"/>
        <v/>
      </c>
      <c r="AH211" s="47" t="s">
        <v>0</v>
      </c>
      <c r="AI211" s="143" t="str">
        <f t="shared" si="213"/>
        <v>CRO</v>
      </c>
      <c r="AJ211" s="47"/>
      <c r="AK211" s="52" t="str">
        <f t="shared" si="214"/>
        <v>Veronika</v>
      </c>
      <c r="AL211" s="31" t="str">
        <f t="shared" si="215"/>
        <v>Šantić</v>
      </c>
      <c r="AM211" s="73">
        <f t="shared" si="216"/>
        <v>1364</v>
      </c>
      <c r="AN211" s="73" t="str">
        <f t="shared" si="217"/>
        <v/>
      </c>
      <c r="AO211" s="31" t="str">
        <f t="shared" si="189"/>
        <v>Veronika</v>
      </c>
      <c r="AP211" s="66" t="str">
        <f t="shared" si="190"/>
        <v>Šantić</v>
      </c>
      <c r="AQ211" s="47" t="s">
        <v>0</v>
      </c>
      <c r="AR211" s="82" t="str">
        <f t="shared" si="218"/>
        <v/>
      </c>
      <c r="AS211" s="47" t="s">
        <v>0</v>
      </c>
      <c r="AT211" s="19" t="str">
        <f t="shared" si="219"/>
        <v/>
      </c>
      <c r="AU211" s="47" t="s">
        <v>0</v>
      </c>
      <c r="AV211" s="103"/>
      <c r="AW211" s="105"/>
      <c r="AX211" s="47" t="s">
        <v>0</v>
      </c>
      <c r="AY211" s="256" t="str">
        <f t="shared" si="181"/>
        <v/>
      </c>
      <c r="AZ211" s="47" t="s">
        <v>0</v>
      </c>
      <c r="BA211" s="52" t="str">
        <f t="shared" si="191"/>
        <v/>
      </c>
      <c r="BB211" s="73" t="str">
        <f>IF(AV211&amp;AW211="","",MAX(BB$12:BB210)+1)</f>
        <v/>
      </c>
      <c r="BC211" s="268" t="str">
        <f t="shared" si="192"/>
        <v/>
      </c>
      <c r="BD211" s="53" t="str">
        <f>IF(AND(AM211="NEMA",AN211="NEMA",OR(AV211&amp;AW211="",BC211="NEMA")),MAX(BD$12:BD210)+1,"")</f>
        <v/>
      </c>
      <c r="BE211" s="47" t="s">
        <v>0</v>
      </c>
      <c r="BF211" s="52" t="str">
        <f t="shared" si="193"/>
        <v>Veronika</v>
      </c>
      <c r="BG211" s="31" t="str">
        <f t="shared" si="194"/>
        <v>Šantić</v>
      </c>
      <c r="BH211" s="73" t="str">
        <f t="shared" si="220"/>
        <v/>
      </c>
      <c r="BI211" s="53">
        <f t="shared" si="221"/>
        <v>1364</v>
      </c>
      <c r="BJ211" s="47" t="s">
        <v>0</v>
      </c>
      <c r="BK211" s="52" t="str">
        <f t="shared" si="195"/>
        <v>BJE</v>
      </c>
      <c r="BL211" s="31" t="str">
        <f t="shared" si="196"/>
        <v>OK Bjelovar</v>
      </c>
      <c r="BM211" s="73">
        <f t="shared" si="197"/>
        <v>1</v>
      </c>
      <c r="BN211" s="73" t="str">
        <f t="shared" si="198"/>
        <v/>
      </c>
      <c r="BO211" s="31" t="str" cm="1">
        <f t="array" ref="BO211">IF(BN211="",""&amp;BL211,IF(BN211="NEMA",BL211,INDEX(regKlub_naziv,MATCH(INDEX(regKlub_alias_klubId,BN211),regKlub_id,0))))</f>
        <v>OK Bjelovar</v>
      </c>
      <c r="BP211" s="31" t="str" cm="1">
        <f t="array" ref="BP211">IFERROR(""&amp;INDEX(regNatjecatelj_klub,DY211),"")</f>
        <v>OK Bjelovar</v>
      </c>
      <c r="BQ211" s="88" t="str">
        <f t="shared" si="222"/>
        <v/>
      </c>
      <c r="BR211" s="66" t="str">
        <f t="shared" si="223"/>
        <v>OK Bjelovar</v>
      </c>
      <c r="BS211" s="47" t="s">
        <v>0</v>
      </c>
      <c r="BT211" s="82" t="str">
        <f>IF(BN211&lt;&gt;"NEMA","",IF(IFERROR(MATCH(BL211,BL$12:BL210,0),0)&lt;&gt;0,"",BL211))</f>
        <v/>
      </c>
      <c r="BU211" s="47" t="s">
        <v>0</v>
      </c>
      <c r="BV211" s="125"/>
      <c r="BW211" s="47" t="s">
        <v>0</v>
      </c>
      <c r="BX211" s="58" t="str">
        <f t="shared" si="224"/>
        <v/>
      </c>
      <c r="BY211" s="31" t="str">
        <f t="shared" si="225"/>
        <v/>
      </c>
      <c r="BZ211" s="31" t="str">
        <f>IF(BY211="","",MAX(BZ$12:BZ210)+1)</f>
        <v/>
      </c>
      <c r="CA211" s="31" t="str">
        <f>IF(BY211="","",IF(AA211="","",IF(AA211="NEMA",AC211,AA211)))</f>
        <v/>
      </c>
      <c r="CB211" s="31" t="str">
        <f t="shared" si="226"/>
        <v/>
      </c>
      <c r="CC211" s="31" t="str">
        <f>IF(BV211="","",MAX(CC$12:CC210)+1)</f>
        <v/>
      </c>
      <c r="CD211" s="31" t="str">
        <f t="shared" si="227"/>
        <v/>
      </c>
      <c r="CE211" s="66" t="str">
        <f t="shared" si="228"/>
        <v/>
      </c>
      <c r="CF211" s="47" t="s">
        <v>0</v>
      </c>
      <c r="CG211" s="73" t="str">
        <f>IF(BN211="","",IF(BN211&lt;&gt;"NEMA","",IFERROR(INDEX(nat_klubAliasId,MATCH(BL211,nat_noviKluboviAliasi,0)),"")))</f>
        <v/>
      </c>
      <c r="CH211" s="47"/>
      <c r="CI211" s="19" t="str">
        <f t="shared" si="229"/>
        <v/>
      </c>
      <c r="CJ211" s="47" t="s">
        <v>0</v>
      </c>
      <c r="CK211" s="52" t="str">
        <f>IF(X211&lt;&gt;"NEMA","",IF(IFERROR(MATCH(W211,W$12:W210,0),0)&lt;&gt;0,"",W211))</f>
        <v/>
      </c>
      <c r="CL211" s="73" t="str">
        <f>IF(CK211="","",IFERROR(INDEX(regKlub_alias_id,MATCH(CK211,regKlub_alias_alias,0)),"NEMA"))</f>
        <v/>
      </c>
      <c r="CM211" s="31" t="str">
        <f>IF(OR(CL211="",CL211&lt;&gt;"NEMA"),"",MAX(CM$12:CM210)+1)</f>
        <v/>
      </c>
      <c r="CN211" s="66" t="str">
        <f>IF(OR(CL211="",CL211&lt;&gt;"NEMA"),"",INDEX(regKlub_id,MATCH(CK211,regKlub_naziv,0)))</f>
        <v/>
      </c>
      <c r="CO211" s="47" t="s">
        <v>0</v>
      </c>
      <c r="CP211" s="19" t="str">
        <f>IF(OR(CL211="",CL211&lt;&gt;"NEMA"),"","INSERT INTO klub_alias(id,alias,klub_id) VALUES ("&amp;CM211&amp;",'"&amp;CK211&amp;"',"&amp;CN211&amp;");")</f>
        <v/>
      </c>
      <c r="CQ211" s="47" t="s">
        <v>0</v>
      </c>
      <c r="CR211" s="143" t="str">
        <f>IF(BR211="","",IF(BV211="",IF(IFERROR(MATCH(BR211,nat_noviKluboviAliasi,0),0)&gt;0,INDEX(nat_kluboviAliasi,MATCH(BR211,nat_noviKluboviAliasi,0)),BR211),BV211))</f>
        <v>OK Bjelovar</v>
      </c>
      <c r="CS211" s="47" t="s">
        <v>0</v>
      </c>
      <c r="CT211" s="58" t="str">
        <f>IF(G211="","",G211)</f>
        <v>25:18</v>
      </c>
      <c r="CU211" s="73" t="str">
        <f>IF(H211="","",H211)</f>
        <v>0</v>
      </c>
      <c r="CV211" s="229" t="str">
        <f>IF(CT211="",IF(OR(AL211="",CU211&lt;&gt;"0"),"","GREŠKA"),IF(AND(65535&gt;=VALUE(LEFT(CT211,SEARCH(":",CT211)-1))*60+VALUE(RIGHT(CT211,2)),OR(CU211="0",CU211="1",CU211="2",CU211="3",CU211="4")),"","GREŠKA"))</f>
        <v/>
      </c>
      <c r="CW211" s="230">
        <f t="shared" si="183"/>
        <v>1518</v>
      </c>
      <c r="CX211" s="163">
        <f t="shared" si="199"/>
        <v>1</v>
      </c>
      <c r="CY211" s="47" t="s">
        <v>0</v>
      </c>
      <c r="CZ211" s="222" t="str">
        <f>IF(CV211&lt;&gt;"GREŠKA","",AK211&amp;" "&amp;AL211&amp;" – Molim u OEventu provjeriti i ispraviti rezultat – vrijeme ("&amp;IF(CT211="","nije upisano",CT211)&amp;") i classifier ("&amp;CU211&amp;").")&amp;IF(OR(CV211&lt;&gt;"GREŠKA",CX211&lt;&gt;5),"
","")&amp;IF(CX211&lt;&gt;5,"",AK211&amp;" "&amp;AL211&amp;" – Molim u provjeriti je li natjecatelj zaista diskvalificiran. Ako je koje je obrazloženje, ako nije molim u OEventu ispraviti rezultat")</f>
        <v xml:space="preserve">
</v>
      </c>
      <c r="DA211" s="223">
        <f t="shared" si="230"/>
        <v>6</v>
      </c>
      <c r="DB211" s="47" t="s">
        <v>0</v>
      </c>
      <c r="DC211" s="47"/>
      <c r="DD211" s="47"/>
      <c r="DE211" s="47"/>
      <c r="DF211" s="47" t="s">
        <v>0</v>
      </c>
      <c r="DG211" s="53" t="str">
        <f>IF(BD211="","",IF(DI211="O",1,""))</f>
        <v/>
      </c>
      <c r="DH211" t="s">
        <v>0</v>
      </c>
      <c r="DI211" s="128" t="str">
        <f>IF(Q211="","",LEFT(INDEX(regKategorija_oznaka,MATCH(S211,regKategorija_id,0)),1))</f>
        <v>Ž</v>
      </c>
      <c r="DJ211" t="s">
        <v>0</v>
      </c>
      <c r="DK211" s="52" t="str">
        <f>IF(BD211="","",IF(M211&lt;&gt;"CRO","","INSERT INTO osoba (id,reg_broj,oib,spol_id,dat_rodjenja) VALUES ("&amp;BD211&amp;",(SELECT max(os.reg_broj)+1 FROM osoba AS os),Null,'"&amp;DI211&amp;"',Null); INSERT INTO osoba_log (id,reg_broj,oib,spol_id,dat_rodjenja,dnevnik_id) SELECT id,reg_broj,oib,spol_id,dat_rodjenja,"&amp;data_dnevnik_id&amp;" FROM osoba WHERE id = "&amp;BD211&amp;";"))</f>
        <v/>
      </c>
      <c r="DL211" s="66" t="str">
        <f>IF(BD211="","","INSERT INTO imeprezime (id,osoba_id,rbr,ime,prezime,klub_id,identitet_id,sintaksa_id,info,aktivno,dnevnik_id) VALUES ("&amp;BD211&amp;","&amp;IF(DK211="","Null",BD211)&amp;",1,'"&amp;IF(AV211&lt;&gt;"",AV211,AK211)&amp;"','"&amp;IF(AW211&lt;&gt;"",AW211,AL211)&amp;"',(SELECT id FROM klub WHERE naziv = '"&amp;CR211&amp;"'),Null,1,'',1,"&amp;data_dnevnik_id&amp;");")</f>
        <v/>
      </c>
      <c r="DM211" t="s">
        <v>0</v>
      </c>
      <c r="DN211" s="19" t="str">
        <f t="shared" si="182"/>
        <v/>
      </c>
      <c r="DO211" s="47" t="s">
        <v>0</v>
      </c>
      <c r="DP211" s="19" t="str">
        <f>IF(BA211="","","INSERT INTO imeprezime_alias(id,alias,imeprezime_id) VALUES ("&amp;BB211&amp;",'"&amp;BA211&amp;"',"&amp;IF(BC211="NEMA",BD211,BC211)&amp;");")</f>
        <v/>
      </c>
      <c r="DQ211" s="47" t="s">
        <v>0</v>
      </c>
      <c r="DR211" s="52" t="str">
        <f>IF(AL211="","",DU211 &amp; IF(Q211="",""," – " &amp; Q211))</f>
        <v>Veronika – Šantić – OK Bjelovar – Ž12</v>
      </c>
      <c r="DS211" s="53">
        <f t="shared" si="200"/>
        <v>26</v>
      </c>
      <c r="DT211" s="47" t="s">
        <v>0</v>
      </c>
      <c r="DU211" s="52" t="str">
        <f>IF(AL211="","",DX211 &amp; IF(CR211="",""," – " &amp; CR211))</f>
        <v>Veronika – Šantić – OK Bjelovar</v>
      </c>
      <c r="DV211" s="53">
        <f t="shared" si="201"/>
        <v>26</v>
      </c>
      <c r="DW211" s="47" t="s">
        <v>0</v>
      </c>
      <c r="DX211" s="52" t="str">
        <f>IF(BG211="","",BF211&amp;" – "&amp;BG211)</f>
        <v>Veronika – Šantić</v>
      </c>
      <c r="DY211" s="53">
        <f t="shared" si="202"/>
        <v>26</v>
      </c>
      <c r="DZ211" s="47" t="s">
        <v>0</v>
      </c>
      <c r="EA211" s="58">
        <f t="shared" si="231"/>
        <v>26</v>
      </c>
      <c r="EB211" s="53" cm="1">
        <f t="array" ref="EB211">IF(EA211&lt;&gt;"",INDEX(regNatjecatelj_id,EA211,0),IF(BD211&lt;&gt;"",BD211,""))</f>
        <v>1364</v>
      </c>
      <c r="EC211" s="47" t="s">
        <v>0</v>
      </c>
      <c r="ED211" s="58" t="str">
        <f>IF(AL211="","",IF(BD211&lt;&gt;"","novo",IF(AN211="","imepre","imepre(ali)")))</f>
        <v>imepre</v>
      </c>
      <c r="EE211" s="73" t="str">
        <f>IF(AL211="","",IF(BL211="",IF(IFERROR(INDEX(regNatjecatelj_klub,MATCH(EB211,regNatjecatelj_id,0)),"NEMA")="","klu",""),IF(OR(AND(BN211&lt;&gt;"",BN211&lt;&gt;"NEMA"),CD211&lt;&gt;""),"klu(ali)",IF(AND(BP211&lt;&gt;"",BP211&lt;&gt;BO211),"(raz-klu)","klu"))))</f>
        <v>klu</v>
      </c>
      <c r="EF211" s="73" t="str">
        <f>IF(AL211="","","kat"&amp;IF(AND(W211&lt;&gt;Q211,Q211&lt;&gt;"Open"),"(ali)",""))</f>
        <v>kat</v>
      </c>
      <c r="EG211" s="73" t="str">
        <f t="shared" si="203"/>
        <v/>
      </c>
      <c r="EH211" s="66" t="str">
        <f>IF(AL211="","",ED211&amp;IF(ED211="novo","","-"&amp;EE211&amp;"-"&amp;EF211)&amp;IF(EG211="","","-"&amp;EG211))</f>
        <v>imepre-klu-kat</v>
      </c>
      <c r="EI211" s="47" t="s">
        <v>0</v>
      </c>
      <c r="EJ211" s="58">
        <f>IF(AL211="","",MAX(EJ$12:EJ210)+1)</f>
        <v>371</v>
      </c>
      <c r="EK211" s="73">
        <f>IF(AO211="","",X211)</f>
        <v>35</v>
      </c>
      <c r="EL211" s="73">
        <f t="shared" si="232"/>
        <v>1364</v>
      </c>
      <c r="EM211" s="73">
        <f t="shared" si="204"/>
        <v>1518</v>
      </c>
      <c r="EN211" s="73">
        <f t="shared" si="205"/>
        <v>1</v>
      </c>
      <c r="EO211" s="73">
        <f t="shared" si="233"/>
        <v>1</v>
      </c>
      <c r="EP211" s="73">
        <f t="shared" si="234"/>
        <v>1</v>
      </c>
      <c r="EQ211" s="73" t="str">
        <f t="shared" si="206"/>
        <v>0</v>
      </c>
      <c r="ER211" s="73" t="str">
        <f>IF(OR(AN211="",AN211="NEMA"),BB211,AN211)</f>
        <v/>
      </c>
      <c r="ES211" s="73" t="str">
        <f>IF(AND(BN211&lt;&gt;"",BN211&lt;&gt;"NEMA"),BN211,IF(CG211&lt;&gt;"",CG211,IF(AND(CL211&lt;&gt;"",CL211&lt;&gt;"NEMA"),CL211,IF(CM211&lt;&gt;"",CM211,""))))</f>
        <v/>
      </c>
      <c r="ET211" s="53" t="str">
        <f>IF(INDEX(natKategorija_alias_Id,MATCH(S211,natKategorija_katRegId,0))="","",INDEX(natKategorija_alias_Id,MATCH(S211,natKategorija_katRegId,0)))</f>
        <v/>
      </c>
      <c r="EU211" s="47" t="s">
        <v>0</v>
      </c>
      <c r="EV211" s="19" t="str">
        <f t="shared" si="235"/>
        <v>INSERT INTO rezultat(id,stazakategorija_id,imeprezime_id,vrijeme_sec,status_id,registracija,uparivanje_id,originalstatus_id,imeprezimealias_id,klubalias_id,kategorijaalias_id) VALUES (371,35,1364,1518,1,1,1,0,Null,Null,Null);</v>
      </c>
      <c r="EW211" s="47" t="s">
        <v>0</v>
      </c>
      <c r="EX211" s="19" t="str">
        <f t="shared" si="236"/>
        <v>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1" s="47" t="s">
        <v>0</v>
      </c>
      <c r="EZ211" s="180" t="str">
        <f>AG211&amp;IF(CP211="","","
")&amp;CP211&amp;IF(CI211="","","
")&amp;CI211&amp;IF(DN211="","","
")&amp;DN211&amp;IF(DP211="","","
")&amp;DP211&amp;IF(EV211="","","
")&amp;EV211&amp;IF(EX211="","","
")&amp;EX211</f>
        <v xml:space="preserve">
INSERT INTO rezultat(id,stazakategorija_id,imeprezime_id,vrijeme_sec,status_id,registracija,uparivanje_id,originalstatus_id,imeprezimealias_id,klubalias_id,kategorijaalias_id) VALUES (371,35,1364,1518,1,1,1,0,Null,Null,Null);
UPDATE
	registar
SET
	potvrda = 1
WHERE
	imeprezime_id=1364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1" s="47" t="s">
        <v>0</v>
      </c>
    </row>
    <row r="212" spans="1:157" x14ac:dyDescent="0.25">
      <c r="A212" t="s">
        <v>0</v>
      </c>
      <c r="B212" s="52" t="str">
        <f>IF(csv!F202="","",csv!T202)</f>
        <v>Ž12</v>
      </c>
      <c r="C212" s="31" t="s">
        <v>0</v>
      </c>
      <c r="D212" s="31" t="str">
        <f>IF(csv!F202="","",csv!F202)</f>
        <v>Viktoria</v>
      </c>
      <c r="E212" s="31" t="str">
        <f>IF(csv!E202="","",csv!E202)</f>
        <v>Šantić</v>
      </c>
      <c r="F212" s="31" t="s">
        <v>0</v>
      </c>
      <c r="G212" s="73" t="str">
        <f>IF(csv!M202="","",csv!M202)</f>
        <v>29:30</v>
      </c>
      <c r="H212" s="73" t="str">
        <f>IF(csv!N202="","",csv!N202)</f>
        <v>0</v>
      </c>
      <c r="I212" s="31" t="s">
        <v>0</v>
      </c>
      <c r="J212" s="31" t="str">
        <f>IF(csv!P202="","",csv!P202)</f>
        <v>BJE</v>
      </c>
      <c r="K212" s="31" t="str">
        <f>IF(csv!Q202="","",csv!Q202)</f>
        <v>OK Bjelovar</v>
      </c>
      <c r="L212" s="31" t="s">
        <v>0</v>
      </c>
      <c r="M212" s="66" t="str">
        <f>IF(csv!R202="","",csv!R202)</f>
        <v>CRO</v>
      </c>
      <c r="N212" s="47" t="s">
        <v>0</v>
      </c>
      <c r="O212" s="243" t="str">
        <f t="shared" si="207"/>
        <v>ok</v>
      </c>
      <c r="P212" s="47"/>
      <c r="Q212" s="52" t="str">
        <f t="shared" si="208"/>
        <v>Ž12</v>
      </c>
      <c r="R212" s="73">
        <f>IF(Q212="","",IF(COUNTIF(Q$12:Q211,Q212)=0,R211+1,R211))</f>
        <v>13</v>
      </c>
      <c r="S212" s="73">
        <f t="shared" si="209"/>
        <v>122</v>
      </c>
      <c r="T212" s="73">
        <f t="shared" si="184"/>
        <v>22</v>
      </c>
      <c r="U212" s="66" t="str">
        <f t="shared" si="185"/>
        <v>M12 – Ž12</v>
      </c>
      <c r="V212" s="47" t="s">
        <v>0</v>
      </c>
      <c r="W212" s="222" t="str">
        <f t="shared" si="186"/>
        <v>Ž12</v>
      </c>
      <c r="X212" s="223">
        <f t="shared" si="187"/>
        <v>35</v>
      </c>
      <c r="Y212" s="47" t="s">
        <v>0</v>
      </c>
      <c r="Z212" s="52" t="str">
        <f t="shared" si="210"/>
        <v>CRO</v>
      </c>
      <c r="AA212" s="73">
        <f t="shared" si="188"/>
        <v>1</v>
      </c>
      <c r="AB212" s="31" t="str">
        <f t="shared" si="211"/>
        <v/>
      </c>
      <c r="AC212" s="66" t="str">
        <f>IF(AB212="","",MAX(AC$12:AC211)+1)</f>
        <v/>
      </c>
      <c r="AD212" s="47" t="s">
        <v>0</v>
      </c>
      <c r="AE212" s="125"/>
      <c r="AF212" s="47" t="s">
        <v>0</v>
      </c>
      <c r="AG212" s="19" t="str">
        <f t="shared" si="212"/>
        <v/>
      </c>
      <c r="AH212" s="47" t="s">
        <v>0</v>
      </c>
      <c r="AI212" s="143" t="str">
        <f t="shared" si="213"/>
        <v>CRO</v>
      </c>
      <c r="AJ212" s="47"/>
      <c r="AK212" s="52" t="str">
        <f t="shared" si="214"/>
        <v>Viktoria</v>
      </c>
      <c r="AL212" s="31" t="str">
        <f t="shared" si="215"/>
        <v>Šantić</v>
      </c>
      <c r="AM212" s="73">
        <f t="shared" si="216"/>
        <v>1244</v>
      </c>
      <c r="AN212" s="73" t="str">
        <f t="shared" si="217"/>
        <v/>
      </c>
      <c r="AO212" s="31" t="str">
        <f t="shared" si="189"/>
        <v>Viktoria</v>
      </c>
      <c r="AP212" s="66" t="str">
        <f t="shared" si="190"/>
        <v>Šantić</v>
      </c>
      <c r="AQ212" s="47" t="s">
        <v>0</v>
      </c>
      <c r="AR212" s="82" t="str">
        <f t="shared" si="218"/>
        <v/>
      </c>
      <c r="AS212" s="47" t="s">
        <v>0</v>
      </c>
      <c r="AT212" s="19" t="str">
        <f t="shared" si="219"/>
        <v/>
      </c>
      <c r="AU212" s="47" t="s">
        <v>0</v>
      </c>
      <c r="AV212" s="103"/>
      <c r="AW212" s="105"/>
      <c r="AX212" s="47" t="s">
        <v>0</v>
      </c>
      <c r="AY212" s="256" t="str">
        <f t="shared" si="181"/>
        <v/>
      </c>
      <c r="AZ212" s="47" t="s">
        <v>0</v>
      </c>
      <c r="BA212" s="52" t="str">
        <f t="shared" si="191"/>
        <v/>
      </c>
      <c r="BB212" s="73" t="str">
        <f>IF(AV212&amp;AW212="","",MAX(BB$12:BB211)+1)</f>
        <v/>
      </c>
      <c r="BC212" s="268" t="str">
        <f t="shared" si="192"/>
        <v/>
      </c>
      <c r="BD212" s="53" t="str">
        <f>IF(AND(AM212="NEMA",AN212="NEMA",OR(AV212&amp;AW212="",BC212="NEMA")),MAX(BD$12:BD211)+1,"")</f>
        <v/>
      </c>
      <c r="BE212" s="47" t="s">
        <v>0</v>
      </c>
      <c r="BF212" s="52" t="str">
        <f t="shared" si="193"/>
        <v>Viktoria</v>
      </c>
      <c r="BG212" s="31" t="str">
        <f t="shared" si="194"/>
        <v>Šantić</v>
      </c>
      <c r="BH212" s="73" t="str">
        <f t="shared" si="220"/>
        <v/>
      </c>
      <c r="BI212" s="53">
        <f t="shared" si="221"/>
        <v>1244</v>
      </c>
      <c r="BJ212" s="47" t="s">
        <v>0</v>
      </c>
      <c r="BK212" s="52" t="str">
        <f t="shared" si="195"/>
        <v>BJE</v>
      </c>
      <c r="BL212" s="31" t="str">
        <f t="shared" si="196"/>
        <v>OK Bjelovar</v>
      </c>
      <c r="BM212" s="73">
        <f t="shared" si="197"/>
        <v>1</v>
      </c>
      <c r="BN212" s="73" t="str">
        <f t="shared" si="198"/>
        <v/>
      </c>
      <c r="BO212" s="31" t="str" cm="1">
        <f t="array" ref="BO212">IF(BN212="",""&amp;BL212,IF(BN212="NEMA",BL212,INDEX(regKlub_naziv,MATCH(INDEX(regKlub_alias_klubId,BN212),regKlub_id,0))))</f>
        <v>OK Bjelovar</v>
      </c>
      <c r="BP212" s="31" t="str" cm="1">
        <f t="array" ref="BP212">IFERROR(""&amp;INDEX(regNatjecatelj_klub,DY212),"")</f>
        <v>OK Bjelovar</v>
      </c>
      <c r="BQ212" s="88" t="str">
        <f t="shared" si="222"/>
        <v/>
      </c>
      <c r="BR212" s="66" t="str">
        <f t="shared" si="223"/>
        <v>OK Bjelovar</v>
      </c>
      <c r="BS212" s="47" t="s">
        <v>0</v>
      </c>
      <c r="BT212" s="82" t="str">
        <f>IF(BN212&lt;&gt;"NEMA","",IF(IFERROR(MATCH(BL212,BL$12:BL211,0),0)&lt;&gt;0,"",BL212))</f>
        <v/>
      </c>
      <c r="BU212" s="47" t="s">
        <v>0</v>
      </c>
      <c r="BV212" s="125"/>
      <c r="BW212" s="47" t="s">
        <v>0</v>
      </c>
      <c r="BX212" s="58" t="str">
        <f t="shared" si="224"/>
        <v/>
      </c>
      <c r="BY212" s="31" t="str">
        <f t="shared" si="225"/>
        <v/>
      </c>
      <c r="BZ212" s="31" t="str">
        <f>IF(BY212="","",MAX(BZ$12:BZ211)+1)</f>
        <v/>
      </c>
      <c r="CA212" s="31" t="str">
        <f>IF(BY212="","",IF(AA212="","",IF(AA212="NEMA",AC212,AA212)))</f>
        <v/>
      </c>
      <c r="CB212" s="31" t="str">
        <f t="shared" si="226"/>
        <v/>
      </c>
      <c r="CC212" s="31" t="str">
        <f>IF(BV212="","",MAX(CC$12:CC211)+1)</f>
        <v/>
      </c>
      <c r="CD212" s="31" t="str">
        <f t="shared" si="227"/>
        <v/>
      </c>
      <c r="CE212" s="66" t="str">
        <f t="shared" si="228"/>
        <v/>
      </c>
      <c r="CF212" s="47" t="s">
        <v>0</v>
      </c>
      <c r="CG212" s="73" t="str">
        <f>IF(BN212="","",IF(BN212&lt;&gt;"NEMA","",IFERROR(INDEX(nat_klubAliasId,MATCH(BL212,nat_noviKluboviAliasi,0)),"")))</f>
        <v/>
      </c>
      <c r="CH212" s="47"/>
      <c r="CI212" s="19" t="str">
        <f t="shared" si="229"/>
        <v/>
      </c>
      <c r="CJ212" s="47" t="s">
        <v>0</v>
      </c>
      <c r="CK212" s="52" t="str">
        <f>IF(X212&lt;&gt;"NEMA","",IF(IFERROR(MATCH(W212,W$12:W211,0),0)&lt;&gt;0,"",W212))</f>
        <v/>
      </c>
      <c r="CL212" s="73" t="str">
        <f>IF(CK212="","",IFERROR(INDEX(regKlub_alias_id,MATCH(CK212,regKlub_alias_alias,0)),"NEMA"))</f>
        <v/>
      </c>
      <c r="CM212" s="31" t="str">
        <f>IF(OR(CL212="",CL212&lt;&gt;"NEMA"),"",MAX(CM$12:CM211)+1)</f>
        <v/>
      </c>
      <c r="CN212" s="66" t="str">
        <f>IF(OR(CL212="",CL212&lt;&gt;"NEMA"),"",INDEX(regKlub_id,MATCH(CK212,regKlub_naziv,0)))</f>
        <v/>
      </c>
      <c r="CO212" s="47" t="s">
        <v>0</v>
      </c>
      <c r="CP212" s="19" t="str">
        <f>IF(OR(CL212="",CL212&lt;&gt;"NEMA"),"","INSERT INTO klub_alias(id,alias,klub_id) VALUES ("&amp;CM212&amp;",'"&amp;CK212&amp;"',"&amp;CN212&amp;");")</f>
        <v/>
      </c>
      <c r="CQ212" s="47" t="s">
        <v>0</v>
      </c>
      <c r="CR212" s="143" t="str">
        <f>IF(BR212="","",IF(BV212="",IF(IFERROR(MATCH(BR212,nat_noviKluboviAliasi,0),0)&gt;0,INDEX(nat_kluboviAliasi,MATCH(BR212,nat_noviKluboviAliasi,0)),BR212),BV212))</f>
        <v>OK Bjelovar</v>
      </c>
      <c r="CS212" s="47" t="s">
        <v>0</v>
      </c>
      <c r="CT212" s="58" t="str">
        <f>IF(G212="","",G212)</f>
        <v>29:30</v>
      </c>
      <c r="CU212" s="73" t="str">
        <f>IF(H212="","",H212)</f>
        <v>0</v>
      </c>
      <c r="CV212" s="229" t="str">
        <f>IF(CT212="",IF(OR(AL212="",CU212&lt;&gt;"0"),"","GREŠKA"),IF(AND(65535&gt;=VALUE(LEFT(CT212,SEARCH(":",CT212)-1))*60+VALUE(RIGHT(CT212,2)),OR(CU212="0",CU212="1",CU212="2",CU212="3",CU212="4")),"","GREŠKA"))</f>
        <v/>
      </c>
      <c r="CW212" s="230">
        <f t="shared" si="183"/>
        <v>1770</v>
      </c>
      <c r="CX212" s="163">
        <f t="shared" si="199"/>
        <v>1</v>
      </c>
      <c r="CY212" s="47" t="s">
        <v>0</v>
      </c>
      <c r="CZ212" s="222" t="str">
        <f>IF(CV212&lt;&gt;"GREŠKA","",AK212&amp;" "&amp;AL212&amp;" – Molim u OEventu provjeriti i ispraviti rezultat – vrijeme ("&amp;IF(CT212="","nije upisano",CT212)&amp;") i classifier ("&amp;CU212&amp;").")&amp;IF(OR(CV212&lt;&gt;"GREŠKA",CX212&lt;&gt;5),"
","")&amp;IF(CX212&lt;&gt;5,"",AK212&amp;" "&amp;AL212&amp;" – Molim u provjeriti je li natjecatelj zaista diskvalificiran. Ako je koje je obrazloženje, ako nije molim u OEventu ispraviti rezultat")</f>
        <v xml:space="preserve">
</v>
      </c>
      <c r="DA212" s="223">
        <f t="shared" si="230"/>
        <v>6</v>
      </c>
      <c r="DB212" s="47" t="s">
        <v>0</v>
      </c>
      <c r="DC212" s="47"/>
      <c r="DD212" s="47"/>
      <c r="DE212" s="47"/>
      <c r="DF212" s="47" t="s">
        <v>0</v>
      </c>
      <c r="DG212" s="53" t="str">
        <f>IF(BD212="","",IF(DI212="O",1,""))</f>
        <v/>
      </c>
      <c r="DH212" t="s">
        <v>0</v>
      </c>
      <c r="DI212" s="128" t="str">
        <f>IF(Q212="","",LEFT(INDEX(regKategorija_oznaka,MATCH(S212,regKategorija_id,0)),1))</f>
        <v>Ž</v>
      </c>
      <c r="DJ212" t="s">
        <v>0</v>
      </c>
      <c r="DK212" s="52" t="str">
        <f>IF(BD212="","",IF(M212&lt;&gt;"CRO","","INSERT INTO osoba (id,reg_broj,oib,spol_id,dat_rodjenja) VALUES ("&amp;BD212&amp;",(SELECT max(os.reg_broj)+1 FROM osoba AS os),Null,'"&amp;DI212&amp;"',Null); INSERT INTO osoba_log (id,reg_broj,oib,spol_id,dat_rodjenja,dnevnik_id) SELECT id,reg_broj,oib,spol_id,dat_rodjenja,"&amp;data_dnevnik_id&amp;" FROM osoba WHERE id = "&amp;BD212&amp;";"))</f>
        <v/>
      </c>
      <c r="DL212" s="66" t="str">
        <f>IF(BD212="","","INSERT INTO imeprezime (id,osoba_id,rbr,ime,prezime,klub_id,identitet_id,sintaksa_id,info,aktivno,dnevnik_id) VALUES ("&amp;BD212&amp;","&amp;IF(DK212="","Null",BD212)&amp;",1,'"&amp;IF(AV212&lt;&gt;"",AV212,AK212)&amp;"','"&amp;IF(AW212&lt;&gt;"",AW212,AL212)&amp;"',(SELECT id FROM klub WHERE naziv = '"&amp;CR212&amp;"'),Null,1,'',1,"&amp;data_dnevnik_id&amp;");")</f>
        <v/>
      </c>
      <c r="DM212" t="s">
        <v>0</v>
      </c>
      <c r="DN212" s="19" t="str">
        <f t="shared" si="182"/>
        <v/>
      </c>
      <c r="DO212" s="47" t="s">
        <v>0</v>
      </c>
      <c r="DP212" s="19" t="str">
        <f>IF(BA212="","","INSERT INTO imeprezime_alias(id,alias,imeprezime_id) VALUES ("&amp;BB212&amp;",'"&amp;BA212&amp;"',"&amp;IF(BC212="NEMA",BD212,BC212)&amp;");")</f>
        <v/>
      </c>
      <c r="DQ212" s="47" t="s">
        <v>0</v>
      </c>
      <c r="DR212" s="52" t="str">
        <f>IF(AL212="","",DU212 &amp; IF(Q212="",""," – " &amp; Q212))</f>
        <v>Viktoria – Šantić – OK Bjelovar – Ž12</v>
      </c>
      <c r="DS212" s="53">
        <f t="shared" si="200"/>
        <v>27</v>
      </c>
      <c r="DT212" s="47" t="s">
        <v>0</v>
      </c>
      <c r="DU212" s="52" t="str">
        <f>IF(AL212="","",DX212 &amp; IF(CR212="",""," – " &amp; CR212))</f>
        <v>Viktoria – Šantić – OK Bjelovar</v>
      </c>
      <c r="DV212" s="53">
        <f t="shared" si="201"/>
        <v>27</v>
      </c>
      <c r="DW212" s="47" t="s">
        <v>0</v>
      </c>
      <c r="DX212" s="52" t="str">
        <f>IF(BG212="","",BF212&amp;" – "&amp;BG212)</f>
        <v>Viktoria – Šantić</v>
      </c>
      <c r="DY212" s="53">
        <f t="shared" si="202"/>
        <v>27</v>
      </c>
      <c r="DZ212" s="47" t="s">
        <v>0</v>
      </c>
      <c r="EA212" s="58">
        <f t="shared" si="231"/>
        <v>27</v>
      </c>
      <c r="EB212" s="53" cm="1">
        <f t="array" ref="EB212">IF(EA212&lt;&gt;"",INDEX(regNatjecatelj_id,EA212,0),IF(BD212&lt;&gt;"",BD212,""))</f>
        <v>1244</v>
      </c>
      <c r="EC212" s="47" t="s">
        <v>0</v>
      </c>
      <c r="ED212" s="58" t="str">
        <f>IF(AL212="","",IF(BD212&lt;&gt;"","novo",IF(AN212="","imepre","imepre(ali)")))</f>
        <v>imepre</v>
      </c>
      <c r="EE212" s="73" t="str">
        <f>IF(AL212="","",IF(BL212="",IF(IFERROR(INDEX(regNatjecatelj_klub,MATCH(EB212,regNatjecatelj_id,0)),"NEMA")="","klu",""),IF(OR(AND(BN212&lt;&gt;"",BN212&lt;&gt;"NEMA"),CD212&lt;&gt;""),"klu(ali)",IF(AND(BP212&lt;&gt;"",BP212&lt;&gt;BO212),"(raz-klu)","klu"))))</f>
        <v>klu</v>
      </c>
      <c r="EF212" s="73" t="str">
        <f>IF(AL212="","","kat"&amp;IF(AND(W212&lt;&gt;Q212,Q212&lt;&gt;"Open"),"(ali)",""))</f>
        <v>kat</v>
      </c>
      <c r="EG212" s="73" t="str">
        <f t="shared" si="203"/>
        <v/>
      </c>
      <c r="EH212" s="66" t="str">
        <f>IF(AL212="","",ED212&amp;IF(ED212="novo","","-"&amp;EE212&amp;"-"&amp;EF212)&amp;IF(EG212="","","-"&amp;EG212))</f>
        <v>imepre-klu-kat</v>
      </c>
      <c r="EI212" s="47" t="s">
        <v>0</v>
      </c>
      <c r="EJ212" s="58">
        <f>IF(AL212="","",MAX(EJ$12:EJ211)+1)</f>
        <v>372</v>
      </c>
      <c r="EK212" s="73">
        <f>IF(AO212="","",X212)</f>
        <v>35</v>
      </c>
      <c r="EL212" s="73">
        <f t="shared" si="232"/>
        <v>1244</v>
      </c>
      <c r="EM212" s="73">
        <f t="shared" si="204"/>
        <v>1770</v>
      </c>
      <c r="EN212" s="73">
        <f t="shared" si="205"/>
        <v>1</v>
      </c>
      <c r="EO212" s="73">
        <f t="shared" si="233"/>
        <v>1</v>
      </c>
      <c r="EP212" s="73">
        <f t="shared" si="234"/>
        <v>1</v>
      </c>
      <c r="EQ212" s="73" t="str">
        <f t="shared" si="206"/>
        <v>0</v>
      </c>
      <c r="ER212" s="73" t="str">
        <f>IF(OR(AN212="",AN212="NEMA"),BB212,AN212)</f>
        <v/>
      </c>
      <c r="ES212" s="73" t="str">
        <f>IF(AND(BN212&lt;&gt;"",BN212&lt;&gt;"NEMA"),BN212,IF(CG212&lt;&gt;"",CG212,IF(AND(CL212&lt;&gt;"",CL212&lt;&gt;"NEMA"),CL212,IF(CM212&lt;&gt;"",CM212,""))))</f>
        <v/>
      </c>
      <c r="ET212" s="53" t="str">
        <f>IF(INDEX(natKategorija_alias_Id,MATCH(S212,natKategorija_katRegId,0))="","",INDEX(natKategorija_alias_Id,MATCH(S212,natKategorija_katRegId,0)))</f>
        <v/>
      </c>
      <c r="EU212" s="47" t="s">
        <v>0</v>
      </c>
      <c r="EV212" s="19" t="str">
        <f t="shared" si="235"/>
        <v>INSERT INTO rezultat(id,stazakategorija_id,imeprezime_id,vrijeme_sec,status_id,registracija,uparivanje_id,originalstatus_id,imeprezimealias_id,klubalias_id,kategorijaalias_id) VALUES (372,35,1244,1770,1,1,1,0,Null,Null,Null);</v>
      </c>
      <c r="EW212" s="47" t="s">
        <v>0</v>
      </c>
      <c r="EX212" s="19" t="str">
        <f t="shared" si="236"/>
        <v>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2" s="47" t="s">
        <v>0</v>
      </c>
      <c r="EZ212" s="180" t="str">
        <f>AG212&amp;IF(CP212="","","
")&amp;CP212&amp;IF(CI212="","","
")&amp;CI212&amp;IF(DN212="","","
")&amp;DN212&amp;IF(DP212="","","
")&amp;DP212&amp;IF(EV212="","","
")&amp;EV212&amp;IF(EX212="","","
")&amp;EX212</f>
        <v xml:space="preserve">
INSERT INTO rezultat(id,stazakategorija_id,imeprezime_id,vrijeme_sec,status_id,registracija,uparivanje_id,originalstatus_id,imeprezimealias_id,klubalias_id,kategorijaalias_id) VALUES (372,35,1244,1770,1,1,1,0,Null,Null,Null);
UPDATE
	registar
SET
	potvrda = 1
WHERE
	imeprezime_id=1244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2" s="47" t="s">
        <v>0</v>
      </c>
    </row>
    <row r="213" spans="1:157" x14ac:dyDescent="0.25">
      <c r="A213" t="s">
        <v>0</v>
      </c>
      <c r="B213" s="52" t="str">
        <f>IF(csv!F203="","",csv!T203)</f>
        <v>Ž12</v>
      </c>
      <c r="C213" s="31" t="s">
        <v>0</v>
      </c>
      <c r="D213" s="31" t="str">
        <f>IF(csv!F203="","",csv!F203)</f>
        <v>Luna</v>
      </c>
      <c r="E213" s="31" t="str">
        <f>IF(csv!E203="","",csv!E203)</f>
        <v>Bajrektarević</v>
      </c>
      <c r="F213" s="31" t="s">
        <v>0</v>
      </c>
      <c r="G213" s="73" t="str">
        <f>IF(csv!M203="","",csv!M203)</f>
        <v>31:18</v>
      </c>
      <c r="H213" s="73" t="str">
        <f>IF(csv!N203="","",csv!N203)</f>
        <v>0</v>
      </c>
      <c r="I213" s="31" t="s">
        <v>0</v>
      </c>
      <c r="J213" s="31" t="str">
        <f>IF(csv!P203="","",csv!P203)</f>
        <v>Vihor</v>
      </c>
      <c r="K213" s="31" t="str">
        <f>IF(csv!Q203="","",csv!Q203)</f>
        <v>OK Vihor</v>
      </c>
      <c r="L213" s="31" t="s">
        <v>0</v>
      </c>
      <c r="M213" s="66" t="str">
        <f>IF(csv!R203="","",csv!R203)</f>
        <v>CRO</v>
      </c>
      <c r="N213" s="47" t="s">
        <v>0</v>
      </c>
      <c r="O213" s="243" t="str">
        <f t="shared" si="207"/>
        <v>ok</v>
      </c>
      <c r="P213" s="47"/>
      <c r="Q213" s="52" t="str">
        <f t="shared" si="208"/>
        <v>Ž12</v>
      </c>
      <c r="R213" s="73">
        <f>IF(Q213="","",IF(COUNTIF(Q$12:Q212,Q213)=0,R212+1,R212))</f>
        <v>13</v>
      </c>
      <c r="S213" s="73">
        <f t="shared" si="209"/>
        <v>122</v>
      </c>
      <c r="T213" s="73">
        <f t="shared" si="184"/>
        <v>22</v>
      </c>
      <c r="U213" s="66" t="str">
        <f t="shared" si="185"/>
        <v>M12 – Ž12</v>
      </c>
      <c r="V213" s="47" t="s">
        <v>0</v>
      </c>
      <c r="W213" s="222" t="str">
        <f t="shared" si="186"/>
        <v>Ž12</v>
      </c>
      <c r="X213" s="223">
        <f t="shared" si="187"/>
        <v>35</v>
      </c>
      <c r="Y213" s="47" t="s">
        <v>0</v>
      </c>
      <c r="Z213" s="52" t="str">
        <f t="shared" si="210"/>
        <v>CRO</v>
      </c>
      <c r="AA213" s="73">
        <f t="shared" si="188"/>
        <v>1</v>
      </c>
      <c r="AB213" s="31" t="str">
        <f t="shared" si="211"/>
        <v/>
      </c>
      <c r="AC213" s="66" t="str">
        <f>IF(AB213="","",MAX(AC$12:AC212)+1)</f>
        <v/>
      </c>
      <c r="AD213" s="47" t="s">
        <v>0</v>
      </c>
      <c r="AE213" s="125"/>
      <c r="AF213" s="47" t="s">
        <v>0</v>
      </c>
      <c r="AG213" s="19" t="str">
        <f t="shared" si="212"/>
        <v/>
      </c>
      <c r="AH213" s="47" t="s">
        <v>0</v>
      </c>
      <c r="AI213" s="143" t="str">
        <f t="shared" si="213"/>
        <v>CRO</v>
      </c>
      <c r="AJ213" s="47"/>
      <c r="AK213" s="52" t="str">
        <f t="shared" si="214"/>
        <v>Luna</v>
      </c>
      <c r="AL213" s="31" t="str">
        <f t="shared" si="215"/>
        <v>Bajrektarević</v>
      </c>
      <c r="AM213" s="73">
        <f t="shared" si="216"/>
        <v>1055</v>
      </c>
      <c r="AN213" s="73" t="str">
        <f t="shared" si="217"/>
        <v/>
      </c>
      <c r="AO213" s="31" t="str">
        <f t="shared" si="189"/>
        <v>Luna</v>
      </c>
      <c r="AP213" s="66" t="str">
        <f t="shared" si="190"/>
        <v>Bajrektarević</v>
      </c>
      <c r="AQ213" s="47" t="s">
        <v>0</v>
      </c>
      <c r="AR213" s="82" t="str">
        <f t="shared" si="218"/>
        <v/>
      </c>
      <c r="AS213" s="47" t="s">
        <v>0</v>
      </c>
      <c r="AT213" s="19" t="str">
        <f t="shared" si="219"/>
        <v/>
      </c>
      <c r="AU213" s="47" t="s">
        <v>0</v>
      </c>
      <c r="AV213" s="103"/>
      <c r="AW213" s="105"/>
      <c r="AX213" s="47" t="s">
        <v>0</v>
      </c>
      <c r="AY213" s="256" t="str">
        <f t="shared" ref="AY213:AY276" si="237">IF(AND(AV213="",AW213&lt;&gt;""),"FALI IME",IF(AND(AV213&lt;&gt;"",AW213=""),"FALI PREZIME",IF(OR(AM213="",AND(AM213="NEMA",AN213="NEMA"),AV213&amp;AW213=""),"","GREŠKA")))</f>
        <v/>
      </c>
      <c r="AZ213" s="47" t="s">
        <v>0</v>
      </c>
      <c r="BA213" s="52" t="str">
        <f t="shared" si="191"/>
        <v/>
      </c>
      <c r="BB213" s="73" t="str">
        <f>IF(AV213&amp;AW213="","",MAX(BB$12:BB212)+1)</f>
        <v/>
      </c>
      <c r="BC213" s="268" t="str">
        <f t="shared" si="192"/>
        <v/>
      </c>
      <c r="BD213" s="53" t="str">
        <f>IF(AND(AM213="NEMA",AN213="NEMA",OR(AV213&amp;AW213="",BC213="NEMA")),MAX(BD$12:BD212)+1,"")</f>
        <v/>
      </c>
      <c r="BE213" s="47" t="s">
        <v>0</v>
      </c>
      <c r="BF213" s="52" t="str">
        <f t="shared" si="193"/>
        <v>Luna</v>
      </c>
      <c r="BG213" s="31" t="str">
        <f t="shared" si="194"/>
        <v>Bajrektarević</v>
      </c>
      <c r="BH213" s="73" t="str">
        <f t="shared" si="220"/>
        <v/>
      </c>
      <c r="BI213" s="53">
        <f t="shared" si="221"/>
        <v>1055</v>
      </c>
      <c r="BJ213" s="47" t="s">
        <v>0</v>
      </c>
      <c r="BK213" s="52" t="str">
        <f t="shared" si="195"/>
        <v>Vihor</v>
      </c>
      <c r="BL213" s="31" t="str">
        <f t="shared" si="196"/>
        <v>OK Vihor</v>
      </c>
      <c r="BM213" s="73">
        <f t="shared" si="197"/>
        <v>12</v>
      </c>
      <c r="BN213" s="73" t="str">
        <f t="shared" si="198"/>
        <v/>
      </c>
      <c r="BO213" s="31" t="str" cm="1">
        <f t="array" ref="BO213">IF(BN213="",""&amp;BL213,IF(BN213="NEMA",BL213,INDEX(regKlub_naziv,MATCH(INDEX(regKlub_alias_klubId,BN213),regKlub_id,0))))</f>
        <v>OK Vihor</v>
      </c>
      <c r="BP213" s="31" t="str" cm="1">
        <f t="array" ref="BP213">IFERROR(""&amp;INDEX(regNatjecatelj_klub,DY213),"")</f>
        <v>OK Vihor</v>
      </c>
      <c r="BQ213" s="88" t="str">
        <f t="shared" si="222"/>
        <v/>
      </c>
      <c r="BR213" s="66" t="str">
        <f t="shared" si="223"/>
        <v>OK Vihor</v>
      </c>
      <c r="BS213" s="47" t="s">
        <v>0</v>
      </c>
      <c r="BT213" s="82" t="str">
        <f>IF(BN213&lt;&gt;"NEMA","",IF(IFERROR(MATCH(BL213,BL$12:BL212,0),0)&lt;&gt;0,"",BL213))</f>
        <v/>
      </c>
      <c r="BU213" s="47" t="s">
        <v>0</v>
      </c>
      <c r="BV213" s="125"/>
      <c r="BW213" s="47" t="s">
        <v>0</v>
      </c>
      <c r="BX213" s="58" t="str">
        <f t="shared" si="224"/>
        <v/>
      </c>
      <c r="BY213" s="31" t="str">
        <f t="shared" si="225"/>
        <v/>
      </c>
      <c r="BZ213" s="31" t="str">
        <f>IF(BY213="","",MAX(BZ$12:BZ212)+1)</f>
        <v/>
      </c>
      <c r="CA213" s="31" t="str">
        <f>IF(BY213="","",IF(AA213="","",IF(AA213="NEMA",AC213,AA213)))</f>
        <v/>
      </c>
      <c r="CB213" s="31" t="str">
        <f t="shared" si="226"/>
        <v/>
      </c>
      <c r="CC213" s="31" t="str">
        <f>IF(BV213="","",MAX(CC$12:CC212)+1)</f>
        <v/>
      </c>
      <c r="CD213" s="31" t="str">
        <f t="shared" si="227"/>
        <v/>
      </c>
      <c r="CE213" s="66" t="str">
        <f t="shared" si="228"/>
        <v/>
      </c>
      <c r="CF213" s="47" t="s">
        <v>0</v>
      </c>
      <c r="CG213" s="73" t="str">
        <f>IF(BN213="","",IF(BN213&lt;&gt;"NEMA","",IFERROR(INDEX(nat_klubAliasId,MATCH(BL213,nat_noviKluboviAliasi,0)),"")))</f>
        <v/>
      </c>
      <c r="CH213" s="47"/>
      <c r="CI213" s="19" t="str">
        <f t="shared" si="229"/>
        <v/>
      </c>
      <c r="CJ213" s="47" t="s">
        <v>0</v>
      </c>
      <c r="CK213" s="52" t="str">
        <f>IF(X213&lt;&gt;"NEMA","",IF(IFERROR(MATCH(W213,W$12:W212,0),0)&lt;&gt;0,"",W213))</f>
        <v/>
      </c>
      <c r="CL213" s="73" t="str">
        <f>IF(CK213="","",IFERROR(INDEX(regKlub_alias_id,MATCH(CK213,regKlub_alias_alias,0)),"NEMA"))</f>
        <v/>
      </c>
      <c r="CM213" s="31" t="str">
        <f>IF(OR(CL213="",CL213&lt;&gt;"NEMA"),"",MAX(CM$12:CM212)+1)</f>
        <v/>
      </c>
      <c r="CN213" s="66" t="str">
        <f>IF(OR(CL213="",CL213&lt;&gt;"NEMA"),"",INDEX(regKlub_id,MATCH(CK213,regKlub_naziv,0)))</f>
        <v/>
      </c>
      <c r="CO213" s="47" t="s">
        <v>0</v>
      </c>
      <c r="CP213" s="19" t="str">
        <f>IF(OR(CL213="",CL213&lt;&gt;"NEMA"),"","INSERT INTO klub_alias(id,alias,klub_id) VALUES ("&amp;CM213&amp;",'"&amp;CK213&amp;"',"&amp;CN213&amp;");")</f>
        <v/>
      </c>
      <c r="CQ213" s="47" t="s">
        <v>0</v>
      </c>
      <c r="CR213" s="143" t="str">
        <f>IF(BR213="","",IF(BV213="",IF(IFERROR(MATCH(BR213,nat_noviKluboviAliasi,0),0)&gt;0,INDEX(nat_kluboviAliasi,MATCH(BR213,nat_noviKluboviAliasi,0)),BR213),BV213))</f>
        <v>OK Vihor</v>
      </c>
      <c r="CS213" s="47" t="s">
        <v>0</v>
      </c>
      <c r="CT213" s="58" t="str">
        <f>IF(G213="","",G213)</f>
        <v>31:18</v>
      </c>
      <c r="CU213" s="73" t="str">
        <f>IF(H213="","",H213)</f>
        <v>0</v>
      </c>
      <c r="CV213" s="229" t="str">
        <f>IF(CT213="",IF(OR(AL213="",CU213&lt;&gt;"0"),"","GREŠKA"),IF(AND(65535&gt;=VALUE(LEFT(CT213,SEARCH(":",CT213)-1))*60+VALUE(RIGHT(CT213,2)),OR(CU213="0",CU213="1",CU213="2",CU213="3",CU213="4")),"","GREŠKA"))</f>
        <v/>
      </c>
      <c r="CW213" s="230">
        <f t="shared" si="183"/>
        <v>1878</v>
      </c>
      <c r="CX213" s="163">
        <f t="shared" si="199"/>
        <v>1</v>
      </c>
      <c r="CY213" s="47" t="s">
        <v>0</v>
      </c>
      <c r="CZ213" s="222" t="str">
        <f>IF(CV213&lt;&gt;"GREŠKA","",AK213&amp;" "&amp;AL213&amp;" – Molim u OEventu provjeriti i ispraviti rezultat – vrijeme ("&amp;IF(CT213="","nije upisano",CT213)&amp;") i classifier ("&amp;CU213&amp;").")&amp;IF(OR(CV213&lt;&gt;"GREŠKA",CX213&lt;&gt;5),"
","")&amp;IF(CX213&lt;&gt;5,"",AK213&amp;" "&amp;AL213&amp;" – Molim u provjeriti je li natjecatelj zaista diskvalificiran. Ako je koje je obrazloženje, ako nije molim u OEventu ispraviti rezultat")</f>
        <v xml:space="preserve">
</v>
      </c>
      <c r="DA213" s="223">
        <f t="shared" si="230"/>
        <v>6</v>
      </c>
      <c r="DB213" s="47" t="s">
        <v>0</v>
      </c>
      <c r="DC213" s="47"/>
      <c r="DD213" s="47"/>
      <c r="DE213" s="47"/>
      <c r="DF213" s="47" t="s">
        <v>0</v>
      </c>
      <c r="DG213" s="53" t="str">
        <f>IF(BD213="","",IF(DI213="O",1,""))</f>
        <v/>
      </c>
      <c r="DH213" t="s">
        <v>0</v>
      </c>
      <c r="DI213" s="128" t="str">
        <f>IF(Q213="","",LEFT(INDEX(regKategorija_oznaka,MATCH(S213,regKategorija_id,0)),1))</f>
        <v>Ž</v>
      </c>
      <c r="DJ213" t="s">
        <v>0</v>
      </c>
      <c r="DK213" s="52" t="str">
        <f>IF(BD213="","",IF(M213&lt;&gt;"CRO","","INSERT INTO osoba (id,reg_broj,oib,spol_id,dat_rodjenja) VALUES ("&amp;BD213&amp;",(SELECT max(os.reg_broj)+1 FROM osoba AS os),Null,'"&amp;DI213&amp;"',Null); INSERT INTO osoba_log (id,reg_broj,oib,spol_id,dat_rodjenja,dnevnik_id) SELECT id,reg_broj,oib,spol_id,dat_rodjenja,"&amp;data_dnevnik_id&amp;" FROM osoba WHERE id = "&amp;BD213&amp;";"))</f>
        <v/>
      </c>
      <c r="DL213" s="66" t="str">
        <f>IF(BD213="","","INSERT INTO imeprezime (id,osoba_id,rbr,ime,prezime,klub_id,identitet_id,sintaksa_id,info,aktivno,dnevnik_id) VALUES ("&amp;BD213&amp;","&amp;IF(DK213="","Null",BD213)&amp;",1,'"&amp;IF(AV213&lt;&gt;"",AV213,AK213)&amp;"','"&amp;IF(AW213&lt;&gt;"",AW213,AL213)&amp;"',(SELECT id FROM klub WHERE naziv = '"&amp;CR213&amp;"'),Null,1,'',1,"&amp;data_dnevnik_id&amp;");")</f>
        <v/>
      </c>
      <c r="DM213" t="s">
        <v>0</v>
      </c>
      <c r="DN213" s="19" t="str">
        <f t="shared" ref="DN213:DN276" si="238">IF(DK213="",DL213,DK213&amp;" "&amp;DL213)</f>
        <v/>
      </c>
      <c r="DO213" s="47" t="s">
        <v>0</v>
      </c>
      <c r="DP213" s="19" t="str">
        <f>IF(BA213="","","INSERT INTO imeprezime_alias(id,alias,imeprezime_id) VALUES ("&amp;BB213&amp;",'"&amp;BA213&amp;"',"&amp;IF(BC213="NEMA",BD213,BC213)&amp;");")</f>
        <v/>
      </c>
      <c r="DQ213" s="47" t="s">
        <v>0</v>
      </c>
      <c r="DR213" s="52" t="str">
        <f>IF(AL213="","",DU213 &amp; IF(Q213="",""," – " &amp; Q213))</f>
        <v>Luna – Bajrektarević – OK Vihor – Ž12</v>
      </c>
      <c r="DS213" s="53">
        <f t="shared" si="200"/>
        <v>620</v>
      </c>
      <c r="DT213" s="47" t="s">
        <v>0</v>
      </c>
      <c r="DU213" s="52" t="str">
        <f>IF(AL213="","",DX213 &amp; IF(CR213="",""," – " &amp; CR213))</f>
        <v>Luna – Bajrektarević – OK Vihor</v>
      </c>
      <c r="DV213" s="53">
        <f t="shared" si="201"/>
        <v>620</v>
      </c>
      <c r="DW213" s="47" t="s">
        <v>0</v>
      </c>
      <c r="DX213" s="52" t="str">
        <f>IF(BG213="","",BF213&amp;" – "&amp;BG213)</f>
        <v>Luna – Bajrektarević</v>
      </c>
      <c r="DY213" s="53">
        <f t="shared" si="202"/>
        <v>620</v>
      </c>
      <c r="DZ213" s="47" t="s">
        <v>0</v>
      </c>
      <c r="EA213" s="58">
        <f t="shared" si="231"/>
        <v>620</v>
      </c>
      <c r="EB213" s="53" cm="1">
        <f t="array" ref="EB213">IF(EA213&lt;&gt;"",INDEX(regNatjecatelj_id,EA213,0),IF(BD213&lt;&gt;"",BD213,""))</f>
        <v>1055</v>
      </c>
      <c r="EC213" s="47" t="s">
        <v>0</v>
      </c>
      <c r="ED213" s="58" t="str">
        <f>IF(AL213="","",IF(BD213&lt;&gt;"","novo",IF(AN213="","imepre","imepre(ali)")))</f>
        <v>imepre</v>
      </c>
      <c r="EE213" s="73" t="str">
        <f>IF(AL213="","",IF(BL213="",IF(IFERROR(INDEX(regNatjecatelj_klub,MATCH(EB213,regNatjecatelj_id,0)),"NEMA")="","klu",""),IF(OR(AND(BN213&lt;&gt;"",BN213&lt;&gt;"NEMA"),CD213&lt;&gt;""),"klu(ali)",IF(AND(BP213&lt;&gt;"",BP213&lt;&gt;BO213),"(raz-klu)","klu"))))</f>
        <v>klu</v>
      </c>
      <c r="EF213" s="73" t="str">
        <f>IF(AL213="","","kat"&amp;IF(AND(W213&lt;&gt;Q213,Q213&lt;&gt;"Open"),"(ali)",""))</f>
        <v>kat</v>
      </c>
      <c r="EG213" s="73" t="str">
        <f t="shared" si="203"/>
        <v/>
      </c>
      <c r="EH213" s="66" t="str">
        <f>IF(AL213="","",ED213&amp;IF(ED213="novo","","-"&amp;EE213&amp;"-"&amp;EF213)&amp;IF(EG213="","","-"&amp;EG213))</f>
        <v>imepre-klu-kat</v>
      </c>
      <c r="EI213" s="47" t="s">
        <v>0</v>
      </c>
      <c r="EJ213" s="58">
        <f>IF(AL213="","",MAX(EJ$12:EJ212)+1)</f>
        <v>373</v>
      </c>
      <c r="EK213" s="73">
        <f>IF(AO213="","",X213)</f>
        <v>35</v>
      </c>
      <c r="EL213" s="73">
        <f t="shared" si="232"/>
        <v>1055</v>
      </c>
      <c r="EM213" s="73">
        <f t="shared" si="204"/>
        <v>1878</v>
      </c>
      <c r="EN213" s="73">
        <f t="shared" si="205"/>
        <v>1</v>
      </c>
      <c r="EO213" s="73">
        <f t="shared" si="233"/>
        <v>1</v>
      </c>
      <c r="EP213" s="73">
        <f t="shared" si="234"/>
        <v>1</v>
      </c>
      <c r="EQ213" s="73" t="str">
        <f t="shared" si="206"/>
        <v>0</v>
      </c>
      <c r="ER213" s="73" t="str">
        <f>IF(OR(AN213="",AN213="NEMA"),BB213,AN213)</f>
        <v/>
      </c>
      <c r="ES213" s="73" t="str">
        <f>IF(AND(BN213&lt;&gt;"",BN213&lt;&gt;"NEMA"),BN213,IF(CG213&lt;&gt;"",CG213,IF(AND(CL213&lt;&gt;"",CL213&lt;&gt;"NEMA"),CL213,IF(CM213&lt;&gt;"",CM213,""))))</f>
        <v/>
      </c>
      <c r="ET213" s="53" t="str">
        <f>IF(INDEX(natKategorija_alias_Id,MATCH(S213,natKategorija_katRegId,0))="","",INDEX(natKategorija_alias_Id,MATCH(S213,natKategorija_katRegId,0)))</f>
        <v/>
      </c>
      <c r="EU213" s="47" t="s">
        <v>0</v>
      </c>
      <c r="EV213" s="19" t="str">
        <f t="shared" si="235"/>
        <v>INSERT INTO rezultat(id,stazakategorija_id,imeprezime_id,vrijeme_sec,status_id,registracija,uparivanje_id,originalstatus_id,imeprezimealias_id,klubalias_id,kategorijaalias_id) VALUES (373,35,1055,1878,1,1,1,0,Null,Null,Null);</v>
      </c>
      <c r="EW213" s="47" t="s">
        <v>0</v>
      </c>
      <c r="EX213" s="19" t="str">
        <f t="shared" si="236"/>
        <v>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3" s="47" t="s">
        <v>0</v>
      </c>
      <c r="EZ213" s="180" t="str">
        <f>AG213&amp;IF(CP213="","","
")&amp;CP213&amp;IF(CI213="","","
")&amp;CI213&amp;IF(DN213="","","
")&amp;DN213&amp;IF(DP213="","","
")&amp;DP213&amp;IF(EV213="","","
")&amp;EV213&amp;IF(EX213="","","
")&amp;EX213</f>
        <v xml:space="preserve">
INSERT INTO rezultat(id,stazakategorija_id,imeprezime_id,vrijeme_sec,status_id,registracija,uparivanje_id,originalstatus_id,imeprezimealias_id,klubalias_id,kategorijaalias_id) VALUES (373,35,1055,1878,1,1,1,0,Null,Null,Null);
UPDATE
	registar
SET
	potvrda = 1
WHERE
	imeprezime_id=1055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3" s="47" t="s">
        <v>0</v>
      </c>
    </row>
    <row r="214" spans="1:157" x14ac:dyDescent="0.25">
      <c r="A214" t="s">
        <v>0</v>
      </c>
      <c r="B214" s="52" t="str">
        <f>IF(csv!F204="","",csv!T204)</f>
        <v>Ž12</v>
      </c>
      <c r="C214" s="31" t="s">
        <v>0</v>
      </c>
      <c r="D214" s="31" t="str">
        <f>IF(csv!F204="","",csv!F204)</f>
        <v>Gloria</v>
      </c>
      <c r="E214" s="31" t="str">
        <f>IF(csv!E204="","",csv!E204)</f>
        <v>Šantić</v>
      </c>
      <c r="F214" s="31" t="s">
        <v>0</v>
      </c>
      <c r="G214" s="73" t="str">
        <f>IF(csv!M204="","",csv!M204)</f>
        <v>36:23</v>
      </c>
      <c r="H214" s="73" t="str">
        <f>IF(csv!N204="","",csv!N204)</f>
        <v>0</v>
      </c>
      <c r="I214" s="31" t="s">
        <v>0</v>
      </c>
      <c r="J214" s="31" t="str">
        <f>IF(csv!P204="","",csv!P204)</f>
        <v>BJE</v>
      </c>
      <c r="K214" s="31" t="str">
        <f>IF(csv!Q204="","",csv!Q204)</f>
        <v>OK Bjelovar</v>
      </c>
      <c r="L214" s="31" t="s">
        <v>0</v>
      </c>
      <c r="M214" s="66" t="str">
        <f>IF(csv!R204="","",csv!R204)</f>
        <v>CRO</v>
      </c>
      <c r="N214" s="47" t="s">
        <v>0</v>
      </c>
      <c r="O214" s="243" t="str">
        <f t="shared" si="207"/>
        <v>ok</v>
      </c>
      <c r="P214" s="47"/>
      <c r="Q214" s="52" t="str">
        <f t="shared" si="208"/>
        <v>Ž12</v>
      </c>
      <c r="R214" s="73">
        <f>IF(Q214="","",IF(COUNTIF(Q$12:Q213,Q214)=0,R213+1,R213))</f>
        <v>13</v>
      </c>
      <c r="S214" s="73">
        <f t="shared" si="209"/>
        <v>122</v>
      </c>
      <c r="T214" s="73">
        <f t="shared" si="184"/>
        <v>22</v>
      </c>
      <c r="U214" s="66" t="str">
        <f t="shared" si="185"/>
        <v>M12 – Ž12</v>
      </c>
      <c r="V214" s="47" t="s">
        <v>0</v>
      </c>
      <c r="W214" s="222" t="str">
        <f t="shared" si="186"/>
        <v>Ž12</v>
      </c>
      <c r="X214" s="223">
        <f t="shared" si="187"/>
        <v>35</v>
      </c>
      <c r="Y214" s="47" t="s">
        <v>0</v>
      </c>
      <c r="Z214" s="52" t="str">
        <f t="shared" si="210"/>
        <v>CRO</v>
      </c>
      <c r="AA214" s="73">
        <f t="shared" si="188"/>
        <v>1</v>
      </c>
      <c r="AB214" s="31" t="str">
        <f t="shared" si="211"/>
        <v/>
      </c>
      <c r="AC214" s="66" t="str">
        <f>IF(AB214="","",MAX(AC$12:AC213)+1)</f>
        <v/>
      </c>
      <c r="AD214" s="47" t="s">
        <v>0</v>
      </c>
      <c r="AE214" s="125"/>
      <c r="AF214" s="47" t="s">
        <v>0</v>
      </c>
      <c r="AG214" s="19" t="str">
        <f t="shared" si="212"/>
        <v/>
      </c>
      <c r="AH214" s="47" t="s">
        <v>0</v>
      </c>
      <c r="AI214" s="143" t="str">
        <f t="shared" si="213"/>
        <v>CRO</v>
      </c>
      <c r="AJ214" s="47"/>
      <c r="AK214" s="52" t="str">
        <f t="shared" si="214"/>
        <v>Gloria</v>
      </c>
      <c r="AL214" s="31" t="str">
        <f t="shared" si="215"/>
        <v>Šantić</v>
      </c>
      <c r="AM214" s="73">
        <f t="shared" si="216"/>
        <v>1542</v>
      </c>
      <c r="AN214" s="73" t="str">
        <f t="shared" si="217"/>
        <v/>
      </c>
      <c r="AO214" s="31" t="str">
        <f t="shared" si="189"/>
        <v>Gloria</v>
      </c>
      <c r="AP214" s="66" t="str">
        <f t="shared" si="190"/>
        <v>Šantić</v>
      </c>
      <c r="AQ214" s="47" t="s">
        <v>0</v>
      </c>
      <c r="AR214" s="82" t="str">
        <f t="shared" si="218"/>
        <v/>
      </c>
      <c r="AS214" s="47" t="s">
        <v>0</v>
      </c>
      <c r="AT214" s="19" t="str">
        <f t="shared" si="219"/>
        <v/>
      </c>
      <c r="AU214" s="47" t="s">
        <v>0</v>
      </c>
      <c r="AV214" s="103"/>
      <c r="AW214" s="105"/>
      <c r="AX214" s="47" t="s">
        <v>0</v>
      </c>
      <c r="AY214" s="256" t="str">
        <f t="shared" si="237"/>
        <v/>
      </c>
      <c r="AZ214" s="47" t="s">
        <v>0</v>
      </c>
      <c r="BA214" s="52" t="str">
        <f t="shared" si="191"/>
        <v/>
      </c>
      <c r="BB214" s="73" t="str">
        <f>IF(AV214&amp;AW214="","",MAX(BB$12:BB213)+1)</f>
        <v/>
      </c>
      <c r="BC214" s="268" t="str">
        <f t="shared" si="192"/>
        <v/>
      </c>
      <c r="BD214" s="53" t="str">
        <f>IF(AND(AM214="NEMA",AN214="NEMA",OR(AV214&amp;AW214="",BC214="NEMA")),MAX(BD$12:BD213)+1,"")</f>
        <v/>
      </c>
      <c r="BE214" s="47" t="s">
        <v>0</v>
      </c>
      <c r="BF214" s="52" t="str">
        <f t="shared" si="193"/>
        <v>Gloria</v>
      </c>
      <c r="BG214" s="31" t="str">
        <f t="shared" si="194"/>
        <v>Šantić</v>
      </c>
      <c r="BH214" s="73" t="str">
        <f t="shared" si="220"/>
        <v/>
      </c>
      <c r="BI214" s="53">
        <f t="shared" si="221"/>
        <v>1542</v>
      </c>
      <c r="BJ214" s="47" t="s">
        <v>0</v>
      </c>
      <c r="BK214" s="52" t="str">
        <f t="shared" si="195"/>
        <v>BJE</v>
      </c>
      <c r="BL214" s="31" t="str">
        <f t="shared" si="196"/>
        <v>OK Bjelovar</v>
      </c>
      <c r="BM214" s="73">
        <f t="shared" si="197"/>
        <v>1</v>
      </c>
      <c r="BN214" s="73" t="str">
        <f t="shared" si="198"/>
        <v/>
      </c>
      <c r="BO214" s="31" t="str" cm="1">
        <f t="array" ref="BO214">IF(BN214="",""&amp;BL214,IF(BN214="NEMA",BL214,INDEX(regKlub_naziv,MATCH(INDEX(regKlub_alias_klubId,BN214),regKlub_id,0))))</f>
        <v>OK Bjelovar</v>
      </c>
      <c r="BP214" s="31" t="str" cm="1">
        <f t="array" ref="BP214">IFERROR(""&amp;INDEX(regNatjecatelj_klub,DY214),"")</f>
        <v>OK Bjelovar</v>
      </c>
      <c r="BQ214" s="88" t="str">
        <f t="shared" si="222"/>
        <v/>
      </c>
      <c r="BR214" s="66" t="str">
        <f t="shared" si="223"/>
        <v>OK Bjelovar</v>
      </c>
      <c r="BS214" s="47" t="s">
        <v>0</v>
      </c>
      <c r="BT214" s="82" t="str">
        <f>IF(BN214&lt;&gt;"NEMA","",IF(IFERROR(MATCH(BL214,BL$12:BL213,0),0)&lt;&gt;0,"",BL214))</f>
        <v/>
      </c>
      <c r="BU214" s="47" t="s">
        <v>0</v>
      </c>
      <c r="BV214" s="125"/>
      <c r="BW214" s="47" t="s">
        <v>0</v>
      </c>
      <c r="BX214" s="58" t="str">
        <f t="shared" si="224"/>
        <v/>
      </c>
      <c r="BY214" s="31" t="str">
        <f t="shared" si="225"/>
        <v/>
      </c>
      <c r="BZ214" s="31" t="str">
        <f>IF(BY214="","",MAX(BZ$12:BZ213)+1)</f>
        <v/>
      </c>
      <c r="CA214" s="31" t="str">
        <f>IF(BY214="","",IF(AA214="","",IF(AA214="NEMA",AC214,AA214)))</f>
        <v/>
      </c>
      <c r="CB214" s="31" t="str">
        <f t="shared" si="226"/>
        <v/>
      </c>
      <c r="CC214" s="31" t="str">
        <f>IF(BV214="","",MAX(CC$12:CC213)+1)</f>
        <v/>
      </c>
      <c r="CD214" s="31" t="str">
        <f t="shared" si="227"/>
        <v/>
      </c>
      <c r="CE214" s="66" t="str">
        <f t="shared" si="228"/>
        <v/>
      </c>
      <c r="CF214" s="47" t="s">
        <v>0</v>
      </c>
      <c r="CG214" s="73" t="str">
        <f>IF(BN214="","",IF(BN214&lt;&gt;"NEMA","",IFERROR(INDEX(nat_klubAliasId,MATCH(BL214,nat_noviKluboviAliasi,0)),"")))</f>
        <v/>
      </c>
      <c r="CH214" s="47"/>
      <c r="CI214" s="19" t="str">
        <f t="shared" si="229"/>
        <v/>
      </c>
      <c r="CJ214" s="47" t="s">
        <v>0</v>
      </c>
      <c r="CK214" s="52" t="str">
        <f>IF(X214&lt;&gt;"NEMA","",IF(IFERROR(MATCH(W214,W$12:W213,0),0)&lt;&gt;0,"",W214))</f>
        <v/>
      </c>
      <c r="CL214" s="73" t="str">
        <f>IF(CK214="","",IFERROR(INDEX(regKlub_alias_id,MATCH(CK214,regKlub_alias_alias,0)),"NEMA"))</f>
        <v/>
      </c>
      <c r="CM214" s="31" t="str">
        <f>IF(OR(CL214="",CL214&lt;&gt;"NEMA"),"",MAX(CM$12:CM213)+1)</f>
        <v/>
      </c>
      <c r="CN214" s="66" t="str">
        <f>IF(OR(CL214="",CL214&lt;&gt;"NEMA"),"",INDEX(regKlub_id,MATCH(CK214,regKlub_naziv,0)))</f>
        <v/>
      </c>
      <c r="CO214" s="47" t="s">
        <v>0</v>
      </c>
      <c r="CP214" s="19" t="str">
        <f>IF(OR(CL214="",CL214&lt;&gt;"NEMA"),"","INSERT INTO klub_alias(id,alias,klub_id) VALUES ("&amp;CM214&amp;",'"&amp;CK214&amp;"',"&amp;CN214&amp;");")</f>
        <v/>
      </c>
      <c r="CQ214" s="47" t="s">
        <v>0</v>
      </c>
      <c r="CR214" s="143" t="str">
        <f>IF(BR214="","",IF(BV214="",IF(IFERROR(MATCH(BR214,nat_noviKluboviAliasi,0),0)&gt;0,INDEX(nat_kluboviAliasi,MATCH(BR214,nat_noviKluboviAliasi,0)),BR214),BV214))</f>
        <v>OK Bjelovar</v>
      </c>
      <c r="CS214" s="47" t="s">
        <v>0</v>
      </c>
      <c r="CT214" s="58" t="str">
        <f>IF(G214="","",G214)</f>
        <v>36:23</v>
      </c>
      <c r="CU214" s="73" t="str">
        <f>IF(H214="","",H214)</f>
        <v>0</v>
      </c>
      <c r="CV214" s="229" t="str">
        <f>IF(CT214="",IF(OR(AL214="",CU214&lt;&gt;"0"),"","GREŠKA"),IF(AND(65535&gt;=VALUE(LEFT(CT214,SEARCH(":",CT214)-1))*60+VALUE(RIGHT(CT214,2)),OR(CU214="0",CU214="1",CU214="2",CU214="3",CU214="4")),"","GREŠKA"))</f>
        <v/>
      </c>
      <c r="CW214" s="230">
        <f t="shared" si="183"/>
        <v>2183</v>
      </c>
      <c r="CX214" s="163">
        <f t="shared" si="199"/>
        <v>1</v>
      </c>
      <c r="CY214" s="47" t="s">
        <v>0</v>
      </c>
      <c r="CZ214" s="222" t="str">
        <f>IF(CV214&lt;&gt;"GREŠKA","",AK214&amp;" "&amp;AL214&amp;" – Molim u OEventu provjeriti i ispraviti rezultat – vrijeme ("&amp;IF(CT214="","nije upisano",CT214)&amp;") i classifier ("&amp;CU214&amp;").")&amp;IF(OR(CV214&lt;&gt;"GREŠKA",CX214&lt;&gt;5),"
","")&amp;IF(CX214&lt;&gt;5,"",AK214&amp;" "&amp;AL214&amp;" – Molim u provjeriti je li natjecatelj zaista diskvalificiran. Ako je koje je obrazloženje, ako nije molim u OEventu ispraviti rezultat")</f>
        <v xml:space="preserve">
</v>
      </c>
      <c r="DA214" s="223">
        <f t="shared" si="230"/>
        <v>6</v>
      </c>
      <c r="DB214" s="47" t="s">
        <v>0</v>
      </c>
      <c r="DC214" s="47"/>
      <c r="DD214" s="47"/>
      <c r="DE214" s="47"/>
      <c r="DF214" s="47" t="s">
        <v>0</v>
      </c>
      <c r="DG214" s="53" t="str">
        <f>IF(BD214="","",IF(DI214="O",1,""))</f>
        <v/>
      </c>
      <c r="DH214" t="s">
        <v>0</v>
      </c>
      <c r="DI214" s="128" t="str">
        <f>IF(Q214="","",LEFT(INDEX(regKategorija_oznaka,MATCH(S214,regKategorija_id,0)),1))</f>
        <v>Ž</v>
      </c>
      <c r="DJ214" t="s">
        <v>0</v>
      </c>
      <c r="DK214" s="52" t="str">
        <f>IF(BD214="","",IF(M214&lt;&gt;"CRO","","INSERT INTO osoba (id,reg_broj,oib,spol_id,dat_rodjenja) VALUES ("&amp;BD214&amp;",(SELECT max(os.reg_broj)+1 FROM osoba AS os),Null,'"&amp;DI214&amp;"',Null); INSERT INTO osoba_log (id,reg_broj,oib,spol_id,dat_rodjenja,dnevnik_id) SELECT id,reg_broj,oib,spol_id,dat_rodjenja,"&amp;data_dnevnik_id&amp;" FROM osoba WHERE id = "&amp;BD214&amp;";"))</f>
        <v/>
      </c>
      <c r="DL214" s="66" t="str">
        <f>IF(BD214="","","INSERT INTO imeprezime (id,osoba_id,rbr,ime,prezime,klub_id,identitet_id,sintaksa_id,info,aktivno,dnevnik_id) VALUES ("&amp;BD214&amp;","&amp;IF(DK214="","Null",BD214)&amp;",1,'"&amp;IF(AV214&lt;&gt;"",AV214,AK214)&amp;"','"&amp;IF(AW214&lt;&gt;"",AW214,AL214)&amp;"',(SELECT id FROM klub WHERE naziv = '"&amp;CR214&amp;"'),Null,1,'',1,"&amp;data_dnevnik_id&amp;");")</f>
        <v/>
      </c>
      <c r="DM214" t="s">
        <v>0</v>
      </c>
      <c r="DN214" s="19" t="str">
        <f t="shared" si="238"/>
        <v/>
      </c>
      <c r="DO214" s="47" t="s">
        <v>0</v>
      </c>
      <c r="DP214" s="19" t="str">
        <f>IF(BA214="","","INSERT INTO imeprezime_alias(id,alias,imeprezime_id) VALUES ("&amp;BB214&amp;",'"&amp;BA214&amp;"',"&amp;IF(BC214="NEMA",BD214,BC214)&amp;");")</f>
        <v/>
      </c>
      <c r="DQ214" s="47" t="s">
        <v>0</v>
      </c>
      <c r="DR214" s="52" t="str">
        <f>IF(AL214="","",DU214 &amp; IF(Q214="",""," – " &amp; Q214))</f>
        <v>Gloria – Šantić – OK Bjelovar – Ž12</v>
      </c>
      <c r="DS214" s="53">
        <f t="shared" si="200"/>
        <v>24</v>
      </c>
      <c r="DT214" s="47" t="s">
        <v>0</v>
      </c>
      <c r="DU214" s="52" t="str">
        <f>IF(AL214="","",DX214 &amp; IF(CR214="",""," – " &amp; CR214))</f>
        <v>Gloria – Šantić – OK Bjelovar</v>
      </c>
      <c r="DV214" s="53">
        <f t="shared" si="201"/>
        <v>24</v>
      </c>
      <c r="DW214" s="47" t="s">
        <v>0</v>
      </c>
      <c r="DX214" s="52" t="str">
        <f>IF(BG214="","",BF214&amp;" – "&amp;BG214)</f>
        <v>Gloria – Šantić</v>
      </c>
      <c r="DY214" s="53">
        <f t="shared" si="202"/>
        <v>24</v>
      </c>
      <c r="DZ214" s="47" t="s">
        <v>0</v>
      </c>
      <c r="EA214" s="58">
        <f t="shared" si="231"/>
        <v>24</v>
      </c>
      <c r="EB214" s="53" cm="1">
        <f t="array" ref="EB214">IF(EA214&lt;&gt;"",INDEX(regNatjecatelj_id,EA214,0),IF(BD214&lt;&gt;"",BD214,""))</f>
        <v>1542</v>
      </c>
      <c r="EC214" s="47" t="s">
        <v>0</v>
      </c>
      <c r="ED214" s="58" t="str">
        <f>IF(AL214="","",IF(BD214&lt;&gt;"","novo",IF(AN214="","imepre","imepre(ali)")))</f>
        <v>imepre</v>
      </c>
      <c r="EE214" s="73" t="str">
        <f>IF(AL214="","",IF(BL214="",IF(IFERROR(INDEX(regNatjecatelj_klub,MATCH(EB214,regNatjecatelj_id,0)),"NEMA")="","klu",""),IF(OR(AND(BN214&lt;&gt;"",BN214&lt;&gt;"NEMA"),CD214&lt;&gt;""),"klu(ali)",IF(AND(BP214&lt;&gt;"",BP214&lt;&gt;BO214),"(raz-klu)","klu"))))</f>
        <v>klu</v>
      </c>
      <c r="EF214" s="73" t="str">
        <f>IF(AL214="","","kat"&amp;IF(AND(W214&lt;&gt;Q214,Q214&lt;&gt;"Open"),"(ali)",""))</f>
        <v>kat</v>
      </c>
      <c r="EG214" s="73" t="str">
        <f t="shared" si="203"/>
        <v/>
      </c>
      <c r="EH214" s="66" t="str">
        <f>IF(AL214="","",ED214&amp;IF(ED214="novo","","-"&amp;EE214&amp;"-"&amp;EF214)&amp;IF(EG214="","","-"&amp;EG214))</f>
        <v>imepre-klu-kat</v>
      </c>
      <c r="EI214" s="47" t="s">
        <v>0</v>
      </c>
      <c r="EJ214" s="58">
        <f>IF(AL214="","",MAX(EJ$12:EJ213)+1)</f>
        <v>374</v>
      </c>
      <c r="EK214" s="73">
        <f>IF(AO214="","",X214)</f>
        <v>35</v>
      </c>
      <c r="EL214" s="73">
        <f t="shared" si="232"/>
        <v>1542</v>
      </c>
      <c r="EM214" s="73">
        <f t="shared" si="204"/>
        <v>2183</v>
      </c>
      <c r="EN214" s="73">
        <f t="shared" si="205"/>
        <v>1</v>
      </c>
      <c r="EO214" s="73">
        <f t="shared" si="233"/>
        <v>1</v>
      </c>
      <c r="EP214" s="73">
        <f t="shared" si="234"/>
        <v>1</v>
      </c>
      <c r="EQ214" s="73" t="str">
        <f t="shared" si="206"/>
        <v>0</v>
      </c>
      <c r="ER214" s="73" t="str">
        <f>IF(OR(AN214="",AN214="NEMA"),BB214,AN214)</f>
        <v/>
      </c>
      <c r="ES214" s="73" t="str">
        <f>IF(AND(BN214&lt;&gt;"",BN214&lt;&gt;"NEMA"),BN214,IF(CG214&lt;&gt;"",CG214,IF(AND(CL214&lt;&gt;"",CL214&lt;&gt;"NEMA"),CL214,IF(CM214&lt;&gt;"",CM214,""))))</f>
        <v/>
      </c>
      <c r="ET214" s="53" t="str">
        <f>IF(INDEX(natKategorija_alias_Id,MATCH(S214,natKategorija_katRegId,0))="","",INDEX(natKategorija_alias_Id,MATCH(S214,natKategorija_katRegId,0)))</f>
        <v/>
      </c>
      <c r="EU214" s="47" t="s">
        <v>0</v>
      </c>
      <c r="EV214" s="19" t="str">
        <f t="shared" si="235"/>
        <v>INSERT INTO rezultat(id,stazakategorija_id,imeprezime_id,vrijeme_sec,status_id,registracija,uparivanje_id,originalstatus_id,imeprezimealias_id,klubalias_id,kategorijaalias_id) VALUES (374,35,1542,2183,1,1,1,0,Null,Null,Null);</v>
      </c>
      <c r="EW214" s="47" t="s">
        <v>0</v>
      </c>
      <c r="EX214" s="19" t="str">
        <f t="shared" si="236"/>
        <v>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4" s="47" t="s">
        <v>0</v>
      </c>
      <c r="EZ214" s="180" t="str">
        <f>AG214&amp;IF(CP214="","","
")&amp;CP214&amp;IF(CI214="","","
")&amp;CI214&amp;IF(DN214="","","
")&amp;DN214&amp;IF(DP214="","","
")&amp;DP214&amp;IF(EV214="","","
")&amp;EV214&amp;IF(EX214="","","
")&amp;EX214</f>
        <v xml:space="preserve">
INSERT INTO rezultat(id,stazakategorija_id,imeprezime_id,vrijeme_sec,status_id,registracija,uparivanje_id,originalstatus_id,imeprezimealias_id,klubalias_id,kategorijaalias_id) VALUES (374,35,1542,2183,1,1,1,0,Null,Null,Null);
UPDATE
	registar
SET
	potvrda = 1
WHERE
	imeprezime_id=1542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4" s="47" t="s">
        <v>0</v>
      </c>
    </row>
    <row r="215" spans="1:157" x14ac:dyDescent="0.25">
      <c r="A215" t="s">
        <v>0</v>
      </c>
      <c r="B215" s="52" t="str">
        <f>IF(csv!F205="","",csv!T205)</f>
        <v>Ž12</v>
      </c>
      <c r="C215" s="31" t="s">
        <v>0</v>
      </c>
      <c r="D215" s="31" t="str">
        <f>IF(csv!F205="","",csv!F205)</f>
        <v>Nika</v>
      </c>
      <c r="E215" s="31" t="str">
        <f>IF(csv!E205="","",csv!E205)</f>
        <v>Kuzmanić</v>
      </c>
      <c r="F215" s="31" t="s">
        <v>0</v>
      </c>
      <c r="G215" s="73" t="str">
        <f>IF(csv!M205="","",csv!M205)</f>
        <v>47:44</v>
      </c>
      <c r="H215" s="73" t="str">
        <f>IF(csv!N205="","",csv!N205)</f>
        <v>0</v>
      </c>
      <c r="I215" s="31" t="s">
        <v>0</v>
      </c>
      <c r="J215" s="31" t="str">
        <f>IF(csv!P205="","",csv!P205)</f>
        <v>OK Varaždin</v>
      </c>
      <c r="K215" s="31" t="str">
        <f>IF(csv!Q205="","",csv!Q205)</f>
        <v>OK Varaždin</v>
      </c>
      <c r="L215" s="31" t="s">
        <v>0</v>
      </c>
      <c r="M215" s="66" t="str">
        <f>IF(csv!R205="","",csv!R205)</f>
        <v>CRO</v>
      </c>
      <c r="N215" s="47" t="s">
        <v>0</v>
      </c>
      <c r="O215" s="243" t="str">
        <f t="shared" si="207"/>
        <v>ok</v>
      </c>
      <c r="P215" s="47"/>
      <c r="Q215" s="52" t="str">
        <f t="shared" si="208"/>
        <v>Ž12</v>
      </c>
      <c r="R215" s="73">
        <f>IF(Q215="","",IF(COUNTIF(Q$12:Q214,Q215)=0,R214+1,R214))</f>
        <v>13</v>
      </c>
      <c r="S215" s="73">
        <f t="shared" si="209"/>
        <v>122</v>
      </c>
      <c r="T215" s="73">
        <f t="shared" si="184"/>
        <v>22</v>
      </c>
      <c r="U215" s="66" t="str">
        <f t="shared" si="185"/>
        <v>M12 – Ž12</v>
      </c>
      <c r="V215" s="47" t="s">
        <v>0</v>
      </c>
      <c r="W215" s="222" t="str">
        <f t="shared" si="186"/>
        <v>Ž12</v>
      </c>
      <c r="X215" s="223">
        <f t="shared" si="187"/>
        <v>35</v>
      </c>
      <c r="Y215" s="47" t="s">
        <v>0</v>
      </c>
      <c r="Z215" s="52" t="str">
        <f t="shared" si="210"/>
        <v>CRO</v>
      </c>
      <c r="AA215" s="73">
        <f t="shared" si="188"/>
        <v>1</v>
      </c>
      <c r="AB215" s="31" t="str">
        <f t="shared" si="211"/>
        <v/>
      </c>
      <c r="AC215" s="66" t="str">
        <f>IF(AB215="","",MAX(AC$12:AC214)+1)</f>
        <v/>
      </c>
      <c r="AD215" s="47" t="s">
        <v>0</v>
      </c>
      <c r="AE215" s="125"/>
      <c r="AF215" s="47" t="s">
        <v>0</v>
      </c>
      <c r="AG215" s="19" t="str">
        <f t="shared" si="212"/>
        <v/>
      </c>
      <c r="AH215" s="47" t="s">
        <v>0</v>
      </c>
      <c r="AI215" s="143" t="str">
        <f t="shared" si="213"/>
        <v>CRO</v>
      </c>
      <c r="AJ215" s="47"/>
      <c r="AK215" s="52" t="str">
        <f t="shared" si="214"/>
        <v>Nika</v>
      </c>
      <c r="AL215" s="31" t="str">
        <f t="shared" si="215"/>
        <v>Kuzmanić</v>
      </c>
      <c r="AM215" s="73">
        <f t="shared" si="216"/>
        <v>1538</v>
      </c>
      <c r="AN215" s="73" t="str">
        <f t="shared" si="217"/>
        <v/>
      </c>
      <c r="AO215" s="31" t="str">
        <f t="shared" si="189"/>
        <v>Nika</v>
      </c>
      <c r="AP215" s="66" t="str">
        <f t="shared" si="190"/>
        <v>Kuzmanić</v>
      </c>
      <c r="AQ215" s="47" t="s">
        <v>0</v>
      </c>
      <c r="AR215" s="82" t="str">
        <f t="shared" si="218"/>
        <v/>
      </c>
      <c r="AS215" s="47" t="s">
        <v>0</v>
      </c>
      <c r="AT215" s="19" t="str">
        <f t="shared" si="219"/>
        <v/>
      </c>
      <c r="AU215" s="47" t="s">
        <v>0</v>
      </c>
      <c r="AV215" s="103"/>
      <c r="AW215" s="105"/>
      <c r="AX215" s="47" t="s">
        <v>0</v>
      </c>
      <c r="AY215" s="256" t="str">
        <f t="shared" si="237"/>
        <v/>
      </c>
      <c r="AZ215" s="47" t="s">
        <v>0</v>
      </c>
      <c r="BA215" s="52" t="str">
        <f t="shared" si="191"/>
        <v/>
      </c>
      <c r="BB215" s="73" t="str">
        <f>IF(AV215&amp;AW215="","",MAX(BB$12:BB214)+1)</f>
        <v/>
      </c>
      <c r="BC215" s="268" t="str">
        <f t="shared" si="192"/>
        <v/>
      </c>
      <c r="BD215" s="53" t="str">
        <f>IF(AND(AM215="NEMA",AN215="NEMA",OR(AV215&amp;AW215="",BC215="NEMA")),MAX(BD$12:BD214)+1,"")</f>
        <v/>
      </c>
      <c r="BE215" s="47" t="s">
        <v>0</v>
      </c>
      <c r="BF215" s="52" t="str">
        <f t="shared" si="193"/>
        <v>Nika</v>
      </c>
      <c r="BG215" s="31" t="str">
        <f t="shared" si="194"/>
        <v>Kuzmanić</v>
      </c>
      <c r="BH215" s="73" t="str">
        <f t="shared" si="220"/>
        <v/>
      </c>
      <c r="BI215" s="53">
        <f t="shared" si="221"/>
        <v>1538</v>
      </c>
      <c r="BJ215" s="47" t="s">
        <v>0</v>
      </c>
      <c r="BK215" s="52" t="str">
        <f t="shared" si="195"/>
        <v>OK Varaždin</v>
      </c>
      <c r="BL215" s="31" t="str">
        <f t="shared" si="196"/>
        <v>OK Varaždin</v>
      </c>
      <c r="BM215" s="73">
        <f t="shared" si="197"/>
        <v>11</v>
      </c>
      <c r="BN215" s="73" t="str">
        <f t="shared" si="198"/>
        <v/>
      </c>
      <c r="BO215" s="31" t="str" cm="1">
        <f t="array" ref="BO215">IF(BN215="",""&amp;BL215,IF(BN215="NEMA",BL215,INDEX(regKlub_naziv,MATCH(INDEX(regKlub_alias_klubId,BN215),regKlub_id,0))))</f>
        <v>OK Varaždin</v>
      </c>
      <c r="BP215" s="31" t="str" cm="1">
        <f t="array" ref="BP215">IFERROR(""&amp;INDEX(regNatjecatelj_klub,DY215),"")</f>
        <v>OK Varaždin</v>
      </c>
      <c r="BQ215" s="88" t="str">
        <f t="shared" si="222"/>
        <v/>
      </c>
      <c r="BR215" s="66" t="str">
        <f t="shared" si="223"/>
        <v>OK Varaždin</v>
      </c>
      <c r="BS215" s="47" t="s">
        <v>0</v>
      </c>
      <c r="BT215" s="82" t="str">
        <f>IF(BN215&lt;&gt;"NEMA","",IF(IFERROR(MATCH(BL215,BL$12:BL214,0),0)&lt;&gt;0,"",BL215))</f>
        <v/>
      </c>
      <c r="BU215" s="47" t="s">
        <v>0</v>
      </c>
      <c r="BV215" s="125"/>
      <c r="BW215" s="47" t="s">
        <v>0</v>
      </c>
      <c r="BX215" s="58" t="str">
        <f t="shared" si="224"/>
        <v/>
      </c>
      <c r="BY215" s="31" t="str">
        <f t="shared" si="225"/>
        <v/>
      </c>
      <c r="BZ215" s="31" t="str">
        <f>IF(BY215="","",MAX(BZ$12:BZ214)+1)</f>
        <v/>
      </c>
      <c r="CA215" s="31" t="str">
        <f>IF(BY215="","",IF(AA215="","",IF(AA215="NEMA",AC215,AA215)))</f>
        <v/>
      </c>
      <c r="CB215" s="31" t="str">
        <f t="shared" si="226"/>
        <v/>
      </c>
      <c r="CC215" s="31" t="str">
        <f>IF(BV215="","",MAX(CC$12:CC214)+1)</f>
        <v/>
      </c>
      <c r="CD215" s="31" t="str">
        <f t="shared" si="227"/>
        <v/>
      </c>
      <c r="CE215" s="66" t="str">
        <f t="shared" si="228"/>
        <v/>
      </c>
      <c r="CF215" s="47" t="s">
        <v>0</v>
      </c>
      <c r="CG215" s="73" t="str">
        <f>IF(BN215="","",IF(BN215&lt;&gt;"NEMA","",IFERROR(INDEX(nat_klubAliasId,MATCH(BL215,nat_noviKluboviAliasi,0)),"")))</f>
        <v/>
      </c>
      <c r="CH215" s="47"/>
      <c r="CI215" s="19" t="str">
        <f t="shared" si="229"/>
        <v/>
      </c>
      <c r="CJ215" s="47" t="s">
        <v>0</v>
      </c>
      <c r="CK215" s="52" t="str">
        <f>IF(X215&lt;&gt;"NEMA","",IF(IFERROR(MATCH(W215,W$12:W214,0),0)&lt;&gt;0,"",W215))</f>
        <v/>
      </c>
      <c r="CL215" s="73" t="str">
        <f>IF(CK215="","",IFERROR(INDEX(regKlub_alias_id,MATCH(CK215,regKlub_alias_alias,0)),"NEMA"))</f>
        <v/>
      </c>
      <c r="CM215" s="31" t="str">
        <f>IF(OR(CL215="",CL215&lt;&gt;"NEMA"),"",MAX(CM$12:CM214)+1)</f>
        <v/>
      </c>
      <c r="CN215" s="66" t="str">
        <f>IF(OR(CL215="",CL215&lt;&gt;"NEMA"),"",INDEX(regKlub_id,MATCH(CK215,regKlub_naziv,0)))</f>
        <v/>
      </c>
      <c r="CO215" s="47" t="s">
        <v>0</v>
      </c>
      <c r="CP215" s="19" t="str">
        <f>IF(OR(CL215="",CL215&lt;&gt;"NEMA"),"","INSERT INTO klub_alias(id,alias,klub_id) VALUES ("&amp;CM215&amp;",'"&amp;CK215&amp;"',"&amp;CN215&amp;");")</f>
        <v/>
      </c>
      <c r="CQ215" s="47" t="s">
        <v>0</v>
      </c>
      <c r="CR215" s="143" t="str">
        <f>IF(BR215="","",IF(BV215="",IF(IFERROR(MATCH(BR215,nat_noviKluboviAliasi,0),0)&gt;0,INDEX(nat_kluboviAliasi,MATCH(BR215,nat_noviKluboviAliasi,0)),BR215),BV215))</f>
        <v>OK Varaždin</v>
      </c>
      <c r="CS215" s="47" t="s">
        <v>0</v>
      </c>
      <c r="CT215" s="58" t="str">
        <f>IF(G215="","",G215)</f>
        <v>47:44</v>
      </c>
      <c r="CU215" s="73" t="str">
        <f>IF(H215="","",H215)</f>
        <v>0</v>
      </c>
      <c r="CV215" s="229" t="str">
        <f>IF(CT215="",IF(OR(AL215="",CU215&lt;&gt;"0"),"","GREŠKA"),IF(AND(65535&gt;=VALUE(LEFT(CT215,SEARCH(":",CT215)-1))*60+VALUE(RIGHT(CT215,2)),OR(CU215="0",CU215="1",CU215="2",CU215="3",CU215="4")),"","GREŠKA"))</f>
        <v/>
      </c>
      <c r="CW215" s="230">
        <f t="shared" si="183"/>
        <v>2864</v>
      </c>
      <c r="CX215" s="163">
        <f t="shared" si="199"/>
        <v>1</v>
      </c>
      <c r="CY215" s="47" t="s">
        <v>0</v>
      </c>
      <c r="CZ215" s="222" t="str">
        <f>IF(CV215&lt;&gt;"GREŠKA","",AK215&amp;" "&amp;AL215&amp;" – Molim u OEventu provjeriti i ispraviti rezultat – vrijeme ("&amp;IF(CT215="","nije upisano",CT215)&amp;") i classifier ("&amp;CU215&amp;").")&amp;IF(OR(CV215&lt;&gt;"GREŠKA",CX215&lt;&gt;5),"
","")&amp;IF(CX215&lt;&gt;5,"",AK215&amp;" "&amp;AL215&amp;" – Molim u provjeriti je li natjecatelj zaista diskvalificiran. Ako je koje je obrazloženje, ako nije molim u OEventu ispraviti rezultat")</f>
        <v xml:space="preserve">
</v>
      </c>
      <c r="DA215" s="223">
        <f t="shared" si="230"/>
        <v>6</v>
      </c>
      <c r="DB215" s="47" t="s">
        <v>0</v>
      </c>
      <c r="DC215" s="47"/>
      <c r="DD215" s="47"/>
      <c r="DE215" s="47"/>
      <c r="DF215" s="47" t="s">
        <v>0</v>
      </c>
      <c r="DG215" s="53" t="str">
        <f>IF(BD215="","",IF(DI215="O",1,""))</f>
        <v/>
      </c>
      <c r="DH215" t="s">
        <v>0</v>
      </c>
      <c r="DI215" s="128" t="str">
        <f>IF(Q215="","",LEFT(INDEX(regKategorija_oznaka,MATCH(S215,regKategorija_id,0)),1))</f>
        <v>Ž</v>
      </c>
      <c r="DJ215" t="s">
        <v>0</v>
      </c>
      <c r="DK215" s="52" t="str">
        <f>IF(BD215="","",IF(M215&lt;&gt;"CRO","","INSERT INTO osoba (id,reg_broj,oib,spol_id,dat_rodjenja) VALUES ("&amp;BD215&amp;",(SELECT max(os.reg_broj)+1 FROM osoba AS os),Null,'"&amp;DI215&amp;"',Null); INSERT INTO osoba_log (id,reg_broj,oib,spol_id,dat_rodjenja,dnevnik_id) SELECT id,reg_broj,oib,spol_id,dat_rodjenja,"&amp;data_dnevnik_id&amp;" FROM osoba WHERE id = "&amp;BD215&amp;";"))</f>
        <v/>
      </c>
      <c r="DL215" s="66" t="str">
        <f>IF(BD215="","","INSERT INTO imeprezime (id,osoba_id,rbr,ime,prezime,klub_id,identitet_id,sintaksa_id,info,aktivno,dnevnik_id) VALUES ("&amp;BD215&amp;","&amp;IF(DK215="","Null",BD215)&amp;",1,'"&amp;IF(AV215&lt;&gt;"",AV215,AK215)&amp;"','"&amp;IF(AW215&lt;&gt;"",AW215,AL215)&amp;"',(SELECT id FROM klub WHERE naziv = '"&amp;CR215&amp;"'),Null,1,'',1,"&amp;data_dnevnik_id&amp;");")</f>
        <v/>
      </c>
      <c r="DM215" t="s">
        <v>0</v>
      </c>
      <c r="DN215" s="19" t="str">
        <f t="shared" si="238"/>
        <v/>
      </c>
      <c r="DO215" s="47" t="s">
        <v>0</v>
      </c>
      <c r="DP215" s="19" t="str">
        <f>IF(BA215="","","INSERT INTO imeprezime_alias(id,alias,imeprezime_id) VALUES ("&amp;BB215&amp;",'"&amp;BA215&amp;"',"&amp;IF(BC215="NEMA",BD215,BC215)&amp;");")</f>
        <v/>
      </c>
      <c r="DQ215" s="47" t="s">
        <v>0</v>
      </c>
      <c r="DR215" s="52" t="str">
        <f>IF(AL215="","",DU215 &amp; IF(Q215="",""," – " &amp; Q215))</f>
        <v>Nika – Kuzmanić – OK Varaždin – Ž12</v>
      </c>
      <c r="DS215" s="53">
        <f t="shared" si="200"/>
        <v>549</v>
      </c>
      <c r="DT215" s="47" t="s">
        <v>0</v>
      </c>
      <c r="DU215" s="52" t="str">
        <f>IF(AL215="","",DX215 &amp; IF(CR215="",""," – " &amp; CR215))</f>
        <v>Nika – Kuzmanić – OK Varaždin</v>
      </c>
      <c r="DV215" s="53">
        <f t="shared" si="201"/>
        <v>549</v>
      </c>
      <c r="DW215" s="47" t="s">
        <v>0</v>
      </c>
      <c r="DX215" s="52" t="str">
        <f>IF(BG215="","",BF215&amp;" – "&amp;BG215)</f>
        <v>Nika – Kuzmanić</v>
      </c>
      <c r="DY215" s="53">
        <f t="shared" si="202"/>
        <v>549</v>
      </c>
      <c r="DZ215" s="47" t="s">
        <v>0</v>
      </c>
      <c r="EA215" s="58">
        <f t="shared" si="231"/>
        <v>549</v>
      </c>
      <c r="EB215" s="53" cm="1">
        <f t="array" ref="EB215">IF(EA215&lt;&gt;"",INDEX(regNatjecatelj_id,EA215,0),IF(BD215&lt;&gt;"",BD215,""))</f>
        <v>1538</v>
      </c>
      <c r="EC215" s="47" t="s">
        <v>0</v>
      </c>
      <c r="ED215" s="58" t="str">
        <f>IF(AL215="","",IF(BD215&lt;&gt;"","novo",IF(AN215="","imepre","imepre(ali)")))</f>
        <v>imepre</v>
      </c>
      <c r="EE215" s="73" t="str">
        <f>IF(AL215="","",IF(BL215="",IF(IFERROR(INDEX(regNatjecatelj_klub,MATCH(EB215,regNatjecatelj_id,0)),"NEMA")="","klu",""),IF(OR(AND(BN215&lt;&gt;"",BN215&lt;&gt;"NEMA"),CD215&lt;&gt;""),"klu(ali)",IF(AND(BP215&lt;&gt;"",BP215&lt;&gt;BO215),"(raz-klu)","klu"))))</f>
        <v>klu</v>
      </c>
      <c r="EF215" s="73" t="str">
        <f>IF(AL215="","","kat"&amp;IF(AND(W215&lt;&gt;Q215,Q215&lt;&gt;"Open"),"(ali)",""))</f>
        <v>kat</v>
      </c>
      <c r="EG215" s="73" t="str">
        <f t="shared" si="203"/>
        <v/>
      </c>
      <c r="EH215" s="66" t="str">
        <f>IF(AL215="","",ED215&amp;IF(ED215="novo","","-"&amp;EE215&amp;"-"&amp;EF215)&amp;IF(EG215="","","-"&amp;EG215))</f>
        <v>imepre-klu-kat</v>
      </c>
      <c r="EI215" s="47" t="s">
        <v>0</v>
      </c>
      <c r="EJ215" s="58">
        <f>IF(AL215="","",MAX(EJ$12:EJ214)+1)</f>
        <v>375</v>
      </c>
      <c r="EK215" s="73">
        <f>IF(AO215="","",X215)</f>
        <v>35</v>
      </c>
      <c r="EL215" s="73">
        <f t="shared" si="232"/>
        <v>1538</v>
      </c>
      <c r="EM215" s="73">
        <f t="shared" si="204"/>
        <v>2864</v>
      </c>
      <c r="EN215" s="73">
        <f t="shared" si="205"/>
        <v>1</v>
      </c>
      <c r="EO215" s="73">
        <f t="shared" si="233"/>
        <v>1</v>
      </c>
      <c r="EP215" s="73">
        <f t="shared" si="234"/>
        <v>1</v>
      </c>
      <c r="EQ215" s="73" t="str">
        <f t="shared" si="206"/>
        <v>0</v>
      </c>
      <c r="ER215" s="73" t="str">
        <f>IF(OR(AN215="",AN215="NEMA"),BB215,AN215)</f>
        <v/>
      </c>
      <c r="ES215" s="73" t="str">
        <f>IF(AND(BN215&lt;&gt;"",BN215&lt;&gt;"NEMA"),BN215,IF(CG215&lt;&gt;"",CG215,IF(AND(CL215&lt;&gt;"",CL215&lt;&gt;"NEMA"),CL215,IF(CM215&lt;&gt;"",CM215,""))))</f>
        <v/>
      </c>
      <c r="ET215" s="53" t="str">
        <f>IF(INDEX(natKategorija_alias_Id,MATCH(S215,natKategorija_katRegId,0))="","",INDEX(natKategorija_alias_Id,MATCH(S215,natKategorija_katRegId,0)))</f>
        <v/>
      </c>
      <c r="EU215" s="47" t="s">
        <v>0</v>
      </c>
      <c r="EV215" s="19" t="str">
        <f t="shared" si="235"/>
        <v>INSERT INTO rezultat(id,stazakategorija_id,imeprezime_id,vrijeme_sec,status_id,registracija,uparivanje_id,originalstatus_id,imeprezimealias_id,klubalias_id,kategorijaalias_id) VALUES (375,35,1538,2864,1,1,1,0,Null,Null,Null);</v>
      </c>
      <c r="EW215" s="47" t="s">
        <v>0</v>
      </c>
      <c r="EX215" s="19" t="str">
        <f t="shared" si="236"/>
        <v>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5" s="47" t="s">
        <v>0</v>
      </c>
      <c r="EZ215" s="180" t="str">
        <f>AG215&amp;IF(CP215="","","
")&amp;CP215&amp;IF(CI215="","","
")&amp;CI215&amp;IF(DN215="","","
")&amp;DN215&amp;IF(DP215="","","
")&amp;DP215&amp;IF(EV215="","","
")&amp;EV215&amp;IF(EX215="","","
")&amp;EX215</f>
        <v xml:space="preserve">
INSERT INTO rezultat(id,stazakategorija_id,imeprezime_id,vrijeme_sec,status_id,registracija,uparivanje_id,originalstatus_id,imeprezimealias_id,klubalias_id,kategorijaalias_id) VALUES (375,35,1538,2864,1,1,1,0,Null,Null,Null);
UPDATE
	registar
SET
	potvrda = 1
WHERE
	imeprezime_id=1538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5" s="47" t="s">
        <v>0</v>
      </c>
    </row>
    <row r="216" spans="1:157" x14ac:dyDescent="0.25">
      <c r="A216" t="s">
        <v>0</v>
      </c>
      <c r="B216" s="52" t="str">
        <f>IF(csv!F206="","",csv!T206)</f>
        <v>Ž12</v>
      </c>
      <c r="C216" s="31" t="s">
        <v>0</v>
      </c>
      <c r="D216" s="31" t="str">
        <f>IF(csv!F206="","",csv!F206)</f>
        <v>Ema</v>
      </c>
      <c r="E216" s="31" t="str">
        <f>IF(csv!E206="","",csv!E206)</f>
        <v>Juričan</v>
      </c>
      <c r="F216" s="31" t="s">
        <v>0</v>
      </c>
      <c r="G216" s="73" t="str">
        <f>IF(csv!M206="","",csv!M206)</f>
        <v>56:40</v>
      </c>
      <c r="H216" s="73" t="str">
        <f>IF(csv!N206="","",csv!N206)</f>
        <v>0</v>
      </c>
      <c r="I216" s="31" t="s">
        <v>0</v>
      </c>
      <c r="J216" s="31" t="str">
        <f>IF(csv!P206="","",csv!P206)</f>
        <v>OK Varaždin</v>
      </c>
      <c r="K216" s="31" t="str">
        <f>IF(csv!Q206="","",csv!Q206)</f>
        <v>OK Varaždin</v>
      </c>
      <c r="L216" s="31" t="s">
        <v>0</v>
      </c>
      <c r="M216" s="66" t="str">
        <f>IF(csv!R206="","",csv!R206)</f>
        <v>CRO</v>
      </c>
      <c r="N216" s="47" t="s">
        <v>0</v>
      </c>
      <c r="O216" s="243" t="str">
        <f t="shared" si="207"/>
        <v>ok</v>
      </c>
      <c r="P216" s="47"/>
      <c r="Q216" s="52" t="str">
        <f t="shared" si="208"/>
        <v>Ž12</v>
      </c>
      <c r="R216" s="73">
        <f>IF(Q216="","",IF(COUNTIF(Q$12:Q215,Q216)=0,R215+1,R215))</f>
        <v>13</v>
      </c>
      <c r="S216" s="73">
        <f t="shared" si="209"/>
        <v>122</v>
      </c>
      <c r="T216" s="73">
        <f t="shared" si="184"/>
        <v>22</v>
      </c>
      <c r="U216" s="66" t="str">
        <f t="shared" si="185"/>
        <v>M12 – Ž12</v>
      </c>
      <c r="V216" s="47" t="s">
        <v>0</v>
      </c>
      <c r="W216" s="222" t="str">
        <f t="shared" si="186"/>
        <v>Ž12</v>
      </c>
      <c r="X216" s="223">
        <f t="shared" si="187"/>
        <v>35</v>
      </c>
      <c r="Y216" s="47" t="s">
        <v>0</v>
      </c>
      <c r="Z216" s="52" t="str">
        <f t="shared" si="210"/>
        <v>CRO</v>
      </c>
      <c r="AA216" s="73">
        <f t="shared" si="188"/>
        <v>1</v>
      </c>
      <c r="AB216" s="31" t="str">
        <f t="shared" si="211"/>
        <v/>
      </c>
      <c r="AC216" s="66" t="str">
        <f>IF(AB216="","",MAX(AC$12:AC215)+1)</f>
        <v/>
      </c>
      <c r="AD216" s="47" t="s">
        <v>0</v>
      </c>
      <c r="AE216" s="125"/>
      <c r="AF216" s="47" t="s">
        <v>0</v>
      </c>
      <c r="AG216" s="19" t="str">
        <f t="shared" si="212"/>
        <v/>
      </c>
      <c r="AH216" s="47" t="s">
        <v>0</v>
      </c>
      <c r="AI216" s="143" t="str">
        <f t="shared" si="213"/>
        <v>CRO</v>
      </c>
      <c r="AJ216" s="47"/>
      <c r="AK216" s="52" t="str">
        <f t="shared" si="214"/>
        <v>Ema</v>
      </c>
      <c r="AL216" s="31" t="str">
        <f t="shared" si="215"/>
        <v>Juričan</v>
      </c>
      <c r="AM216" s="73">
        <f t="shared" si="216"/>
        <v>1186</v>
      </c>
      <c r="AN216" s="73" t="str">
        <f t="shared" si="217"/>
        <v/>
      </c>
      <c r="AO216" s="31" t="str">
        <f t="shared" si="189"/>
        <v>Ema</v>
      </c>
      <c r="AP216" s="66" t="str">
        <f t="shared" si="190"/>
        <v>Juričan</v>
      </c>
      <c r="AQ216" s="47" t="s">
        <v>0</v>
      </c>
      <c r="AR216" s="82" t="str">
        <f t="shared" si="218"/>
        <v/>
      </c>
      <c r="AS216" s="47" t="s">
        <v>0</v>
      </c>
      <c r="AT216" s="19" t="str">
        <f t="shared" si="219"/>
        <v/>
      </c>
      <c r="AU216" s="47" t="s">
        <v>0</v>
      </c>
      <c r="AV216" s="103"/>
      <c r="AW216" s="105"/>
      <c r="AX216" s="47" t="s">
        <v>0</v>
      </c>
      <c r="AY216" s="256" t="str">
        <f t="shared" si="237"/>
        <v/>
      </c>
      <c r="AZ216" s="47" t="s">
        <v>0</v>
      </c>
      <c r="BA216" s="52" t="str">
        <f t="shared" si="191"/>
        <v/>
      </c>
      <c r="BB216" s="73" t="str">
        <f>IF(AV216&amp;AW216="","",MAX(BB$12:BB215)+1)</f>
        <v/>
      </c>
      <c r="BC216" s="268" t="str">
        <f t="shared" si="192"/>
        <v/>
      </c>
      <c r="BD216" s="53" t="str">
        <f>IF(AND(AM216="NEMA",AN216="NEMA",OR(AV216&amp;AW216="",BC216="NEMA")),MAX(BD$12:BD215)+1,"")</f>
        <v/>
      </c>
      <c r="BE216" s="47" t="s">
        <v>0</v>
      </c>
      <c r="BF216" s="52" t="str">
        <f t="shared" si="193"/>
        <v>Ema</v>
      </c>
      <c r="BG216" s="31" t="str">
        <f t="shared" si="194"/>
        <v>Juričan</v>
      </c>
      <c r="BH216" s="73" t="str">
        <f t="shared" si="220"/>
        <v/>
      </c>
      <c r="BI216" s="53">
        <f t="shared" si="221"/>
        <v>1186</v>
      </c>
      <c r="BJ216" s="47" t="s">
        <v>0</v>
      </c>
      <c r="BK216" s="52" t="str">
        <f t="shared" si="195"/>
        <v>OK Varaždin</v>
      </c>
      <c r="BL216" s="31" t="str">
        <f t="shared" si="196"/>
        <v>OK Varaždin</v>
      </c>
      <c r="BM216" s="73">
        <f t="shared" si="197"/>
        <v>11</v>
      </c>
      <c r="BN216" s="73" t="str">
        <f t="shared" si="198"/>
        <v/>
      </c>
      <c r="BO216" s="31" t="str" cm="1">
        <f t="array" ref="BO216">IF(BN216="",""&amp;BL216,IF(BN216="NEMA",BL216,INDEX(regKlub_naziv,MATCH(INDEX(regKlub_alias_klubId,BN216),regKlub_id,0))))</f>
        <v>OK Varaždin</v>
      </c>
      <c r="BP216" s="31" t="str" cm="1">
        <f t="array" ref="BP216">IFERROR(""&amp;INDEX(regNatjecatelj_klub,DY216),"")</f>
        <v>OK Varaždin</v>
      </c>
      <c r="BQ216" s="88" t="str">
        <f t="shared" si="222"/>
        <v/>
      </c>
      <c r="BR216" s="66" t="str">
        <f t="shared" si="223"/>
        <v>OK Varaždin</v>
      </c>
      <c r="BS216" s="47" t="s">
        <v>0</v>
      </c>
      <c r="BT216" s="82" t="str">
        <f>IF(BN216&lt;&gt;"NEMA","",IF(IFERROR(MATCH(BL216,BL$12:BL215,0),0)&lt;&gt;0,"",BL216))</f>
        <v/>
      </c>
      <c r="BU216" s="47" t="s">
        <v>0</v>
      </c>
      <c r="BV216" s="125"/>
      <c r="BW216" s="47" t="s">
        <v>0</v>
      </c>
      <c r="BX216" s="58" t="str">
        <f t="shared" si="224"/>
        <v/>
      </c>
      <c r="BY216" s="31" t="str">
        <f t="shared" si="225"/>
        <v/>
      </c>
      <c r="BZ216" s="31" t="str">
        <f>IF(BY216="","",MAX(BZ$12:BZ215)+1)</f>
        <v/>
      </c>
      <c r="CA216" s="31" t="str">
        <f>IF(BY216="","",IF(AA216="","",IF(AA216="NEMA",AC216,AA216)))</f>
        <v/>
      </c>
      <c r="CB216" s="31" t="str">
        <f t="shared" si="226"/>
        <v/>
      </c>
      <c r="CC216" s="31" t="str">
        <f>IF(BV216="","",MAX(CC$12:CC215)+1)</f>
        <v/>
      </c>
      <c r="CD216" s="31" t="str">
        <f t="shared" si="227"/>
        <v/>
      </c>
      <c r="CE216" s="66" t="str">
        <f t="shared" si="228"/>
        <v/>
      </c>
      <c r="CF216" s="47" t="s">
        <v>0</v>
      </c>
      <c r="CG216" s="73" t="str">
        <f>IF(BN216="","",IF(BN216&lt;&gt;"NEMA","",IFERROR(INDEX(nat_klubAliasId,MATCH(BL216,nat_noviKluboviAliasi,0)),"")))</f>
        <v/>
      </c>
      <c r="CH216" s="47"/>
      <c r="CI216" s="19" t="str">
        <f t="shared" si="229"/>
        <v/>
      </c>
      <c r="CJ216" s="47" t="s">
        <v>0</v>
      </c>
      <c r="CK216" s="52" t="str">
        <f>IF(X216&lt;&gt;"NEMA","",IF(IFERROR(MATCH(W216,W$12:W215,0),0)&lt;&gt;0,"",W216))</f>
        <v/>
      </c>
      <c r="CL216" s="73" t="str">
        <f>IF(CK216="","",IFERROR(INDEX(regKlub_alias_id,MATCH(CK216,regKlub_alias_alias,0)),"NEMA"))</f>
        <v/>
      </c>
      <c r="CM216" s="31" t="str">
        <f>IF(OR(CL216="",CL216&lt;&gt;"NEMA"),"",MAX(CM$12:CM215)+1)</f>
        <v/>
      </c>
      <c r="CN216" s="66" t="str">
        <f>IF(OR(CL216="",CL216&lt;&gt;"NEMA"),"",INDEX(regKlub_id,MATCH(CK216,regKlub_naziv,0)))</f>
        <v/>
      </c>
      <c r="CO216" s="47" t="s">
        <v>0</v>
      </c>
      <c r="CP216" s="19" t="str">
        <f>IF(OR(CL216="",CL216&lt;&gt;"NEMA"),"","INSERT INTO klub_alias(id,alias,klub_id) VALUES ("&amp;CM216&amp;",'"&amp;CK216&amp;"',"&amp;CN216&amp;");")</f>
        <v/>
      </c>
      <c r="CQ216" s="47" t="s">
        <v>0</v>
      </c>
      <c r="CR216" s="143" t="str">
        <f>IF(BR216="","",IF(BV216="",IF(IFERROR(MATCH(BR216,nat_noviKluboviAliasi,0),0)&gt;0,INDEX(nat_kluboviAliasi,MATCH(BR216,nat_noviKluboviAliasi,0)),BR216),BV216))</f>
        <v>OK Varaždin</v>
      </c>
      <c r="CS216" s="47" t="s">
        <v>0</v>
      </c>
      <c r="CT216" s="58" t="str">
        <f>IF(G216="","",G216)</f>
        <v>56:40</v>
      </c>
      <c r="CU216" s="73" t="str">
        <f>IF(H216="","",H216)</f>
        <v>0</v>
      </c>
      <c r="CV216" s="229" t="str">
        <f>IF(CT216="",IF(OR(AL216="",CU216&lt;&gt;"0"),"","GREŠKA"),IF(AND(65535&gt;=VALUE(LEFT(CT216,SEARCH(":",CT216)-1))*60+VALUE(RIGHT(CT216,2)),OR(CU216="0",CU216="1",CU216="2",CU216="3",CU216="4")),"","GREŠKA"))</f>
        <v/>
      </c>
      <c r="CW216" s="230">
        <f t="shared" si="183"/>
        <v>3400</v>
      </c>
      <c r="CX216" s="163">
        <f t="shared" si="199"/>
        <v>1</v>
      </c>
      <c r="CY216" s="47" t="s">
        <v>0</v>
      </c>
      <c r="CZ216" s="222" t="str">
        <f>IF(CV216&lt;&gt;"GREŠKA","",AK216&amp;" "&amp;AL216&amp;" – Molim u OEventu provjeriti i ispraviti rezultat – vrijeme ("&amp;IF(CT216="","nije upisano",CT216)&amp;") i classifier ("&amp;CU216&amp;").")&amp;IF(OR(CV216&lt;&gt;"GREŠKA",CX216&lt;&gt;5),"
","")&amp;IF(CX216&lt;&gt;5,"",AK216&amp;" "&amp;AL216&amp;" – Molim u provjeriti je li natjecatelj zaista diskvalificiran. Ako je koje je obrazloženje, ako nije molim u OEventu ispraviti rezultat")</f>
        <v xml:space="preserve">
</v>
      </c>
      <c r="DA216" s="223">
        <f t="shared" si="230"/>
        <v>6</v>
      </c>
      <c r="DB216" s="47" t="s">
        <v>0</v>
      </c>
      <c r="DC216" s="47"/>
      <c r="DD216" s="47"/>
      <c r="DE216" s="47"/>
      <c r="DF216" s="47" t="s">
        <v>0</v>
      </c>
      <c r="DG216" s="53" t="str">
        <f>IF(BD216="","",IF(DI216="O",1,""))</f>
        <v/>
      </c>
      <c r="DH216" t="s">
        <v>0</v>
      </c>
      <c r="DI216" s="128" t="str">
        <f>IF(Q216="","",LEFT(INDEX(regKategorija_oznaka,MATCH(S216,regKategorija_id,0)),1))</f>
        <v>Ž</v>
      </c>
      <c r="DJ216" t="s">
        <v>0</v>
      </c>
      <c r="DK216" s="52" t="str">
        <f>IF(BD216="","",IF(M216&lt;&gt;"CRO","","INSERT INTO osoba (id,reg_broj,oib,spol_id,dat_rodjenja) VALUES ("&amp;BD216&amp;",(SELECT max(os.reg_broj)+1 FROM osoba AS os),Null,'"&amp;DI216&amp;"',Null); INSERT INTO osoba_log (id,reg_broj,oib,spol_id,dat_rodjenja,dnevnik_id) SELECT id,reg_broj,oib,spol_id,dat_rodjenja,"&amp;data_dnevnik_id&amp;" FROM osoba WHERE id = "&amp;BD216&amp;";"))</f>
        <v/>
      </c>
      <c r="DL216" s="66" t="str">
        <f>IF(BD216="","","INSERT INTO imeprezime (id,osoba_id,rbr,ime,prezime,klub_id,identitet_id,sintaksa_id,info,aktivno,dnevnik_id) VALUES ("&amp;BD216&amp;","&amp;IF(DK216="","Null",BD216)&amp;",1,'"&amp;IF(AV216&lt;&gt;"",AV216,AK216)&amp;"','"&amp;IF(AW216&lt;&gt;"",AW216,AL216)&amp;"',(SELECT id FROM klub WHERE naziv = '"&amp;CR216&amp;"'),Null,1,'',1,"&amp;data_dnevnik_id&amp;");")</f>
        <v/>
      </c>
      <c r="DM216" t="s">
        <v>0</v>
      </c>
      <c r="DN216" s="19" t="str">
        <f t="shared" si="238"/>
        <v/>
      </c>
      <c r="DO216" s="47" t="s">
        <v>0</v>
      </c>
      <c r="DP216" s="19" t="str">
        <f>IF(BA216="","","INSERT INTO imeprezime_alias(id,alias,imeprezime_id) VALUES ("&amp;BB216&amp;",'"&amp;BA216&amp;"',"&amp;IF(BC216="NEMA",BD216,BC216)&amp;");")</f>
        <v/>
      </c>
      <c r="DQ216" s="47" t="s">
        <v>0</v>
      </c>
      <c r="DR216" s="52" t="str">
        <f>IF(AL216="","",DU216 &amp; IF(Q216="",""," – " &amp; Q216))</f>
        <v>Ema – Juričan – OK Varaždin – Ž12</v>
      </c>
      <c r="DS216" s="53">
        <f t="shared" si="200"/>
        <v>540</v>
      </c>
      <c r="DT216" s="47" t="s">
        <v>0</v>
      </c>
      <c r="DU216" s="52" t="str">
        <f>IF(AL216="","",DX216 &amp; IF(CR216="",""," – " &amp; CR216))</f>
        <v>Ema – Juričan – OK Varaždin</v>
      </c>
      <c r="DV216" s="53">
        <f t="shared" si="201"/>
        <v>540</v>
      </c>
      <c r="DW216" s="47" t="s">
        <v>0</v>
      </c>
      <c r="DX216" s="52" t="str">
        <f>IF(BG216="","",BF216&amp;" – "&amp;BG216)</f>
        <v>Ema – Juričan</v>
      </c>
      <c r="DY216" s="53">
        <f t="shared" si="202"/>
        <v>540</v>
      </c>
      <c r="DZ216" s="47" t="s">
        <v>0</v>
      </c>
      <c r="EA216" s="58">
        <f t="shared" si="231"/>
        <v>540</v>
      </c>
      <c r="EB216" s="53" cm="1">
        <f t="array" ref="EB216">IF(EA216&lt;&gt;"",INDEX(regNatjecatelj_id,EA216,0),IF(BD216&lt;&gt;"",BD216,""))</f>
        <v>1186</v>
      </c>
      <c r="EC216" s="47" t="s">
        <v>0</v>
      </c>
      <c r="ED216" s="58" t="str">
        <f>IF(AL216="","",IF(BD216&lt;&gt;"","novo",IF(AN216="","imepre","imepre(ali)")))</f>
        <v>imepre</v>
      </c>
      <c r="EE216" s="73" t="str">
        <f>IF(AL216="","",IF(BL216="",IF(IFERROR(INDEX(regNatjecatelj_klub,MATCH(EB216,regNatjecatelj_id,0)),"NEMA")="","klu",""),IF(OR(AND(BN216&lt;&gt;"",BN216&lt;&gt;"NEMA"),CD216&lt;&gt;""),"klu(ali)",IF(AND(BP216&lt;&gt;"",BP216&lt;&gt;BO216),"(raz-klu)","klu"))))</f>
        <v>klu</v>
      </c>
      <c r="EF216" s="73" t="str">
        <f>IF(AL216="","","kat"&amp;IF(AND(W216&lt;&gt;Q216,Q216&lt;&gt;"Open"),"(ali)",""))</f>
        <v>kat</v>
      </c>
      <c r="EG216" s="73" t="str">
        <f t="shared" si="203"/>
        <v/>
      </c>
      <c r="EH216" s="66" t="str">
        <f>IF(AL216="","",ED216&amp;IF(ED216="novo","","-"&amp;EE216&amp;"-"&amp;EF216)&amp;IF(EG216="","","-"&amp;EG216))</f>
        <v>imepre-klu-kat</v>
      </c>
      <c r="EI216" s="47" t="s">
        <v>0</v>
      </c>
      <c r="EJ216" s="58">
        <f>IF(AL216="","",MAX(EJ$12:EJ215)+1)</f>
        <v>376</v>
      </c>
      <c r="EK216" s="73">
        <f>IF(AO216="","",X216)</f>
        <v>35</v>
      </c>
      <c r="EL216" s="73">
        <f t="shared" si="232"/>
        <v>1186</v>
      </c>
      <c r="EM216" s="73">
        <f t="shared" si="204"/>
        <v>3400</v>
      </c>
      <c r="EN216" s="73">
        <f t="shared" si="205"/>
        <v>1</v>
      </c>
      <c r="EO216" s="73">
        <f t="shared" si="233"/>
        <v>1</v>
      </c>
      <c r="EP216" s="73">
        <f t="shared" si="234"/>
        <v>1</v>
      </c>
      <c r="EQ216" s="73" t="str">
        <f t="shared" si="206"/>
        <v>0</v>
      </c>
      <c r="ER216" s="73" t="str">
        <f>IF(OR(AN216="",AN216="NEMA"),BB216,AN216)</f>
        <v/>
      </c>
      <c r="ES216" s="73" t="str">
        <f>IF(AND(BN216&lt;&gt;"",BN216&lt;&gt;"NEMA"),BN216,IF(CG216&lt;&gt;"",CG216,IF(AND(CL216&lt;&gt;"",CL216&lt;&gt;"NEMA"),CL216,IF(CM216&lt;&gt;"",CM216,""))))</f>
        <v/>
      </c>
      <c r="ET216" s="53" t="str">
        <f>IF(INDEX(natKategorija_alias_Id,MATCH(S216,natKategorija_katRegId,0))="","",INDEX(natKategorija_alias_Id,MATCH(S216,natKategorija_katRegId,0)))</f>
        <v/>
      </c>
      <c r="EU216" s="47" t="s">
        <v>0</v>
      </c>
      <c r="EV216" s="19" t="str">
        <f t="shared" si="235"/>
        <v>INSERT INTO rezultat(id,stazakategorija_id,imeprezime_id,vrijeme_sec,status_id,registracija,uparivanje_id,originalstatus_id,imeprezimealias_id,klubalias_id,kategorijaalias_id) VALUES (376,35,1186,3400,1,1,1,0,Null,Null,Null);</v>
      </c>
      <c r="EW216" s="47" t="s">
        <v>0</v>
      </c>
      <c r="EX216" s="19" t="str">
        <f t="shared" si="236"/>
        <v>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6" s="47" t="s">
        <v>0</v>
      </c>
      <c r="EZ216" s="180" t="str">
        <f>AG216&amp;IF(CP216="","","
")&amp;CP216&amp;IF(CI216="","","
")&amp;CI216&amp;IF(DN216="","","
")&amp;DN216&amp;IF(DP216="","","
")&amp;DP216&amp;IF(EV216="","","
")&amp;EV216&amp;IF(EX216="","","
")&amp;EX216</f>
        <v xml:space="preserve">
INSERT INTO rezultat(id,stazakategorija_id,imeprezime_id,vrijeme_sec,status_id,registracija,uparivanje_id,originalstatus_id,imeprezimealias_id,klubalias_id,kategorijaalias_id) VALUES (376,35,1186,3400,1,1,1,0,Null,Null,Null);
UPDATE
	registar
SET
	potvrda = 1
WHERE
	imeprezime_id=1186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6" s="47" t="s">
        <v>0</v>
      </c>
    </row>
    <row r="217" spans="1:157" x14ac:dyDescent="0.25">
      <c r="A217" t="s">
        <v>0</v>
      </c>
      <c r="B217" s="52" t="str">
        <f>IF(csv!F207="","",csv!T207)</f>
        <v>Ž12</v>
      </c>
      <c r="C217" s="31" t="s">
        <v>0</v>
      </c>
      <c r="D217" s="31" t="str">
        <f>IF(csv!F207="","",csv!F207)</f>
        <v>Eva</v>
      </c>
      <c r="E217" s="31" t="str">
        <f>IF(csv!E207="","",csv!E207)</f>
        <v>Šantek</v>
      </c>
      <c r="F217" s="31" t="s">
        <v>0</v>
      </c>
      <c r="G217" s="73" t="str">
        <f>IF(csv!M207="","",csv!M207)</f>
        <v>82:29</v>
      </c>
      <c r="H217" s="73" t="str">
        <f>IF(csv!N207="","",csv!N207)</f>
        <v>0</v>
      </c>
      <c r="I217" s="31" t="s">
        <v>0</v>
      </c>
      <c r="J217" s="31" t="str">
        <f>IF(csv!P207="","",csv!P207)</f>
        <v>OK Varaždin</v>
      </c>
      <c r="K217" s="31" t="str">
        <f>IF(csv!Q207="","",csv!Q207)</f>
        <v>OK Varaždin</v>
      </c>
      <c r="L217" s="31" t="s">
        <v>0</v>
      </c>
      <c r="M217" s="66" t="str">
        <f>IF(csv!R207="","",csv!R207)</f>
        <v>CRO</v>
      </c>
      <c r="N217" s="47" t="s">
        <v>0</v>
      </c>
      <c r="O217" s="243" t="str">
        <f t="shared" si="207"/>
        <v>ok</v>
      </c>
      <c r="P217" s="47"/>
      <c r="Q217" s="52" t="str">
        <f t="shared" si="208"/>
        <v>Ž12</v>
      </c>
      <c r="R217" s="73">
        <f>IF(Q217="","",IF(COUNTIF(Q$12:Q216,Q217)=0,R216+1,R216))</f>
        <v>13</v>
      </c>
      <c r="S217" s="73">
        <f t="shared" si="209"/>
        <v>122</v>
      </c>
      <c r="T217" s="73">
        <f t="shared" si="184"/>
        <v>22</v>
      </c>
      <c r="U217" s="66" t="str">
        <f t="shared" si="185"/>
        <v>M12 – Ž12</v>
      </c>
      <c r="V217" s="47" t="s">
        <v>0</v>
      </c>
      <c r="W217" s="222" t="str">
        <f t="shared" si="186"/>
        <v>Ž12</v>
      </c>
      <c r="X217" s="223">
        <f t="shared" si="187"/>
        <v>35</v>
      </c>
      <c r="Y217" s="47" t="s">
        <v>0</v>
      </c>
      <c r="Z217" s="52" t="str">
        <f t="shared" si="210"/>
        <v>CRO</v>
      </c>
      <c r="AA217" s="73">
        <f t="shared" si="188"/>
        <v>1</v>
      </c>
      <c r="AB217" s="31" t="str">
        <f t="shared" si="211"/>
        <v/>
      </c>
      <c r="AC217" s="66" t="str">
        <f>IF(AB217="","",MAX(AC$12:AC216)+1)</f>
        <v/>
      </c>
      <c r="AD217" s="47" t="s">
        <v>0</v>
      </c>
      <c r="AE217" s="125"/>
      <c r="AF217" s="47" t="s">
        <v>0</v>
      </c>
      <c r="AG217" s="19" t="str">
        <f t="shared" si="212"/>
        <v/>
      </c>
      <c r="AH217" s="47" t="s">
        <v>0</v>
      </c>
      <c r="AI217" s="143" t="str">
        <f t="shared" si="213"/>
        <v>CRO</v>
      </c>
      <c r="AJ217" s="47"/>
      <c r="AK217" s="52" t="str">
        <f t="shared" si="214"/>
        <v>Eva</v>
      </c>
      <c r="AL217" s="31" t="str">
        <f t="shared" si="215"/>
        <v>Šantek</v>
      </c>
      <c r="AM217" s="73">
        <f t="shared" si="216"/>
        <v>1402</v>
      </c>
      <c r="AN217" s="73" t="str">
        <f t="shared" si="217"/>
        <v/>
      </c>
      <c r="AO217" s="31" t="str">
        <f t="shared" si="189"/>
        <v>Eva</v>
      </c>
      <c r="AP217" s="66" t="str">
        <f t="shared" si="190"/>
        <v>Šantek</v>
      </c>
      <c r="AQ217" s="47" t="s">
        <v>0</v>
      </c>
      <c r="AR217" s="82" t="str">
        <f t="shared" si="218"/>
        <v/>
      </c>
      <c r="AS217" s="47" t="s">
        <v>0</v>
      </c>
      <c r="AT217" s="19" t="str">
        <f t="shared" si="219"/>
        <v/>
      </c>
      <c r="AU217" s="47" t="s">
        <v>0</v>
      </c>
      <c r="AV217" s="103"/>
      <c r="AW217" s="105"/>
      <c r="AX217" s="47" t="s">
        <v>0</v>
      </c>
      <c r="AY217" s="256" t="str">
        <f t="shared" si="237"/>
        <v/>
      </c>
      <c r="AZ217" s="47" t="s">
        <v>0</v>
      </c>
      <c r="BA217" s="52" t="str">
        <f t="shared" si="191"/>
        <v/>
      </c>
      <c r="BB217" s="73" t="str">
        <f>IF(AV217&amp;AW217="","",MAX(BB$12:BB216)+1)</f>
        <v/>
      </c>
      <c r="BC217" s="268" t="str">
        <f t="shared" si="192"/>
        <v/>
      </c>
      <c r="BD217" s="53" t="str">
        <f>IF(AND(AM217="NEMA",AN217="NEMA",OR(AV217&amp;AW217="",BC217="NEMA")),MAX(BD$12:BD216)+1,"")</f>
        <v/>
      </c>
      <c r="BE217" s="47" t="s">
        <v>0</v>
      </c>
      <c r="BF217" s="52" t="str">
        <f t="shared" si="193"/>
        <v>Eva</v>
      </c>
      <c r="BG217" s="31" t="str">
        <f t="shared" si="194"/>
        <v>Šantek</v>
      </c>
      <c r="BH217" s="73" t="str">
        <f t="shared" si="220"/>
        <v/>
      </c>
      <c r="BI217" s="53">
        <f t="shared" si="221"/>
        <v>1402</v>
      </c>
      <c r="BJ217" s="47" t="s">
        <v>0</v>
      </c>
      <c r="BK217" s="52" t="str">
        <f t="shared" si="195"/>
        <v>OK Varaždin</v>
      </c>
      <c r="BL217" s="31" t="str">
        <f t="shared" si="196"/>
        <v>OK Varaždin</v>
      </c>
      <c r="BM217" s="73">
        <f t="shared" si="197"/>
        <v>11</v>
      </c>
      <c r="BN217" s="73" t="str">
        <f t="shared" si="198"/>
        <v/>
      </c>
      <c r="BO217" s="31" t="str" cm="1">
        <f t="array" ref="BO217">IF(BN217="",""&amp;BL217,IF(BN217="NEMA",BL217,INDEX(regKlub_naziv,MATCH(INDEX(regKlub_alias_klubId,BN217),regKlub_id,0))))</f>
        <v>OK Varaždin</v>
      </c>
      <c r="BP217" s="31" t="str" cm="1">
        <f t="array" ref="BP217">IFERROR(""&amp;INDEX(regNatjecatelj_klub,DY217),"")</f>
        <v>OK Varaždin</v>
      </c>
      <c r="BQ217" s="88" t="str">
        <f t="shared" si="222"/>
        <v/>
      </c>
      <c r="BR217" s="66" t="str">
        <f t="shared" si="223"/>
        <v>OK Varaždin</v>
      </c>
      <c r="BS217" s="47" t="s">
        <v>0</v>
      </c>
      <c r="BT217" s="82" t="str">
        <f>IF(BN217&lt;&gt;"NEMA","",IF(IFERROR(MATCH(BL217,BL$12:BL216,0),0)&lt;&gt;0,"",BL217))</f>
        <v/>
      </c>
      <c r="BU217" s="47" t="s">
        <v>0</v>
      </c>
      <c r="BV217" s="125"/>
      <c r="BW217" s="47" t="s">
        <v>0</v>
      </c>
      <c r="BX217" s="58" t="str">
        <f t="shared" si="224"/>
        <v/>
      </c>
      <c r="BY217" s="31" t="str">
        <f t="shared" si="225"/>
        <v/>
      </c>
      <c r="BZ217" s="31" t="str">
        <f>IF(BY217="","",MAX(BZ$12:BZ216)+1)</f>
        <v/>
      </c>
      <c r="CA217" s="31" t="str">
        <f>IF(BY217="","",IF(AA217="","",IF(AA217="NEMA",AC217,AA217)))</f>
        <v/>
      </c>
      <c r="CB217" s="31" t="str">
        <f t="shared" si="226"/>
        <v/>
      </c>
      <c r="CC217" s="31" t="str">
        <f>IF(BV217="","",MAX(CC$12:CC216)+1)</f>
        <v/>
      </c>
      <c r="CD217" s="31" t="str">
        <f t="shared" si="227"/>
        <v/>
      </c>
      <c r="CE217" s="66" t="str">
        <f t="shared" si="228"/>
        <v/>
      </c>
      <c r="CF217" s="47" t="s">
        <v>0</v>
      </c>
      <c r="CG217" s="73" t="str">
        <f>IF(BN217="","",IF(BN217&lt;&gt;"NEMA","",IFERROR(INDEX(nat_klubAliasId,MATCH(BL217,nat_noviKluboviAliasi,0)),"")))</f>
        <v/>
      </c>
      <c r="CH217" s="47"/>
      <c r="CI217" s="19" t="str">
        <f t="shared" si="229"/>
        <v/>
      </c>
      <c r="CJ217" s="47" t="s">
        <v>0</v>
      </c>
      <c r="CK217" s="52" t="str">
        <f>IF(X217&lt;&gt;"NEMA","",IF(IFERROR(MATCH(W217,W$12:W216,0),0)&lt;&gt;0,"",W217))</f>
        <v/>
      </c>
      <c r="CL217" s="73" t="str">
        <f>IF(CK217="","",IFERROR(INDEX(regKlub_alias_id,MATCH(CK217,regKlub_alias_alias,0)),"NEMA"))</f>
        <v/>
      </c>
      <c r="CM217" s="31" t="str">
        <f>IF(OR(CL217="",CL217&lt;&gt;"NEMA"),"",MAX(CM$12:CM216)+1)</f>
        <v/>
      </c>
      <c r="CN217" s="66" t="str">
        <f>IF(OR(CL217="",CL217&lt;&gt;"NEMA"),"",INDEX(regKlub_id,MATCH(CK217,regKlub_naziv,0)))</f>
        <v/>
      </c>
      <c r="CO217" s="47" t="s">
        <v>0</v>
      </c>
      <c r="CP217" s="19" t="str">
        <f>IF(OR(CL217="",CL217&lt;&gt;"NEMA"),"","INSERT INTO klub_alias(id,alias,klub_id) VALUES ("&amp;CM217&amp;",'"&amp;CK217&amp;"',"&amp;CN217&amp;");")</f>
        <v/>
      </c>
      <c r="CQ217" s="47" t="s">
        <v>0</v>
      </c>
      <c r="CR217" s="143" t="str">
        <f>IF(BR217="","",IF(BV217="",IF(IFERROR(MATCH(BR217,nat_noviKluboviAliasi,0),0)&gt;0,INDEX(nat_kluboviAliasi,MATCH(BR217,nat_noviKluboviAliasi,0)),BR217),BV217))</f>
        <v>OK Varaždin</v>
      </c>
      <c r="CS217" s="47" t="s">
        <v>0</v>
      </c>
      <c r="CT217" s="58" t="str">
        <f>IF(G217="","",G217)</f>
        <v>82:29</v>
      </c>
      <c r="CU217" s="73" t="str">
        <f>IF(H217="","",H217)</f>
        <v>0</v>
      </c>
      <c r="CV217" s="229" t="str">
        <f>IF(CT217="",IF(OR(AL217="",CU217&lt;&gt;"0"),"","GREŠKA"),IF(AND(65535&gt;=VALUE(LEFT(CT217,SEARCH(":",CT217)-1))*60+VALUE(RIGHT(CT217,2)),OR(CU217="0",CU217="1",CU217="2",CU217="3",CU217="4")),"","GREŠKA"))</f>
        <v/>
      </c>
      <c r="CW217" s="230">
        <f t="shared" si="183"/>
        <v>4949</v>
      </c>
      <c r="CX217" s="163">
        <f t="shared" si="199"/>
        <v>1</v>
      </c>
      <c r="CY217" s="47" t="s">
        <v>0</v>
      </c>
      <c r="CZ217" s="222" t="str">
        <f>IF(CV217&lt;&gt;"GREŠKA","",AK217&amp;" "&amp;AL217&amp;" – Molim u OEventu provjeriti i ispraviti rezultat – vrijeme ("&amp;IF(CT217="","nije upisano",CT217)&amp;") i classifier ("&amp;CU217&amp;").")&amp;IF(OR(CV217&lt;&gt;"GREŠKA",CX217&lt;&gt;5),"
","")&amp;IF(CX217&lt;&gt;5,"",AK217&amp;" "&amp;AL217&amp;" – Molim u provjeriti je li natjecatelj zaista diskvalificiran. Ako je koje je obrazloženje, ako nije molim u OEventu ispraviti rezultat")</f>
        <v xml:space="preserve">
</v>
      </c>
      <c r="DA217" s="223">
        <f t="shared" si="230"/>
        <v>6</v>
      </c>
      <c r="DB217" s="47" t="s">
        <v>0</v>
      </c>
      <c r="DC217" s="47"/>
      <c r="DD217" s="47"/>
      <c r="DE217" s="47"/>
      <c r="DF217" s="47" t="s">
        <v>0</v>
      </c>
      <c r="DG217" s="53" t="str">
        <f>IF(BD217="","",IF(DI217="O",1,""))</f>
        <v/>
      </c>
      <c r="DH217" t="s">
        <v>0</v>
      </c>
      <c r="DI217" s="128" t="str">
        <f>IF(Q217="","",LEFT(INDEX(regKategorija_oznaka,MATCH(S217,regKategorija_id,0)),1))</f>
        <v>Ž</v>
      </c>
      <c r="DJ217" t="s">
        <v>0</v>
      </c>
      <c r="DK217" s="52" t="str">
        <f>IF(BD217="","",IF(M217&lt;&gt;"CRO","","INSERT INTO osoba (id,reg_broj,oib,spol_id,dat_rodjenja) VALUES ("&amp;BD217&amp;",(SELECT max(os.reg_broj)+1 FROM osoba AS os),Null,'"&amp;DI217&amp;"',Null); INSERT INTO osoba_log (id,reg_broj,oib,spol_id,dat_rodjenja,dnevnik_id) SELECT id,reg_broj,oib,spol_id,dat_rodjenja,"&amp;data_dnevnik_id&amp;" FROM osoba WHERE id = "&amp;BD217&amp;";"))</f>
        <v/>
      </c>
      <c r="DL217" s="66" t="str">
        <f>IF(BD217="","","INSERT INTO imeprezime (id,osoba_id,rbr,ime,prezime,klub_id,identitet_id,sintaksa_id,info,aktivno,dnevnik_id) VALUES ("&amp;BD217&amp;","&amp;IF(DK217="","Null",BD217)&amp;",1,'"&amp;IF(AV217&lt;&gt;"",AV217,AK217)&amp;"','"&amp;IF(AW217&lt;&gt;"",AW217,AL217)&amp;"',(SELECT id FROM klub WHERE naziv = '"&amp;CR217&amp;"'),Null,1,'',1,"&amp;data_dnevnik_id&amp;");")</f>
        <v/>
      </c>
      <c r="DM217" t="s">
        <v>0</v>
      </c>
      <c r="DN217" s="19" t="str">
        <f t="shared" si="238"/>
        <v/>
      </c>
      <c r="DO217" s="47" t="s">
        <v>0</v>
      </c>
      <c r="DP217" s="19" t="str">
        <f>IF(BA217="","","INSERT INTO imeprezime_alias(id,alias,imeprezime_id) VALUES ("&amp;BB217&amp;",'"&amp;BA217&amp;"',"&amp;IF(BC217="NEMA",BD217,BC217)&amp;");")</f>
        <v/>
      </c>
      <c r="DQ217" s="47" t="s">
        <v>0</v>
      </c>
      <c r="DR217" s="52" t="str">
        <f>IF(AL217="","",DU217 &amp; IF(Q217="",""," – " &amp; Q217))</f>
        <v>Eva – Šantek – OK Varaždin – Ž12</v>
      </c>
      <c r="DS217" s="53">
        <f t="shared" si="200"/>
        <v>586</v>
      </c>
      <c r="DT217" s="47" t="s">
        <v>0</v>
      </c>
      <c r="DU217" s="52" t="str">
        <f>IF(AL217="","",DX217 &amp; IF(CR217="",""," – " &amp; CR217))</f>
        <v>Eva – Šantek – OK Varaždin</v>
      </c>
      <c r="DV217" s="53">
        <f t="shared" si="201"/>
        <v>586</v>
      </c>
      <c r="DW217" s="47" t="s">
        <v>0</v>
      </c>
      <c r="DX217" s="52" t="str">
        <f>IF(BG217="","",BF217&amp;" – "&amp;BG217)</f>
        <v>Eva – Šantek</v>
      </c>
      <c r="DY217" s="53">
        <f t="shared" si="202"/>
        <v>586</v>
      </c>
      <c r="DZ217" s="47" t="s">
        <v>0</v>
      </c>
      <c r="EA217" s="58">
        <f t="shared" si="231"/>
        <v>586</v>
      </c>
      <c r="EB217" s="53" cm="1">
        <f t="array" ref="EB217">IF(EA217&lt;&gt;"",INDEX(regNatjecatelj_id,EA217,0),IF(BD217&lt;&gt;"",BD217,""))</f>
        <v>1402</v>
      </c>
      <c r="EC217" s="47" t="s">
        <v>0</v>
      </c>
      <c r="ED217" s="58" t="str">
        <f>IF(AL217="","",IF(BD217&lt;&gt;"","novo",IF(AN217="","imepre","imepre(ali)")))</f>
        <v>imepre</v>
      </c>
      <c r="EE217" s="73" t="str">
        <f>IF(AL217="","",IF(BL217="",IF(IFERROR(INDEX(regNatjecatelj_klub,MATCH(EB217,regNatjecatelj_id,0)),"NEMA")="","klu",""),IF(OR(AND(BN217&lt;&gt;"",BN217&lt;&gt;"NEMA"),CD217&lt;&gt;""),"klu(ali)",IF(AND(BP217&lt;&gt;"",BP217&lt;&gt;BO217),"(raz-klu)","klu"))))</f>
        <v>klu</v>
      </c>
      <c r="EF217" s="73" t="str">
        <f>IF(AL217="","","kat"&amp;IF(AND(W217&lt;&gt;Q217,Q217&lt;&gt;"Open"),"(ali)",""))</f>
        <v>kat</v>
      </c>
      <c r="EG217" s="73" t="str">
        <f t="shared" si="203"/>
        <v/>
      </c>
      <c r="EH217" s="66" t="str">
        <f>IF(AL217="","",ED217&amp;IF(ED217="novo","","-"&amp;EE217&amp;"-"&amp;EF217)&amp;IF(EG217="","","-"&amp;EG217))</f>
        <v>imepre-klu-kat</v>
      </c>
      <c r="EI217" s="47" t="s">
        <v>0</v>
      </c>
      <c r="EJ217" s="58">
        <f>IF(AL217="","",MAX(EJ$12:EJ216)+1)</f>
        <v>377</v>
      </c>
      <c r="EK217" s="73">
        <f>IF(AO217="","",X217)</f>
        <v>35</v>
      </c>
      <c r="EL217" s="73">
        <f t="shared" si="232"/>
        <v>1402</v>
      </c>
      <c r="EM217" s="73">
        <f t="shared" si="204"/>
        <v>4949</v>
      </c>
      <c r="EN217" s="73">
        <f t="shared" si="205"/>
        <v>1</v>
      </c>
      <c r="EO217" s="73">
        <f t="shared" si="233"/>
        <v>1</v>
      </c>
      <c r="EP217" s="73">
        <f t="shared" si="234"/>
        <v>1</v>
      </c>
      <c r="EQ217" s="73" t="str">
        <f t="shared" si="206"/>
        <v>0</v>
      </c>
      <c r="ER217" s="73" t="str">
        <f>IF(OR(AN217="",AN217="NEMA"),BB217,AN217)</f>
        <v/>
      </c>
      <c r="ES217" s="73" t="str">
        <f>IF(AND(BN217&lt;&gt;"",BN217&lt;&gt;"NEMA"),BN217,IF(CG217&lt;&gt;"",CG217,IF(AND(CL217&lt;&gt;"",CL217&lt;&gt;"NEMA"),CL217,IF(CM217&lt;&gt;"",CM217,""))))</f>
        <v/>
      </c>
      <c r="ET217" s="53" t="str">
        <f>IF(INDEX(natKategorija_alias_Id,MATCH(S217,natKategorija_katRegId,0))="","",INDEX(natKategorija_alias_Id,MATCH(S217,natKategorija_katRegId,0)))</f>
        <v/>
      </c>
      <c r="EU217" s="47" t="s">
        <v>0</v>
      </c>
      <c r="EV217" s="19" t="str">
        <f t="shared" si="235"/>
        <v>INSERT INTO rezultat(id,stazakategorija_id,imeprezime_id,vrijeme_sec,status_id,registracija,uparivanje_id,originalstatus_id,imeprezimealias_id,klubalias_id,kategorijaalias_id) VALUES (377,35,1402,4949,1,1,1,0,Null,Null,Null);</v>
      </c>
      <c r="EW217" s="47" t="s">
        <v>0</v>
      </c>
      <c r="EX217" s="19" t="str">
        <f t="shared" si="236"/>
        <v>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7" s="47" t="s">
        <v>0</v>
      </c>
      <c r="EZ217" s="180" t="str">
        <f>AG217&amp;IF(CP217="","","
")&amp;CP217&amp;IF(CI217="","","
")&amp;CI217&amp;IF(DN217="","","
")&amp;DN217&amp;IF(DP217="","","
")&amp;DP217&amp;IF(EV217="","","
")&amp;EV217&amp;IF(EX217="","","
")&amp;EX217</f>
        <v xml:space="preserve">
INSERT INTO rezultat(id,stazakategorija_id,imeprezime_id,vrijeme_sec,status_id,registracija,uparivanje_id,originalstatus_id,imeprezimealias_id,klubalias_id,kategorijaalias_id) VALUES (377,35,1402,4949,1,1,1,0,Null,Null,Null);
UPDATE
	registar
SET
	potvrda = 1
WHERE
	imeprezime_id=1402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7" s="47" t="s">
        <v>0</v>
      </c>
    </row>
    <row r="218" spans="1:157" x14ac:dyDescent="0.25">
      <c r="A218" t="s">
        <v>0</v>
      </c>
      <c r="B218" s="52" t="str">
        <f>IF(csv!F208="","",csv!T208)</f>
        <v>Ž12</v>
      </c>
      <c r="C218" s="31" t="s">
        <v>0</v>
      </c>
      <c r="D218" s="31" t="str">
        <f>IF(csv!F208="","",csv!F208)</f>
        <v>Ana</v>
      </c>
      <c r="E218" s="31" t="str">
        <f>IF(csv!E208="","",csv!E208)</f>
        <v>Budi</v>
      </c>
      <c r="F218" s="31" t="s">
        <v>0</v>
      </c>
      <c r="G218" s="73" t="str">
        <f>IF(csv!M208="","",csv!M208)</f>
        <v/>
      </c>
      <c r="H218" s="73" t="str">
        <f>IF(csv!N208="","",csv!N208)</f>
        <v>1</v>
      </c>
      <c r="I218" s="31" t="s">
        <v>0</v>
      </c>
      <c r="J218" s="31" t="str">
        <f>IF(csv!P208="","",csv!P208)</f>
        <v>JAP</v>
      </c>
      <c r="K218" s="31" t="str">
        <f>IF(csv!Q208="","",csv!Q208)</f>
        <v>OK Japetic</v>
      </c>
      <c r="L218" s="31" t="s">
        <v>0</v>
      </c>
      <c r="M218" s="66" t="str">
        <f>IF(csv!R208="","",csv!R208)</f>
        <v>CRO</v>
      </c>
      <c r="N218" s="47" t="s">
        <v>0</v>
      </c>
      <c r="O218" s="243" t="str">
        <f t="shared" si="207"/>
        <v>ok</v>
      </c>
      <c r="P218" s="47"/>
      <c r="Q218" s="52" t="str">
        <f t="shared" si="208"/>
        <v>Ž12</v>
      </c>
      <c r="R218" s="73">
        <f>IF(Q218="","",IF(COUNTIF(Q$12:Q217,Q218)=0,R217+1,R217))</f>
        <v>13</v>
      </c>
      <c r="S218" s="73">
        <f t="shared" si="209"/>
        <v>122</v>
      </c>
      <c r="T218" s="73">
        <f t="shared" si="184"/>
        <v>22</v>
      </c>
      <c r="U218" s="66" t="str">
        <f t="shared" si="185"/>
        <v>M12 – Ž12</v>
      </c>
      <c r="V218" s="47" t="s">
        <v>0</v>
      </c>
      <c r="W218" s="222" t="str">
        <f t="shared" si="186"/>
        <v>Ž12</v>
      </c>
      <c r="X218" s="223">
        <f t="shared" si="187"/>
        <v>35</v>
      </c>
      <c r="Y218" s="47" t="s">
        <v>0</v>
      </c>
      <c r="Z218" s="52" t="str">
        <f t="shared" si="210"/>
        <v>CRO</v>
      </c>
      <c r="AA218" s="73">
        <f t="shared" si="188"/>
        <v>1</v>
      </c>
      <c r="AB218" s="31" t="str">
        <f t="shared" si="211"/>
        <v/>
      </c>
      <c r="AC218" s="66" t="str">
        <f>IF(AB218="","",MAX(AC$12:AC217)+1)</f>
        <v/>
      </c>
      <c r="AD218" s="47" t="s">
        <v>0</v>
      </c>
      <c r="AE218" s="125"/>
      <c r="AF218" s="47" t="s">
        <v>0</v>
      </c>
      <c r="AG218" s="19" t="str">
        <f t="shared" si="212"/>
        <v/>
      </c>
      <c r="AH218" s="47" t="s">
        <v>0</v>
      </c>
      <c r="AI218" s="143" t="str">
        <f t="shared" si="213"/>
        <v>CRO</v>
      </c>
      <c r="AJ218" s="47"/>
      <c r="AK218" s="52" t="str">
        <f t="shared" si="214"/>
        <v>Ana</v>
      </c>
      <c r="AL218" s="31" t="str">
        <f t="shared" si="215"/>
        <v>Budi</v>
      </c>
      <c r="AM218" s="73">
        <f t="shared" si="216"/>
        <v>1305</v>
      </c>
      <c r="AN218" s="73" t="str">
        <f t="shared" si="217"/>
        <v/>
      </c>
      <c r="AO218" s="31" t="str">
        <f t="shared" si="189"/>
        <v>Ana</v>
      </c>
      <c r="AP218" s="66" t="str">
        <f t="shared" si="190"/>
        <v>Budi</v>
      </c>
      <c r="AQ218" s="47" t="s">
        <v>0</v>
      </c>
      <c r="AR218" s="82" t="str">
        <f t="shared" si="218"/>
        <v/>
      </c>
      <c r="AS218" s="47" t="s">
        <v>0</v>
      </c>
      <c r="AT218" s="19" t="str">
        <f t="shared" si="219"/>
        <v/>
      </c>
      <c r="AU218" s="47" t="s">
        <v>0</v>
      </c>
      <c r="AV218" s="103"/>
      <c r="AW218" s="105"/>
      <c r="AX218" s="47" t="s">
        <v>0</v>
      </c>
      <c r="AY218" s="256" t="str">
        <f t="shared" si="237"/>
        <v/>
      </c>
      <c r="AZ218" s="47" t="s">
        <v>0</v>
      </c>
      <c r="BA218" s="52" t="str">
        <f t="shared" si="191"/>
        <v/>
      </c>
      <c r="BB218" s="73" t="str">
        <f>IF(AV218&amp;AW218="","",MAX(BB$12:BB217)+1)</f>
        <v/>
      </c>
      <c r="BC218" s="268" t="str">
        <f t="shared" si="192"/>
        <v/>
      </c>
      <c r="BD218" s="53" t="str">
        <f>IF(AND(AM218="NEMA",AN218="NEMA",OR(AV218&amp;AW218="",BC218="NEMA")),MAX(BD$12:BD217)+1,"")</f>
        <v/>
      </c>
      <c r="BE218" s="47" t="s">
        <v>0</v>
      </c>
      <c r="BF218" s="52" t="str">
        <f t="shared" si="193"/>
        <v>Ana</v>
      </c>
      <c r="BG218" s="31" t="str">
        <f t="shared" si="194"/>
        <v>Budi</v>
      </c>
      <c r="BH218" s="73" t="str">
        <f t="shared" si="220"/>
        <v/>
      </c>
      <c r="BI218" s="53">
        <f t="shared" si="221"/>
        <v>1305</v>
      </c>
      <c r="BJ218" s="47" t="s">
        <v>0</v>
      </c>
      <c r="BK218" s="52" t="str">
        <f t="shared" si="195"/>
        <v>JAP</v>
      </c>
      <c r="BL218" s="31" t="str">
        <f t="shared" si="196"/>
        <v>OK Japetic</v>
      </c>
      <c r="BM218" s="73" t="str">
        <f t="shared" si="197"/>
        <v>NEMA</v>
      </c>
      <c r="BN218" s="73">
        <f t="shared" si="198"/>
        <v>1</v>
      </c>
      <c r="BO218" s="31" t="str" cm="1">
        <f t="array" ref="BO218">IF(BN218="",""&amp;BL218,IF(BN218="NEMA",BL218,INDEX(regKlub_naziv,MATCH(INDEX(regKlub_alias_klubId,BN218),regKlub_id,0))))</f>
        <v>OK Japetić</v>
      </c>
      <c r="BP218" s="31" t="str" cm="1">
        <f t="array" ref="BP218">IFERROR(""&amp;INDEX(regNatjecatelj_klub,DY218),"")</f>
        <v>OK Japetić</v>
      </c>
      <c r="BQ218" s="88" t="str">
        <f t="shared" si="222"/>
        <v/>
      </c>
      <c r="BR218" s="66" t="str">
        <f t="shared" si="223"/>
        <v>OK Japetić</v>
      </c>
      <c r="BS218" s="47" t="s">
        <v>0</v>
      </c>
      <c r="BT218" s="82" t="str">
        <f>IF(BN218&lt;&gt;"NEMA","",IF(IFERROR(MATCH(BL218,BL$12:BL217,0),0)&lt;&gt;0,"",BL218))</f>
        <v/>
      </c>
      <c r="BU218" s="47" t="s">
        <v>0</v>
      </c>
      <c r="BV218" s="125"/>
      <c r="BW218" s="47" t="s">
        <v>0</v>
      </c>
      <c r="BX218" s="58" t="str">
        <f t="shared" si="224"/>
        <v/>
      </c>
      <c r="BY218" s="31" t="str">
        <f t="shared" si="225"/>
        <v/>
      </c>
      <c r="BZ218" s="31" t="str">
        <f>IF(BY218="","",MAX(BZ$12:BZ217)+1)</f>
        <v/>
      </c>
      <c r="CA218" s="31" t="str">
        <f>IF(BY218="","",IF(AA218="","",IF(AA218="NEMA",AC218,AA218)))</f>
        <v/>
      </c>
      <c r="CB218" s="31" t="str">
        <f t="shared" si="226"/>
        <v/>
      </c>
      <c r="CC218" s="31" t="str">
        <f>IF(BV218="","",MAX(CC$12:CC217)+1)</f>
        <v/>
      </c>
      <c r="CD218" s="31" t="str">
        <f t="shared" si="227"/>
        <v/>
      </c>
      <c r="CE218" s="66" t="str">
        <f t="shared" si="228"/>
        <v/>
      </c>
      <c r="CF218" s="47" t="s">
        <v>0</v>
      </c>
      <c r="CG218" s="73" t="str">
        <f>IF(BN218="","",IF(BN218&lt;&gt;"NEMA","",IFERROR(INDEX(nat_klubAliasId,MATCH(BL218,nat_noviKluboviAliasi,0)),"")))</f>
        <v/>
      </c>
      <c r="CH218" s="47"/>
      <c r="CI218" s="19" t="str">
        <f t="shared" si="229"/>
        <v/>
      </c>
      <c r="CJ218" s="47" t="s">
        <v>0</v>
      </c>
      <c r="CK218" s="52" t="str">
        <f>IF(X218&lt;&gt;"NEMA","",IF(IFERROR(MATCH(W218,W$12:W217,0),0)&lt;&gt;0,"",W218))</f>
        <v/>
      </c>
      <c r="CL218" s="73" t="str">
        <f>IF(CK218="","",IFERROR(INDEX(regKlub_alias_id,MATCH(CK218,regKlub_alias_alias,0)),"NEMA"))</f>
        <v/>
      </c>
      <c r="CM218" s="31" t="str">
        <f>IF(OR(CL218="",CL218&lt;&gt;"NEMA"),"",MAX(CM$12:CM217)+1)</f>
        <v/>
      </c>
      <c r="CN218" s="66" t="str">
        <f>IF(OR(CL218="",CL218&lt;&gt;"NEMA"),"",INDEX(regKlub_id,MATCH(CK218,regKlub_naziv,0)))</f>
        <v/>
      </c>
      <c r="CO218" s="47" t="s">
        <v>0</v>
      </c>
      <c r="CP218" s="19" t="str">
        <f>IF(OR(CL218="",CL218&lt;&gt;"NEMA"),"","INSERT INTO klub_alias(id,alias,klub_id) VALUES ("&amp;CM218&amp;",'"&amp;CK218&amp;"',"&amp;CN218&amp;");")</f>
        <v/>
      </c>
      <c r="CQ218" s="47" t="s">
        <v>0</v>
      </c>
      <c r="CR218" s="143" t="str">
        <f>IF(BR218="","",IF(BV218="",IF(IFERROR(MATCH(BR218,nat_noviKluboviAliasi,0),0)&gt;0,INDEX(nat_kluboviAliasi,MATCH(BR218,nat_noviKluboviAliasi,0)),BR218),BV218))</f>
        <v>OK Japetić</v>
      </c>
      <c r="CS218" s="47" t="s">
        <v>0</v>
      </c>
      <c r="CT218" s="58" t="str">
        <f>IF(G218="","",G218)</f>
        <v/>
      </c>
      <c r="CU218" s="73" t="str">
        <f>IF(H218="","",H218)</f>
        <v>1</v>
      </c>
      <c r="CV218" s="229" t="str">
        <f>IF(CT218="",IF(OR(AL218="",CU218&lt;&gt;"0"),"","GREŠKA"),IF(AND(65535&gt;=VALUE(LEFT(CT218,SEARCH(":",CT218)-1))*60+VALUE(RIGHT(CT218,2)),OR(CU218="0",CU218="1",CU218="2",CU218="3",CU218="4")),"","GREŠKA"))</f>
        <v/>
      </c>
      <c r="CW218" s="230" t="str">
        <f t="shared" si="183"/>
        <v/>
      </c>
      <c r="CX218" s="163">
        <f t="shared" si="199"/>
        <v>6</v>
      </c>
      <c r="CY218" s="47" t="s">
        <v>0</v>
      </c>
      <c r="CZ218" s="222" t="str">
        <f>IF(CV218&lt;&gt;"GREŠKA","",AK218&amp;" "&amp;AL218&amp;" – Molim u OEventu provjeriti i ispraviti rezultat – vrijeme ("&amp;IF(CT218="","nije upisano",CT218)&amp;") i classifier ("&amp;CU218&amp;").")&amp;IF(OR(CV218&lt;&gt;"GREŠKA",CX218&lt;&gt;5),"
","")&amp;IF(CX218&lt;&gt;5,"",AK218&amp;" "&amp;AL218&amp;" – Molim u provjeriti je li natjecatelj zaista diskvalificiran. Ako je koje je obrazloženje, ako nije molim u OEventu ispraviti rezultat")</f>
        <v xml:space="preserve">
</v>
      </c>
      <c r="DA218" s="223" t="e">
        <f t="shared" si="230"/>
        <v>#N/A</v>
      </c>
      <c r="DB218" s="47" t="s">
        <v>0</v>
      </c>
      <c r="DC218" s="47"/>
      <c r="DD218" s="47"/>
      <c r="DE218" s="47"/>
      <c r="DF218" s="47" t="s">
        <v>0</v>
      </c>
      <c r="DG218" s="53" t="str">
        <f>IF(BD218="","",IF(DI218="O",1,""))</f>
        <v/>
      </c>
      <c r="DH218" t="s">
        <v>0</v>
      </c>
      <c r="DI218" s="128" t="str">
        <f>IF(Q218="","",LEFT(INDEX(regKategorija_oznaka,MATCH(S218,regKategorija_id,0)),1))</f>
        <v>Ž</v>
      </c>
      <c r="DJ218" t="s">
        <v>0</v>
      </c>
      <c r="DK218" s="52" t="str">
        <f>IF(BD218="","",IF(M218&lt;&gt;"CRO","","INSERT INTO osoba (id,reg_broj,oib,spol_id,dat_rodjenja) VALUES ("&amp;BD218&amp;",(SELECT max(os.reg_broj)+1 FROM osoba AS os),Null,'"&amp;DI218&amp;"',Null); INSERT INTO osoba_log (id,reg_broj,oib,spol_id,dat_rodjenja,dnevnik_id) SELECT id,reg_broj,oib,spol_id,dat_rodjenja,"&amp;data_dnevnik_id&amp;" FROM osoba WHERE id = "&amp;BD218&amp;";"))</f>
        <v/>
      </c>
      <c r="DL218" s="66" t="str">
        <f>IF(BD218="","","INSERT INTO imeprezime (id,osoba_id,rbr,ime,prezime,klub_id,identitet_id,sintaksa_id,info,aktivno,dnevnik_id) VALUES ("&amp;BD218&amp;","&amp;IF(DK218="","Null",BD218)&amp;",1,'"&amp;IF(AV218&lt;&gt;"",AV218,AK218)&amp;"','"&amp;IF(AW218&lt;&gt;"",AW218,AL218)&amp;"',(SELECT id FROM klub WHERE naziv = '"&amp;CR218&amp;"'),Null,1,'',1,"&amp;data_dnevnik_id&amp;");")</f>
        <v/>
      </c>
      <c r="DM218" t="s">
        <v>0</v>
      </c>
      <c r="DN218" s="19" t="str">
        <f t="shared" si="238"/>
        <v/>
      </c>
      <c r="DO218" s="47" t="s">
        <v>0</v>
      </c>
      <c r="DP218" s="19" t="str">
        <f>IF(BA218="","","INSERT INTO imeprezime_alias(id,alias,imeprezime_id) VALUES ("&amp;BB218&amp;",'"&amp;BA218&amp;"',"&amp;IF(BC218="NEMA",BD218,BC218)&amp;");")</f>
        <v/>
      </c>
      <c r="DQ218" s="47" t="s">
        <v>0</v>
      </c>
      <c r="DR218" s="52" t="str">
        <f>IF(AL218="","",DU218 &amp; IF(Q218="",""," – " &amp; Q218))</f>
        <v>Ana – Budi – OK Japetić – Ž12</v>
      </c>
      <c r="DS218" s="53">
        <f t="shared" si="200"/>
        <v>77</v>
      </c>
      <c r="DT218" s="47" t="s">
        <v>0</v>
      </c>
      <c r="DU218" s="52" t="str">
        <f>IF(AL218="","",DX218 &amp; IF(CR218="",""," – " &amp; CR218))</f>
        <v>Ana – Budi – OK Japetić</v>
      </c>
      <c r="DV218" s="53">
        <f t="shared" si="201"/>
        <v>77</v>
      </c>
      <c r="DW218" s="47" t="s">
        <v>0</v>
      </c>
      <c r="DX218" s="52" t="str">
        <f>IF(BG218="","",BF218&amp;" – "&amp;BG218)</f>
        <v>Ana – Budi</v>
      </c>
      <c r="DY218" s="53">
        <f t="shared" si="202"/>
        <v>77</v>
      </c>
      <c r="DZ218" s="47" t="s">
        <v>0</v>
      </c>
      <c r="EA218" s="58">
        <f t="shared" si="231"/>
        <v>77</v>
      </c>
      <c r="EB218" s="53" cm="1">
        <f t="array" ref="EB218">IF(EA218&lt;&gt;"",INDEX(regNatjecatelj_id,EA218,0),IF(BD218&lt;&gt;"",BD218,""))</f>
        <v>1305</v>
      </c>
      <c r="EC218" s="47" t="s">
        <v>0</v>
      </c>
      <c r="ED218" s="58" t="str">
        <f>IF(AL218="","",IF(BD218&lt;&gt;"","novo",IF(AN218="","imepre","imepre(ali)")))</f>
        <v>imepre</v>
      </c>
      <c r="EE218" s="73" t="str">
        <f>IF(AL218="","",IF(BL218="",IF(IFERROR(INDEX(regNatjecatelj_klub,MATCH(EB218,regNatjecatelj_id,0)),"NEMA")="","klu",""),IF(OR(AND(BN218&lt;&gt;"",BN218&lt;&gt;"NEMA"),CD218&lt;&gt;""),"klu(ali)",IF(AND(BP218&lt;&gt;"",BP218&lt;&gt;BO218),"(raz-klu)","klu"))))</f>
        <v>klu(ali)</v>
      </c>
      <c r="EF218" s="73" t="str">
        <f>IF(AL218="","","kat"&amp;IF(AND(W218&lt;&gt;Q218,Q218&lt;&gt;"Open"),"(ali)",""))</f>
        <v>kat</v>
      </c>
      <c r="EG218" s="73" t="str">
        <f t="shared" si="203"/>
        <v/>
      </c>
      <c r="EH218" s="66" t="str">
        <f>IF(AL218="","",ED218&amp;IF(ED218="novo","","-"&amp;EE218&amp;"-"&amp;EF218)&amp;IF(EG218="","","-"&amp;EG218))</f>
        <v>imepre-klu(ali)-kat</v>
      </c>
      <c r="EI218" s="47" t="s">
        <v>0</v>
      </c>
      <c r="EJ218" s="58">
        <f>IF(AL218="","",MAX(EJ$12:EJ217)+1)</f>
        <v>378</v>
      </c>
      <c r="EK218" s="73">
        <f>IF(AO218="","",X218)</f>
        <v>35</v>
      </c>
      <c r="EL218" s="73">
        <f t="shared" si="232"/>
        <v>1305</v>
      </c>
      <c r="EM218" s="73" t="str">
        <f t="shared" si="204"/>
        <v/>
      </c>
      <c r="EN218" s="73">
        <f t="shared" si="205"/>
        <v>6</v>
      </c>
      <c r="EO218" s="73">
        <f t="shared" si="233"/>
        <v>1</v>
      </c>
      <c r="EP218" s="73">
        <f t="shared" si="234"/>
        <v>3</v>
      </c>
      <c r="EQ218" s="73" t="str">
        <f t="shared" si="206"/>
        <v>1</v>
      </c>
      <c r="ER218" s="73" t="str">
        <f>IF(OR(AN218="",AN218="NEMA"),BB218,AN218)</f>
        <v/>
      </c>
      <c r="ES218" s="73">
        <f>IF(AND(BN218&lt;&gt;"",BN218&lt;&gt;"NEMA"),BN218,IF(CG218&lt;&gt;"",CG218,IF(AND(CL218&lt;&gt;"",CL218&lt;&gt;"NEMA"),CL218,IF(CM218&lt;&gt;"",CM218,""))))</f>
        <v>1</v>
      </c>
      <c r="ET218" s="53" t="str">
        <f>IF(INDEX(natKategorija_alias_Id,MATCH(S218,natKategorija_katRegId,0))="","",INDEX(natKategorija_alias_Id,MATCH(S218,natKategorija_katRegId,0)))</f>
        <v/>
      </c>
      <c r="EU218" s="47" t="s">
        <v>0</v>
      </c>
      <c r="EV218" s="19" t="str">
        <f t="shared" si="235"/>
        <v>INSERT INTO rezultat(id,stazakategorija_id,imeprezime_id,vrijeme_sec,status_id,registracija,uparivanje_id,originalstatus_id,imeprezimealias_id,klubalias_id,kategorijaalias_id) VALUES (378,35,1305,Null,6,1,3,1,Null,1,Null);</v>
      </c>
      <c r="EW218" s="47" t="s">
        <v>0</v>
      </c>
      <c r="EX218" s="19" t="str">
        <f t="shared" si="236"/>
        <v>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8" s="47" t="s">
        <v>0</v>
      </c>
      <c r="EZ218" s="180" t="str">
        <f>AG218&amp;IF(CP218="","","
")&amp;CP218&amp;IF(CI218="","","
")&amp;CI218&amp;IF(DN218="","","
")&amp;DN218&amp;IF(DP218="","","
")&amp;DP218&amp;IF(EV218="","","
")&amp;EV218&amp;IF(EX218="","","
")&amp;EX218</f>
        <v xml:space="preserve">
INSERT INTO rezultat(id,stazakategorija_id,imeprezime_id,vrijeme_sec,status_id,registracija,uparivanje_id,originalstatus_id,imeprezimealias_id,klubalias_id,kategorijaalias_id) VALUES (378,35,1305,Null,6,1,3,1,Null,1,Null);
UPDATE
	registar
SET
	potvrda = 1
WHERE
	imeprezime_id=1305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8" s="47" t="s">
        <v>0</v>
      </c>
    </row>
    <row r="219" spans="1:157" x14ac:dyDescent="0.25">
      <c r="A219" t="s">
        <v>0</v>
      </c>
      <c r="B219" s="52" t="str">
        <f>IF(csv!F209="","",csv!T209)</f>
        <v>Ž12</v>
      </c>
      <c r="C219" s="31" t="s">
        <v>0</v>
      </c>
      <c r="D219" s="31" t="str">
        <f>IF(csv!F209="","",csv!F209)</f>
        <v>Ema</v>
      </c>
      <c r="E219" s="31" t="str">
        <f>IF(csv!E209="","",csv!E209)</f>
        <v>Jurač</v>
      </c>
      <c r="F219" s="31" t="s">
        <v>0</v>
      </c>
      <c r="G219" s="73" t="str">
        <f>IF(csv!M209="","",csv!M209)</f>
        <v/>
      </c>
      <c r="H219" s="73" t="str">
        <f>IF(csv!N209="","",csv!N209)</f>
        <v>1</v>
      </c>
      <c r="I219" s="31" t="s">
        <v>0</v>
      </c>
      <c r="J219" s="31" t="str">
        <f>IF(csv!P209="","",csv!P209)</f>
        <v>Vihor</v>
      </c>
      <c r="K219" s="31" t="str">
        <f>IF(csv!Q209="","",csv!Q209)</f>
        <v>OK Vihor</v>
      </c>
      <c r="L219" s="31" t="s">
        <v>0</v>
      </c>
      <c r="M219" s="66" t="str">
        <f>IF(csv!R209="","",csv!R209)</f>
        <v>CRO</v>
      </c>
      <c r="N219" s="47" t="s">
        <v>0</v>
      </c>
      <c r="O219" s="243" t="str">
        <f t="shared" si="207"/>
        <v>ok</v>
      </c>
      <c r="P219" s="47"/>
      <c r="Q219" s="52" t="str">
        <f t="shared" si="208"/>
        <v>Ž12</v>
      </c>
      <c r="R219" s="73">
        <f>IF(Q219="","",IF(COUNTIF(Q$12:Q218,Q219)=0,R218+1,R218))</f>
        <v>13</v>
      </c>
      <c r="S219" s="73">
        <f t="shared" si="209"/>
        <v>122</v>
      </c>
      <c r="T219" s="73">
        <f t="shared" si="184"/>
        <v>22</v>
      </c>
      <c r="U219" s="66" t="str">
        <f t="shared" si="185"/>
        <v>M12 – Ž12</v>
      </c>
      <c r="V219" s="47" t="s">
        <v>0</v>
      </c>
      <c r="W219" s="222" t="str">
        <f t="shared" si="186"/>
        <v>Ž12</v>
      </c>
      <c r="X219" s="223">
        <f t="shared" si="187"/>
        <v>35</v>
      </c>
      <c r="Y219" s="47" t="s">
        <v>0</v>
      </c>
      <c r="Z219" s="52" t="str">
        <f t="shared" si="210"/>
        <v>CRO</v>
      </c>
      <c r="AA219" s="73">
        <f t="shared" si="188"/>
        <v>1</v>
      </c>
      <c r="AB219" s="31" t="str">
        <f t="shared" si="211"/>
        <v/>
      </c>
      <c r="AC219" s="66" t="str">
        <f>IF(AB219="","",MAX(AC$12:AC218)+1)</f>
        <v/>
      </c>
      <c r="AD219" s="47" t="s">
        <v>0</v>
      </c>
      <c r="AE219" s="125"/>
      <c r="AF219" s="47" t="s">
        <v>0</v>
      </c>
      <c r="AG219" s="19" t="str">
        <f t="shared" si="212"/>
        <v/>
      </c>
      <c r="AH219" s="47" t="s">
        <v>0</v>
      </c>
      <c r="AI219" s="143" t="str">
        <f t="shared" si="213"/>
        <v>CRO</v>
      </c>
      <c r="AJ219" s="47"/>
      <c r="AK219" s="52" t="str">
        <f t="shared" si="214"/>
        <v>Ema</v>
      </c>
      <c r="AL219" s="31" t="str">
        <f t="shared" si="215"/>
        <v>Jurač</v>
      </c>
      <c r="AM219" s="73">
        <f t="shared" si="216"/>
        <v>1440</v>
      </c>
      <c r="AN219" s="73" t="str">
        <f t="shared" si="217"/>
        <v/>
      </c>
      <c r="AO219" s="31" t="str">
        <f t="shared" si="189"/>
        <v>Ema</v>
      </c>
      <c r="AP219" s="66" t="str">
        <f t="shared" si="190"/>
        <v>Jurač</v>
      </c>
      <c r="AQ219" s="47" t="s">
        <v>0</v>
      </c>
      <c r="AR219" s="82" t="str">
        <f t="shared" si="218"/>
        <v/>
      </c>
      <c r="AS219" s="47" t="s">
        <v>0</v>
      </c>
      <c r="AT219" s="19" t="str">
        <f t="shared" si="219"/>
        <v/>
      </c>
      <c r="AU219" s="47" t="s">
        <v>0</v>
      </c>
      <c r="AV219" s="103"/>
      <c r="AW219" s="105"/>
      <c r="AX219" s="47" t="s">
        <v>0</v>
      </c>
      <c r="AY219" s="256" t="str">
        <f t="shared" si="237"/>
        <v/>
      </c>
      <c r="AZ219" s="47" t="s">
        <v>0</v>
      </c>
      <c r="BA219" s="52" t="str">
        <f t="shared" si="191"/>
        <v/>
      </c>
      <c r="BB219" s="73" t="str">
        <f>IF(AV219&amp;AW219="","",MAX(BB$12:BB218)+1)</f>
        <v/>
      </c>
      <c r="BC219" s="268" t="str">
        <f t="shared" si="192"/>
        <v/>
      </c>
      <c r="BD219" s="53" t="str">
        <f>IF(AND(AM219="NEMA",AN219="NEMA",OR(AV219&amp;AW219="",BC219="NEMA")),MAX(BD$12:BD218)+1,"")</f>
        <v/>
      </c>
      <c r="BE219" s="47" t="s">
        <v>0</v>
      </c>
      <c r="BF219" s="52" t="str">
        <f t="shared" si="193"/>
        <v>Ema</v>
      </c>
      <c r="BG219" s="31" t="str">
        <f t="shared" si="194"/>
        <v>Jurač</v>
      </c>
      <c r="BH219" s="73" t="str">
        <f t="shared" si="220"/>
        <v/>
      </c>
      <c r="BI219" s="53">
        <f t="shared" si="221"/>
        <v>1440</v>
      </c>
      <c r="BJ219" s="47" t="s">
        <v>0</v>
      </c>
      <c r="BK219" s="52" t="str">
        <f t="shared" si="195"/>
        <v>Vihor</v>
      </c>
      <c r="BL219" s="31" t="str">
        <f t="shared" si="196"/>
        <v>OK Vihor</v>
      </c>
      <c r="BM219" s="73">
        <f t="shared" si="197"/>
        <v>12</v>
      </c>
      <c r="BN219" s="73" t="str">
        <f t="shared" si="198"/>
        <v/>
      </c>
      <c r="BO219" s="31" t="str" cm="1">
        <f t="array" ref="BO219">IF(BN219="",""&amp;BL219,IF(BN219="NEMA",BL219,INDEX(regKlub_naziv,MATCH(INDEX(regKlub_alias_klubId,BN219),regKlub_id,0))))</f>
        <v>OK Vihor</v>
      </c>
      <c r="BP219" s="31" t="str" cm="1">
        <f t="array" ref="BP219">IFERROR(""&amp;INDEX(regNatjecatelj_klub,DY219),"")</f>
        <v>OK Vihor</v>
      </c>
      <c r="BQ219" s="88" t="str">
        <f t="shared" si="222"/>
        <v/>
      </c>
      <c r="BR219" s="66" t="str">
        <f t="shared" si="223"/>
        <v>OK Vihor</v>
      </c>
      <c r="BS219" s="47" t="s">
        <v>0</v>
      </c>
      <c r="BT219" s="82" t="str">
        <f>IF(BN219&lt;&gt;"NEMA","",IF(IFERROR(MATCH(BL219,BL$12:BL218,0),0)&lt;&gt;0,"",BL219))</f>
        <v/>
      </c>
      <c r="BU219" s="47" t="s">
        <v>0</v>
      </c>
      <c r="BV219" s="125"/>
      <c r="BW219" s="47" t="s">
        <v>0</v>
      </c>
      <c r="BX219" s="58" t="str">
        <f t="shared" si="224"/>
        <v/>
      </c>
      <c r="BY219" s="31" t="str">
        <f t="shared" si="225"/>
        <v/>
      </c>
      <c r="BZ219" s="31" t="str">
        <f>IF(BY219="","",MAX(BZ$12:BZ218)+1)</f>
        <v/>
      </c>
      <c r="CA219" s="31" t="str">
        <f>IF(BY219="","",IF(AA219="","",IF(AA219="NEMA",AC219,AA219)))</f>
        <v/>
      </c>
      <c r="CB219" s="31" t="str">
        <f t="shared" si="226"/>
        <v/>
      </c>
      <c r="CC219" s="31" t="str">
        <f>IF(BV219="","",MAX(CC$12:CC218)+1)</f>
        <v/>
      </c>
      <c r="CD219" s="31" t="str">
        <f t="shared" si="227"/>
        <v/>
      </c>
      <c r="CE219" s="66" t="str">
        <f t="shared" si="228"/>
        <v/>
      </c>
      <c r="CF219" s="47" t="s">
        <v>0</v>
      </c>
      <c r="CG219" s="73" t="str">
        <f>IF(BN219="","",IF(BN219&lt;&gt;"NEMA","",IFERROR(INDEX(nat_klubAliasId,MATCH(BL219,nat_noviKluboviAliasi,0)),"")))</f>
        <v/>
      </c>
      <c r="CH219" s="47"/>
      <c r="CI219" s="19" t="str">
        <f t="shared" si="229"/>
        <v/>
      </c>
      <c r="CJ219" s="47" t="s">
        <v>0</v>
      </c>
      <c r="CK219" s="52" t="str">
        <f>IF(X219&lt;&gt;"NEMA","",IF(IFERROR(MATCH(W219,W$12:W218,0),0)&lt;&gt;0,"",W219))</f>
        <v/>
      </c>
      <c r="CL219" s="73" t="str">
        <f>IF(CK219="","",IFERROR(INDEX(regKlub_alias_id,MATCH(CK219,regKlub_alias_alias,0)),"NEMA"))</f>
        <v/>
      </c>
      <c r="CM219" s="31" t="str">
        <f>IF(OR(CL219="",CL219&lt;&gt;"NEMA"),"",MAX(CM$12:CM218)+1)</f>
        <v/>
      </c>
      <c r="CN219" s="66" t="str">
        <f>IF(OR(CL219="",CL219&lt;&gt;"NEMA"),"",INDEX(regKlub_id,MATCH(CK219,regKlub_naziv,0)))</f>
        <v/>
      </c>
      <c r="CO219" s="47" t="s">
        <v>0</v>
      </c>
      <c r="CP219" s="19" t="str">
        <f>IF(OR(CL219="",CL219&lt;&gt;"NEMA"),"","INSERT INTO klub_alias(id,alias,klub_id) VALUES ("&amp;CM219&amp;",'"&amp;CK219&amp;"',"&amp;CN219&amp;");")</f>
        <v/>
      </c>
      <c r="CQ219" s="47" t="s">
        <v>0</v>
      </c>
      <c r="CR219" s="143" t="str">
        <f>IF(BR219="","",IF(BV219="",IF(IFERROR(MATCH(BR219,nat_noviKluboviAliasi,0),0)&gt;0,INDEX(nat_kluboviAliasi,MATCH(BR219,nat_noviKluboviAliasi,0)),BR219),BV219))</f>
        <v>OK Vihor</v>
      </c>
      <c r="CS219" s="47" t="s">
        <v>0</v>
      </c>
      <c r="CT219" s="58" t="str">
        <f>IF(G219="","",G219)</f>
        <v/>
      </c>
      <c r="CU219" s="73" t="str">
        <f>IF(H219="","",H219)</f>
        <v>1</v>
      </c>
      <c r="CV219" s="229" t="str">
        <f>IF(CT219="",IF(OR(AL219="",CU219&lt;&gt;"0"),"","GREŠKA"),IF(AND(65535&gt;=VALUE(LEFT(CT219,SEARCH(":",CT219)-1))*60+VALUE(RIGHT(CT219,2)),OR(CU219="0",CU219="1",CU219="2",CU219="3",CU219="4")),"","GREŠKA"))</f>
        <v/>
      </c>
      <c r="CW219" s="230" t="str">
        <f t="shared" si="183"/>
        <v/>
      </c>
      <c r="CX219" s="163">
        <f t="shared" si="199"/>
        <v>6</v>
      </c>
      <c r="CY219" s="47" t="s">
        <v>0</v>
      </c>
      <c r="CZ219" s="222" t="str">
        <f>IF(CV219&lt;&gt;"GREŠKA","",AK219&amp;" "&amp;AL219&amp;" – Molim u OEventu provjeriti i ispraviti rezultat – vrijeme ("&amp;IF(CT219="","nije upisano",CT219)&amp;") i classifier ("&amp;CU219&amp;").")&amp;IF(OR(CV219&lt;&gt;"GREŠKA",CX219&lt;&gt;5),"
","")&amp;IF(CX219&lt;&gt;5,"",AK219&amp;" "&amp;AL219&amp;" – Molim u provjeriti je li natjecatelj zaista diskvalificiran. Ako je koje je obrazloženje, ako nije molim u OEventu ispraviti rezultat")</f>
        <v xml:space="preserve">
</v>
      </c>
      <c r="DA219" s="223" t="e">
        <f t="shared" si="230"/>
        <v>#N/A</v>
      </c>
      <c r="DB219" s="47" t="s">
        <v>0</v>
      </c>
      <c r="DC219" s="47"/>
      <c r="DD219" s="47"/>
      <c r="DE219" s="47"/>
      <c r="DF219" s="47" t="s">
        <v>0</v>
      </c>
      <c r="DG219" s="53" t="str">
        <f>IF(BD219="","",IF(DI219="O",1,""))</f>
        <v/>
      </c>
      <c r="DH219" t="s">
        <v>0</v>
      </c>
      <c r="DI219" s="128" t="str">
        <f>IF(Q219="","",LEFT(INDEX(regKategorija_oznaka,MATCH(S219,regKategorija_id,0)),1))</f>
        <v>Ž</v>
      </c>
      <c r="DJ219" t="s">
        <v>0</v>
      </c>
      <c r="DK219" s="52" t="str">
        <f>IF(BD219="","",IF(M219&lt;&gt;"CRO","","INSERT INTO osoba (id,reg_broj,oib,spol_id,dat_rodjenja) VALUES ("&amp;BD219&amp;",(SELECT max(os.reg_broj)+1 FROM osoba AS os),Null,'"&amp;DI219&amp;"',Null); INSERT INTO osoba_log (id,reg_broj,oib,spol_id,dat_rodjenja,dnevnik_id) SELECT id,reg_broj,oib,spol_id,dat_rodjenja,"&amp;data_dnevnik_id&amp;" FROM osoba WHERE id = "&amp;BD219&amp;";"))</f>
        <v/>
      </c>
      <c r="DL219" s="66" t="str">
        <f>IF(BD219="","","INSERT INTO imeprezime (id,osoba_id,rbr,ime,prezime,klub_id,identitet_id,sintaksa_id,info,aktivno,dnevnik_id) VALUES ("&amp;BD219&amp;","&amp;IF(DK219="","Null",BD219)&amp;",1,'"&amp;IF(AV219&lt;&gt;"",AV219,AK219)&amp;"','"&amp;IF(AW219&lt;&gt;"",AW219,AL219)&amp;"',(SELECT id FROM klub WHERE naziv = '"&amp;CR219&amp;"'),Null,1,'',1,"&amp;data_dnevnik_id&amp;");")</f>
        <v/>
      </c>
      <c r="DM219" t="s">
        <v>0</v>
      </c>
      <c r="DN219" s="19" t="str">
        <f t="shared" si="238"/>
        <v/>
      </c>
      <c r="DO219" s="47" t="s">
        <v>0</v>
      </c>
      <c r="DP219" s="19" t="str">
        <f>IF(BA219="","","INSERT INTO imeprezime_alias(id,alias,imeprezime_id) VALUES ("&amp;BB219&amp;",'"&amp;BA219&amp;"',"&amp;IF(BC219="NEMA",BD219,BC219)&amp;");")</f>
        <v/>
      </c>
      <c r="DQ219" s="47" t="s">
        <v>0</v>
      </c>
      <c r="DR219" s="52" t="str">
        <f>IF(AL219="","",DU219 &amp; IF(Q219="",""," – " &amp; Q219))</f>
        <v>Ema – Jurač – OK Vihor – Ž12</v>
      </c>
      <c r="DS219" s="53">
        <f t="shared" si="200"/>
        <v>717</v>
      </c>
      <c r="DT219" s="47" t="s">
        <v>0</v>
      </c>
      <c r="DU219" s="52" t="str">
        <f>IF(AL219="","",DX219 &amp; IF(CR219="",""," – " &amp; CR219))</f>
        <v>Ema – Jurač – OK Vihor</v>
      </c>
      <c r="DV219" s="53">
        <f t="shared" si="201"/>
        <v>717</v>
      </c>
      <c r="DW219" s="47" t="s">
        <v>0</v>
      </c>
      <c r="DX219" s="52" t="str">
        <f>IF(BG219="","",BF219&amp;" – "&amp;BG219)</f>
        <v>Ema – Jurač</v>
      </c>
      <c r="DY219" s="53">
        <f t="shared" si="202"/>
        <v>717</v>
      </c>
      <c r="DZ219" s="47" t="s">
        <v>0</v>
      </c>
      <c r="EA219" s="58">
        <f t="shared" si="231"/>
        <v>717</v>
      </c>
      <c r="EB219" s="53" cm="1">
        <f t="array" ref="EB219">IF(EA219&lt;&gt;"",INDEX(regNatjecatelj_id,EA219,0),IF(BD219&lt;&gt;"",BD219,""))</f>
        <v>1440</v>
      </c>
      <c r="EC219" s="47" t="s">
        <v>0</v>
      </c>
      <c r="ED219" s="58" t="str">
        <f>IF(AL219="","",IF(BD219&lt;&gt;"","novo",IF(AN219="","imepre","imepre(ali)")))</f>
        <v>imepre</v>
      </c>
      <c r="EE219" s="73" t="str">
        <f>IF(AL219="","",IF(BL219="",IF(IFERROR(INDEX(regNatjecatelj_klub,MATCH(EB219,regNatjecatelj_id,0)),"NEMA")="","klu",""),IF(OR(AND(BN219&lt;&gt;"",BN219&lt;&gt;"NEMA"),CD219&lt;&gt;""),"klu(ali)",IF(AND(BP219&lt;&gt;"",BP219&lt;&gt;BO219),"(raz-klu)","klu"))))</f>
        <v>klu</v>
      </c>
      <c r="EF219" s="73" t="str">
        <f>IF(AL219="","","kat"&amp;IF(AND(W219&lt;&gt;Q219,Q219&lt;&gt;"Open"),"(ali)",""))</f>
        <v>kat</v>
      </c>
      <c r="EG219" s="73" t="str">
        <f t="shared" si="203"/>
        <v/>
      </c>
      <c r="EH219" s="66" t="str">
        <f>IF(AL219="","",ED219&amp;IF(ED219="novo","","-"&amp;EE219&amp;"-"&amp;EF219)&amp;IF(EG219="","","-"&amp;EG219))</f>
        <v>imepre-klu-kat</v>
      </c>
      <c r="EI219" s="47" t="s">
        <v>0</v>
      </c>
      <c r="EJ219" s="58">
        <f>IF(AL219="","",MAX(EJ$12:EJ218)+1)</f>
        <v>379</v>
      </c>
      <c r="EK219" s="73">
        <f>IF(AO219="","",X219)</f>
        <v>35</v>
      </c>
      <c r="EL219" s="73">
        <f t="shared" si="232"/>
        <v>1440</v>
      </c>
      <c r="EM219" s="73" t="str">
        <f t="shared" si="204"/>
        <v/>
      </c>
      <c r="EN219" s="73">
        <f t="shared" si="205"/>
        <v>6</v>
      </c>
      <c r="EO219" s="73">
        <f t="shared" si="233"/>
        <v>1</v>
      </c>
      <c r="EP219" s="73">
        <f t="shared" si="234"/>
        <v>1</v>
      </c>
      <c r="EQ219" s="73" t="str">
        <f t="shared" si="206"/>
        <v>1</v>
      </c>
      <c r="ER219" s="73" t="str">
        <f>IF(OR(AN219="",AN219="NEMA"),BB219,AN219)</f>
        <v/>
      </c>
      <c r="ES219" s="73" t="str">
        <f>IF(AND(BN219&lt;&gt;"",BN219&lt;&gt;"NEMA"),BN219,IF(CG219&lt;&gt;"",CG219,IF(AND(CL219&lt;&gt;"",CL219&lt;&gt;"NEMA"),CL219,IF(CM219&lt;&gt;"",CM219,""))))</f>
        <v/>
      </c>
      <c r="ET219" s="53" t="str">
        <f>IF(INDEX(natKategorija_alias_Id,MATCH(S219,natKategorija_katRegId,0))="","",INDEX(natKategorija_alias_Id,MATCH(S219,natKategorija_katRegId,0)))</f>
        <v/>
      </c>
      <c r="EU219" s="47" t="s">
        <v>0</v>
      </c>
      <c r="EV219" s="19" t="str">
        <f t="shared" si="235"/>
        <v>INSERT INTO rezultat(id,stazakategorija_id,imeprezime_id,vrijeme_sec,status_id,registracija,uparivanje_id,originalstatus_id,imeprezimealias_id,klubalias_id,kategorijaalias_id) VALUES (379,35,1440,Null,6,1,1,1,Null,Null,Null);</v>
      </c>
      <c r="EW219" s="47" t="s">
        <v>0</v>
      </c>
      <c r="EX219" s="19" t="str">
        <f t="shared" si="236"/>
        <v>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EY219" s="47" t="s">
        <v>0</v>
      </c>
      <c r="EZ219" s="180" t="str">
        <f>AG219&amp;IF(CP219="","","
")&amp;CP219&amp;IF(CI219="","","
")&amp;CI219&amp;IF(DN219="","","
")&amp;DN219&amp;IF(DP219="","","
")&amp;DP219&amp;IF(EV219="","","
")&amp;EV219&amp;IF(EX219="","","
")&amp;EX219</f>
        <v xml:space="preserve">
INSERT INTO rezultat(id,stazakategorija_id,imeprezime_id,vrijeme_sec,status_id,registracija,uparivanje_id,originalstatus_id,imeprezimealias_id,klubalias_id,kategorijaalias_id) VALUES (379,35,1440,Null,6,1,1,1,Null,Null,Null);
UPDATE
	registar
SET
	potvrda = 1
WHERE
	imeprezime_id=1440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35)
                         		AND
                         	kategorija_liga.liga_id = 101)
		AND
	datum_od &lt;= '2021-04-18'
    	AND
    datum_do is Null;</v>
      </c>
      <c r="FA219" s="47" t="s">
        <v>0</v>
      </c>
    </row>
    <row r="220" spans="1:157" x14ac:dyDescent="0.25">
      <c r="A220" t="s">
        <v>0</v>
      </c>
      <c r="B220" s="52" t="str">
        <f>IF(csv!F210="","",csv!T210)</f>
        <v>Ž12</v>
      </c>
      <c r="C220" s="31" t="s">
        <v>0</v>
      </c>
      <c r="D220" s="31" t="str">
        <f>IF(csv!F210="","",csv!F210)</f>
        <v>Vacant</v>
      </c>
      <c r="E220" s="31" t="str">
        <f>IF(csv!E210="","",csv!E210)</f>
        <v/>
      </c>
      <c r="F220" s="31" t="s">
        <v>0</v>
      </c>
      <c r="G220" s="73" t="str">
        <f>IF(csv!M210="","",csv!M210)</f>
        <v/>
      </c>
      <c r="H220" s="73" t="str">
        <f>IF(csv!N210="","",csv!N210)</f>
        <v>0</v>
      </c>
      <c r="I220" s="31" t="s">
        <v>0</v>
      </c>
      <c r="J220" s="31" t="str">
        <f>IF(csv!P210="","",csv!P210)</f>
        <v/>
      </c>
      <c r="K220" s="31" t="str">
        <f>IF(csv!Q210="","",csv!Q210)</f>
        <v/>
      </c>
      <c r="L220" s="31" t="s">
        <v>0</v>
      </c>
      <c r="M220" s="66" t="str">
        <f>IF(csv!R210="","",csv!R210)</f>
        <v/>
      </c>
      <c r="N220" s="47" t="s">
        <v>0</v>
      </c>
      <c r="O220" s="243" t="str">
        <f t="shared" si="207"/>
        <v/>
      </c>
      <c r="P220" s="47"/>
      <c r="Q220" s="52" t="str">
        <f t="shared" si="208"/>
        <v>Ž12</v>
      </c>
      <c r="R220" s="73">
        <f>IF(Q220="","",IF(COUNTIF(Q$12:Q219,Q220)=0,R219+1,R219))</f>
        <v>13</v>
      </c>
      <c r="S220" s="73">
        <f t="shared" si="209"/>
        <v>122</v>
      </c>
      <c r="T220" s="73">
        <f t="shared" si="184"/>
        <v>22</v>
      </c>
      <c r="U220" s="66" t="str">
        <f t="shared" si="185"/>
        <v>M12 – Ž12</v>
      </c>
      <c r="V220" s="47" t="s">
        <v>0</v>
      </c>
      <c r="W220" s="222" t="str">
        <f t="shared" si="186"/>
        <v/>
      </c>
      <c r="X220" s="223" t="str">
        <f t="shared" si="187"/>
        <v/>
      </c>
      <c r="Y220" s="47" t="s">
        <v>0</v>
      </c>
      <c r="Z220" s="52" t="str">
        <f t="shared" si="210"/>
        <v/>
      </c>
      <c r="AA220" s="73" t="str">
        <f t="shared" si="188"/>
        <v/>
      </c>
      <c r="AB220" s="31" t="str">
        <f t="shared" si="211"/>
        <v/>
      </c>
      <c r="AC220" s="66" t="str">
        <f>IF(AB220="","",MAX(AC$12:AC219)+1)</f>
        <v/>
      </c>
      <c r="AD220" s="47" t="s">
        <v>0</v>
      </c>
      <c r="AE220" s="125"/>
      <c r="AF220" s="47" t="s">
        <v>0</v>
      </c>
      <c r="AG220" s="19" t="str">
        <f t="shared" si="212"/>
        <v/>
      </c>
      <c r="AH220" s="47" t="s">
        <v>0</v>
      </c>
      <c r="AI220" s="143" t="str">
        <f t="shared" si="213"/>
        <v/>
      </c>
      <c r="AJ220" s="47"/>
      <c r="AK220" s="52" t="str">
        <f t="shared" si="214"/>
        <v/>
      </c>
      <c r="AL220" s="31" t="str">
        <f t="shared" si="215"/>
        <v/>
      </c>
      <c r="AM220" s="73" t="str">
        <f t="shared" si="216"/>
        <v/>
      </c>
      <c r="AN220" s="73" t="str">
        <f t="shared" si="217"/>
        <v/>
      </c>
      <c r="AO220" s="31" t="str">
        <f t="shared" si="189"/>
        <v/>
      </c>
      <c r="AP220" s="66" t="str">
        <f t="shared" si="190"/>
        <v/>
      </c>
      <c r="AQ220" s="47" t="s">
        <v>0</v>
      </c>
      <c r="AR220" s="82" t="str">
        <f t="shared" si="218"/>
        <v/>
      </c>
      <c r="AS220" s="47" t="s">
        <v>0</v>
      </c>
      <c r="AT220" s="19" t="str">
        <f t="shared" si="219"/>
        <v/>
      </c>
      <c r="AU220" s="47" t="s">
        <v>0</v>
      </c>
      <c r="AV220" s="103"/>
      <c r="AW220" s="105"/>
      <c r="AX220" s="47" t="s">
        <v>0</v>
      </c>
      <c r="AY220" s="256" t="str">
        <f t="shared" si="237"/>
        <v/>
      </c>
      <c r="AZ220" s="47" t="s">
        <v>0</v>
      </c>
      <c r="BA220" s="52" t="str">
        <f t="shared" si="191"/>
        <v/>
      </c>
      <c r="BB220" s="73" t="str">
        <f>IF(AV220&amp;AW220="","",MAX(BB$12:BB219)+1)</f>
        <v/>
      </c>
      <c r="BC220" s="268" t="str">
        <f t="shared" si="192"/>
        <v/>
      </c>
      <c r="BD220" s="53" t="str">
        <f>IF(AND(AM220="NEMA",AN220="NEMA",OR(AV220&amp;AW220="",BC220="NEMA")),MAX(BD$12:BD219)+1,"")</f>
        <v/>
      </c>
      <c r="BE220" s="47" t="s">
        <v>0</v>
      </c>
      <c r="BF220" s="52" t="str">
        <f t="shared" si="193"/>
        <v/>
      </c>
      <c r="BG220" s="31" t="str">
        <f t="shared" si="194"/>
        <v/>
      </c>
      <c r="BH220" s="73" t="str">
        <f t="shared" si="220"/>
        <v/>
      </c>
      <c r="BI220" s="53" t="str">
        <f t="shared" si="221"/>
        <v/>
      </c>
      <c r="BJ220" s="47" t="s">
        <v>0</v>
      </c>
      <c r="BK220" s="52" t="str">
        <f t="shared" si="195"/>
        <v/>
      </c>
      <c r="BL220" s="31" t="str">
        <f t="shared" si="196"/>
        <v/>
      </c>
      <c r="BM220" s="73" t="str">
        <f t="shared" si="197"/>
        <v/>
      </c>
      <c r="BN220" s="73" t="str">
        <f t="shared" si="198"/>
        <v/>
      </c>
      <c r="BO220" s="31" t="str" cm="1">
        <f t="array" ref="BO220">IF(BN220="",""&amp;BL220,IF(BN220="NEMA",BL220,INDEX(regKlub_naziv,MATCH(INDEX(regKlub_alias_klubId,BN220),regKlub_id,0))))</f>
        <v/>
      </c>
      <c r="BP220" s="31" t="str" cm="1">
        <f t="array" ref="BP220">IFERROR(""&amp;INDEX(regNatjecatelj_klub,DY220),"")</f>
        <v/>
      </c>
      <c r="BQ220" s="88" t="str">
        <f t="shared" si="222"/>
        <v/>
      </c>
      <c r="BR220" s="66" t="str">
        <f t="shared" si="223"/>
        <v/>
      </c>
      <c r="BS220" s="47" t="s">
        <v>0</v>
      </c>
      <c r="BT220" s="82" t="str">
        <f>IF(BN220&lt;&gt;"NEMA","",IF(IFERROR(MATCH(BL220,BL$12:BL219,0),0)&lt;&gt;0,"",BL220))</f>
        <v/>
      </c>
      <c r="BU220" s="47" t="s">
        <v>0</v>
      </c>
      <c r="BV220" s="125"/>
      <c r="BW220" s="47" t="s">
        <v>0</v>
      </c>
      <c r="BX220" s="58" t="str">
        <f t="shared" si="224"/>
        <v/>
      </c>
      <c r="BY220" s="31" t="str">
        <f t="shared" si="225"/>
        <v/>
      </c>
      <c r="BZ220" s="31" t="str">
        <f>IF(BY220="","",MAX(BZ$12:BZ219)+1)</f>
        <v/>
      </c>
      <c r="CA220" s="31" t="str">
        <f>IF(BY220="","",IF(AA220="","",IF(AA220="NEMA",AC220,AA220)))</f>
        <v/>
      </c>
      <c r="CB220" s="31" t="str">
        <f t="shared" si="226"/>
        <v/>
      </c>
      <c r="CC220" s="31" t="str">
        <f>IF(BV220="","",MAX(CC$12:CC219)+1)</f>
        <v/>
      </c>
      <c r="CD220" s="31" t="str">
        <f t="shared" si="227"/>
        <v/>
      </c>
      <c r="CE220" s="66" t="str">
        <f t="shared" si="228"/>
        <v/>
      </c>
      <c r="CF220" s="47" t="s">
        <v>0</v>
      </c>
      <c r="CG220" s="73" t="str">
        <f>IF(BN220="","",IF(BN220&lt;&gt;"NEMA","",IFERROR(INDEX(nat_klubAliasId,MATCH(BL220,nat_noviKluboviAliasi,0)),"")))</f>
        <v/>
      </c>
      <c r="CH220" s="47"/>
      <c r="CI220" s="19" t="str">
        <f t="shared" si="229"/>
        <v/>
      </c>
      <c r="CJ220" s="47" t="s">
        <v>0</v>
      </c>
      <c r="CK220" s="52" t="str">
        <f>IF(X220&lt;&gt;"NEMA","",IF(IFERROR(MATCH(W220,W$12:W219,0),0)&lt;&gt;0,"",W220))</f>
        <v/>
      </c>
      <c r="CL220" s="73" t="str">
        <f>IF(CK220="","",IFERROR(INDEX(regKlub_alias_id,MATCH(CK220,regKlub_alias_alias,0)),"NEMA"))</f>
        <v/>
      </c>
      <c r="CM220" s="31" t="str">
        <f>IF(OR(CL220="",CL220&lt;&gt;"NEMA"),"",MAX(CM$12:CM219)+1)</f>
        <v/>
      </c>
      <c r="CN220" s="66" t="str">
        <f>IF(OR(CL220="",CL220&lt;&gt;"NEMA"),"",INDEX(regKlub_id,MATCH(CK220,regKlub_naziv,0)))</f>
        <v/>
      </c>
      <c r="CO220" s="47" t="s">
        <v>0</v>
      </c>
      <c r="CP220" s="19" t="str">
        <f>IF(OR(CL220="",CL220&lt;&gt;"NEMA"),"","INSERT INTO klub_alias(id,alias,klub_id) VALUES ("&amp;CM220&amp;",'"&amp;CK220&amp;"',"&amp;CN220&amp;");")</f>
        <v/>
      </c>
      <c r="CQ220" s="47" t="s">
        <v>0</v>
      </c>
      <c r="CR220" s="143" t="str">
        <f>IF(BR220="","",IF(BV220="",IF(IFERROR(MATCH(BR220,nat_noviKluboviAliasi,0),0)&gt;0,INDEX(nat_kluboviAliasi,MATCH(BR220,nat_noviKluboviAliasi,0)),BR220),BV220))</f>
        <v/>
      </c>
      <c r="CS220" s="47" t="s">
        <v>0</v>
      </c>
      <c r="CT220" s="58" t="str">
        <f>IF(G220="","",G220)</f>
        <v/>
      </c>
      <c r="CU220" s="73" t="str">
        <f>IF(H220="","",H220)</f>
        <v>0</v>
      </c>
      <c r="CV220" s="229" t="str">
        <f>IF(CT220="",IF(OR(AL220="",CU220&lt;&gt;"0"),"","GREŠKA"),IF(AND(65535&gt;=VALUE(LEFT(CT220,SEARCH(":",CT220)-1))*60+VALUE(RIGHT(CT220,2)),OR(CU220="0",CU220="1",CU220="2",CU220="3",CU220="4")),"","GREŠKA"))</f>
        <v/>
      </c>
      <c r="CW220" s="230" t="str">
        <f t="shared" si="183"/>
        <v/>
      </c>
      <c r="CX220" s="163" t="str">
        <f t="shared" si="199"/>
        <v/>
      </c>
      <c r="CY220" s="47" t="s">
        <v>0</v>
      </c>
      <c r="CZ220" s="222" t="str">
        <f>IF(CV220&lt;&gt;"GREŠKA","",AK220&amp;" "&amp;AL220&amp;" – Molim u OEventu provjeriti i ispraviti rezultat – vrijeme ("&amp;IF(CT220="","nije upisano",CT220)&amp;") i classifier ("&amp;CU220&amp;").")&amp;IF(OR(CV220&lt;&gt;"GREŠKA",CX220&lt;&gt;5),"
","")&amp;IF(CX220&lt;&gt;5,"",AK220&amp;" "&amp;AL220&amp;" – Molim u provjeriti je li natjecatelj zaista diskvalificiran. Ako je koje je obrazloženje, ako nije molim u OEventu ispraviti rezultat")</f>
        <v xml:space="preserve">
</v>
      </c>
      <c r="DA220" s="223" t="str">
        <f t="shared" si="230"/>
        <v/>
      </c>
      <c r="DB220" s="47" t="s">
        <v>0</v>
      </c>
      <c r="DC220" s="47"/>
      <c r="DD220" s="47"/>
      <c r="DE220" s="47"/>
      <c r="DF220" s="47" t="s">
        <v>0</v>
      </c>
      <c r="DG220" s="53" t="str">
        <f>IF(BD220="","",IF(DI220="O",1,""))</f>
        <v/>
      </c>
      <c r="DH220" t="s">
        <v>0</v>
      </c>
      <c r="DI220" s="128" t="str">
        <f>IF(Q220="","",LEFT(INDEX(regKategorija_oznaka,MATCH(S220,regKategorija_id,0)),1))</f>
        <v>Ž</v>
      </c>
      <c r="DJ220" t="s">
        <v>0</v>
      </c>
      <c r="DK220" s="52" t="str">
        <f>IF(BD220="","",IF(M220&lt;&gt;"CRO","","INSERT INTO osoba (id,reg_broj,oib,spol_id,dat_rodjenja) VALUES ("&amp;BD220&amp;",(SELECT max(os.reg_broj)+1 FROM osoba AS os),Null,'"&amp;DI220&amp;"',Null); INSERT INTO osoba_log (id,reg_broj,oib,spol_id,dat_rodjenja,dnevnik_id) SELECT id,reg_broj,oib,spol_id,dat_rodjenja,"&amp;data_dnevnik_id&amp;" FROM osoba WHERE id = "&amp;BD220&amp;";"))</f>
        <v/>
      </c>
      <c r="DL220" s="66" t="str">
        <f>IF(BD220="","","INSERT INTO imeprezime (id,osoba_id,rbr,ime,prezime,klub_id,identitet_id,sintaksa_id,info,aktivno,dnevnik_id) VALUES ("&amp;BD220&amp;","&amp;IF(DK220="","Null",BD220)&amp;",1,'"&amp;IF(AV220&lt;&gt;"",AV220,AK220)&amp;"','"&amp;IF(AW220&lt;&gt;"",AW220,AL220)&amp;"',(SELECT id FROM klub WHERE naziv = '"&amp;CR220&amp;"'),Null,1,'',1,"&amp;data_dnevnik_id&amp;");")</f>
        <v/>
      </c>
      <c r="DM220" t="s">
        <v>0</v>
      </c>
      <c r="DN220" s="19" t="str">
        <f t="shared" si="238"/>
        <v/>
      </c>
      <c r="DO220" s="47" t="s">
        <v>0</v>
      </c>
      <c r="DP220" s="19" t="str">
        <f>IF(BA220="","","INSERT INTO imeprezime_alias(id,alias,imeprezime_id) VALUES ("&amp;BB220&amp;",'"&amp;BA220&amp;"',"&amp;IF(BC220="NEMA",BD220,BC220)&amp;");")</f>
        <v/>
      </c>
      <c r="DQ220" s="47" t="s">
        <v>0</v>
      </c>
      <c r="DR220" s="52" t="str">
        <f>IF(AL220="","",DU220 &amp; IF(Q220="",""," – " &amp; Q220))</f>
        <v/>
      </c>
      <c r="DS220" s="53" t="str">
        <f t="shared" si="200"/>
        <v/>
      </c>
      <c r="DT220" s="47" t="s">
        <v>0</v>
      </c>
      <c r="DU220" s="52" t="str">
        <f>IF(AL220="","",DX220 &amp; IF(CR220="",""," – " &amp; CR220))</f>
        <v/>
      </c>
      <c r="DV220" s="53" t="str">
        <f t="shared" si="201"/>
        <v/>
      </c>
      <c r="DW220" s="47" t="s">
        <v>0</v>
      </c>
      <c r="DX220" s="52" t="str">
        <f>IF(BG220="","",BF220&amp;" – "&amp;BG220)</f>
        <v/>
      </c>
      <c r="DY220" s="53" t="str">
        <f t="shared" si="202"/>
        <v/>
      </c>
      <c r="DZ220" s="47" t="s">
        <v>0</v>
      </c>
      <c r="EA220" s="58" t="str">
        <f t="shared" si="231"/>
        <v/>
      </c>
      <c r="EB220" s="53" t="str" cm="1">
        <f t="array" ref="EB220">IF(EA220&lt;&gt;"",INDEX(regNatjecatelj_id,EA220,0),IF(BD220&lt;&gt;"",BD220,""))</f>
        <v/>
      </c>
      <c r="EC220" s="47" t="s">
        <v>0</v>
      </c>
      <c r="ED220" s="58" t="str">
        <f>IF(AL220="","",IF(BD220&lt;&gt;"","novo",IF(AN220="","imepre","imepre(ali)")))</f>
        <v/>
      </c>
      <c r="EE220" s="73" t="str">
        <f>IF(AL220="","",IF(BL220="",IF(IFERROR(INDEX(regNatjecatelj_klub,MATCH(EB220,regNatjecatelj_id,0)),"NEMA")="","klu",""),IF(OR(AND(BN220&lt;&gt;"",BN220&lt;&gt;"NEMA"),CD220&lt;&gt;""),"klu(ali)",IF(AND(BP220&lt;&gt;"",BP220&lt;&gt;BO220),"(raz-klu)","klu"))))</f>
        <v/>
      </c>
      <c r="EF220" s="73" t="str">
        <f>IF(AL220="","","kat"&amp;IF(AND(W220&lt;&gt;Q220,Q220&lt;&gt;"Open"),"(ali)",""))</f>
        <v/>
      </c>
      <c r="EG220" s="73" t="str">
        <f t="shared" si="203"/>
        <v/>
      </c>
      <c r="EH220" s="66" t="str">
        <f>IF(AL220="","",ED220&amp;IF(ED220="novo","","-"&amp;EE220&amp;"-"&amp;EF220)&amp;IF(EG220="","","-"&amp;EG220))</f>
        <v/>
      </c>
      <c r="EI220" s="47" t="s">
        <v>0</v>
      </c>
      <c r="EJ220" s="58" t="str">
        <f>IF(AL220="","",MAX(EJ$12:EJ219)+1)</f>
        <v/>
      </c>
      <c r="EK220" s="73" t="str">
        <f>IF(AO220="","",X220)</f>
        <v/>
      </c>
      <c r="EL220" s="73" t="str">
        <f t="shared" si="232"/>
        <v/>
      </c>
      <c r="EM220" s="73" t="str">
        <f t="shared" si="204"/>
        <v/>
      </c>
      <c r="EN220" s="73" t="str">
        <f t="shared" si="205"/>
        <v/>
      </c>
      <c r="EO220" s="73" t="str">
        <f t="shared" si="233"/>
        <v/>
      </c>
      <c r="EP220" s="73" t="str">
        <f t="shared" si="234"/>
        <v/>
      </c>
      <c r="EQ220" s="73" t="str">
        <f t="shared" si="206"/>
        <v/>
      </c>
      <c r="ER220" s="73" t="str">
        <f>IF(OR(AN220="",AN220="NEMA"),BB220,AN220)</f>
        <v/>
      </c>
      <c r="ES220" s="73" t="str">
        <f>IF(AND(BN220&lt;&gt;"",BN220&lt;&gt;"NEMA"),BN220,IF(CG220&lt;&gt;"",CG220,IF(AND(CL220&lt;&gt;"",CL220&lt;&gt;"NEMA"),CL220,IF(CM220&lt;&gt;"",CM220,""))))</f>
        <v/>
      </c>
      <c r="ET220" s="53" t="str">
        <f>IF(INDEX(natKategorija_alias_Id,MATCH(S220,natKategorija_katRegId,0))="","",INDEX(natKategorija_alias_Id,MATCH(S220,natKategorija_katRegId,0)))</f>
        <v/>
      </c>
      <c r="EU220" s="47" t="s">
        <v>0</v>
      </c>
      <c r="EV220" s="19" t="str">
        <f t="shared" si="235"/>
        <v/>
      </c>
      <c r="EW220" s="47" t="s">
        <v>0</v>
      </c>
      <c r="EX220" s="19" t="str">
        <f t="shared" si="236"/>
        <v/>
      </c>
      <c r="EY220" s="47" t="s">
        <v>0</v>
      </c>
      <c r="EZ220" s="180" t="str">
        <f>AG220&amp;IF(CP220="","","
")&amp;CP220&amp;IF(CI220="","","
")&amp;CI220&amp;IF(DN220="","","
")&amp;DN220&amp;IF(DP220="","","
")&amp;DP220&amp;IF(EV220="","","
")&amp;EV220&amp;IF(EX220="","","
")&amp;EX220</f>
        <v/>
      </c>
      <c r="FA220" s="47" t="s">
        <v>0</v>
      </c>
    </row>
    <row r="221" spans="1:157" x14ac:dyDescent="0.25">
      <c r="A221" t="s">
        <v>0</v>
      </c>
      <c r="B221" s="52" t="str">
        <f>IF(csv!F211="","",csv!T211)</f>
        <v>Ž14</v>
      </c>
      <c r="C221" s="31" t="s">
        <v>0</v>
      </c>
      <c r="D221" s="31" t="str">
        <f>IF(csv!F211="","",csv!F211)</f>
        <v>Paola</v>
      </c>
      <c r="E221" s="31" t="str">
        <f>IF(csv!E211="","",csv!E211)</f>
        <v>Rako</v>
      </c>
      <c r="F221" s="31" t="s">
        <v>0</v>
      </c>
      <c r="G221" s="73" t="str">
        <f>IF(csv!M211="","",csv!M211)</f>
        <v>30:24</v>
      </c>
      <c r="H221" s="73" t="str">
        <f>IF(csv!N211="","",csv!N211)</f>
        <v>0</v>
      </c>
      <c r="I221" s="31" t="s">
        <v>0</v>
      </c>
      <c r="J221" s="31" t="str">
        <f>IF(csv!P211="","",csv!P211)</f>
        <v>Vihor</v>
      </c>
      <c r="K221" s="31" t="str">
        <f>IF(csv!Q211="","",csv!Q211)</f>
        <v>OK Vihor</v>
      </c>
      <c r="L221" s="31" t="s">
        <v>0</v>
      </c>
      <c r="M221" s="66" t="str">
        <f>IF(csv!R211="","",csv!R211)</f>
        <v>CRO</v>
      </c>
      <c r="N221" s="47" t="s">
        <v>0</v>
      </c>
      <c r="O221" s="243" t="str">
        <f t="shared" si="207"/>
        <v>ok</v>
      </c>
      <c r="P221" s="47"/>
      <c r="Q221" s="52" t="str">
        <f t="shared" si="208"/>
        <v>Ž14</v>
      </c>
      <c r="R221" s="73">
        <f>IF(Q221="","",IF(COUNTIF(Q$12:Q220,Q221)=0,R220+1,R220))</f>
        <v>14</v>
      </c>
      <c r="S221" s="73">
        <f t="shared" si="209"/>
        <v>121</v>
      </c>
      <c r="T221" s="73">
        <f t="shared" si="184"/>
        <v>21</v>
      </c>
      <c r="U221" s="66" t="str">
        <f t="shared" si="185"/>
        <v>M14 – Ž14</v>
      </c>
      <c r="V221" s="47" t="s">
        <v>0</v>
      </c>
      <c r="W221" s="222" t="str">
        <f t="shared" si="186"/>
        <v>Ž14</v>
      </c>
      <c r="X221" s="223">
        <f t="shared" si="187"/>
        <v>36</v>
      </c>
      <c r="Y221" s="47" t="s">
        <v>0</v>
      </c>
      <c r="Z221" s="52" t="str">
        <f t="shared" si="210"/>
        <v>CRO</v>
      </c>
      <c r="AA221" s="73">
        <f t="shared" si="188"/>
        <v>1</v>
      </c>
      <c r="AB221" s="31" t="str">
        <f t="shared" si="211"/>
        <v/>
      </c>
      <c r="AC221" s="66" t="str">
        <f>IF(AB221="","",MAX(AC$12:AC220)+1)</f>
        <v/>
      </c>
      <c r="AD221" s="47" t="s">
        <v>0</v>
      </c>
      <c r="AE221" s="125"/>
      <c r="AF221" s="47" t="s">
        <v>0</v>
      </c>
      <c r="AG221" s="19" t="str">
        <f t="shared" si="212"/>
        <v/>
      </c>
      <c r="AH221" s="47" t="s">
        <v>0</v>
      </c>
      <c r="AI221" s="143" t="str">
        <f t="shared" si="213"/>
        <v>CRO</v>
      </c>
      <c r="AJ221" s="47"/>
      <c r="AK221" s="52" t="str">
        <f t="shared" si="214"/>
        <v>Paola</v>
      </c>
      <c r="AL221" s="31" t="str">
        <f t="shared" si="215"/>
        <v>Rako</v>
      </c>
      <c r="AM221" s="73">
        <f t="shared" si="216"/>
        <v>1047</v>
      </c>
      <c r="AN221" s="73" t="str">
        <f t="shared" si="217"/>
        <v/>
      </c>
      <c r="AO221" s="31" t="str">
        <f t="shared" si="189"/>
        <v>Paola</v>
      </c>
      <c r="AP221" s="66" t="str">
        <f t="shared" si="190"/>
        <v>Rako</v>
      </c>
      <c r="AQ221" s="47" t="s">
        <v>0</v>
      </c>
      <c r="AR221" s="82" t="str">
        <f t="shared" si="218"/>
        <v/>
      </c>
      <c r="AS221" s="47" t="s">
        <v>0</v>
      </c>
      <c r="AT221" s="19" t="str">
        <f t="shared" si="219"/>
        <v/>
      </c>
      <c r="AU221" s="47" t="s">
        <v>0</v>
      </c>
      <c r="AV221" s="103"/>
      <c r="AW221" s="105"/>
      <c r="AX221" s="47" t="s">
        <v>0</v>
      </c>
      <c r="AY221" s="256" t="str">
        <f t="shared" si="237"/>
        <v/>
      </c>
      <c r="AZ221" s="47" t="s">
        <v>0</v>
      </c>
      <c r="BA221" s="52" t="str">
        <f t="shared" si="191"/>
        <v/>
      </c>
      <c r="BB221" s="73" t="str">
        <f>IF(AV221&amp;AW221="","",MAX(BB$12:BB220)+1)</f>
        <v/>
      </c>
      <c r="BC221" s="268" t="str">
        <f t="shared" si="192"/>
        <v/>
      </c>
      <c r="BD221" s="53" t="str">
        <f>IF(AND(AM221="NEMA",AN221="NEMA",OR(AV221&amp;AW221="",BC221="NEMA")),MAX(BD$12:BD220)+1,"")</f>
        <v/>
      </c>
      <c r="BE221" s="47" t="s">
        <v>0</v>
      </c>
      <c r="BF221" s="52" t="str">
        <f t="shared" si="193"/>
        <v>Paola</v>
      </c>
      <c r="BG221" s="31" t="str">
        <f t="shared" si="194"/>
        <v>Rako</v>
      </c>
      <c r="BH221" s="73" t="str">
        <f t="shared" si="220"/>
        <v/>
      </c>
      <c r="BI221" s="53">
        <f t="shared" si="221"/>
        <v>1047</v>
      </c>
      <c r="BJ221" s="47" t="s">
        <v>0</v>
      </c>
      <c r="BK221" s="52" t="str">
        <f t="shared" si="195"/>
        <v>Vihor</v>
      </c>
      <c r="BL221" s="31" t="str">
        <f t="shared" si="196"/>
        <v>OK Vihor</v>
      </c>
      <c r="BM221" s="73">
        <f t="shared" si="197"/>
        <v>12</v>
      </c>
      <c r="BN221" s="73" t="str">
        <f t="shared" si="198"/>
        <v/>
      </c>
      <c r="BO221" s="31" t="str" cm="1">
        <f t="array" ref="BO221">IF(BN221="",""&amp;BL221,IF(BN221="NEMA",BL221,INDEX(regKlub_naziv,MATCH(INDEX(regKlub_alias_klubId,BN221),regKlub_id,0))))</f>
        <v>OK Vihor</v>
      </c>
      <c r="BP221" s="31" t="str" cm="1">
        <f t="array" ref="BP221">IFERROR(""&amp;INDEX(regNatjecatelj_klub,DY221),"")</f>
        <v>OK Vihor</v>
      </c>
      <c r="BQ221" s="88" t="str">
        <f t="shared" si="222"/>
        <v/>
      </c>
      <c r="BR221" s="66" t="str">
        <f t="shared" si="223"/>
        <v>OK Vihor</v>
      </c>
      <c r="BS221" s="47" t="s">
        <v>0</v>
      </c>
      <c r="BT221" s="82" t="str">
        <f>IF(BN221&lt;&gt;"NEMA","",IF(IFERROR(MATCH(BL221,BL$12:BL220,0),0)&lt;&gt;0,"",BL221))</f>
        <v/>
      </c>
      <c r="BU221" s="47" t="s">
        <v>0</v>
      </c>
      <c r="BV221" s="125"/>
      <c r="BW221" s="47" t="s">
        <v>0</v>
      </c>
      <c r="BX221" s="58" t="str">
        <f t="shared" si="224"/>
        <v/>
      </c>
      <c r="BY221" s="31" t="str">
        <f t="shared" si="225"/>
        <v/>
      </c>
      <c r="BZ221" s="31" t="str">
        <f>IF(BY221="","",MAX(BZ$12:BZ220)+1)</f>
        <v/>
      </c>
      <c r="CA221" s="31" t="str">
        <f>IF(BY221="","",IF(AA221="","",IF(AA221="NEMA",AC221,AA221)))</f>
        <v/>
      </c>
      <c r="CB221" s="31" t="str">
        <f t="shared" si="226"/>
        <v/>
      </c>
      <c r="CC221" s="31" t="str">
        <f>IF(BV221="","",MAX(CC$12:CC220)+1)</f>
        <v/>
      </c>
      <c r="CD221" s="31" t="str">
        <f t="shared" si="227"/>
        <v/>
      </c>
      <c r="CE221" s="66" t="str">
        <f t="shared" si="228"/>
        <v/>
      </c>
      <c r="CF221" s="47" t="s">
        <v>0</v>
      </c>
      <c r="CG221" s="73" t="str">
        <f>IF(BN221="","",IF(BN221&lt;&gt;"NEMA","",IFERROR(INDEX(nat_klubAliasId,MATCH(BL221,nat_noviKluboviAliasi,0)),"")))</f>
        <v/>
      </c>
      <c r="CH221" s="47"/>
      <c r="CI221" s="19" t="str">
        <f t="shared" si="229"/>
        <v/>
      </c>
      <c r="CJ221" s="47" t="s">
        <v>0</v>
      </c>
      <c r="CK221" s="52" t="str">
        <f>IF(X221&lt;&gt;"NEMA","",IF(IFERROR(MATCH(W221,W$12:W220,0),0)&lt;&gt;0,"",W221))</f>
        <v/>
      </c>
      <c r="CL221" s="73" t="str">
        <f>IF(CK221="","",IFERROR(INDEX(regKlub_alias_id,MATCH(CK221,regKlub_alias_alias,0)),"NEMA"))</f>
        <v/>
      </c>
      <c r="CM221" s="31" t="str">
        <f>IF(OR(CL221="",CL221&lt;&gt;"NEMA"),"",MAX(CM$12:CM220)+1)</f>
        <v/>
      </c>
      <c r="CN221" s="66" t="str">
        <f>IF(OR(CL221="",CL221&lt;&gt;"NEMA"),"",INDEX(regKlub_id,MATCH(CK221,regKlub_naziv,0)))</f>
        <v/>
      </c>
      <c r="CO221" s="47" t="s">
        <v>0</v>
      </c>
      <c r="CP221" s="19" t="str">
        <f>IF(OR(CL221="",CL221&lt;&gt;"NEMA"),"","INSERT INTO klub_alias(id,alias,klub_id) VALUES ("&amp;CM221&amp;",'"&amp;CK221&amp;"',"&amp;CN221&amp;");")</f>
        <v/>
      </c>
      <c r="CQ221" s="47" t="s">
        <v>0</v>
      </c>
      <c r="CR221" s="143" t="str">
        <f>IF(BR221="","",IF(BV221="",IF(IFERROR(MATCH(BR221,nat_noviKluboviAliasi,0),0)&gt;0,INDEX(nat_kluboviAliasi,MATCH(BR221,nat_noviKluboviAliasi,0)),BR221),BV221))</f>
        <v>OK Vihor</v>
      </c>
      <c r="CS221" s="47" t="s">
        <v>0</v>
      </c>
      <c r="CT221" s="58" t="str">
        <f>IF(G221="","",G221)</f>
        <v>30:24</v>
      </c>
      <c r="CU221" s="73" t="str">
        <f>IF(H221="","",H221)</f>
        <v>0</v>
      </c>
      <c r="CV221" s="229" t="str">
        <f>IF(CT221="",IF(OR(AL221="",CU221&lt;&gt;"0"),"","GREŠKA"),IF(AND(65535&gt;=VALUE(LEFT(CT221,SEARCH(":",CT221)-1))*60+VALUE(RIGHT(CT221,2)),OR(CU221="0",CU221="1",CU221="2",CU221="3",CU221="4")),"","GREŠKA"))</f>
        <v/>
      </c>
      <c r="CW221" s="230">
        <f t="shared" si="183"/>
        <v>1824</v>
      </c>
      <c r="CX221" s="163">
        <f t="shared" si="199"/>
        <v>1</v>
      </c>
      <c r="CY221" s="47" t="s">
        <v>0</v>
      </c>
      <c r="CZ221" s="222" t="str">
        <f>IF(CV221&lt;&gt;"GREŠKA","",AK221&amp;" "&amp;AL221&amp;" – Molim u OEventu provjeriti i ispraviti rezultat – vrijeme ("&amp;IF(CT221="","nije upisano",CT221)&amp;") i classifier ("&amp;CU221&amp;").")&amp;IF(OR(CV221&lt;&gt;"GREŠKA",CX221&lt;&gt;5),"
","")&amp;IF(CX221&lt;&gt;5,"",AK221&amp;" "&amp;AL221&amp;" – Molim u provjeriti je li natjecatelj zaista diskvalificiran. Ako je koje je obrazloženje, ako nije molim u OEventu ispraviti rezultat")</f>
        <v xml:space="preserve">
</v>
      </c>
      <c r="DA221" s="223">
        <f t="shared" si="230"/>
        <v>6</v>
      </c>
      <c r="DB221" s="47" t="s">
        <v>0</v>
      </c>
      <c r="DC221" s="47"/>
      <c r="DD221" s="47"/>
      <c r="DE221" s="47"/>
      <c r="DF221" s="47" t="s">
        <v>0</v>
      </c>
      <c r="DG221" s="53" t="str">
        <f>IF(BD221="","",IF(DI221="O",1,""))</f>
        <v/>
      </c>
      <c r="DH221" t="s">
        <v>0</v>
      </c>
      <c r="DI221" s="128" t="str">
        <f>IF(Q221="","",LEFT(INDEX(regKategorija_oznaka,MATCH(S221,regKategorija_id,0)),1))</f>
        <v>Ž</v>
      </c>
      <c r="DJ221" t="s">
        <v>0</v>
      </c>
      <c r="DK221" s="52" t="str">
        <f>IF(BD221="","",IF(M221&lt;&gt;"CRO","","INSERT INTO osoba (id,reg_broj,oib,spol_id,dat_rodjenja) VALUES ("&amp;BD221&amp;",(SELECT max(os.reg_broj)+1 FROM osoba AS os),Null,'"&amp;DI221&amp;"',Null); INSERT INTO osoba_log (id,reg_broj,oib,spol_id,dat_rodjenja,dnevnik_id) SELECT id,reg_broj,oib,spol_id,dat_rodjenja,"&amp;data_dnevnik_id&amp;" FROM osoba WHERE id = "&amp;BD221&amp;";"))</f>
        <v/>
      </c>
      <c r="DL221" s="66" t="str">
        <f>IF(BD221="","","INSERT INTO imeprezime (id,osoba_id,rbr,ime,prezime,klub_id,identitet_id,sintaksa_id,info,aktivno,dnevnik_id) VALUES ("&amp;BD221&amp;","&amp;IF(DK221="","Null",BD221)&amp;",1,'"&amp;IF(AV221&lt;&gt;"",AV221,AK221)&amp;"','"&amp;IF(AW221&lt;&gt;"",AW221,AL221)&amp;"',(SELECT id FROM klub WHERE naziv = '"&amp;CR221&amp;"'),Null,1,'',1,"&amp;data_dnevnik_id&amp;");")</f>
        <v/>
      </c>
      <c r="DM221" t="s">
        <v>0</v>
      </c>
      <c r="DN221" s="19" t="str">
        <f t="shared" si="238"/>
        <v/>
      </c>
      <c r="DO221" s="47" t="s">
        <v>0</v>
      </c>
      <c r="DP221" s="19" t="str">
        <f>IF(BA221="","","INSERT INTO imeprezime_alias(id,alias,imeprezime_id) VALUES ("&amp;BB221&amp;",'"&amp;BA221&amp;"',"&amp;IF(BC221="NEMA",BD221,BC221)&amp;");")</f>
        <v/>
      </c>
      <c r="DQ221" s="47" t="s">
        <v>0</v>
      </c>
      <c r="DR221" s="52" t="str">
        <f>IF(AL221="","",DU221 &amp; IF(Q221="",""," – " &amp; Q221))</f>
        <v>Paola – Rako – OK Vihor – Ž14</v>
      </c>
      <c r="DS221" s="53">
        <f t="shared" si="200"/>
        <v>870</v>
      </c>
      <c r="DT221" s="47" t="s">
        <v>0</v>
      </c>
      <c r="DU221" s="52" t="str">
        <f>IF(AL221="","",DX221 &amp; IF(CR221="",""," – " &amp; CR221))</f>
        <v>Paola – Rako – OK Vihor</v>
      </c>
      <c r="DV221" s="53">
        <f t="shared" si="201"/>
        <v>870</v>
      </c>
      <c r="DW221" s="47" t="s">
        <v>0</v>
      </c>
      <c r="DX221" s="52" t="str">
        <f>IF(BG221="","",BF221&amp;" – "&amp;BG221)</f>
        <v>Paola – Rako</v>
      </c>
      <c r="DY221" s="53">
        <f t="shared" si="202"/>
        <v>870</v>
      </c>
      <c r="DZ221" s="47" t="s">
        <v>0</v>
      </c>
      <c r="EA221" s="58">
        <f t="shared" si="231"/>
        <v>870</v>
      </c>
      <c r="EB221" s="53" cm="1">
        <f t="array" ref="EB221">IF(EA221&lt;&gt;"",INDEX(regNatjecatelj_id,EA221,0),IF(BD221&lt;&gt;"",BD221,""))</f>
        <v>1047</v>
      </c>
      <c r="EC221" s="47" t="s">
        <v>0</v>
      </c>
      <c r="ED221" s="58" t="str">
        <f>IF(AL221="","",IF(BD221&lt;&gt;"","novo",IF(AN221="","imepre","imepre(ali)")))</f>
        <v>imepre</v>
      </c>
      <c r="EE221" s="73" t="str">
        <f>IF(AL221="","",IF(BL221="",IF(IFERROR(INDEX(regNatjecatelj_klub,MATCH(EB221,regNatjecatelj_id,0)),"NEMA")="","klu",""),IF(OR(AND(BN221&lt;&gt;"",BN221&lt;&gt;"NEMA"),CD221&lt;&gt;""),"klu(ali)",IF(AND(BP221&lt;&gt;"",BP221&lt;&gt;BO221),"(raz-klu)","klu"))))</f>
        <v>klu</v>
      </c>
      <c r="EF221" s="73" t="str">
        <f>IF(AL221="","","kat"&amp;IF(AND(W221&lt;&gt;Q221,Q221&lt;&gt;"Open"),"(ali)",""))</f>
        <v>kat</v>
      </c>
      <c r="EG221" s="73" t="str">
        <f t="shared" si="203"/>
        <v/>
      </c>
      <c r="EH221" s="66" t="str">
        <f>IF(AL221="","",ED221&amp;IF(ED221="novo","","-"&amp;EE221&amp;"-"&amp;EF221)&amp;IF(EG221="","","-"&amp;EG221))</f>
        <v>imepre-klu-kat</v>
      </c>
      <c r="EI221" s="47" t="s">
        <v>0</v>
      </c>
      <c r="EJ221" s="58">
        <f>IF(AL221="","",MAX(EJ$12:EJ220)+1)</f>
        <v>380</v>
      </c>
      <c r="EK221" s="73">
        <f>IF(AO221="","",X221)</f>
        <v>36</v>
      </c>
      <c r="EL221" s="73">
        <f t="shared" si="232"/>
        <v>1047</v>
      </c>
      <c r="EM221" s="73">
        <f t="shared" si="204"/>
        <v>1824</v>
      </c>
      <c r="EN221" s="73">
        <f t="shared" si="205"/>
        <v>1</v>
      </c>
      <c r="EO221" s="73">
        <f t="shared" si="233"/>
        <v>1</v>
      </c>
      <c r="EP221" s="73">
        <f t="shared" si="234"/>
        <v>1</v>
      </c>
      <c r="EQ221" s="73" t="str">
        <f t="shared" si="206"/>
        <v>0</v>
      </c>
      <c r="ER221" s="73" t="str">
        <f>IF(OR(AN221="",AN221="NEMA"),BB221,AN221)</f>
        <v/>
      </c>
      <c r="ES221" s="73" t="str">
        <f>IF(AND(BN221&lt;&gt;"",BN221&lt;&gt;"NEMA"),BN221,IF(CG221&lt;&gt;"",CG221,IF(AND(CL221&lt;&gt;"",CL221&lt;&gt;"NEMA"),CL221,IF(CM221&lt;&gt;"",CM221,""))))</f>
        <v/>
      </c>
      <c r="ET221" s="53" t="str">
        <f>IF(INDEX(natKategorija_alias_Id,MATCH(S221,natKategorija_katRegId,0))="","",INDEX(natKategorija_alias_Id,MATCH(S221,natKategorija_katRegId,0)))</f>
        <v/>
      </c>
      <c r="EU221" s="47" t="s">
        <v>0</v>
      </c>
      <c r="EV221" s="19" t="str">
        <f t="shared" si="235"/>
        <v>INSERT INTO rezultat(id,stazakategorija_id,imeprezime_id,vrijeme_sec,status_id,registracija,uparivanje_id,originalstatus_id,imeprezimealias_id,klubalias_id,kategorijaalias_id) VALUES (380,36,1047,1824,1,1,1,0,Null,Null,Null);</v>
      </c>
      <c r="EW221" s="47" t="s">
        <v>0</v>
      </c>
      <c r="EX221" s="19" t="str">
        <f t="shared" si="236"/>
        <v>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Y221" s="47" t="s">
        <v>0</v>
      </c>
      <c r="EZ221" s="180" t="str">
        <f>AG221&amp;IF(CP221="","","
")&amp;CP221&amp;IF(CI221="","","
")&amp;CI221&amp;IF(DN221="","","
")&amp;DN221&amp;IF(DP221="","","
")&amp;DP221&amp;IF(EV221="","","
")&amp;EV221&amp;IF(EX221="","","
")&amp;EX221</f>
        <v xml:space="preserve">
INSERT INTO rezultat(id,stazakategorija_id,imeprezime_id,vrijeme_sec,status_id,registracija,uparivanje_id,originalstatus_id,imeprezimealias_id,klubalias_id,kategorijaalias_id) VALUES (380,36,1047,1824,1,1,1,0,Null,Null,Null);
UPDATE
	registar
SET
	potvrda = 1
WHERE
	imeprezime_id=1047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FA221" s="47" t="s">
        <v>0</v>
      </c>
    </row>
    <row r="222" spans="1:157" x14ac:dyDescent="0.25">
      <c r="A222" t="s">
        <v>0</v>
      </c>
      <c r="B222" s="52" t="str">
        <f>IF(csv!F212="","",csv!T212)</f>
        <v>Ž14</v>
      </c>
      <c r="C222" s="31" t="s">
        <v>0</v>
      </c>
      <c r="D222" s="31" t="str">
        <f>IF(csv!F212="","",csv!F212)</f>
        <v>Monika</v>
      </c>
      <c r="E222" s="31" t="str">
        <f>IF(csv!E212="","",csv!E212)</f>
        <v>Pavić</v>
      </c>
      <c r="F222" s="31" t="s">
        <v>0</v>
      </c>
      <c r="G222" s="73" t="str">
        <f>IF(csv!M212="","",csv!M212)</f>
        <v>46:42</v>
      </c>
      <c r="H222" s="73" t="str">
        <f>IF(csv!N212="","",csv!N212)</f>
        <v>0</v>
      </c>
      <c r="I222" s="31" t="s">
        <v>0</v>
      </c>
      <c r="J222" s="31" t="str">
        <f>IF(csv!P212="","",csv!P212)</f>
        <v>Vihor</v>
      </c>
      <c r="K222" s="31" t="str">
        <f>IF(csv!Q212="","",csv!Q212)</f>
        <v>OK Vihor</v>
      </c>
      <c r="L222" s="31" t="s">
        <v>0</v>
      </c>
      <c r="M222" s="66" t="str">
        <f>IF(csv!R212="","",csv!R212)</f>
        <v>CRO</v>
      </c>
      <c r="N222" s="47" t="s">
        <v>0</v>
      </c>
      <c r="O222" s="243" t="str">
        <f t="shared" si="207"/>
        <v>ok</v>
      </c>
      <c r="P222" s="47"/>
      <c r="Q222" s="52" t="str">
        <f t="shared" si="208"/>
        <v>Ž14</v>
      </c>
      <c r="R222" s="73">
        <f>IF(Q222="","",IF(COUNTIF(Q$12:Q221,Q222)=0,R221+1,R221))</f>
        <v>14</v>
      </c>
      <c r="S222" s="73">
        <f t="shared" si="209"/>
        <v>121</v>
      </c>
      <c r="T222" s="73">
        <f t="shared" si="184"/>
        <v>21</v>
      </c>
      <c r="U222" s="66" t="str">
        <f t="shared" si="185"/>
        <v>M14 – Ž14</v>
      </c>
      <c r="V222" s="47" t="s">
        <v>0</v>
      </c>
      <c r="W222" s="222" t="str">
        <f t="shared" si="186"/>
        <v>Ž14</v>
      </c>
      <c r="X222" s="223">
        <f t="shared" si="187"/>
        <v>36</v>
      </c>
      <c r="Y222" s="47" t="s">
        <v>0</v>
      </c>
      <c r="Z222" s="52" t="str">
        <f t="shared" si="210"/>
        <v>CRO</v>
      </c>
      <c r="AA222" s="73">
        <f t="shared" si="188"/>
        <v>1</v>
      </c>
      <c r="AB222" s="31" t="str">
        <f t="shared" si="211"/>
        <v/>
      </c>
      <c r="AC222" s="66" t="str">
        <f>IF(AB222="","",MAX(AC$12:AC221)+1)</f>
        <v/>
      </c>
      <c r="AD222" s="47" t="s">
        <v>0</v>
      </c>
      <c r="AE222" s="125"/>
      <c r="AF222" s="47" t="s">
        <v>0</v>
      </c>
      <c r="AG222" s="19" t="str">
        <f t="shared" si="212"/>
        <v/>
      </c>
      <c r="AH222" s="47" t="s">
        <v>0</v>
      </c>
      <c r="AI222" s="143" t="str">
        <f t="shared" si="213"/>
        <v>CRO</v>
      </c>
      <c r="AJ222" s="47"/>
      <c r="AK222" s="52" t="str">
        <f t="shared" si="214"/>
        <v>Monika</v>
      </c>
      <c r="AL222" s="31" t="str">
        <f t="shared" si="215"/>
        <v>Pavić</v>
      </c>
      <c r="AM222" s="73">
        <f t="shared" si="216"/>
        <v>1530</v>
      </c>
      <c r="AN222" s="73" t="str">
        <f t="shared" si="217"/>
        <v/>
      </c>
      <c r="AO222" s="31" t="str">
        <f t="shared" si="189"/>
        <v>Monika</v>
      </c>
      <c r="AP222" s="66" t="str">
        <f t="shared" si="190"/>
        <v>Pavić</v>
      </c>
      <c r="AQ222" s="47" t="s">
        <v>0</v>
      </c>
      <c r="AR222" s="82" t="str">
        <f t="shared" si="218"/>
        <v/>
      </c>
      <c r="AS222" s="47" t="s">
        <v>0</v>
      </c>
      <c r="AT222" s="19" t="str">
        <f t="shared" si="219"/>
        <v/>
      </c>
      <c r="AU222" s="47" t="s">
        <v>0</v>
      </c>
      <c r="AV222" s="103"/>
      <c r="AW222" s="105"/>
      <c r="AX222" s="47" t="s">
        <v>0</v>
      </c>
      <c r="AY222" s="256" t="str">
        <f t="shared" si="237"/>
        <v/>
      </c>
      <c r="AZ222" s="47" t="s">
        <v>0</v>
      </c>
      <c r="BA222" s="52" t="str">
        <f t="shared" si="191"/>
        <v/>
      </c>
      <c r="BB222" s="73" t="str">
        <f>IF(AV222&amp;AW222="","",MAX(BB$12:BB221)+1)</f>
        <v/>
      </c>
      <c r="BC222" s="268" t="str">
        <f t="shared" si="192"/>
        <v/>
      </c>
      <c r="BD222" s="53" t="str">
        <f>IF(AND(AM222="NEMA",AN222="NEMA",OR(AV222&amp;AW222="",BC222="NEMA")),MAX(BD$12:BD221)+1,"")</f>
        <v/>
      </c>
      <c r="BE222" s="47" t="s">
        <v>0</v>
      </c>
      <c r="BF222" s="52" t="str">
        <f t="shared" si="193"/>
        <v>Monika</v>
      </c>
      <c r="BG222" s="31" t="str">
        <f t="shared" si="194"/>
        <v>Pavić</v>
      </c>
      <c r="BH222" s="73" t="str">
        <f t="shared" si="220"/>
        <v/>
      </c>
      <c r="BI222" s="53">
        <f t="shared" si="221"/>
        <v>1530</v>
      </c>
      <c r="BJ222" s="47" t="s">
        <v>0</v>
      </c>
      <c r="BK222" s="52" t="str">
        <f t="shared" si="195"/>
        <v>Vihor</v>
      </c>
      <c r="BL222" s="31" t="str">
        <f t="shared" si="196"/>
        <v>OK Vihor</v>
      </c>
      <c r="BM222" s="73">
        <f t="shared" si="197"/>
        <v>12</v>
      </c>
      <c r="BN222" s="73" t="str">
        <f t="shared" si="198"/>
        <v/>
      </c>
      <c r="BO222" s="31" t="str" cm="1">
        <f t="array" ref="BO222">IF(BN222="",""&amp;BL222,IF(BN222="NEMA",BL222,INDEX(regKlub_naziv,MATCH(INDEX(regKlub_alias_klubId,BN222),regKlub_id,0))))</f>
        <v>OK Vihor</v>
      </c>
      <c r="BP222" s="31" t="str" cm="1">
        <f t="array" ref="BP222">IFERROR(""&amp;INDEX(regNatjecatelj_klub,DY222),"")</f>
        <v>OK Vihor</v>
      </c>
      <c r="BQ222" s="88" t="str">
        <f t="shared" si="222"/>
        <v/>
      </c>
      <c r="BR222" s="66" t="str">
        <f t="shared" si="223"/>
        <v>OK Vihor</v>
      </c>
      <c r="BS222" s="47" t="s">
        <v>0</v>
      </c>
      <c r="BT222" s="82" t="str">
        <f>IF(BN222&lt;&gt;"NEMA","",IF(IFERROR(MATCH(BL222,BL$12:BL221,0),0)&lt;&gt;0,"",BL222))</f>
        <v/>
      </c>
      <c r="BU222" s="47" t="s">
        <v>0</v>
      </c>
      <c r="BV222" s="125"/>
      <c r="BW222" s="47" t="s">
        <v>0</v>
      </c>
      <c r="BX222" s="58" t="str">
        <f t="shared" si="224"/>
        <v/>
      </c>
      <c r="BY222" s="31" t="str">
        <f t="shared" si="225"/>
        <v/>
      </c>
      <c r="BZ222" s="31" t="str">
        <f>IF(BY222="","",MAX(BZ$12:BZ221)+1)</f>
        <v/>
      </c>
      <c r="CA222" s="31" t="str">
        <f>IF(BY222="","",IF(AA222="","",IF(AA222="NEMA",AC222,AA222)))</f>
        <v/>
      </c>
      <c r="CB222" s="31" t="str">
        <f t="shared" si="226"/>
        <v/>
      </c>
      <c r="CC222" s="31" t="str">
        <f>IF(BV222="","",MAX(CC$12:CC221)+1)</f>
        <v/>
      </c>
      <c r="CD222" s="31" t="str">
        <f t="shared" si="227"/>
        <v/>
      </c>
      <c r="CE222" s="66" t="str">
        <f t="shared" si="228"/>
        <v/>
      </c>
      <c r="CF222" s="47" t="s">
        <v>0</v>
      </c>
      <c r="CG222" s="73" t="str">
        <f>IF(BN222="","",IF(BN222&lt;&gt;"NEMA","",IFERROR(INDEX(nat_klubAliasId,MATCH(BL222,nat_noviKluboviAliasi,0)),"")))</f>
        <v/>
      </c>
      <c r="CH222" s="47"/>
      <c r="CI222" s="19" t="str">
        <f t="shared" si="229"/>
        <v/>
      </c>
      <c r="CJ222" s="47" t="s">
        <v>0</v>
      </c>
      <c r="CK222" s="52" t="str">
        <f>IF(X222&lt;&gt;"NEMA","",IF(IFERROR(MATCH(W222,W$12:W221,0),0)&lt;&gt;0,"",W222))</f>
        <v/>
      </c>
      <c r="CL222" s="73" t="str">
        <f>IF(CK222="","",IFERROR(INDEX(regKlub_alias_id,MATCH(CK222,regKlub_alias_alias,0)),"NEMA"))</f>
        <v/>
      </c>
      <c r="CM222" s="31" t="str">
        <f>IF(OR(CL222="",CL222&lt;&gt;"NEMA"),"",MAX(CM$12:CM221)+1)</f>
        <v/>
      </c>
      <c r="CN222" s="66" t="str">
        <f>IF(OR(CL222="",CL222&lt;&gt;"NEMA"),"",INDEX(regKlub_id,MATCH(CK222,regKlub_naziv,0)))</f>
        <v/>
      </c>
      <c r="CO222" s="47" t="s">
        <v>0</v>
      </c>
      <c r="CP222" s="19" t="str">
        <f>IF(OR(CL222="",CL222&lt;&gt;"NEMA"),"","INSERT INTO klub_alias(id,alias,klub_id) VALUES ("&amp;CM222&amp;",'"&amp;CK222&amp;"',"&amp;CN222&amp;");")</f>
        <v/>
      </c>
      <c r="CQ222" s="47" t="s">
        <v>0</v>
      </c>
      <c r="CR222" s="143" t="str">
        <f>IF(BR222="","",IF(BV222="",IF(IFERROR(MATCH(BR222,nat_noviKluboviAliasi,0),0)&gt;0,INDEX(nat_kluboviAliasi,MATCH(BR222,nat_noviKluboviAliasi,0)),BR222),BV222))</f>
        <v>OK Vihor</v>
      </c>
      <c r="CS222" s="47" t="s">
        <v>0</v>
      </c>
      <c r="CT222" s="58" t="str">
        <f>IF(G222="","",G222)</f>
        <v>46:42</v>
      </c>
      <c r="CU222" s="73" t="str">
        <f>IF(H222="","",H222)</f>
        <v>0</v>
      </c>
      <c r="CV222" s="229" t="str">
        <f>IF(CT222="",IF(OR(AL222="",CU222&lt;&gt;"0"),"","GREŠKA"),IF(AND(65535&gt;=VALUE(LEFT(CT222,SEARCH(":",CT222)-1))*60+VALUE(RIGHT(CT222,2)),OR(CU222="0",CU222="1",CU222="2",CU222="3",CU222="4")),"","GREŠKA"))</f>
        <v/>
      </c>
      <c r="CW222" s="230">
        <f t="shared" si="183"/>
        <v>2802</v>
      </c>
      <c r="CX222" s="163">
        <f t="shared" si="199"/>
        <v>1</v>
      </c>
      <c r="CY222" s="47" t="s">
        <v>0</v>
      </c>
      <c r="CZ222" s="222" t="str">
        <f>IF(CV222&lt;&gt;"GREŠKA","",AK222&amp;" "&amp;AL222&amp;" – Molim u OEventu provjeriti i ispraviti rezultat – vrijeme ("&amp;IF(CT222="","nije upisano",CT222)&amp;") i classifier ("&amp;CU222&amp;").")&amp;IF(OR(CV222&lt;&gt;"GREŠKA",CX222&lt;&gt;5),"
","")&amp;IF(CX222&lt;&gt;5,"",AK222&amp;" "&amp;AL222&amp;" – Molim u provjeriti je li natjecatelj zaista diskvalificiran. Ako je koje je obrazloženje, ako nije molim u OEventu ispraviti rezultat")</f>
        <v xml:space="preserve">
</v>
      </c>
      <c r="DA222" s="223">
        <f t="shared" si="230"/>
        <v>6</v>
      </c>
      <c r="DB222" s="47" t="s">
        <v>0</v>
      </c>
      <c r="DC222" s="47"/>
      <c r="DD222" s="47"/>
      <c r="DE222" s="47"/>
      <c r="DF222" s="47" t="s">
        <v>0</v>
      </c>
      <c r="DG222" s="53" t="str">
        <f>IF(BD222="","",IF(DI222="O",1,""))</f>
        <v/>
      </c>
      <c r="DH222" t="s">
        <v>0</v>
      </c>
      <c r="DI222" s="128" t="str">
        <f>IF(Q222="","",LEFT(INDEX(regKategorija_oznaka,MATCH(S222,regKategorija_id,0)),1))</f>
        <v>Ž</v>
      </c>
      <c r="DJ222" t="s">
        <v>0</v>
      </c>
      <c r="DK222" s="52" t="str">
        <f>IF(BD222="","",IF(M222&lt;&gt;"CRO","","INSERT INTO osoba (id,reg_broj,oib,spol_id,dat_rodjenja) VALUES ("&amp;BD222&amp;",(SELECT max(os.reg_broj)+1 FROM osoba AS os),Null,'"&amp;DI222&amp;"',Null); INSERT INTO osoba_log (id,reg_broj,oib,spol_id,dat_rodjenja,dnevnik_id) SELECT id,reg_broj,oib,spol_id,dat_rodjenja,"&amp;data_dnevnik_id&amp;" FROM osoba WHERE id = "&amp;BD222&amp;";"))</f>
        <v/>
      </c>
      <c r="DL222" s="66" t="str">
        <f>IF(BD222="","","INSERT INTO imeprezime (id,osoba_id,rbr,ime,prezime,klub_id,identitet_id,sintaksa_id,info,aktivno,dnevnik_id) VALUES ("&amp;BD222&amp;","&amp;IF(DK222="","Null",BD222)&amp;",1,'"&amp;IF(AV222&lt;&gt;"",AV222,AK222)&amp;"','"&amp;IF(AW222&lt;&gt;"",AW222,AL222)&amp;"',(SELECT id FROM klub WHERE naziv = '"&amp;CR222&amp;"'),Null,1,'',1,"&amp;data_dnevnik_id&amp;");")</f>
        <v/>
      </c>
      <c r="DM222" t="s">
        <v>0</v>
      </c>
      <c r="DN222" s="19" t="str">
        <f t="shared" si="238"/>
        <v/>
      </c>
      <c r="DO222" s="47" t="s">
        <v>0</v>
      </c>
      <c r="DP222" s="19" t="str">
        <f>IF(BA222="","","INSERT INTO imeprezime_alias(id,alias,imeprezime_id) VALUES ("&amp;BB222&amp;",'"&amp;BA222&amp;"',"&amp;IF(BC222="NEMA",BD222,BC222)&amp;");")</f>
        <v/>
      </c>
      <c r="DQ222" s="47" t="s">
        <v>0</v>
      </c>
      <c r="DR222" s="52" t="str">
        <f>IF(AL222="","",DU222 &amp; IF(Q222="",""," – " &amp; Q222))</f>
        <v>Monika – Pavić – OK Vihor – Ž14</v>
      </c>
      <c r="DS222" s="53">
        <f t="shared" si="200"/>
        <v>839</v>
      </c>
      <c r="DT222" s="47" t="s">
        <v>0</v>
      </c>
      <c r="DU222" s="52" t="str">
        <f>IF(AL222="","",DX222 &amp; IF(CR222="",""," – " &amp; CR222))</f>
        <v>Monika – Pavić – OK Vihor</v>
      </c>
      <c r="DV222" s="53">
        <f t="shared" si="201"/>
        <v>839</v>
      </c>
      <c r="DW222" s="47" t="s">
        <v>0</v>
      </c>
      <c r="DX222" s="52" t="str">
        <f>IF(BG222="","",BF222&amp;" – "&amp;BG222)</f>
        <v>Monika – Pavić</v>
      </c>
      <c r="DY222" s="53">
        <f t="shared" si="202"/>
        <v>839</v>
      </c>
      <c r="DZ222" s="47" t="s">
        <v>0</v>
      </c>
      <c r="EA222" s="58">
        <f t="shared" si="231"/>
        <v>839</v>
      </c>
      <c r="EB222" s="53" cm="1">
        <f t="array" ref="EB222">IF(EA222&lt;&gt;"",INDEX(regNatjecatelj_id,EA222,0),IF(BD222&lt;&gt;"",BD222,""))</f>
        <v>1530</v>
      </c>
      <c r="EC222" s="47" t="s">
        <v>0</v>
      </c>
      <c r="ED222" s="58" t="str">
        <f>IF(AL222="","",IF(BD222&lt;&gt;"","novo",IF(AN222="","imepre","imepre(ali)")))</f>
        <v>imepre</v>
      </c>
      <c r="EE222" s="73" t="str">
        <f>IF(AL222="","",IF(BL222="",IF(IFERROR(INDEX(regNatjecatelj_klub,MATCH(EB222,regNatjecatelj_id,0)),"NEMA")="","klu",""),IF(OR(AND(BN222&lt;&gt;"",BN222&lt;&gt;"NEMA"),CD222&lt;&gt;""),"klu(ali)",IF(AND(BP222&lt;&gt;"",BP222&lt;&gt;BO222),"(raz-klu)","klu"))))</f>
        <v>klu</v>
      </c>
      <c r="EF222" s="73" t="str">
        <f>IF(AL222="","","kat"&amp;IF(AND(W222&lt;&gt;Q222,Q222&lt;&gt;"Open"),"(ali)",""))</f>
        <v>kat</v>
      </c>
      <c r="EG222" s="73" t="str">
        <f t="shared" si="203"/>
        <v/>
      </c>
      <c r="EH222" s="66" t="str">
        <f>IF(AL222="","",ED222&amp;IF(ED222="novo","","-"&amp;EE222&amp;"-"&amp;EF222)&amp;IF(EG222="","","-"&amp;EG222))</f>
        <v>imepre-klu-kat</v>
      </c>
      <c r="EI222" s="47" t="s">
        <v>0</v>
      </c>
      <c r="EJ222" s="58">
        <f>IF(AL222="","",MAX(EJ$12:EJ221)+1)</f>
        <v>381</v>
      </c>
      <c r="EK222" s="73">
        <f>IF(AO222="","",X222)</f>
        <v>36</v>
      </c>
      <c r="EL222" s="73">
        <f t="shared" si="232"/>
        <v>1530</v>
      </c>
      <c r="EM222" s="73">
        <f t="shared" si="204"/>
        <v>2802</v>
      </c>
      <c r="EN222" s="73">
        <f t="shared" si="205"/>
        <v>1</v>
      </c>
      <c r="EO222" s="73">
        <f t="shared" si="233"/>
        <v>1</v>
      </c>
      <c r="EP222" s="73">
        <f t="shared" si="234"/>
        <v>1</v>
      </c>
      <c r="EQ222" s="73" t="str">
        <f t="shared" si="206"/>
        <v>0</v>
      </c>
      <c r="ER222" s="73" t="str">
        <f>IF(OR(AN222="",AN222="NEMA"),BB222,AN222)</f>
        <v/>
      </c>
      <c r="ES222" s="73" t="str">
        <f>IF(AND(BN222&lt;&gt;"",BN222&lt;&gt;"NEMA"),BN222,IF(CG222&lt;&gt;"",CG222,IF(AND(CL222&lt;&gt;"",CL222&lt;&gt;"NEMA"),CL222,IF(CM222&lt;&gt;"",CM222,""))))</f>
        <v/>
      </c>
      <c r="ET222" s="53" t="str">
        <f>IF(INDEX(natKategorija_alias_Id,MATCH(S222,natKategorija_katRegId,0))="","",INDEX(natKategorija_alias_Id,MATCH(S222,natKategorija_katRegId,0)))</f>
        <v/>
      </c>
      <c r="EU222" s="47" t="s">
        <v>0</v>
      </c>
      <c r="EV222" s="19" t="str">
        <f t="shared" si="235"/>
        <v>INSERT INTO rezultat(id,stazakategorija_id,imeprezime_id,vrijeme_sec,status_id,registracija,uparivanje_id,originalstatus_id,imeprezimealias_id,klubalias_id,kategorijaalias_id) VALUES (381,36,1530,2802,1,1,1,0,Null,Null,Null);</v>
      </c>
      <c r="EW222" s="47" t="s">
        <v>0</v>
      </c>
      <c r="EX222" s="19" t="str">
        <f t="shared" si="236"/>
        <v>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Y222" s="47" t="s">
        <v>0</v>
      </c>
      <c r="EZ222" s="180" t="str">
        <f>AG222&amp;IF(CP222="","","
")&amp;CP222&amp;IF(CI222="","","
")&amp;CI222&amp;IF(DN222="","","
")&amp;DN222&amp;IF(DP222="","","
")&amp;DP222&amp;IF(EV222="","","
")&amp;EV222&amp;IF(EX222="","","
")&amp;EX222</f>
        <v xml:space="preserve">
INSERT INTO rezultat(id,stazakategorija_id,imeprezime_id,vrijeme_sec,status_id,registracija,uparivanje_id,originalstatus_id,imeprezimealias_id,klubalias_id,kategorijaalias_id) VALUES (381,36,1530,2802,1,1,1,0,Null,Null,Null);
UPDATE
	registar
SET
	potvrda = 1
WHERE
	imeprezime_id=1530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FA222" s="47" t="s">
        <v>0</v>
      </c>
    </row>
    <row r="223" spans="1:157" x14ac:dyDescent="0.25">
      <c r="A223" t="s">
        <v>0</v>
      </c>
      <c r="B223" s="52" t="str">
        <f>IF(csv!F213="","",csv!T213)</f>
        <v>Ž14</v>
      </c>
      <c r="C223" s="31" t="s">
        <v>0</v>
      </c>
      <c r="D223" s="31" t="str">
        <f>IF(csv!F213="","",csv!F213)</f>
        <v>Lucija</v>
      </c>
      <c r="E223" s="31" t="str">
        <f>IF(csv!E213="","",csv!E213)</f>
        <v>Hercigonja</v>
      </c>
      <c r="F223" s="31" t="s">
        <v>0</v>
      </c>
      <c r="G223" s="73" t="str">
        <f>IF(csv!M213="","",csv!M213)</f>
        <v>53:09</v>
      </c>
      <c r="H223" s="73" t="str">
        <f>IF(csv!N213="","",csv!N213)</f>
        <v>0</v>
      </c>
      <c r="I223" s="31" t="s">
        <v>0</v>
      </c>
      <c r="J223" s="31" t="str">
        <f>IF(csv!P213="","",csv!P213)</f>
        <v>KAP</v>
      </c>
      <c r="K223" s="31" t="str">
        <f>IF(csv!Q213="","",csv!Q213)</f>
        <v>OK Kapela</v>
      </c>
      <c r="L223" s="31" t="s">
        <v>0</v>
      </c>
      <c r="M223" s="66" t="str">
        <f>IF(csv!R213="","",csv!R213)</f>
        <v>CRO</v>
      </c>
      <c r="N223" s="47" t="s">
        <v>0</v>
      </c>
      <c r="O223" s="243" t="str">
        <f t="shared" si="207"/>
        <v>ok</v>
      </c>
      <c r="P223" s="47"/>
      <c r="Q223" s="52" t="str">
        <f t="shared" si="208"/>
        <v>Ž14</v>
      </c>
      <c r="R223" s="73">
        <f>IF(Q223="","",IF(COUNTIF(Q$12:Q222,Q223)=0,R222+1,R222))</f>
        <v>14</v>
      </c>
      <c r="S223" s="73">
        <f t="shared" si="209"/>
        <v>121</v>
      </c>
      <c r="T223" s="73">
        <f t="shared" si="184"/>
        <v>21</v>
      </c>
      <c r="U223" s="66" t="str">
        <f t="shared" si="185"/>
        <v>M14 – Ž14</v>
      </c>
      <c r="V223" s="47" t="s">
        <v>0</v>
      </c>
      <c r="W223" s="222" t="str">
        <f t="shared" si="186"/>
        <v>Ž14</v>
      </c>
      <c r="X223" s="223">
        <f t="shared" si="187"/>
        <v>36</v>
      </c>
      <c r="Y223" s="47" t="s">
        <v>0</v>
      </c>
      <c r="Z223" s="52" t="str">
        <f t="shared" si="210"/>
        <v>CRO</v>
      </c>
      <c r="AA223" s="73">
        <f t="shared" si="188"/>
        <v>1</v>
      </c>
      <c r="AB223" s="31" t="str">
        <f t="shared" si="211"/>
        <v/>
      </c>
      <c r="AC223" s="66" t="str">
        <f>IF(AB223="","",MAX(AC$12:AC222)+1)</f>
        <v/>
      </c>
      <c r="AD223" s="47" t="s">
        <v>0</v>
      </c>
      <c r="AE223" s="125"/>
      <c r="AF223" s="47" t="s">
        <v>0</v>
      </c>
      <c r="AG223" s="19" t="str">
        <f t="shared" si="212"/>
        <v/>
      </c>
      <c r="AH223" s="47" t="s">
        <v>0</v>
      </c>
      <c r="AI223" s="143" t="str">
        <f t="shared" si="213"/>
        <v>CRO</v>
      </c>
      <c r="AJ223" s="47"/>
      <c r="AK223" s="52" t="str">
        <f t="shared" si="214"/>
        <v>Lucija</v>
      </c>
      <c r="AL223" s="31" t="str">
        <f t="shared" si="215"/>
        <v>Hercigonja</v>
      </c>
      <c r="AM223" s="73">
        <f t="shared" si="216"/>
        <v>1467</v>
      </c>
      <c r="AN223" s="73" t="str">
        <f t="shared" si="217"/>
        <v/>
      </c>
      <c r="AO223" s="31" t="str">
        <f t="shared" si="189"/>
        <v>Lucija</v>
      </c>
      <c r="AP223" s="66" t="str">
        <f t="shared" si="190"/>
        <v>Hercigonja</v>
      </c>
      <c r="AQ223" s="47" t="s">
        <v>0</v>
      </c>
      <c r="AR223" s="82" t="str">
        <f t="shared" si="218"/>
        <v/>
      </c>
      <c r="AS223" s="47" t="s">
        <v>0</v>
      </c>
      <c r="AT223" s="19" t="str">
        <f t="shared" si="219"/>
        <v/>
      </c>
      <c r="AU223" s="47" t="s">
        <v>0</v>
      </c>
      <c r="AV223" s="103"/>
      <c r="AW223" s="105"/>
      <c r="AX223" s="47" t="s">
        <v>0</v>
      </c>
      <c r="AY223" s="256" t="str">
        <f t="shared" si="237"/>
        <v/>
      </c>
      <c r="AZ223" s="47" t="s">
        <v>0</v>
      </c>
      <c r="BA223" s="52" t="str">
        <f t="shared" si="191"/>
        <v/>
      </c>
      <c r="BB223" s="73" t="str">
        <f>IF(AV223&amp;AW223="","",MAX(BB$12:BB222)+1)</f>
        <v/>
      </c>
      <c r="BC223" s="268" t="str">
        <f t="shared" si="192"/>
        <v/>
      </c>
      <c r="BD223" s="53" t="str">
        <f>IF(AND(AM223="NEMA",AN223="NEMA",OR(AV223&amp;AW223="",BC223="NEMA")),MAX(BD$12:BD222)+1,"")</f>
        <v/>
      </c>
      <c r="BE223" s="47" t="s">
        <v>0</v>
      </c>
      <c r="BF223" s="52" t="str">
        <f t="shared" si="193"/>
        <v>Lucija</v>
      </c>
      <c r="BG223" s="31" t="str">
        <f t="shared" si="194"/>
        <v>Hercigonja</v>
      </c>
      <c r="BH223" s="73" t="str">
        <f t="shared" si="220"/>
        <v/>
      </c>
      <c r="BI223" s="53">
        <f t="shared" si="221"/>
        <v>1467</v>
      </c>
      <c r="BJ223" s="47" t="s">
        <v>0</v>
      </c>
      <c r="BK223" s="52" t="str">
        <f t="shared" si="195"/>
        <v>KAP</v>
      </c>
      <c r="BL223" s="31" t="str">
        <f t="shared" si="196"/>
        <v>OK Kapela</v>
      </c>
      <c r="BM223" s="73">
        <f t="shared" si="197"/>
        <v>5</v>
      </c>
      <c r="BN223" s="73" t="str">
        <f t="shared" si="198"/>
        <v/>
      </c>
      <c r="BO223" s="31" t="str" cm="1">
        <f t="array" ref="BO223">IF(BN223="",""&amp;BL223,IF(BN223="NEMA",BL223,INDEX(regKlub_naziv,MATCH(INDEX(regKlub_alias_klubId,BN223),regKlub_id,0))))</f>
        <v>OK Kapela</v>
      </c>
      <c r="BP223" s="31" t="str" cm="1">
        <f t="array" ref="BP223">IFERROR(""&amp;INDEX(regNatjecatelj_klub,DY223),"")</f>
        <v>OK Kapela</v>
      </c>
      <c r="BQ223" s="88" t="str">
        <f t="shared" si="222"/>
        <v/>
      </c>
      <c r="BR223" s="66" t="str">
        <f t="shared" si="223"/>
        <v>OK Kapela</v>
      </c>
      <c r="BS223" s="47" t="s">
        <v>0</v>
      </c>
      <c r="BT223" s="82" t="str">
        <f>IF(BN223&lt;&gt;"NEMA","",IF(IFERROR(MATCH(BL223,BL$12:BL222,0),0)&lt;&gt;0,"",BL223))</f>
        <v/>
      </c>
      <c r="BU223" s="47" t="s">
        <v>0</v>
      </c>
      <c r="BV223" s="125"/>
      <c r="BW223" s="47" t="s">
        <v>0</v>
      </c>
      <c r="BX223" s="58" t="str">
        <f t="shared" si="224"/>
        <v/>
      </c>
      <c r="BY223" s="31" t="str">
        <f t="shared" si="225"/>
        <v/>
      </c>
      <c r="BZ223" s="31" t="str">
        <f>IF(BY223="","",MAX(BZ$12:BZ222)+1)</f>
        <v/>
      </c>
      <c r="CA223" s="31" t="str">
        <f>IF(BY223="","",IF(AA223="","",IF(AA223="NEMA",AC223,AA223)))</f>
        <v/>
      </c>
      <c r="CB223" s="31" t="str">
        <f t="shared" si="226"/>
        <v/>
      </c>
      <c r="CC223" s="31" t="str">
        <f>IF(BV223="","",MAX(CC$12:CC222)+1)</f>
        <v/>
      </c>
      <c r="CD223" s="31" t="str">
        <f t="shared" si="227"/>
        <v/>
      </c>
      <c r="CE223" s="66" t="str">
        <f t="shared" si="228"/>
        <v/>
      </c>
      <c r="CF223" s="47" t="s">
        <v>0</v>
      </c>
      <c r="CG223" s="73" t="str">
        <f>IF(BN223="","",IF(BN223&lt;&gt;"NEMA","",IFERROR(INDEX(nat_klubAliasId,MATCH(BL223,nat_noviKluboviAliasi,0)),"")))</f>
        <v/>
      </c>
      <c r="CH223" s="47"/>
      <c r="CI223" s="19" t="str">
        <f t="shared" si="229"/>
        <v/>
      </c>
      <c r="CJ223" s="47" t="s">
        <v>0</v>
      </c>
      <c r="CK223" s="52" t="str">
        <f>IF(X223&lt;&gt;"NEMA","",IF(IFERROR(MATCH(W223,W$12:W222,0),0)&lt;&gt;0,"",W223))</f>
        <v/>
      </c>
      <c r="CL223" s="73" t="str">
        <f>IF(CK223="","",IFERROR(INDEX(regKlub_alias_id,MATCH(CK223,regKlub_alias_alias,0)),"NEMA"))</f>
        <v/>
      </c>
      <c r="CM223" s="31" t="str">
        <f>IF(OR(CL223="",CL223&lt;&gt;"NEMA"),"",MAX(CM$12:CM222)+1)</f>
        <v/>
      </c>
      <c r="CN223" s="66" t="str">
        <f>IF(OR(CL223="",CL223&lt;&gt;"NEMA"),"",INDEX(regKlub_id,MATCH(CK223,regKlub_naziv,0)))</f>
        <v/>
      </c>
      <c r="CO223" s="47" t="s">
        <v>0</v>
      </c>
      <c r="CP223" s="19" t="str">
        <f>IF(OR(CL223="",CL223&lt;&gt;"NEMA"),"","INSERT INTO klub_alias(id,alias,klub_id) VALUES ("&amp;CM223&amp;",'"&amp;CK223&amp;"',"&amp;CN223&amp;");")</f>
        <v/>
      </c>
      <c r="CQ223" s="47" t="s">
        <v>0</v>
      </c>
      <c r="CR223" s="143" t="str">
        <f>IF(BR223="","",IF(BV223="",IF(IFERROR(MATCH(BR223,nat_noviKluboviAliasi,0),0)&gt;0,INDEX(nat_kluboviAliasi,MATCH(BR223,nat_noviKluboviAliasi,0)),BR223),BV223))</f>
        <v>OK Kapela</v>
      </c>
      <c r="CS223" s="47" t="s">
        <v>0</v>
      </c>
      <c r="CT223" s="58" t="str">
        <f>IF(G223="","",G223)</f>
        <v>53:09</v>
      </c>
      <c r="CU223" s="73" t="str">
        <f>IF(H223="","",H223)</f>
        <v>0</v>
      </c>
      <c r="CV223" s="229" t="str">
        <f>IF(CT223="",IF(OR(AL223="",CU223&lt;&gt;"0"),"","GREŠKA"),IF(AND(65535&gt;=VALUE(LEFT(CT223,SEARCH(":",CT223)-1))*60+VALUE(RIGHT(CT223,2)),OR(CU223="0",CU223="1",CU223="2",CU223="3",CU223="4")),"","GREŠKA"))</f>
        <v/>
      </c>
      <c r="CW223" s="230">
        <f t="shared" si="183"/>
        <v>3189</v>
      </c>
      <c r="CX223" s="163">
        <f t="shared" si="199"/>
        <v>1</v>
      </c>
      <c r="CY223" s="47" t="s">
        <v>0</v>
      </c>
      <c r="CZ223" s="222" t="str">
        <f>IF(CV223&lt;&gt;"GREŠKA","",AK223&amp;" "&amp;AL223&amp;" – Molim u OEventu provjeriti i ispraviti rezultat – vrijeme ("&amp;IF(CT223="","nije upisano",CT223)&amp;") i classifier ("&amp;CU223&amp;").")&amp;IF(OR(CV223&lt;&gt;"GREŠKA",CX223&lt;&gt;5),"
","")&amp;IF(CX223&lt;&gt;5,"",AK223&amp;" "&amp;AL223&amp;" – Molim u provjeriti je li natjecatelj zaista diskvalificiran. Ako je koje je obrazloženje, ako nije molim u OEventu ispraviti rezultat")</f>
        <v xml:space="preserve">
</v>
      </c>
      <c r="DA223" s="223">
        <f t="shared" si="230"/>
        <v>6</v>
      </c>
      <c r="DB223" s="47" t="s">
        <v>0</v>
      </c>
      <c r="DC223" s="47"/>
      <c r="DD223" s="47"/>
      <c r="DE223" s="47"/>
      <c r="DF223" s="47" t="s">
        <v>0</v>
      </c>
      <c r="DG223" s="53" t="str">
        <f>IF(BD223="","",IF(DI223="O",1,""))</f>
        <v/>
      </c>
      <c r="DH223" t="s">
        <v>0</v>
      </c>
      <c r="DI223" s="128" t="str">
        <f>IF(Q223="","",LEFT(INDEX(regKategorija_oznaka,MATCH(S223,regKategorija_id,0)),1))</f>
        <v>Ž</v>
      </c>
      <c r="DJ223" t="s">
        <v>0</v>
      </c>
      <c r="DK223" s="52" t="str">
        <f>IF(BD223="","",IF(M223&lt;&gt;"CRO","","INSERT INTO osoba (id,reg_broj,oib,spol_id,dat_rodjenja) VALUES ("&amp;BD223&amp;",(SELECT max(os.reg_broj)+1 FROM osoba AS os),Null,'"&amp;DI223&amp;"',Null); INSERT INTO osoba_log (id,reg_broj,oib,spol_id,dat_rodjenja,dnevnik_id) SELECT id,reg_broj,oib,spol_id,dat_rodjenja,"&amp;data_dnevnik_id&amp;" FROM osoba WHERE id = "&amp;BD223&amp;";"))</f>
        <v/>
      </c>
      <c r="DL223" s="66" t="str">
        <f>IF(BD223="","","INSERT INTO imeprezime (id,osoba_id,rbr,ime,prezime,klub_id,identitet_id,sintaksa_id,info,aktivno,dnevnik_id) VALUES ("&amp;BD223&amp;","&amp;IF(DK223="","Null",BD223)&amp;",1,'"&amp;IF(AV223&lt;&gt;"",AV223,AK223)&amp;"','"&amp;IF(AW223&lt;&gt;"",AW223,AL223)&amp;"',(SELECT id FROM klub WHERE naziv = '"&amp;CR223&amp;"'),Null,1,'',1,"&amp;data_dnevnik_id&amp;");")</f>
        <v/>
      </c>
      <c r="DM223" t="s">
        <v>0</v>
      </c>
      <c r="DN223" s="19" t="str">
        <f t="shared" si="238"/>
        <v/>
      </c>
      <c r="DO223" s="47" t="s">
        <v>0</v>
      </c>
      <c r="DP223" s="19" t="str">
        <f>IF(BA223="","","INSERT INTO imeprezime_alias(id,alias,imeprezime_id) VALUES ("&amp;BB223&amp;",'"&amp;BA223&amp;"',"&amp;IF(BC223="NEMA",BD223,BC223)&amp;");")</f>
        <v/>
      </c>
      <c r="DQ223" s="47" t="s">
        <v>0</v>
      </c>
      <c r="DR223" s="52" t="str">
        <f>IF(AL223="","",DU223 &amp; IF(Q223="",""," – " &amp; Q223))</f>
        <v>Lucija – Hercigonja – OK Kapela – Ž14</v>
      </c>
      <c r="DS223" s="53">
        <f t="shared" si="200"/>
        <v>251</v>
      </c>
      <c r="DT223" s="47" t="s">
        <v>0</v>
      </c>
      <c r="DU223" s="52" t="str">
        <f>IF(AL223="","",DX223 &amp; IF(CR223="",""," – " &amp; CR223))</f>
        <v>Lucija – Hercigonja – OK Kapela</v>
      </c>
      <c r="DV223" s="53">
        <f t="shared" si="201"/>
        <v>251</v>
      </c>
      <c r="DW223" s="47" t="s">
        <v>0</v>
      </c>
      <c r="DX223" s="52" t="str">
        <f>IF(BG223="","",BF223&amp;" – "&amp;BG223)</f>
        <v>Lucija – Hercigonja</v>
      </c>
      <c r="DY223" s="53">
        <f t="shared" si="202"/>
        <v>251</v>
      </c>
      <c r="DZ223" s="47" t="s">
        <v>0</v>
      </c>
      <c r="EA223" s="58">
        <f t="shared" si="231"/>
        <v>251</v>
      </c>
      <c r="EB223" s="53" cm="1">
        <f t="array" ref="EB223">IF(EA223&lt;&gt;"",INDEX(regNatjecatelj_id,EA223,0),IF(BD223&lt;&gt;"",BD223,""))</f>
        <v>1467</v>
      </c>
      <c r="EC223" s="47" t="s">
        <v>0</v>
      </c>
      <c r="ED223" s="58" t="str">
        <f>IF(AL223="","",IF(BD223&lt;&gt;"","novo",IF(AN223="","imepre","imepre(ali)")))</f>
        <v>imepre</v>
      </c>
      <c r="EE223" s="73" t="str">
        <f>IF(AL223="","",IF(BL223="",IF(IFERROR(INDEX(regNatjecatelj_klub,MATCH(EB223,regNatjecatelj_id,0)),"NEMA")="","klu",""),IF(OR(AND(BN223&lt;&gt;"",BN223&lt;&gt;"NEMA"),CD223&lt;&gt;""),"klu(ali)",IF(AND(BP223&lt;&gt;"",BP223&lt;&gt;BO223),"(raz-klu)","klu"))))</f>
        <v>klu</v>
      </c>
      <c r="EF223" s="73" t="str">
        <f>IF(AL223="","","kat"&amp;IF(AND(W223&lt;&gt;Q223,Q223&lt;&gt;"Open"),"(ali)",""))</f>
        <v>kat</v>
      </c>
      <c r="EG223" s="73" t="str">
        <f t="shared" si="203"/>
        <v/>
      </c>
      <c r="EH223" s="66" t="str">
        <f>IF(AL223="","",ED223&amp;IF(ED223="novo","","-"&amp;EE223&amp;"-"&amp;EF223)&amp;IF(EG223="","","-"&amp;EG223))</f>
        <v>imepre-klu-kat</v>
      </c>
      <c r="EI223" s="47" t="s">
        <v>0</v>
      </c>
      <c r="EJ223" s="58">
        <f>IF(AL223="","",MAX(EJ$12:EJ222)+1)</f>
        <v>382</v>
      </c>
      <c r="EK223" s="73">
        <f>IF(AO223="","",X223)</f>
        <v>36</v>
      </c>
      <c r="EL223" s="73">
        <f t="shared" si="232"/>
        <v>1467</v>
      </c>
      <c r="EM223" s="73">
        <f t="shared" si="204"/>
        <v>3189</v>
      </c>
      <c r="EN223" s="73">
        <f t="shared" si="205"/>
        <v>1</v>
      </c>
      <c r="EO223" s="73">
        <f t="shared" si="233"/>
        <v>1</v>
      </c>
      <c r="EP223" s="73">
        <f t="shared" si="234"/>
        <v>1</v>
      </c>
      <c r="EQ223" s="73" t="str">
        <f t="shared" si="206"/>
        <v>0</v>
      </c>
      <c r="ER223" s="73" t="str">
        <f>IF(OR(AN223="",AN223="NEMA"),BB223,AN223)</f>
        <v/>
      </c>
      <c r="ES223" s="73" t="str">
        <f>IF(AND(BN223&lt;&gt;"",BN223&lt;&gt;"NEMA"),BN223,IF(CG223&lt;&gt;"",CG223,IF(AND(CL223&lt;&gt;"",CL223&lt;&gt;"NEMA"),CL223,IF(CM223&lt;&gt;"",CM223,""))))</f>
        <v/>
      </c>
      <c r="ET223" s="53" t="str">
        <f>IF(INDEX(natKategorija_alias_Id,MATCH(S223,natKategorija_katRegId,0))="","",INDEX(natKategorija_alias_Id,MATCH(S223,natKategorija_katRegId,0)))</f>
        <v/>
      </c>
      <c r="EU223" s="47" t="s">
        <v>0</v>
      </c>
      <c r="EV223" s="19" t="str">
        <f t="shared" si="235"/>
        <v>INSERT INTO rezultat(id,stazakategorija_id,imeprezime_id,vrijeme_sec,status_id,registracija,uparivanje_id,originalstatus_id,imeprezimealias_id,klubalias_id,kategorijaalias_id) VALUES (382,36,1467,3189,1,1,1,0,Null,Null,Null);</v>
      </c>
      <c r="EW223" s="47" t="s">
        <v>0</v>
      </c>
      <c r="EX223" s="19" t="str">
        <f t="shared" si="236"/>
        <v>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EY223" s="47" t="s">
        <v>0</v>
      </c>
      <c r="EZ223" s="180" t="str">
        <f>AG223&amp;IF(CP223="","","
")&amp;CP223&amp;IF(CI223="","","
")&amp;CI223&amp;IF(DN223="","","
")&amp;DN223&amp;IF(DP223="","","
")&amp;DP223&amp;IF(EV223="","","
")&amp;EV223&amp;IF(EX223="","","
")&amp;EX223</f>
        <v xml:space="preserve">
INSERT INTO rezultat(id,stazakategorija_id,imeprezime_id,vrijeme_sec,status_id,registracija,uparivanje_id,originalstatus_id,imeprezimealias_id,klubalias_id,kategorijaalias_id) VALUES (382,36,1467,3189,1,1,1,0,Null,Null,Null);
UPDATE
	registar
SET
	potvrda = 1
WHERE
	imeprezime_id=1467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36)
                         		AND
                         	kategorija_liga.liga_id = 101)
		AND
	datum_od &lt;= '2021-04-18'
    	AND
    datum_do is Null;</v>
      </c>
      <c r="FA223" s="47" t="s">
        <v>0</v>
      </c>
    </row>
    <row r="224" spans="1:157" x14ac:dyDescent="0.25">
      <c r="A224" t="s">
        <v>0</v>
      </c>
      <c r="B224" s="52" t="str">
        <f>IF(csv!F214="","",csv!T214)</f>
        <v>Ž14</v>
      </c>
      <c r="C224" s="31" t="s">
        <v>0</v>
      </c>
      <c r="D224" s="31" t="str">
        <f>IF(csv!F214="","",csv!F214)</f>
        <v>Vacant</v>
      </c>
      <c r="E224" s="31" t="str">
        <f>IF(csv!E214="","",csv!E214)</f>
        <v/>
      </c>
      <c r="F224" s="31" t="s">
        <v>0</v>
      </c>
      <c r="G224" s="73" t="str">
        <f>IF(csv!M214="","",csv!M214)</f>
        <v/>
      </c>
      <c r="H224" s="73" t="str">
        <f>IF(csv!N214="","",csv!N214)</f>
        <v>0</v>
      </c>
      <c r="I224" s="31" t="s">
        <v>0</v>
      </c>
      <c r="J224" s="31" t="str">
        <f>IF(csv!P214="","",csv!P214)</f>
        <v/>
      </c>
      <c r="K224" s="31" t="str">
        <f>IF(csv!Q214="","",csv!Q214)</f>
        <v/>
      </c>
      <c r="L224" s="31" t="s">
        <v>0</v>
      </c>
      <c r="M224" s="66" t="str">
        <f>IF(csv!R214="","",csv!R214)</f>
        <v/>
      </c>
      <c r="N224" s="47" t="s">
        <v>0</v>
      </c>
      <c r="O224" s="243" t="str">
        <f t="shared" si="207"/>
        <v/>
      </c>
      <c r="P224" s="47"/>
      <c r="Q224" s="52" t="str">
        <f t="shared" si="208"/>
        <v>Ž14</v>
      </c>
      <c r="R224" s="73">
        <f>IF(Q224="","",IF(COUNTIF(Q$12:Q223,Q224)=0,R223+1,R223))</f>
        <v>14</v>
      </c>
      <c r="S224" s="73">
        <f t="shared" si="209"/>
        <v>121</v>
      </c>
      <c r="T224" s="73">
        <f t="shared" si="184"/>
        <v>21</v>
      </c>
      <c r="U224" s="66" t="str">
        <f t="shared" si="185"/>
        <v>M14 – Ž14</v>
      </c>
      <c r="V224" s="47" t="s">
        <v>0</v>
      </c>
      <c r="W224" s="222" t="str">
        <f t="shared" si="186"/>
        <v/>
      </c>
      <c r="X224" s="223" t="str">
        <f t="shared" si="187"/>
        <v/>
      </c>
      <c r="Y224" s="47" t="s">
        <v>0</v>
      </c>
      <c r="Z224" s="52" t="str">
        <f t="shared" si="210"/>
        <v/>
      </c>
      <c r="AA224" s="73" t="str">
        <f t="shared" si="188"/>
        <v/>
      </c>
      <c r="AB224" s="31" t="str">
        <f t="shared" si="211"/>
        <v/>
      </c>
      <c r="AC224" s="66" t="str">
        <f>IF(AB224="","",MAX(AC$12:AC223)+1)</f>
        <v/>
      </c>
      <c r="AD224" s="47" t="s">
        <v>0</v>
      </c>
      <c r="AE224" s="125"/>
      <c r="AF224" s="47" t="s">
        <v>0</v>
      </c>
      <c r="AG224" s="19" t="str">
        <f t="shared" si="212"/>
        <v/>
      </c>
      <c r="AH224" s="47" t="s">
        <v>0</v>
      </c>
      <c r="AI224" s="143" t="str">
        <f t="shared" si="213"/>
        <v/>
      </c>
      <c r="AJ224" s="47"/>
      <c r="AK224" s="52" t="str">
        <f t="shared" si="214"/>
        <v/>
      </c>
      <c r="AL224" s="31" t="str">
        <f t="shared" si="215"/>
        <v/>
      </c>
      <c r="AM224" s="73" t="str">
        <f t="shared" si="216"/>
        <v/>
      </c>
      <c r="AN224" s="73" t="str">
        <f t="shared" si="217"/>
        <v/>
      </c>
      <c r="AO224" s="31" t="str">
        <f t="shared" si="189"/>
        <v/>
      </c>
      <c r="AP224" s="66" t="str">
        <f t="shared" si="190"/>
        <v/>
      </c>
      <c r="AQ224" s="47" t="s">
        <v>0</v>
      </c>
      <c r="AR224" s="82" t="str">
        <f t="shared" si="218"/>
        <v/>
      </c>
      <c r="AS224" s="47" t="s">
        <v>0</v>
      </c>
      <c r="AT224" s="19" t="str">
        <f t="shared" si="219"/>
        <v/>
      </c>
      <c r="AU224" s="47" t="s">
        <v>0</v>
      </c>
      <c r="AV224" s="103"/>
      <c r="AW224" s="105"/>
      <c r="AX224" s="47" t="s">
        <v>0</v>
      </c>
      <c r="AY224" s="256" t="str">
        <f t="shared" si="237"/>
        <v/>
      </c>
      <c r="AZ224" s="47" t="s">
        <v>0</v>
      </c>
      <c r="BA224" s="52" t="str">
        <f t="shared" si="191"/>
        <v/>
      </c>
      <c r="BB224" s="73" t="str">
        <f>IF(AV224&amp;AW224="","",MAX(BB$12:BB223)+1)</f>
        <v/>
      </c>
      <c r="BC224" s="268" t="str">
        <f t="shared" si="192"/>
        <v/>
      </c>
      <c r="BD224" s="53" t="str">
        <f>IF(AND(AM224="NEMA",AN224="NEMA",OR(AV224&amp;AW224="",BC224="NEMA")),MAX(BD$12:BD223)+1,"")</f>
        <v/>
      </c>
      <c r="BE224" s="47" t="s">
        <v>0</v>
      </c>
      <c r="BF224" s="52" t="str">
        <f t="shared" si="193"/>
        <v/>
      </c>
      <c r="BG224" s="31" t="str">
        <f t="shared" si="194"/>
        <v/>
      </c>
      <c r="BH224" s="73" t="str">
        <f t="shared" si="220"/>
        <v/>
      </c>
      <c r="BI224" s="53" t="str">
        <f t="shared" si="221"/>
        <v/>
      </c>
      <c r="BJ224" s="47" t="s">
        <v>0</v>
      </c>
      <c r="BK224" s="52" t="str">
        <f t="shared" si="195"/>
        <v/>
      </c>
      <c r="BL224" s="31" t="str">
        <f t="shared" si="196"/>
        <v/>
      </c>
      <c r="BM224" s="73" t="str">
        <f t="shared" si="197"/>
        <v/>
      </c>
      <c r="BN224" s="73" t="str">
        <f t="shared" si="198"/>
        <v/>
      </c>
      <c r="BO224" s="31" t="str" cm="1">
        <f t="array" ref="BO224">IF(BN224="",""&amp;BL224,IF(BN224="NEMA",BL224,INDEX(regKlub_naziv,MATCH(INDEX(regKlub_alias_klubId,BN224),regKlub_id,0))))</f>
        <v/>
      </c>
      <c r="BP224" s="31" t="str" cm="1">
        <f t="array" ref="BP224">IFERROR(""&amp;INDEX(regNatjecatelj_klub,DY224),"")</f>
        <v/>
      </c>
      <c r="BQ224" s="88" t="str">
        <f t="shared" si="222"/>
        <v/>
      </c>
      <c r="BR224" s="66" t="str">
        <f t="shared" si="223"/>
        <v/>
      </c>
      <c r="BS224" s="47" t="s">
        <v>0</v>
      </c>
      <c r="BT224" s="82" t="str">
        <f>IF(BN224&lt;&gt;"NEMA","",IF(IFERROR(MATCH(BL224,BL$12:BL223,0),0)&lt;&gt;0,"",BL224))</f>
        <v/>
      </c>
      <c r="BU224" s="47" t="s">
        <v>0</v>
      </c>
      <c r="BV224" s="125"/>
      <c r="BW224" s="47" t="s">
        <v>0</v>
      </c>
      <c r="BX224" s="58" t="str">
        <f t="shared" si="224"/>
        <v/>
      </c>
      <c r="BY224" s="31" t="str">
        <f t="shared" si="225"/>
        <v/>
      </c>
      <c r="BZ224" s="31" t="str">
        <f>IF(BY224="","",MAX(BZ$12:BZ223)+1)</f>
        <v/>
      </c>
      <c r="CA224" s="31" t="str">
        <f>IF(BY224="","",IF(AA224="","",IF(AA224="NEMA",AC224,AA224)))</f>
        <v/>
      </c>
      <c r="CB224" s="31" t="str">
        <f t="shared" si="226"/>
        <v/>
      </c>
      <c r="CC224" s="31" t="str">
        <f>IF(BV224="","",MAX(CC$12:CC223)+1)</f>
        <v/>
      </c>
      <c r="CD224" s="31" t="str">
        <f t="shared" si="227"/>
        <v/>
      </c>
      <c r="CE224" s="66" t="str">
        <f t="shared" si="228"/>
        <v/>
      </c>
      <c r="CF224" s="47" t="s">
        <v>0</v>
      </c>
      <c r="CG224" s="73" t="str">
        <f>IF(BN224="","",IF(BN224&lt;&gt;"NEMA","",IFERROR(INDEX(nat_klubAliasId,MATCH(BL224,nat_noviKluboviAliasi,0)),"")))</f>
        <v/>
      </c>
      <c r="CH224" s="47"/>
      <c r="CI224" s="19" t="str">
        <f t="shared" si="229"/>
        <v/>
      </c>
      <c r="CJ224" s="47" t="s">
        <v>0</v>
      </c>
      <c r="CK224" s="52" t="str">
        <f>IF(X224&lt;&gt;"NEMA","",IF(IFERROR(MATCH(W224,W$12:W223,0),0)&lt;&gt;0,"",W224))</f>
        <v/>
      </c>
      <c r="CL224" s="73" t="str">
        <f>IF(CK224="","",IFERROR(INDEX(regKlub_alias_id,MATCH(CK224,regKlub_alias_alias,0)),"NEMA"))</f>
        <v/>
      </c>
      <c r="CM224" s="31" t="str">
        <f>IF(OR(CL224="",CL224&lt;&gt;"NEMA"),"",MAX(CM$12:CM223)+1)</f>
        <v/>
      </c>
      <c r="CN224" s="66" t="str">
        <f>IF(OR(CL224="",CL224&lt;&gt;"NEMA"),"",INDEX(regKlub_id,MATCH(CK224,regKlub_naziv,0)))</f>
        <v/>
      </c>
      <c r="CO224" s="47" t="s">
        <v>0</v>
      </c>
      <c r="CP224" s="19" t="str">
        <f>IF(OR(CL224="",CL224&lt;&gt;"NEMA"),"","INSERT INTO klub_alias(id,alias,klub_id) VALUES ("&amp;CM224&amp;",'"&amp;CK224&amp;"',"&amp;CN224&amp;");")</f>
        <v/>
      </c>
      <c r="CQ224" s="47" t="s">
        <v>0</v>
      </c>
      <c r="CR224" s="143" t="str">
        <f>IF(BR224="","",IF(BV224="",IF(IFERROR(MATCH(BR224,nat_noviKluboviAliasi,0),0)&gt;0,INDEX(nat_kluboviAliasi,MATCH(BR224,nat_noviKluboviAliasi,0)),BR224),BV224))</f>
        <v/>
      </c>
      <c r="CS224" s="47" t="s">
        <v>0</v>
      </c>
      <c r="CT224" s="58" t="str">
        <f>IF(G224="","",G224)</f>
        <v/>
      </c>
      <c r="CU224" s="73" t="str">
        <f>IF(H224="","",H224)</f>
        <v>0</v>
      </c>
      <c r="CV224" s="229" t="str">
        <f>IF(CT224="",IF(OR(AL224="",CU224&lt;&gt;"0"),"","GREŠKA"),IF(AND(65535&gt;=VALUE(LEFT(CT224,SEARCH(":",CT224)-1))*60+VALUE(RIGHT(CT224,2)),OR(CU224="0",CU224="1",CU224="2",CU224="3",CU224="4")),"","GREŠKA"))</f>
        <v/>
      </c>
      <c r="CW224" s="230" t="str">
        <f t="shared" si="183"/>
        <v/>
      </c>
      <c r="CX224" s="163" t="str">
        <f t="shared" si="199"/>
        <v/>
      </c>
      <c r="CY224" s="47" t="s">
        <v>0</v>
      </c>
      <c r="CZ224" s="222" t="str">
        <f>IF(CV224&lt;&gt;"GREŠKA","",AK224&amp;" "&amp;AL224&amp;" – Molim u OEventu provjeriti i ispraviti rezultat – vrijeme ("&amp;IF(CT224="","nije upisano",CT224)&amp;") i classifier ("&amp;CU224&amp;").")&amp;IF(OR(CV224&lt;&gt;"GREŠKA",CX224&lt;&gt;5),"
","")&amp;IF(CX224&lt;&gt;5,"",AK224&amp;" "&amp;AL224&amp;" – Molim u provjeriti je li natjecatelj zaista diskvalificiran. Ako je koje je obrazloženje, ako nije molim u OEventu ispraviti rezultat")</f>
        <v xml:space="preserve">
</v>
      </c>
      <c r="DA224" s="223" t="str">
        <f t="shared" si="230"/>
        <v/>
      </c>
      <c r="DB224" s="47" t="s">
        <v>0</v>
      </c>
      <c r="DC224" s="47"/>
      <c r="DD224" s="47"/>
      <c r="DE224" s="47"/>
      <c r="DF224" s="47" t="s">
        <v>0</v>
      </c>
      <c r="DG224" s="53" t="str">
        <f>IF(BD224="","",IF(DI224="O",1,""))</f>
        <v/>
      </c>
      <c r="DH224" t="s">
        <v>0</v>
      </c>
      <c r="DI224" s="128" t="str">
        <f>IF(Q224="","",LEFT(INDEX(regKategorija_oznaka,MATCH(S224,regKategorija_id,0)),1))</f>
        <v>Ž</v>
      </c>
      <c r="DJ224" t="s">
        <v>0</v>
      </c>
      <c r="DK224" s="52" t="str">
        <f>IF(BD224="","",IF(M224&lt;&gt;"CRO","","INSERT INTO osoba (id,reg_broj,oib,spol_id,dat_rodjenja) VALUES ("&amp;BD224&amp;",(SELECT max(os.reg_broj)+1 FROM osoba AS os),Null,'"&amp;DI224&amp;"',Null); INSERT INTO osoba_log (id,reg_broj,oib,spol_id,dat_rodjenja,dnevnik_id) SELECT id,reg_broj,oib,spol_id,dat_rodjenja,"&amp;data_dnevnik_id&amp;" FROM osoba WHERE id = "&amp;BD224&amp;";"))</f>
        <v/>
      </c>
      <c r="DL224" s="66" t="str">
        <f>IF(BD224="","","INSERT INTO imeprezime (id,osoba_id,rbr,ime,prezime,klub_id,identitet_id,sintaksa_id,info,aktivno,dnevnik_id) VALUES ("&amp;BD224&amp;","&amp;IF(DK224="","Null",BD224)&amp;",1,'"&amp;IF(AV224&lt;&gt;"",AV224,AK224)&amp;"','"&amp;IF(AW224&lt;&gt;"",AW224,AL224)&amp;"',(SELECT id FROM klub WHERE naziv = '"&amp;CR224&amp;"'),Null,1,'',1,"&amp;data_dnevnik_id&amp;");")</f>
        <v/>
      </c>
      <c r="DM224" t="s">
        <v>0</v>
      </c>
      <c r="DN224" s="19" t="str">
        <f t="shared" si="238"/>
        <v/>
      </c>
      <c r="DO224" s="47" t="s">
        <v>0</v>
      </c>
      <c r="DP224" s="19" t="str">
        <f>IF(BA224="","","INSERT INTO imeprezime_alias(id,alias,imeprezime_id) VALUES ("&amp;BB224&amp;",'"&amp;BA224&amp;"',"&amp;IF(BC224="NEMA",BD224,BC224)&amp;");")</f>
        <v/>
      </c>
      <c r="DQ224" s="47" t="s">
        <v>0</v>
      </c>
      <c r="DR224" s="52" t="str">
        <f>IF(AL224="","",DU224 &amp; IF(Q224="",""," – " &amp; Q224))</f>
        <v/>
      </c>
      <c r="DS224" s="53" t="str">
        <f t="shared" si="200"/>
        <v/>
      </c>
      <c r="DT224" s="47" t="s">
        <v>0</v>
      </c>
      <c r="DU224" s="52" t="str">
        <f>IF(AL224="","",DX224 &amp; IF(CR224="",""," – " &amp; CR224))</f>
        <v/>
      </c>
      <c r="DV224" s="53" t="str">
        <f t="shared" si="201"/>
        <v/>
      </c>
      <c r="DW224" s="47" t="s">
        <v>0</v>
      </c>
      <c r="DX224" s="52" t="str">
        <f>IF(BG224="","",BF224&amp;" – "&amp;BG224)</f>
        <v/>
      </c>
      <c r="DY224" s="53" t="str">
        <f t="shared" si="202"/>
        <v/>
      </c>
      <c r="DZ224" s="47" t="s">
        <v>0</v>
      </c>
      <c r="EA224" s="58" t="str">
        <f t="shared" si="231"/>
        <v/>
      </c>
      <c r="EB224" s="53" t="str" cm="1">
        <f t="array" ref="EB224">IF(EA224&lt;&gt;"",INDEX(regNatjecatelj_id,EA224,0),IF(BD224&lt;&gt;"",BD224,""))</f>
        <v/>
      </c>
      <c r="EC224" s="47" t="s">
        <v>0</v>
      </c>
      <c r="ED224" s="58" t="str">
        <f>IF(AL224="","",IF(BD224&lt;&gt;"","novo",IF(AN224="","imepre","imepre(ali)")))</f>
        <v/>
      </c>
      <c r="EE224" s="73" t="str">
        <f>IF(AL224="","",IF(BL224="",IF(IFERROR(INDEX(regNatjecatelj_klub,MATCH(EB224,regNatjecatelj_id,0)),"NEMA")="","klu",""),IF(OR(AND(BN224&lt;&gt;"",BN224&lt;&gt;"NEMA"),CD224&lt;&gt;""),"klu(ali)",IF(AND(BP224&lt;&gt;"",BP224&lt;&gt;BO224),"(raz-klu)","klu"))))</f>
        <v/>
      </c>
      <c r="EF224" s="73" t="str">
        <f>IF(AL224="","","kat"&amp;IF(AND(W224&lt;&gt;Q224,Q224&lt;&gt;"Open"),"(ali)",""))</f>
        <v/>
      </c>
      <c r="EG224" s="73" t="str">
        <f t="shared" si="203"/>
        <v/>
      </c>
      <c r="EH224" s="66" t="str">
        <f>IF(AL224="","",ED224&amp;IF(ED224="novo","","-"&amp;EE224&amp;"-"&amp;EF224)&amp;IF(EG224="","","-"&amp;EG224))</f>
        <v/>
      </c>
      <c r="EI224" s="47" t="s">
        <v>0</v>
      </c>
      <c r="EJ224" s="58" t="str">
        <f>IF(AL224="","",MAX(EJ$12:EJ223)+1)</f>
        <v/>
      </c>
      <c r="EK224" s="73" t="str">
        <f>IF(AO224="","",X224)</f>
        <v/>
      </c>
      <c r="EL224" s="73" t="str">
        <f t="shared" si="232"/>
        <v/>
      </c>
      <c r="EM224" s="73" t="str">
        <f t="shared" si="204"/>
        <v/>
      </c>
      <c r="EN224" s="73" t="str">
        <f t="shared" si="205"/>
        <v/>
      </c>
      <c r="EO224" s="73" t="str">
        <f t="shared" si="233"/>
        <v/>
      </c>
      <c r="EP224" s="73" t="str">
        <f t="shared" si="234"/>
        <v/>
      </c>
      <c r="EQ224" s="73" t="str">
        <f t="shared" si="206"/>
        <v/>
      </c>
      <c r="ER224" s="73" t="str">
        <f>IF(OR(AN224="",AN224="NEMA"),BB224,AN224)</f>
        <v/>
      </c>
      <c r="ES224" s="73" t="str">
        <f>IF(AND(BN224&lt;&gt;"",BN224&lt;&gt;"NEMA"),BN224,IF(CG224&lt;&gt;"",CG224,IF(AND(CL224&lt;&gt;"",CL224&lt;&gt;"NEMA"),CL224,IF(CM224&lt;&gt;"",CM224,""))))</f>
        <v/>
      </c>
      <c r="ET224" s="53" t="str">
        <f>IF(INDEX(natKategorija_alias_Id,MATCH(S224,natKategorija_katRegId,0))="","",INDEX(natKategorija_alias_Id,MATCH(S224,natKategorija_katRegId,0)))</f>
        <v/>
      </c>
      <c r="EU224" s="47" t="s">
        <v>0</v>
      </c>
      <c r="EV224" s="19" t="str">
        <f t="shared" si="235"/>
        <v/>
      </c>
      <c r="EW224" s="47" t="s">
        <v>0</v>
      </c>
      <c r="EX224" s="19" t="str">
        <f t="shared" si="236"/>
        <v/>
      </c>
      <c r="EY224" s="47" t="s">
        <v>0</v>
      </c>
      <c r="EZ224" s="180" t="str">
        <f>AG224&amp;IF(CP224="","","
")&amp;CP224&amp;IF(CI224="","","
")&amp;CI224&amp;IF(DN224="","","
")&amp;DN224&amp;IF(DP224="","","
")&amp;DP224&amp;IF(EV224="","","
")&amp;EV224&amp;IF(EX224="","","
")&amp;EX224</f>
        <v/>
      </c>
      <c r="FA224" s="47" t="s">
        <v>0</v>
      </c>
    </row>
    <row r="225" spans="1:157" x14ac:dyDescent="0.25">
      <c r="A225" t="s">
        <v>0</v>
      </c>
      <c r="B225" s="52" t="str">
        <f>IF(csv!F215="","",csv!T215)</f>
        <v>Ž14</v>
      </c>
      <c r="C225" s="31" t="s">
        <v>0</v>
      </c>
      <c r="D225" s="31" t="str">
        <f>IF(csv!F215="","",csv!F215)</f>
        <v>Vacant</v>
      </c>
      <c r="E225" s="31" t="str">
        <f>IF(csv!E215="","",csv!E215)</f>
        <v/>
      </c>
      <c r="F225" s="31" t="s">
        <v>0</v>
      </c>
      <c r="G225" s="73" t="str">
        <f>IF(csv!M215="","",csv!M215)</f>
        <v/>
      </c>
      <c r="H225" s="73" t="str">
        <f>IF(csv!N215="","",csv!N215)</f>
        <v>0</v>
      </c>
      <c r="I225" s="31" t="s">
        <v>0</v>
      </c>
      <c r="J225" s="31" t="str">
        <f>IF(csv!P215="","",csv!P215)</f>
        <v/>
      </c>
      <c r="K225" s="31" t="str">
        <f>IF(csv!Q215="","",csv!Q215)</f>
        <v/>
      </c>
      <c r="L225" s="31" t="s">
        <v>0</v>
      </c>
      <c r="M225" s="66" t="str">
        <f>IF(csv!R215="","",csv!R215)</f>
        <v/>
      </c>
      <c r="N225" s="47" t="s">
        <v>0</v>
      </c>
      <c r="O225" s="243" t="str">
        <f t="shared" si="207"/>
        <v/>
      </c>
      <c r="P225" s="47"/>
      <c r="Q225" s="52" t="str">
        <f t="shared" si="208"/>
        <v>Ž14</v>
      </c>
      <c r="R225" s="73">
        <f>IF(Q225="","",IF(COUNTIF(Q$12:Q224,Q225)=0,R224+1,R224))</f>
        <v>14</v>
      </c>
      <c r="S225" s="73">
        <f t="shared" si="209"/>
        <v>121</v>
      </c>
      <c r="T225" s="73">
        <f t="shared" si="184"/>
        <v>21</v>
      </c>
      <c r="U225" s="66" t="str">
        <f t="shared" si="185"/>
        <v>M14 – Ž14</v>
      </c>
      <c r="V225" s="47" t="s">
        <v>0</v>
      </c>
      <c r="W225" s="222" t="str">
        <f t="shared" si="186"/>
        <v/>
      </c>
      <c r="X225" s="223" t="str">
        <f t="shared" si="187"/>
        <v/>
      </c>
      <c r="Y225" s="47" t="s">
        <v>0</v>
      </c>
      <c r="Z225" s="52" t="str">
        <f t="shared" si="210"/>
        <v/>
      </c>
      <c r="AA225" s="73" t="str">
        <f t="shared" si="188"/>
        <v/>
      </c>
      <c r="AB225" s="31" t="str">
        <f t="shared" si="211"/>
        <v/>
      </c>
      <c r="AC225" s="66" t="str">
        <f>IF(AB225="","",MAX(AC$12:AC224)+1)</f>
        <v/>
      </c>
      <c r="AD225" s="47" t="s">
        <v>0</v>
      </c>
      <c r="AE225" s="125"/>
      <c r="AF225" s="47" t="s">
        <v>0</v>
      </c>
      <c r="AG225" s="19" t="str">
        <f t="shared" si="212"/>
        <v/>
      </c>
      <c r="AH225" s="47" t="s">
        <v>0</v>
      </c>
      <c r="AI225" s="143" t="str">
        <f t="shared" si="213"/>
        <v/>
      </c>
      <c r="AJ225" s="47"/>
      <c r="AK225" s="52" t="str">
        <f t="shared" si="214"/>
        <v/>
      </c>
      <c r="AL225" s="31" t="str">
        <f t="shared" si="215"/>
        <v/>
      </c>
      <c r="AM225" s="73" t="str">
        <f t="shared" si="216"/>
        <v/>
      </c>
      <c r="AN225" s="73" t="str">
        <f t="shared" si="217"/>
        <v/>
      </c>
      <c r="AO225" s="31" t="str">
        <f t="shared" si="189"/>
        <v/>
      </c>
      <c r="AP225" s="66" t="str">
        <f t="shared" si="190"/>
        <v/>
      </c>
      <c r="AQ225" s="47" t="s">
        <v>0</v>
      </c>
      <c r="AR225" s="82" t="str">
        <f t="shared" si="218"/>
        <v/>
      </c>
      <c r="AS225" s="47" t="s">
        <v>0</v>
      </c>
      <c r="AT225" s="19" t="str">
        <f t="shared" si="219"/>
        <v/>
      </c>
      <c r="AU225" s="47" t="s">
        <v>0</v>
      </c>
      <c r="AV225" s="103"/>
      <c r="AW225" s="105"/>
      <c r="AX225" s="47" t="s">
        <v>0</v>
      </c>
      <c r="AY225" s="256" t="str">
        <f t="shared" si="237"/>
        <v/>
      </c>
      <c r="AZ225" s="47" t="s">
        <v>0</v>
      </c>
      <c r="BA225" s="52" t="str">
        <f t="shared" si="191"/>
        <v/>
      </c>
      <c r="BB225" s="73" t="str">
        <f>IF(AV225&amp;AW225="","",MAX(BB$12:BB224)+1)</f>
        <v/>
      </c>
      <c r="BC225" s="268" t="str">
        <f t="shared" si="192"/>
        <v/>
      </c>
      <c r="BD225" s="53" t="str">
        <f>IF(AND(AM225="NEMA",AN225="NEMA",OR(AV225&amp;AW225="",BC225="NEMA")),MAX(BD$12:BD224)+1,"")</f>
        <v/>
      </c>
      <c r="BE225" s="47" t="s">
        <v>0</v>
      </c>
      <c r="BF225" s="52" t="str">
        <f t="shared" si="193"/>
        <v/>
      </c>
      <c r="BG225" s="31" t="str">
        <f t="shared" si="194"/>
        <v/>
      </c>
      <c r="BH225" s="73" t="str">
        <f t="shared" si="220"/>
        <v/>
      </c>
      <c r="BI225" s="53" t="str">
        <f t="shared" si="221"/>
        <v/>
      </c>
      <c r="BJ225" s="47" t="s">
        <v>0</v>
      </c>
      <c r="BK225" s="52" t="str">
        <f t="shared" si="195"/>
        <v/>
      </c>
      <c r="BL225" s="31" t="str">
        <f t="shared" si="196"/>
        <v/>
      </c>
      <c r="BM225" s="73" t="str">
        <f t="shared" si="197"/>
        <v/>
      </c>
      <c r="BN225" s="73" t="str">
        <f t="shared" si="198"/>
        <v/>
      </c>
      <c r="BO225" s="31" t="str" cm="1">
        <f t="array" ref="BO225">IF(BN225="",""&amp;BL225,IF(BN225="NEMA",BL225,INDEX(regKlub_naziv,MATCH(INDEX(regKlub_alias_klubId,BN225),regKlub_id,0))))</f>
        <v/>
      </c>
      <c r="BP225" s="31" t="str" cm="1">
        <f t="array" ref="BP225">IFERROR(""&amp;INDEX(regNatjecatelj_klub,DY225),"")</f>
        <v/>
      </c>
      <c r="BQ225" s="88" t="str">
        <f t="shared" si="222"/>
        <v/>
      </c>
      <c r="BR225" s="66" t="str">
        <f t="shared" si="223"/>
        <v/>
      </c>
      <c r="BS225" s="47" t="s">
        <v>0</v>
      </c>
      <c r="BT225" s="82" t="str">
        <f>IF(BN225&lt;&gt;"NEMA","",IF(IFERROR(MATCH(BL225,BL$12:BL224,0),0)&lt;&gt;0,"",BL225))</f>
        <v/>
      </c>
      <c r="BU225" s="47" t="s">
        <v>0</v>
      </c>
      <c r="BV225" s="125"/>
      <c r="BW225" s="47" t="s">
        <v>0</v>
      </c>
      <c r="BX225" s="58" t="str">
        <f t="shared" si="224"/>
        <v/>
      </c>
      <c r="BY225" s="31" t="str">
        <f t="shared" si="225"/>
        <v/>
      </c>
      <c r="BZ225" s="31" t="str">
        <f>IF(BY225="","",MAX(BZ$12:BZ224)+1)</f>
        <v/>
      </c>
      <c r="CA225" s="31" t="str">
        <f>IF(BY225="","",IF(AA225="","",IF(AA225="NEMA",AC225,AA225)))</f>
        <v/>
      </c>
      <c r="CB225" s="31" t="str">
        <f t="shared" si="226"/>
        <v/>
      </c>
      <c r="CC225" s="31" t="str">
        <f>IF(BV225="","",MAX(CC$12:CC224)+1)</f>
        <v/>
      </c>
      <c r="CD225" s="31" t="str">
        <f t="shared" si="227"/>
        <v/>
      </c>
      <c r="CE225" s="66" t="str">
        <f t="shared" si="228"/>
        <v/>
      </c>
      <c r="CF225" s="47" t="s">
        <v>0</v>
      </c>
      <c r="CG225" s="73" t="str">
        <f>IF(BN225="","",IF(BN225&lt;&gt;"NEMA","",IFERROR(INDEX(nat_klubAliasId,MATCH(BL225,nat_noviKluboviAliasi,0)),"")))</f>
        <v/>
      </c>
      <c r="CH225" s="47"/>
      <c r="CI225" s="19" t="str">
        <f t="shared" si="229"/>
        <v/>
      </c>
      <c r="CJ225" s="47" t="s">
        <v>0</v>
      </c>
      <c r="CK225" s="52" t="str">
        <f>IF(X225&lt;&gt;"NEMA","",IF(IFERROR(MATCH(W225,W$12:W224,0),0)&lt;&gt;0,"",W225))</f>
        <v/>
      </c>
      <c r="CL225" s="73" t="str">
        <f>IF(CK225="","",IFERROR(INDEX(regKlub_alias_id,MATCH(CK225,regKlub_alias_alias,0)),"NEMA"))</f>
        <v/>
      </c>
      <c r="CM225" s="31" t="str">
        <f>IF(OR(CL225="",CL225&lt;&gt;"NEMA"),"",MAX(CM$12:CM224)+1)</f>
        <v/>
      </c>
      <c r="CN225" s="66" t="str">
        <f>IF(OR(CL225="",CL225&lt;&gt;"NEMA"),"",INDEX(regKlub_id,MATCH(CK225,regKlub_naziv,0)))</f>
        <v/>
      </c>
      <c r="CO225" s="47" t="s">
        <v>0</v>
      </c>
      <c r="CP225" s="19" t="str">
        <f>IF(OR(CL225="",CL225&lt;&gt;"NEMA"),"","INSERT INTO klub_alias(id,alias,klub_id) VALUES ("&amp;CM225&amp;",'"&amp;CK225&amp;"',"&amp;CN225&amp;");")</f>
        <v/>
      </c>
      <c r="CQ225" s="47" t="s">
        <v>0</v>
      </c>
      <c r="CR225" s="143" t="str">
        <f>IF(BR225="","",IF(BV225="",IF(IFERROR(MATCH(BR225,nat_noviKluboviAliasi,0),0)&gt;0,INDEX(nat_kluboviAliasi,MATCH(BR225,nat_noviKluboviAliasi,0)),BR225),BV225))</f>
        <v/>
      </c>
      <c r="CS225" s="47" t="s">
        <v>0</v>
      </c>
      <c r="CT225" s="58" t="str">
        <f>IF(G225="","",G225)</f>
        <v/>
      </c>
      <c r="CU225" s="73" t="str">
        <f>IF(H225="","",H225)</f>
        <v>0</v>
      </c>
      <c r="CV225" s="229" t="str">
        <f>IF(CT225="",IF(OR(AL225="",CU225&lt;&gt;"0"),"","GREŠKA"),IF(AND(65535&gt;=VALUE(LEFT(CT225,SEARCH(":",CT225)-1))*60+VALUE(RIGHT(CT225,2)),OR(CU225="0",CU225="1",CU225="2",CU225="3",CU225="4")),"","GREŠKA"))</f>
        <v/>
      </c>
      <c r="CW225" s="230" t="str">
        <f t="shared" si="183"/>
        <v/>
      </c>
      <c r="CX225" s="163" t="str">
        <f t="shared" si="199"/>
        <v/>
      </c>
      <c r="CY225" s="47" t="s">
        <v>0</v>
      </c>
      <c r="CZ225" s="222" t="str">
        <f>IF(CV225&lt;&gt;"GREŠKA","",AK225&amp;" "&amp;AL225&amp;" – Molim u OEventu provjeriti i ispraviti rezultat – vrijeme ("&amp;IF(CT225="","nije upisano",CT225)&amp;") i classifier ("&amp;CU225&amp;").")&amp;IF(OR(CV225&lt;&gt;"GREŠKA",CX225&lt;&gt;5),"
","")&amp;IF(CX225&lt;&gt;5,"",AK225&amp;" "&amp;AL225&amp;" – Molim u provjeriti je li natjecatelj zaista diskvalificiran. Ako je koje je obrazloženje, ako nije molim u OEventu ispraviti rezultat")</f>
        <v xml:space="preserve">
</v>
      </c>
      <c r="DA225" s="223" t="str">
        <f t="shared" si="230"/>
        <v/>
      </c>
      <c r="DB225" s="47" t="s">
        <v>0</v>
      </c>
      <c r="DC225" s="47"/>
      <c r="DD225" s="47"/>
      <c r="DE225" s="47"/>
      <c r="DF225" s="47" t="s">
        <v>0</v>
      </c>
      <c r="DG225" s="53" t="str">
        <f>IF(BD225="","",IF(DI225="O",1,""))</f>
        <v/>
      </c>
      <c r="DH225" t="s">
        <v>0</v>
      </c>
      <c r="DI225" s="128" t="str">
        <f>IF(Q225="","",LEFT(INDEX(regKategorija_oznaka,MATCH(S225,regKategorija_id,0)),1))</f>
        <v>Ž</v>
      </c>
      <c r="DJ225" t="s">
        <v>0</v>
      </c>
      <c r="DK225" s="52" t="str">
        <f>IF(BD225="","",IF(M225&lt;&gt;"CRO","","INSERT INTO osoba (id,reg_broj,oib,spol_id,dat_rodjenja) VALUES ("&amp;BD225&amp;",(SELECT max(os.reg_broj)+1 FROM osoba AS os),Null,'"&amp;DI225&amp;"',Null); INSERT INTO osoba_log (id,reg_broj,oib,spol_id,dat_rodjenja,dnevnik_id) SELECT id,reg_broj,oib,spol_id,dat_rodjenja,"&amp;data_dnevnik_id&amp;" FROM osoba WHERE id = "&amp;BD225&amp;";"))</f>
        <v/>
      </c>
      <c r="DL225" s="66" t="str">
        <f>IF(BD225="","","INSERT INTO imeprezime (id,osoba_id,rbr,ime,prezime,klub_id,identitet_id,sintaksa_id,info,aktivno,dnevnik_id) VALUES ("&amp;BD225&amp;","&amp;IF(DK225="","Null",BD225)&amp;",1,'"&amp;IF(AV225&lt;&gt;"",AV225,AK225)&amp;"','"&amp;IF(AW225&lt;&gt;"",AW225,AL225)&amp;"',(SELECT id FROM klub WHERE naziv = '"&amp;CR225&amp;"'),Null,1,'',1,"&amp;data_dnevnik_id&amp;");")</f>
        <v/>
      </c>
      <c r="DM225" t="s">
        <v>0</v>
      </c>
      <c r="DN225" s="19" t="str">
        <f t="shared" si="238"/>
        <v/>
      </c>
      <c r="DO225" s="47" t="s">
        <v>0</v>
      </c>
      <c r="DP225" s="19" t="str">
        <f>IF(BA225="","","INSERT INTO imeprezime_alias(id,alias,imeprezime_id) VALUES ("&amp;BB225&amp;",'"&amp;BA225&amp;"',"&amp;IF(BC225="NEMA",BD225,BC225)&amp;");")</f>
        <v/>
      </c>
      <c r="DQ225" s="47" t="s">
        <v>0</v>
      </c>
      <c r="DR225" s="52" t="str">
        <f>IF(AL225="","",DU225 &amp; IF(Q225="",""," – " &amp; Q225))</f>
        <v/>
      </c>
      <c r="DS225" s="53" t="str">
        <f t="shared" si="200"/>
        <v/>
      </c>
      <c r="DT225" s="47" t="s">
        <v>0</v>
      </c>
      <c r="DU225" s="52" t="str">
        <f>IF(AL225="","",DX225 &amp; IF(CR225="",""," – " &amp; CR225))</f>
        <v/>
      </c>
      <c r="DV225" s="53" t="str">
        <f t="shared" si="201"/>
        <v/>
      </c>
      <c r="DW225" s="47" t="s">
        <v>0</v>
      </c>
      <c r="DX225" s="52" t="str">
        <f>IF(BG225="","",BF225&amp;" – "&amp;BG225)</f>
        <v/>
      </c>
      <c r="DY225" s="53" t="str">
        <f t="shared" si="202"/>
        <v/>
      </c>
      <c r="DZ225" s="47" t="s">
        <v>0</v>
      </c>
      <c r="EA225" s="58" t="str">
        <f t="shared" si="231"/>
        <v/>
      </c>
      <c r="EB225" s="53" t="str" cm="1">
        <f t="array" ref="EB225">IF(EA225&lt;&gt;"",INDEX(regNatjecatelj_id,EA225,0),IF(BD225&lt;&gt;"",BD225,""))</f>
        <v/>
      </c>
      <c r="EC225" s="47" t="s">
        <v>0</v>
      </c>
      <c r="ED225" s="58" t="str">
        <f>IF(AL225="","",IF(BD225&lt;&gt;"","novo",IF(AN225="","imepre","imepre(ali)")))</f>
        <v/>
      </c>
      <c r="EE225" s="73" t="str">
        <f>IF(AL225="","",IF(BL225="",IF(IFERROR(INDEX(regNatjecatelj_klub,MATCH(EB225,regNatjecatelj_id,0)),"NEMA")="","klu",""),IF(OR(AND(BN225&lt;&gt;"",BN225&lt;&gt;"NEMA"),CD225&lt;&gt;""),"klu(ali)",IF(AND(BP225&lt;&gt;"",BP225&lt;&gt;BO225),"(raz-klu)","klu"))))</f>
        <v/>
      </c>
      <c r="EF225" s="73" t="str">
        <f>IF(AL225="","","kat"&amp;IF(AND(W225&lt;&gt;Q225,Q225&lt;&gt;"Open"),"(ali)",""))</f>
        <v/>
      </c>
      <c r="EG225" s="73" t="str">
        <f t="shared" si="203"/>
        <v/>
      </c>
      <c r="EH225" s="66" t="str">
        <f>IF(AL225="","",ED225&amp;IF(ED225="novo","","-"&amp;EE225&amp;"-"&amp;EF225)&amp;IF(EG225="","","-"&amp;EG225))</f>
        <v/>
      </c>
      <c r="EI225" s="47" t="s">
        <v>0</v>
      </c>
      <c r="EJ225" s="58" t="str">
        <f>IF(AL225="","",MAX(EJ$12:EJ224)+1)</f>
        <v/>
      </c>
      <c r="EK225" s="73" t="str">
        <f>IF(AO225="","",X225)</f>
        <v/>
      </c>
      <c r="EL225" s="73" t="str">
        <f t="shared" si="232"/>
        <v/>
      </c>
      <c r="EM225" s="73" t="str">
        <f t="shared" si="204"/>
        <v/>
      </c>
      <c r="EN225" s="73" t="str">
        <f t="shared" si="205"/>
        <v/>
      </c>
      <c r="EO225" s="73" t="str">
        <f t="shared" si="233"/>
        <v/>
      </c>
      <c r="EP225" s="73" t="str">
        <f t="shared" si="234"/>
        <v/>
      </c>
      <c r="EQ225" s="73" t="str">
        <f t="shared" si="206"/>
        <v/>
      </c>
      <c r="ER225" s="73" t="str">
        <f>IF(OR(AN225="",AN225="NEMA"),BB225,AN225)</f>
        <v/>
      </c>
      <c r="ES225" s="73" t="str">
        <f>IF(AND(BN225&lt;&gt;"",BN225&lt;&gt;"NEMA"),BN225,IF(CG225&lt;&gt;"",CG225,IF(AND(CL225&lt;&gt;"",CL225&lt;&gt;"NEMA"),CL225,IF(CM225&lt;&gt;"",CM225,""))))</f>
        <v/>
      </c>
      <c r="ET225" s="53" t="str">
        <f>IF(INDEX(natKategorija_alias_Id,MATCH(S225,natKategorija_katRegId,0))="","",INDEX(natKategorija_alias_Id,MATCH(S225,natKategorija_katRegId,0)))</f>
        <v/>
      </c>
      <c r="EU225" s="47" t="s">
        <v>0</v>
      </c>
      <c r="EV225" s="19" t="str">
        <f t="shared" si="235"/>
        <v/>
      </c>
      <c r="EW225" s="47" t="s">
        <v>0</v>
      </c>
      <c r="EX225" s="19" t="str">
        <f t="shared" si="236"/>
        <v/>
      </c>
      <c r="EY225" s="47" t="s">
        <v>0</v>
      </c>
      <c r="EZ225" s="180" t="str">
        <f>AG225&amp;IF(CP225="","","
")&amp;CP225&amp;IF(CI225="","","
")&amp;CI225&amp;IF(DN225="","","
")&amp;DN225&amp;IF(DP225="","","
")&amp;DP225&amp;IF(EV225="","","
")&amp;EV225&amp;IF(EX225="","","
")&amp;EX225</f>
        <v/>
      </c>
      <c r="FA225" s="47" t="s">
        <v>0</v>
      </c>
    </row>
    <row r="226" spans="1:157" x14ac:dyDescent="0.25">
      <c r="A226" t="s">
        <v>0</v>
      </c>
      <c r="B226" s="52" t="str">
        <f>IF(csv!F216="","",csv!T216)</f>
        <v>Ž16</v>
      </c>
      <c r="C226" s="31" t="s">
        <v>0</v>
      </c>
      <c r="D226" s="31" t="str">
        <f>IF(csv!F216="","",csv!F216)</f>
        <v>Dora</v>
      </c>
      <c r="E226" s="31" t="str">
        <f>IF(csv!E216="","",csv!E216)</f>
        <v>Vukelić</v>
      </c>
      <c r="F226" s="31" t="s">
        <v>0</v>
      </c>
      <c r="G226" s="73" t="str">
        <f>IF(csv!M216="","",csv!M216)</f>
        <v>41:27</v>
      </c>
      <c r="H226" s="73" t="str">
        <f>IF(csv!N216="","",csv!N216)</f>
        <v>0</v>
      </c>
      <c r="I226" s="31" t="s">
        <v>0</v>
      </c>
      <c r="J226" s="31" t="str">
        <f>IF(csv!P216="","",csv!P216)</f>
        <v>Maksimir</v>
      </c>
      <c r="K226" s="31" t="str">
        <f>IF(csv!Q216="","",csv!Q216)</f>
        <v>OK Maksimir</v>
      </c>
      <c r="L226" s="31" t="s">
        <v>0</v>
      </c>
      <c r="M226" s="66" t="str">
        <f>IF(csv!R216="","",csv!R216)</f>
        <v>CRO</v>
      </c>
      <c r="N226" s="47" t="s">
        <v>0</v>
      </c>
      <c r="O226" s="243" t="str">
        <f t="shared" si="207"/>
        <v>ok</v>
      </c>
      <c r="P226" s="47"/>
      <c r="Q226" s="52" t="str">
        <f t="shared" si="208"/>
        <v>Ž16</v>
      </c>
      <c r="R226" s="73">
        <f>IF(Q226="","",IF(COUNTIF(Q$12:Q225,Q226)=0,R225+1,R225))</f>
        <v>15</v>
      </c>
      <c r="S226" s="73">
        <f t="shared" si="209"/>
        <v>120</v>
      </c>
      <c r="T226" s="73">
        <f t="shared" si="184"/>
        <v>27</v>
      </c>
      <c r="U226" s="66" t="str">
        <f t="shared" si="185"/>
        <v>Ž21B – Ž16</v>
      </c>
      <c r="V226" s="47" t="s">
        <v>0</v>
      </c>
      <c r="W226" s="222" t="str">
        <f t="shared" si="186"/>
        <v>Ž16</v>
      </c>
      <c r="X226" s="223">
        <f t="shared" si="187"/>
        <v>37</v>
      </c>
      <c r="Y226" s="47" t="s">
        <v>0</v>
      </c>
      <c r="Z226" s="52" t="str">
        <f t="shared" si="210"/>
        <v>CRO</v>
      </c>
      <c r="AA226" s="73">
        <f t="shared" si="188"/>
        <v>1</v>
      </c>
      <c r="AB226" s="31" t="str">
        <f t="shared" si="211"/>
        <v/>
      </c>
      <c r="AC226" s="66" t="str">
        <f>IF(AB226="","",MAX(AC$12:AC225)+1)</f>
        <v/>
      </c>
      <c r="AD226" s="47" t="s">
        <v>0</v>
      </c>
      <c r="AE226" s="125"/>
      <c r="AF226" s="47" t="s">
        <v>0</v>
      </c>
      <c r="AG226" s="19" t="str">
        <f t="shared" si="212"/>
        <v/>
      </c>
      <c r="AH226" s="47" t="s">
        <v>0</v>
      </c>
      <c r="AI226" s="143" t="str">
        <f t="shared" si="213"/>
        <v>CRO</v>
      </c>
      <c r="AJ226" s="47"/>
      <c r="AK226" s="52" t="str">
        <f t="shared" si="214"/>
        <v>Dora</v>
      </c>
      <c r="AL226" s="31" t="str">
        <f t="shared" si="215"/>
        <v>Vukelić</v>
      </c>
      <c r="AM226" s="73">
        <f t="shared" si="216"/>
        <v>1442</v>
      </c>
      <c r="AN226" s="73" t="str">
        <f t="shared" si="217"/>
        <v/>
      </c>
      <c r="AO226" s="31" t="str">
        <f t="shared" si="189"/>
        <v>Dora</v>
      </c>
      <c r="AP226" s="66" t="str">
        <f t="shared" si="190"/>
        <v>Vukelić</v>
      </c>
      <c r="AQ226" s="47" t="s">
        <v>0</v>
      </c>
      <c r="AR226" s="82" t="str">
        <f t="shared" si="218"/>
        <v/>
      </c>
      <c r="AS226" s="47" t="s">
        <v>0</v>
      </c>
      <c r="AT226" s="19" t="str">
        <f t="shared" si="219"/>
        <v/>
      </c>
      <c r="AU226" s="47" t="s">
        <v>0</v>
      </c>
      <c r="AV226" s="103"/>
      <c r="AW226" s="105"/>
      <c r="AX226" s="47" t="s">
        <v>0</v>
      </c>
      <c r="AY226" s="256" t="str">
        <f t="shared" si="237"/>
        <v/>
      </c>
      <c r="AZ226" s="47" t="s">
        <v>0</v>
      </c>
      <c r="BA226" s="52" t="str">
        <f t="shared" si="191"/>
        <v/>
      </c>
      <c r="BB226" s="73" t="str">
        <f>IF(AV226&amp;AW226="","",MAX(BB$12:BB225)+1)</f>
        <v/>
      </c>
      <c r="BC226" s="268" t="str">
        <f t="shared" si="192"/>
        <v/>
      </c>
      <c r="BD226" s="53" t="str">
        <f>IF(AND(AM226="NEMA",AN226="NEMA",OR(AV226&amp;AW226="",BC226="NEMA")),MAX(BD$12:BD225)+1,"")</f>
        <v/>
      </c>
      <c r="BE226" s="47" t="s">
        <v>0</v>
      </c>
      <c r="BF226" s="52" t="str">
        <f t="shared" si="193"/>
        <v>Dora</v>
      </c>
      <c r="BG226" s="31" t="str">
        <f t="shared" si="194"/>
        <v>Vukelić</v>
      </c>
      <c r="BH226" s="73" t="str">
        <f t="shared" si="220"/>
        <v/>
      </c>
      <c r="BI226" s="53">
        <f t="shared" si="221"/>
        <v>1442</v>
      </c>
      <c r="BJ226" s="47" t="s">
        <v>0</v>
      </c>
      <c r="BK226" s="52" t="str">
        <f t="shared" si="195"/>
        <v>Maksimir</v>
      </c>
      <c r="BL226" s="31" t="str">
        <f t="shared" si="196"/>
        <v>OK Maksimir</v>
      </c>
      <c r="BM226" s="73">
        <f t="shared" si="197"/>
        <v>6</v>
      </c>
      <c r="BN226" s="73" t="str">
        <f t="shared" si="198"/>
        <v/>
      </c>
      <c r="BO226" s="31" t="str" cm="1">
        <f t="array" ref="BO226">IF(BN226="",""&amp;BL226,IF(BN226="NEMA",BL226,INDEX(regKlub_naziv,MATCH(INDEX(regKlub_alias_klubId,BN226),regKlub_id,0))))</f>
        <v>OK Maksimir</v>
      </c>
      <c r="BP226" s="31" t="str" cm="1">
        <f t="array" ref="BP226">IFERROR(""&amp;INDEX(regNatjecatelj_klub,DY226),"")</f>
        <v>OK Maksimir</v>
      </c>
      <c r="BQ226" s="88" t="str">
        <f t="shared" si="222"/>
        <v/>
      </c>
      <c r="BR226" s="66" t="str">
        <f t="shared" si="223"/>
        <v>OK Maksimir</v>
      </c>
      <c r="BS226" s="47" t="s">
        <v>0</v>
      </c>
      <c r="BT226" s="82" t="str">
        <f>IF(BN226&lt;&gt;"NEMA","",IF(IFERROR(MATCH(BL226,BL$12:BL225,0),0)&lt;&gt;0,"",BL226))</f>
        <v/>
      </c>
      <c r="BU226" s="47" t="s">
        <v>0</v>
      </c>
      <c r="BV226" s="125"/>
      <c r="BW226" s="47" t="s">
        <v>0</v>
      </c>
      <c r="BX226" s="58" t="str">
        <f t="shared" si="224"/>
        <v/>
      </c>
      <c r="BY226" s="31" t="str">
        <f t="shared" si="225"/>
        <v/>
      </c>
      <c r="BZ226" s="31" t="str">
        <f>IF(BY226="","",MAX(BZ$12:BZ225)+1)</f>
        <v/>
      </c>
      <c r="CA226" s="31" t="str">
        <f>IF(BY226="","",IF(AA226="","",IF(AA226="NEMA",AC226,AA226)))</f>
        <v/>
      </c>
      <c r="CB226" s="31" t="str">
        <f t="shared" si="226"/>
        <v/>
      </c>
      <c r="CC226" s="31" t="str">
        <f>IF(BV226="","",MAX(CC$12:CC225)+1)</f>
        <v/>
      </c>
      <c r="CD226" s="31" t="str">
        <f t="shared" si="227"/>
        <v/>
      </c>
      <c r="CE226" s="66" t="str">
        <f t="shared" si="228"/>
        <v/>
      </c>
      <c r="CF226" s="47" t="s">
        <v>0</v>
      </c>
      <c r="CG226" s="73" t="str">
        <f>IF(BN226="","",IF(BN226&lt;&gt;"NEMA","",IFERROR(INDEX(nat_klubAliasId,MATCH(BL226,nat_noviKluboviAliasi,0)),"")))</f>
        <v/>
      </c>
      <c r="CH226" s="47"/>
      <c r="CI226" s="19" t="str">
        <f t="shared" si="229"/>
        <v/>
      </c>
      <c r="CJ226" s="47" t="s">
        <v>0</v>
      </c>
      <c r="CK226" s="52" t="str">
        <f>IF(X226&lt;&gt;"NEMA","",IF(IFERROR(MATCH(W226,W$12:W225,0),0)&lt;&gt;0,"",W226))</f>
        <v/>
      </c>
      <c r="CL226" s="73" t="str">
        <f>IF(CK226="","",IFERROR(INDEX(regKlub_alias_id,MATCH(CK226,regKlub_alias_alias,0)),"NEMA"))</f>
        <v/>
      </c>
      <c r="CM226" s="31" t="str">
        <f>IF(OR(CL226="",CL226&lt;&gt;"NEMA"),"",MAX(CM$12:CM225)+1)</f>
        <v/>
      </c>
      <c r="CN226" s="66" t="str">
        <f>IF(OR(CL226="",CL226&lt;&gt;"NEMA"),"",INDEX(regKlub_id,MATCH(CK226,regKlub_naziv,0)))</f>
        <v/>
      </c>
      <c r="CO226" s="47" t="s">
        <v>0</v>
      </c>
      <c r="CP226" s="19" t="str">
        <f>IF(OR(CL226="",CL226&lt;&gt;"NEMA"),"","INSERT INTO klub_alias(id,alias,klub_id) VALUES ("&amp;CM226&amp;",'"&amp;CK226&amp;"',"&amp;CN226&amp;");")</f>
        <v/>
      </c>
      <c r="CQ226" s="47" t="s">
        <v>0</v>
      </c>
      <c r="CR226" s="143" t="str">
        <f>IF(BR226="","",IF(BV226="",IF(IFERROR(MATCH(BR226,nat_noviKluboviAliasi,0),0)&gt;0,INDEX(nat_kluboviAliasi,MATCH(BR226,nat_noviKluboviAliasi,0)),BR226),BV226))</f>
        <v>OK Maksimir</v>
      </c>
      <c r="CS226" s="47" t="s">
        <v>0</v>
      </c>
      <c r="CT226" s="58" t="str">
        <f>IF(G226="","",G226)</f>
        <v>41:27</v>
      </c>
      <c r="CU226" s="73" t="str">
        <f>IF(H226="","",H226)</f>
        <v>0</v>
      </c>
      <c r="CV226" s="229" t="str">
        <f>IF(CT226="",IF(OR(AL226="",CU226&lt;&gt;"0"),"","GREŠKA"),IF(AND(65535&gt;=VALUE(LEFT(CT226,SEARCH(":",CT226)-1))*60+VALUE(RIGHT(CT226,2)),OR(CU226="0",CU226="1",CU226="2",CU226="3",CU226="4")),"","GREŠKA"))</f>
        <v/>
      </c>
      <c r="CW226" s="230">
        <f t="shared" si="183"/>
        <v>2487</v>
      </c>
      <c r="CX226" s="163">
        <f t="shared" si="199"/>
        <v>1</v>
      </c>
      <c r="CY226" s="47" t="s">
        <v>0</v>
      </c>
      <c r="CZ226" s="222" t="str">
        <f>IF(CV226&lt;&gt;"GREŠKA","",AK226&amp;" "&amp;AL226&amp;" – Molim u OEventu provjeriti i ispraviti rezultat – vrijeme ("&amp;IF(CT226="","nije upisano",CT226)&amp;") i classifier ("&amp;CU226&amp;").")&amp;IF(OR(CV226&lt;&gt;"GREŠKA",CX226&lt;&gt;5),"
","")&amp;IF(CX226&lt;&gt;5,"",AK226&amp;" "&amp;AL226&amp;" – Molim u provjeriti je li natjecatelj zaista diskvalificiran. Ako je koje je obrazloženje, ako nije molim u OEventu ispraviti rezultat")</f>
        <v xml:space="preserve">
</v>
      </c>
      <c r="DA226" s="223">
        <f t="shared" si="230"/>
        <v>6</v>
      </c>
      <c r="DB226" s="47" t="s">
        <v>0</v>
      </c>
      <c r="DC226" s="47"/>
      <c r="DD226" s="47"/>
      <c r="DE226" s="47"/>
      <c r="DF226" s="47" t="s">
        <v>0</v>
      </c>
      <c r="DG226" s="53" t="str">
        <f>IF(BD226="","",IF(DI226="O",1,""))</f>
        <v/>
      </c>
      <c r="DH226" t="s">
        <v>0</v>
      </c>
      <c r="DI226" s="128" t="str">
        <f>IF(Q226="","",LEFT(INDEX(regKategorija_oznaka,MATCH(S226,regKategorija_id,0)),1))</f>
        <v>Ž</v>
      </c>
      <c r="DJ226" t="s">
        <v>0</v>
      </c>
      <c r="DK226" s="52" t="str">
        <f>IF(BD226="","",IF(M226&lt;&gt;"CRO","","INSERT INTO osoba (id,reg_broj,oib,spol_id,dat_rodjenja) VALUES ("&amp;BD226&amp;",(SELECT max(os.reg_broj)+1 FROM osoba AS os),Null,'"&amp;DI226&amp;"',Null); INSERT INTO osoba_log (id,reg_broj,oib,spol_id,dat_rodjenja,dnevnik_id) SELECT id,reg_broj,oib,spol_id,dat_rodjenja,"&amp;data_dnevnik_id&amp;" FROM osoba WHERE id = "&amp;BD226&amp;";"))</f>
        <v/>
      </c>
      <c r="DL226" s="66" t="str">
        <f>IF(BD226="","","INSERT INTO imeprezime (id,osoba_id,rbr,ime,prezime,klub_id,identitet_id,sintaksa_id,info,aktivno,dnevnik_id) VALUES ("&amp;BD226&amp;","&amp;IF(DK226="","Null",BD226)&amp;",1,'"&amp;IF(AV226&lt;&gt;"",AV226,AK226)&amp;"','"&amp;IF(AW226&lt;&gt;"",AW226,AL226)&amp;"',(SELECT id FROM klub WHERE naziv = '"&amp;CR226&amp;"'),Null,1,'',1,"&amp;data_dnevnik_id&amp;");")</f>
        <v/>
      </c>
      <c r="DM226" t="s">
        <v>0</v>
      </c>
      <c r="DN226" s="19" t="str">
        <f t="shared" si="238"/>
        <v/>
      </c>
      <c r="DO226" s="47" t="s">
        <v>0</v>
      </c>
      <c r="DP226" s="19" t="str">
        <f>IF(BA226="","","INSERT INTO imeprezime_alias(id,alias,imeprezime_id) VALUES ("&amp;BB226&amp;",'"&amp;BA226&amp;"',"&amp;IF(BC226="NEMA",BD226,BC226)&amp;");")</f>
        <v/>
      </c>
      <c r="DQ226" s="47" t="s">
        <v>0</v>
      </c>
      <c r="DR226" s="52" t="str">
        <f>IF(AL226="","",DU226 &amp; IF(Q226="",""," – " &amp; Q226))</f>
        <v>Dora – Vukelić – OK Maksimir – Ž16</v>
      </c>
      <c r="DS226" s="53">
        <f t="shared" si="200"/>
        <v>392</v>
      </c>
      <c r="DT226" s="47" t="s">
        <v>0</v>
      </c>
      <c r="DU226" s="52" t="str">
        <f>IF(AL226="","",DX226 &amp; IF(CR226="",""," – " &amp; CR226))</f>
        <v>Dora – Vukelić – OK Maksimir</v>
      </c>
      <c r="DV226" s="53">
        <f t="shared" si="201"/>
        <v>392</v>
      </c>
      <c r="DW226" s="47" t="s">
        <v>0</v>
      </c>
      <c r="DX226" s="52" t="str">
        <f>IF(BG226="","",BF226&amp;" – "&amp;BG226)</f>
        <v>Dora – Vukelić</v>
      </c>
      <c r="DY226" s="53">
        <f t="shared" si="202"/>
        <v>392</v>
      </c>
      <c r="DZ226" s="47" t="s">
        <v>0</v>
      </c>
      <c r="EA226" s="58">
        <f t="shared" si="231"/>
        <v>392</v>
      </c>
      <c r="EB226" s="53" cm="1">
        <f t="array" ref="EB226">IF(EA226&lt;&gt;"",INDEX(regNatjecatelj_id,EA226,0),IF(BD226&lt;&gt;"",BD226,""))</f>
        <v>1442</v>
      </c>
      <c r="EC226" s="47" t="s">
        <v>0</v>
      </c>
      <c r="ED226" s="58" t="str">
        <f>IF(AL226="","",IF(BD226&lt;&gt;"","novo",IF(AN226="","imepre","imepre(ali)")))</f>
        <v>imepre</v>
      </c>
      <c r="EE226" s="73" t="str">
        <f>IF(AL226="","",IF(BL226="",IF(IFERROR(INDEX(regNatjecatelj_klub,MATCH(EB226,regNatjecatelj_id,0)),"NEMA")="","klu",""),IF(OR(AND(BN226&lt;&gt;"",BN226&lt;&gt;"NEMA"),CD226&lt;&gt;""),"klu(ali)",IF(AND(BP226&lt;&gt;"",BP226&lt;&gt;BO226),"(raz-klu)","klu"))))</f>
        <v>klu</v>
      </c>
      <c r="EF226" s="73" t="str">
        <f>IF(AL226="","","kat"&amp;IF(AND(W226&lt;&gt;Q226,Q226&lt;&gt;"Open"),"(ali)",""))</f>
        <v>kat</v>
      </c>
      <c r="EG226" s="73" t="str">
        <f t="shared" si="203"/>
        <v/>
      </c>
      <c r="EH226" s="66" t="str">
        <f>IF(AL226="","",ED226&amp;IF(ED226="novo","","-"&amp;EE226&amp;"-"&amp;EF226)&amp;IF(EG226="","","-"&amp;EG226))</f>
        <v>imepre-klu-kat</v>
      </c>
      <c r="EI226" s="47" t="s">
        <v>0</v>
      </c>
      <c r="EJ226" s="58">
        <f>IF(AL226="","",MAX(EJ$12:EJ225)+1)</f>
        <v>383</v>
      </c>
      <c r="EK226" s="73">
        <f>IF(AO226="","",X226)</f>
        <v>37</v>
      </c>
      <c r="EL226" s="73">
        <f t="shared" si="232"/>
        <v>1442</v>
      </c>
      <c r="EM226" s="73">
        <f t="shared" si="204"/>
        <v>2487</v>
      </c>
      <c r="EN226" s="73">
        <f t="shared" si="205"/>
        <v>1</v>
      </c>
      <c r="EO226" s="73">
        <f t="shared" si="233"/>
        <v>1</v>
      </c>
      <c r="EP226" s="73">
        <f t="shared" si="234"/>
        <v>1</v>
      </c>
      <c r="EQ226" s="73" t="str">
        <f t="shared" si="206"/>
        <v>0</v>
      </c>
      <c r="ER226" s="73" t="str">
        <f>IF(OR(AN226="",AN226="NEMA"),BB226,AN226)</f>
        <v/>
      </c>
      <c r="ES226" s="73" t="str">
        <f>IF(AND(BN226&lt;&gt;"",BN226&lt;&gt;"NEMA"),BN226,IF(CG226&lt;&gt;"",CG226,IF(AND(CL226&lt;&gt;"",CL226&lt;&gt;"NEMA"),CL226,IF(CM226&lt;&gt;"",CM226,""))))</f>
        <v/>
      </c>
      <c r="ET226" s="53" t="str">
        <f>IF(INDEX(natKategorija_alias_Id,MATCH(S226,natKategorija_katRegId,0))="","",INDEX(natKategorija_alias_Id,MATCH(S226,natKategorija_katRegId,0)))</f>
        <v/>
      </c>
      <c r="EU226" s="47" t="s">
        <v>0</v>
      </c>
      <c r="EV226" s="19" t="str">
        <f t="shared" si="235"/>
        <v>INSERT INTO rezultat(id,stazakategorija_id,imeprezime_id,vrijeme_sec,status_id,registracija,uparivanje_id,originalstatus_id,imeprezimealias_id,klubalias_id,kategorijaalias_id) VALUES (383,37,1442,2487,1,1,1,0,Null,Null,Null);</v>
      </c>
      <c r="EW226" s="47" t="s">
        <v>0</v>
      </c>
      <c r="EX226" s="19" t="str">
        <f t="shared" si="236"/>
        <v>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26" s="47" t="s">
        <v>0</v>
      </c>
      <c r="EZ226" s="180" t="str">
        <f>AG226&amp;IF(CP226="","","
")&amp;CP226&amp;IF(CI226="","","
")&amp;CI226&amp;IF(DN226="","","
")&amp;DN226&amp;IF(DP226="","","
")&amp;DP226&amp;IF(EV226="","","
")&amp;EV226&amp;IF(EX226="","","
")&amp;EX226</f>
        <v xml:space="preserve">
INSERT INTO rezultat(id,stazakategorija_id,imeprezime_id,vrijeme_sec,status_id,registracija,uparivanje_id,originalstatus_id,imeprezimealias_id,klubalias_id,kategorijaalias_id) VALUES (383,37,1442,2487,1,1,1,0,Null,Null,Null);
UPDATE
	registar
SET
	potvrda = 1
WHERE
	imeprezime_id=1442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26" s="47" t="s">
        <v>0</v>
      </c>
    </row>
    <row r="227" spans="1:157" x14ac:dyDescent="0.25">
      <c r="A227" t="s">
        <v>0</v>
      </c>
      <c r="B227" s="52" t="str">
        <f>IF(csv!F217="","",csv!T217)</f>
        <v>Ž16</v>
      </c>
      <c r="C227" s="31" t="s">
        <v>0</v>
      </c>
      <c r="D227" s="31" t="str">
        <f>IF(csv!F217="","",csv!F217)</f>
        <v>Mirta</v>
      </c>
      <c r="E227" s="31" t="str">
        <f>IF(csv!E217="","",csv!E217)</f>
        <v>Hodak</v>
      </c>
      <c r="F227" s="31" t="s">
        <v>0</v>
      </c>
      <c r="G227" s="73" t="str">
        <f>IF(csv!M217="","",csv!M217)</f>
        <v>48:53</v>
      </c>
      <c r="H227" s="73" t="str">
        <f>IF(csv!N217="","",csv!N217)</f>
        <v>0</v>
      </c>
      <c r="I227" s="31" t="s">
        <v>0</v>
      </c>
      <c r="J227" s="31" t="str">
        <f>IF(csv!P217="","",csv!P217)</f>
        <v>Vihor</v>
      </c>
      <c r="K227" s="31" t="str">
        <f>IF(csv!Q217="","",csv!Q217)</f>
        <v>OK Vihor</v>
      </c>
      <c r="L227" s="31" t="s">
        <v>0</v>
      </c>
      <c r="M227" s="66" t="str">
        <f>IF(csv!R217="","",csv!R217)</f>
        <v>CRO</v>
      </c>
      <c r="N227" s="47" t="s">
        <v>0</v>
      </c>
      <c r="O227" s="243" t="str">
        <f t="shared" si="207"/>
        <v>ok</v>
      </c>
      <c r="P227" s="47"/>
      <c r="Q227" s="52" t="str">
        <f t="shared" si="208"/>
        <v>Ž16</v>
      </c>
      <c r="R227" s="73">
        <f>IF(Q227="","",IF(COUNTIF(Q$12:Q226,Q227)=0,R226+1,R226))</f>
        <v>15</v>
      </c>
      <c r="S227" s="73">
        <f t="shared" si="209"/>
        <v>120</v>
      </c>
      <c r="T227" s="73">
        <f t="shared" si="184"/>
        <v>27</v>
      </c>
      <c r="U227" s="66" t="str">
        <f t="shared" si="185"/>
        <v>Ž21B – Ž16</v>
      </c>
      <c r="V227" s="47" t="s">
        <v>0</v>
      </c>
      <c r="W227" s="222" t="str">
        <f t="shared" si="186"/>
        <v>Ž16</v>
      </c>
      <c r="X227" s="223">
        <f t="shared" si="187"/>
        <v>37</v>
      </c>
      <c r="Y227" s="47" t="s">
        <v>0</v>
      </c>
      <c r="Z227" s="52" t="str">
        <f t="shared" si="210"/>
        <v>CRO</v>
      </c>
      <c r="AA227" s="73">
        <f t="shared" si="188"/>
        <v>1</v>
      </c>
      <c r="AB227" s="31" t="str">
        <f t="shared" si="211"/>
        <v/>
      </c>
      <c r="AC227" s="66" t="str">
        <f>IF(AB227="","",MAX(AC$12:AC226)+1)</f>
        <v/>
      </c>
      <c r="AD227" s="47" t="s">
        <v>0</v>
      </c>
      <c r="AE227" s="125"/>
      <c r="AF227" s="47" t="s">
        <v>0</v>
      </c>
      <c r="AG227" s="19" t="str">
        <f t="shared" si="212"/>
        <v/>
      </c>
      <c r="AH227" s="47" t="s">
        <v>0</v>
      </c>
      <c r="AI227" s="143" t="str">
        <f t="shared" si="213"/>
        <v>CRO</v>
      </c>
      <c r="AJ227" s="47"/>
      <c r="AK227" s="52" t="str">
        <f t="shared" si="214"/>
        <v>Mirta</v>
      </c>
      <c r="AL227" s="31" t="str">
        <f t="shared" si="215"/>
        <v>Hodak</v>
      </c>
      <c r="AM227" s="73">
        <f t="shared" si="216"/>
        <v>1371</v>
      </c>
      <c r="AN227" s="73" t="str">
        <f t="shared" si="217"/>
        <v/>
      </c>
      <c r="AO227" s="31" t="str">
        <f t="shared" si="189"/>
        <v>Mirta</v>
      </c>
      <c r="AP227" s="66" t="str">
        <f t="shared" si="190"/>
        <v>Hodak</v>
      </c>
      <c r="AQ227" s="47" t="s">
        <v>0</v>
      </c>
      <c r="AR227" s="82" t="str">
        <f t="shared" si="218"/>
        <v/>
      </c>
      <c r="AS227" s="47" t="s">
        <v>0</v>
      </c>
      <c r="AT227" s="19" t="str">
        <f t="shared" si="219"/>
        <v/>
      </c>
      <c r="AU227" s="47" t="s">
        <v>0</v>
      </c>
      <c r="AV227" s="103"/>
      <c r="AW227" s="105"/>
      <c r="AX227" s="47" t="s">
        <v>0</v>
      </c>
      <c r="AY227" s="256" t="str">
        <f t="shared" si="237"/>
        <v/>
      </c>
      <c r="AZ227" s="47" t="s">
        <v>0</v>
      </c>
      <c r="BA227" s="52" t="str">
        <f t="shared" si="191"/>
        <v/>
      </c>
      <c r="BB227" s="73" t="str">
        <f>IF(AV227&amp;AW227="","",MAX(BB$12:BB226)+1)</f>
        <v/>
      </c>
      <c r="BC227" s="268" t="str">
        <f t="shared" si="192"/>
        <v/>
      </c>
      <c r="BD227" s="53" t="str">
        <f>IF(AND(AM227="NEMA",AN227="NEMA",OR(AV227&amp;AW227="",BC227="NEMA")),MAX(BD$12:BD226)+1,"")</f>
        <v/>
      </c>
      <c r="BE227" s="47" t="s">
        <v>0</v>
      </c>
      <c r="BF227" s="52" t="str">
        <f t="shared" si="193"/>
        <v>Mirta</v>
      </c>
      <c r="BG227" s="31" t="str">
        <f t="shared" si="194"/>
        <v>Hodak</v>
      </c>
      <c r="BH227" s="73" t="str">
        <f t="shared" si="220"/>
        <v/>
      </c>
      <c r="BI227" s="53">
        <f t="shared" si="221"/>
        <v>1371</v>
      </c>
      <c r="BJ227" s="47" t="s">
        <v>0</v>
      </c>
      <c r="BK227" s="52" t="str">
        <f t="shared" si="195"/>
        <v>Vihor</v>
      </c>
      <c r="BL227" s="31" t="str">
        <f t="shared" si="196"/>
        <v>OK Vihor</v>
      </c>
      <c r="BM227" s="73">
        <f t="shared" si="197"/>
        <v>12</v>
      </c>
      <c r="BN227" s="73" t="str">
        <f t="shared" si="198"/>
        <v/>
      </c>
      <c r="BO227" s="31" t="str" cm="1">
        <f t="array" ref="BO227">IF(BN227="",""&amp;BL227,IF(BN227="NEMA",BL227,INDEX(regKlub_naziv,MATCH(INDEX(regKlub_alias_klubId,BN227),regKlub_id,0))))</f>
        <v>OK Vihor</v>
      </c>
      <c r="BP227" s="31" t="str" cm="1">
        <f t="array" ref="BP227">IFERROR(""&amp;INDEX(regNatjecatelj_klub,DY227),"")</f>
        <v>OK Vihor</v>
      </c>
      <c r="BQ227" s="88" t="str">
        <f t="shared" si="222"/>
        <v/>
      </c>
      <c r="BR227" s="66" t="str">
        <f t="shared" si="223"/>
        <v>OK Vihor</v>
      </c>
      <c r="BS227" s="47" t="s">
        <v>0</v>
      </c>
      <c r="BT227" s="82" t="str">
        <f>IF(BN227&lt;&gt;"NEMA","",IF(IFERROR(MATCH(BL227,BL$12:BL226,0),0)&lt;&gt;0,"",BL227))</f>
        <v/>
      </c>
      <c r="BU227" s="47" t="s">
        <v>0</v>
      </c>
      <c r="BV227" s="125"/>
      <c r="BW227" s="47" t="s">
        <v>0</v>
      </c>
      <c r="BX227" s="58" t="str">
        <f t="shared" si="224"/>
        <v/>
      </c>
      <c r="BY227" s="31" t="str">
        <f t="shared" si="225"/>
        <v/>
      </c>
      <c r="BZ227" s="31" t="str">
        <f>IF(BY227="","",MAX(BZ$12:BZ226)+1)</f>
        <v/>
      </c>
      <c r="CA227" s="31" t="str">
        <f>IF(BY227="","",IF(AA227="","",IF(AA227="NEMA",AC227,AA227)))</f>
        <v/>
      </c>
      <c r="CB227" s="31" t="str">
        <f t="shared" si="226"/>
        <v/>
      </c>
      <c r="CC227" s="31" t="str">
        <f>IF(BV227="","",MAX(CC$12:CC226)+1)</f>
        <v/>
      </c>
      <c r="CD227" s="31" t="str">
        <f t="shared" si="227"/>
        <v/>
      </c>
      <c r="CE227" s="66" t="str">
        <f t="shared" si="228"/>
        <v/>
      </c>
      <c r="CF227" s="47" t="s">
        <v>0</v>
      </c>
      <c r="CG227" s="73" t="str">
        <f>IF(BN227="","",IF(BN227&lt;&gt;"NEMA","",IFERROR(INDEX(nat_klubAliasId,MATCH(BL227,nat_noviKluboviAliasi,0)),"")))</f>
        <v/>
      </c>
      <c r="CH227" s="47"/>
      <c r="CI227" s="19" t="str">
        <f t="shared" si="229"/>
        <v/>
      </c>
      <c r="CJ227" s="47" t="s">
        <v>0</v>
      </c>
      <c r="CK227" s="52" t="str">
        <f>IF(X227&lt;&gt;"NEMA","",IF(IFERROR(MATCH(W227,W$12:W226,0),0)&lt;&gt;0,"",W227))</f>
        <v/>
      </c>
      <c r="CL227" s="73" t="str">
        <f>IF(CK227="","",IFERROR(INDEX(regKlub_alias_id,MATCH(CK227,regKlub_alias_alias,0)),"NEMA"))</f>
        <v/>
      </c>
      <c r="CM227" s="31" t="str">
        <f>IF(OR(CL227="",CL227&lt;&gt;"NEMA"),"",MAX(CM$12:CM226)+1)</f>
        <v/>
      </c>
      <c r="CN227" s="66" t="str">
        <f>IF(OR(CL227="",CL227&lt;&gt;"NEMA"),"",INDEX(regKlub_id,MATCH(CK227,regKlub_naziv,0)))</f>
        <v/>
      </c>
      <c r="CO227" s="47" t="s">
        <v>0</v>
      </c>
      <c r="CP227" s="19" t="str">
        <f>IF(OR(CL227="",CL227&lt;&gt;"NEMA"),"","INSERT INTO klub_alias(id,alias,klub_id) VALUES ("&amp;CM227&amp;",'"&amp;CK227&amp;"',"&amp;CN227&amp;");")</f>
        <v/>
      </c>
      <c r="CQ227" s="47" t="s">
        <v>0</v>
      </c>
      <c r="CR227" s="143" t="str">
        <f>IF(BR227="","",IF(BV227="",IF(IFERROR(MATCH(BR227,nat_noviKluboviAliasi,0),0)&gt;0,INDEX(nat_kluboviAliasi,MATCH(BR227,nat_noviKluboviAliasi,0)),BR227),BV227))</f>
        <v>OK Vihor</v>
      </c>
      <c r="CS227" s="47" t="s">
        <v>0</v>
      </c>
      <c r="CT227" s="58" t="str">
        <f>IF(G227="","",G227)</f>
        <v>48:53</v>
      </c>
      <c r="CU227" s="73" t="str">
        <f>IF(H227="","",H227)</f>
        <v>0</v>
      </c>
      <c r="CV227" s="229" t="str">
        <f>IF(CT227="",IF(OR(AL227="",CU227&lt;&gt;"0"),"","GREŠKA"),IF(AND(65535&gt;=VALUE(LEFT(CT227,SEARCH(":",CT227)-1))*60+VALUE(RIGHT(CT227,2)),OR(CU227="0",CU227="1",CU227="2",CU227="3",CU227="4")),"","GREŠKA"))</f>
        <v/>
      </c>
      <c r="CW227" s="230">
        <f t="shared" si="183"/>
        <v>2933</v>
      </c>
      <c r="CX227" s="163">
        <f t="shared" si="199"/>
        <v>1</v>
      </c>
      <c r="CY227" s="47" t="s">
        <v>0</v>
      </c>
      <c r="CZ227" s="222" t="str">
        <f>IF(CV227&lt;&gt;"GREŠKA","",AK227&amp;" "&amp;AL227&amp;" – Molim u OEventu provjeriti i ispraviti rezultat – vrijeme ("&amp;IF(CT227="","nije upisano",CT227)&amp;") i classifier ("&amp;CU227&amp;").")&amp;IF(OR(CV227&lt;&gt;"GREŠKA",CX227&lt;&gt;5),"
","")&amp;IF(CX227&lt;&gt;5,"",AK227&amp;" "&amp;AL227&amp;" – Molim u provjeriti je li natjecatelj zaista diskvalificiran. Ako je koje je obrazloženje, ako nije molim u OEventu ispraviti rezultat")</f>
        <v xml:space="preserve">
</v>
      </c>
      <c r="DA227" s="223">
        <f t="shared" si="230"/>
        <v>6</v>
      </c>
      <c r="DB227" s="47" t="s">
        <v>0</v>
      </c>
      <c r="DC227" s="47"/>
      <c r="DD227" s="47"/>
      <c r="DE227" s="47"/>
      <c r="DF227" s="47" t="s">
        <v>0</v>
      </c>
      <c r="DG227" s="53" t="str">
        <f>IF(BD227="","",IF(DI227="O",1,""))</f>
        <v/>
      </c>
      <c r="DH227" t="s">
        <v>0</v>
      </c>
      <c r="DI227" s="128" t="str">
        <f>IF(Q227="","",LEFT(INDEX(regKategorija_oznaka,MATCH(S227,regKategorija_id,0)),1))</f>
        <v>Ž</v>
      </c>
      <c r="DJ227" t="s">
        <v>0</v>
      </c>
      <c r="DK227" s="52" t="str">
        <f>IF(BD227="","",IF(M227&lt;&gt;"CRO","","INSERT INTO osoba (id,reg_broj,oib,spol_id,dat_rodjenja) VALUES ("&amp;BD227&amp;",(SELECT max(os.reg_broj)+1 FROM osoba AS os),Null,'"&amp;DI227&amp;"',Null); INSERT INTO osoba_log (id,reg_broj,oib,spol_id,dat_rodjenja,dnevnik_id) SELECT id,reg_broj,oib,spol_id,dat_rodjenja,"&amp;data_dnevnik_id&amp;" FROM osoba WHERE id = "&amp;BD227&amp;";"))</f>
        <v/>
      </c>
      <c r="DL227" s="66" t="str">
        <f>IF(BD227="","","INSERT INTO imeprezime (id,osoba_id,rbr,ime,prezime,klub_id,identitet_id,sintaksa_id,info,aktivno,dnevnik_id) VALUES ("&amp;BD227&amp;","&amp;IF(DK227="","Null",BD227)&amp;",1,'"&amp;IF(AV227&lt;&gt;"",AV227,AK227)&amp;"','"&amp;IF(AW227&lt;&gt;"",AW227,AL227)&amp;"',(SELECT id FROM klub WHERE naziv = '"&amp;CR227&amp;"'),Null,1,'',1,"&amp;data_dnevnik_id&amp;");")</f>
        <v/>
      </c>
      <c r="DM227" t="s">
        <v>0</v>
      </c>
      <c r="DN227" s="19" t="str">
        <f t="shared" si="238"/>
        <v/>
      </c>
      <c r="DO227" s="47" t="s">
        <v>0</v>
      </c>
      <c r="DP227" s="19" t="str">
        <f>IF(BA227="","","INSERT INTO imeprezime_alias(id,alias,imeprezime_id) VALUES ("&amp;BB227&amp;",'"&amp;BA227&amp;"',"&amp;IF(BC227="NEMA",BD227,BC227)&amp;");")</f>
        <v/>
      </c>
      <c r="DQ227" s="47" t="s">
        <v>0</v>
      </c>
      <c r="DR227" s="52" t="str">
        <f>IF(AL227="","",DU227 &amp; IF(Q227="",""," – " &amp; Q227))</f>
        <v>Mirta – Hodak – OK Vihor – Ž16</v>
      </c>
      <c r="DS227" s="53">
        <f t="shared" si="200"/>
        <v>698</v>
      </c>
      <c r="DT227" s="47" t="s">
        <v>0</v>
      </c>
      <c r="DU227" s="52" t="str">
        <f>IF(AL227="","",DX227 &amp; IF(CR227="",""," – " &amp; CR227))</f>
        <v>Mirta – Hodak – OK Vihor</v>
      </c>
      <c r="DV227" s="53">
        <f t="shared" si="201"/>
        <v>698</v>
      </c>
      <c r="DW227" s="47" t="s">
        <v>0</v>
      </c>
      <c r="DX227" s="52" t="str">
        <f>IF(BG227="","",BF227&amp;" – "&amp;BG227)</f>
        <v>Mirta – Hodak</v>
      </c>
      <c r="DY227" s="53">
        <f t="shared" si="202"/>
        <v>698</v>
      </c>
      <c r="DZ227" s="47" t="s">
        <v>0</v>
      </c>
      <c r="EA227" s="58">
        <f t="shared" si="231"/>
        <v>698</v>
      </c>
      <c r="EB227" s="53" cm="1">
        <f t="array" ref="EB227">IF(EA227&lt;&gt;"",INDEX(regNatjecatelj_id,EA227,0),IF(BD227&lt;&gt;"",BD227,""))</f>
        <v>1371</v>
      </c>
      <c r="EC227" s="47" t="s">
        <v>0</v>
      </c>
      <c r="ED227" s="58" t="str">
        <f>IF(AL227="","",IF(BD227&lt;&gt;"","novo",IF(AN227="","imepre","imepre(ali)")))</f>
        <v>imepre</v>
      </c>
      <c r="EE227" s="73" t="str">
        <f>IF(AL227="","",IF(BL227="",IF(IFERROR(INDEX(regNatjecatelj_klub,MATCH(EB227,regNatjecatelj_id,0)),"NEMA")="","klu",""),IF(OR(AND(BN227&lt;&gt;"",BN227&lt;&gt;"NEMA"),CD227&lt;&gt;""),"klu(ali)",IF(AND(BP227&lt;&gt;"",BP227&lt;&gt;BO227),"(raz-klu)","klu"))))</f>
        <v>klu</v>
      </c>
      <c r="EF227" s="73" t="str">
        <f>IF(AL227="","","kat"&amp;IF(AND(W227&lt;&gt;Q227,Q227&lt;&gt;"Open"),"(ali)",""))</f>
        <v>kat</v>
      </c>
      <c r="EG227" s="73" t="str">
        <f t="shared" si="203"/>
        <v/>
      </c>
      <c r="EH227" s="66" t="str">
        <f>IF(AL227="","",ED227&amp;IF(ED227="novo","","-"&amp;EE227&amp;"-"&amp;EF227)&amp;IF(EG227="","","-"&amp;EG227))</f>
        <v>imepre-klu-kat</v>
      </c>
      <c r="EI227" s="47" t="s">
        <v>0</v>
      </c>
      <c r="EJ227" s="58">
        <f>IF(AL227="","",MAX(EJ$12:EJ226)+1)</f>
        <v>384</v>
      </c>
      <c r="EK227" s="73">
        <f>IF(AO227="","",X227)</f>
        <v>37</v>
      </c>
      <c r="EL227" s="73">
        <f t="shared" si="232"/>
        <v>1371</v>
      </c>
      <c r="EM227" s="73">
        <f t="shared" si="204"/>
        <v>2933</v>
      </c>
      <c r="EN227" s="73">
        <f t="shared" si="205"/>
        <v>1</v>
      </c>
      <c r="EO227" s="73">
        <f t="shared" si="233"/>
        <v>1</v>
      </c>
      <c r="EP227" s="73">
        <f t="shared" si="234"/>
        <v>1</v>
      </c>
      <c r="EQ227" s="73" t="str">
        <f t="shared" si="206"/>
        <v>0</v>
      </c>
      <c r="ER227" s="73" t="str">
        <f>IF(OR(AN227="",AN227="NEMA"),BB227,AN227)</f>
        <v/>
      </c>
      <c r="ES227" s="73" t="str">
        <f>IF(AND(BN227&lt;&gt;"",BN227&lt;&gt;"NEMA"),BN227,IF(CG227&lt;&gt;"",CG227,IF(AND(CL227&lt;&gt;"",CL227&lt;&gt;"NEMA"),CL227,IF(CM227&lt;&gt;"",CM227,""))))</f>
        <v/>
      </c>
      <c r="ET227" s="53" t="str">
        <f>IF(INDEX(natKategorija_alias_Id,MATCH(S227,natKategorija_katRegId,0))="","",INDEX(natKategorija_alias_Id,MATCH(S227,natKategorija_katRegId,0)))</f>
        <v/>
      </c>
      <c r="EU227" s="47" t="s">
        <v>0</v>
      </c>
      <c r="EV227" s="19" t="str">
        <f t="shared" si="235"/>
        <v>INSERT INTO rezultat(id,stazakategorija_id,imeprezime_id,vrijeme_sec,status_id,registracija,uparivanje_id,originalstatus_id,imeprezimealias_id,klubalias_id,kategorijaalias_id) VALUES (384,37,1371,2933,1,1,1,0,Null,Null,Null);</v>
      </c>
      <c r="EW227" s="47" t="s">
        <v>0</v>
      </c>
      <c r="EX227" s="19" t="str">
        <f t="shared" si="236"/>
        <v>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27" s="47" t="s">
        <v>0</v>
      </c>
      <c r="EZ227" s="180" t="str">
        <f>AG227&amp;IF(CP227="","","
")&amp;CP227&amp;IF(CI227="","","
")&amp;CI227&amp;IF(DN227="","","
")&amp;DN227&amp;IF(DP227="","","
")&amp;DP227&amp;IF(EV227="","","
")&amp;EV227&amp;IF(EX227="","","
")&amp;EX227</f>
        <v xml:space="preserve">
INSERT INTO rezultat(id,stazakategorija_id,imeprezime_id,vrijeme_sec,status_id,registracija,uparivanje_id,originalstatus_id,imeprezimealias_id,klubalias_id,kategorijaalias_id) VALUES (384,37,1371,2933,1,1,1,0,Null,Null,Null);
UPDATE
	registar
SET
	potvrda = 1
WHERE
	imeprezime_id=1371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27" s="47" t="s">
        <v>0</v>
      </c>
    </row>
    <row r="228" spans="1:157" x14ac:dyDescent="0.25">
      <c r="A228" t="s">
        <v>0</v>
      </c>
      <c r="B228" s="52" t="str">
        <f>IF(csv!F218="","",csv!T218)</f>
        <v>Ž16</v>
      </c>
      <c r="C228" s="31" t="s">
        <v>0</v>
      </c>
      <c r="D228" s="31" t="str">
        <f>IF(csv!F218="","",csv!F218)</f>
        <v>Wanda</v>
      </c>
      <c r="E228" s="31" t="str">
        <f>IF(csv!E218="","",csv!E218)</f>
        <v>Kovač</v>
      </c>
      <c r="F228" s="31" t="s">
        <v>0</v>
      </c>
      <c r="G228" s="73" t="str">
        <f>IF(csv!M218="","",csv!M218)</f>
        <v>48:56</v>
      </c>
      <c r="H228" s="73" t="str">
        <f>IF(csv!N218="","",csv!N218)</f>
        <v>0</v>
      </c>
      <c r="I228" s="31" t="s">
        <v>0</v>
      </c>
      <c r="J228" s="31" t="str">
        <f>IF(csv!P218="","",csv!P218)</f>
        <v>KAP</v>
      </c>
      <c r="K228" s="31" t="str">
        <f>IF(csv!Q218="","",csv!Q218)</f>
        <v>OK Kapela</v>
      </c>
      <c r="L228" s="31" t="s">
        <v>0</v>
      </c>
      <c r="M228" s="66" t="str">
        <f>IF(csv!R218="","",csv!R218)</f>
        <v>CRO</v>
      </c>
      <c r="N228" s="47" t="s">
        <v>0</v>
      </c>
      <c r="O228" s="243" t="str">
        <f t="shared" si="207"/>
        <v>ok</v>
      </c>
      <c r="P228" s="47"/>
      <c r="Q228" s="52" t="str">
        <f t="shared" si="208"/>
        <v>Ž16</v>
      </c>
      <c r="R228" s="73">
        <f>IF(Q228="","",IF(COUNTIF(Q$12:Q227,Q228)=0,R227+1,R227))</f>
        <v>15</v>
      </c>
      <c r="S228" s="73">
        <f t="shared" si="209"/>
        <v>120</v>
      </c>
      <c r="T228" s="73">
        <f t="shared" si="184"/>
        <v>27</v>
      </c>
      <c r="U228" s="66" t="str">
        <f t="shared" si="185"/>
        <v>Ž21B – Ž16</v>
      </c>
      <c r="V228" s="47" t="s">
        <v>0</v>
      </c>
      <c r="W228" s="222" t="str">
        <f t="shared" si="186"/>
        <v>Ž16</v>
      </c>
      <c r="X228" s="223">
        <f t="shared" si="187"/>
        <v>37</v>
      </c>
      <c r="Y228" s="47" t="s">
        <v>0</v>
      </c>
      <c r="Z228" s="52" t="str">
        <f t="shared" si="210"/>
        <v>CRO</v>
      </c>
      <c r="AA228" s="73">
        <f t="shared" si="188"/>
        <v>1</v>
      </c>
      <c r="AB228" s="31" t="str">
        <f t="shared" si="211"/>
        <v/>
      </c>
      <c r="AC228" s="66" t="str">
        <f>IF(AB228="","",MAX(AC$12:AC227)+1)</f>
        <v/>
      </c>
      <c r="AD228" s="47" t="s">
        <v>0</v>
      </c>
      <c r="AE228" s="125"/>
      <c r="AF228" s="47" t="s">
        <v>0</v>
      </c>
      <c r="AG228" s="19" t="str">
        <f t="shared" si="212"/>
        <v/>
      </c>
      <c r="AH228" s="47" t="s">
        <v>0</v>
      </c>
      <c r="AI228" s="143" t="str">
        <f t="shared" si="213"/>
        <v>CRO</v>
      </c>
      <c r="AJ228" s="47"/>
      <c r="AK228" s="52" t="str">
        <f t="shared" si="214"/>
        <v>Wanda</v>
      </c>
      <c r="AL228" s="31" t="str">
        <f t="shared" si="215"/>
        <v>Kovač</v>
      </c>
      <c r="AM228" s="73">
        <f t="shared" si="216"/>
        <v>1204</v>
      </c>
      <c r="AN228" s="73" t="str">
        <f t="shared" si="217"/>
        <v/>
      </c>
      <c r="AO228" s="31" t="str">
        <f t="shared" si="189"/>
        <v>Wanda</v>
      </c>
      <c r="AP228" s="66" t="str">
        <f t="shared" si="190"/>
        <v>Kovač</v>
      </c>
      <c r="AQ228" s="47" t="s">
        <v>0</v>
      </c>
      <c r="AR228" s="82" t="str">
        <f t="shared" si="218"/>
        <v/>
      </c>
      <c r="AS228" s="47" t="s">
        <v>0</v>
      </c>
      <c r="AT228" s="19" t="str">
        <f t="shared" si="219"/>
        <v/>
      </c>
      <c r="AU228" s="47" t="s">
        <v>0</v>
      </c>
      <c r="AV228" s="103"/>
      <c r="AW228" s="105"/>
      <c r="AX228" s="47" t="s">
        <v>0</v>
      </c>
      <c r="AY228" s="256" t="str">
        <f t="shared" si="237"/>
        <v/>
      </c>
      <c r="AZ228" s="47" t="s">
        <v>0</v>
      </c>
      <c r="BA228" s="52" t="str">
        <f t="shared" si="191"/>
        <v/>
      </c>
      <c r="BB228" s="73" t="str">
        <f>IF(AV228&amp;AW228="","",MAX(BB$12:BB227)+1)</f>
        <v/>
      </c>
      <c r="BC228" s="268" t="str">
        <f t="shared" si="192"/>
        <v/>
      </c>
      <c r="BD228" s="53" t="str">
        <f>IF(AND(AM228="NEMA",AN228="NEMA",OR(AV228&amp;AW228="",BC228="NEMA")),MAX(BD$12:BD227)+1,"")</f>
        <v/>
      </c>
      <c r="BE228" s="47" t="s">
        <v>0</v>
      </c>
      <c r="BF228" s="52" t="str">
        <f t="shared" si="193"/>
        <v>Wanda</v>
      </c>
      <c r="BG228" s="31" t="str">
        <f t="shared" si="194"/>
        <v>Kovač</v>
      </c>
      <c r="BH228" s="73" t="str">
        <f t="shared" si="220"/>
        <v/>
      </c>
      <c r="BI228" s="53">
        <f t="shared" si="221"/>
        <v>1204</v>
      </c>
      <c r="BJ228" s="47" t="s">
        <v>0</v>
      </c>
      <c r="BK228" s="52" t="str">
        <f t="shared" si="195"/>
        <v>KAP</v>
      </c>
      <c r="BL228" s="31" t="str">
        <f t="shared" si="196"/>
        <v>OK Kapela</v>
      </c>
      <c r="BM228" s="73">
        <f t="shared" si="197"/>
        <v>5</v>
      </c>
      <c r="BN228" s="73" t="str">
        <f t="shared" si="198"/>
        <v/>
      </c>
      <c r="BO228" s="31" t="str" cm="1">
        <f t="array" ref="BO228">IF(BN228="",""&amp;BL228,IF(BN228="NEMA",BL228,INDEX(regKlub_naziv,MATCH(INDEX(regKlub_alias_klubId,BN228),regKlub_id,0))))</f>
        <v>OK Kapela</v>
      </c>
      <c r="BP228" s="31" t="str" cm="1">
        <f t="array" ref="BP228">IFERROR(""&amp;INDEX(regNatjecatelj_klub,DY228),"")</f>
        <v>OK Kapela</v>
      </c>
      <c r="BQ228" s="88" t="str">
        <f t="shared" si="222"/>
        <v/>
      </c>
      <c r="BR228" s="66" t="str">
        <f t="shared" si="223"/>
        <v>OK Kapela</v>
      </c>
      <c r="BS228" s="47" t="s">
        <v>0</v>
      </c>
      <c r="BT228" s="82" t="str">
        <f>IF(BN228&lt;&gt;"NEMA","",IF(IFERROR(MATCH(BL228,BL$12:BL227,0),0)&lt;&gt;0,"",BL228))</f>
        <v/>
      </c>
      <c r="BU228" s="47" t="s">
        <v>0</v>
      </c>
      <c r="BV228" s="125"/>
      <c r="BW228" s="47" t="s">
        <v>0</v>
      </c>
      <c r="BX228" s="58" t="str">
        <f t="shared" si="224"/>
        <v/>
      </c>
      <c r="BY228" s="31" t="str">
        <f t="shared" si="225"/>
        <v/>
      </c>
      <c r="BZ228" s="31" t="str">
        <f>IF(BY228="","",MAX(BZ$12:BZ227)+1)</f>
        <v/>
      </c>
      <c r="CA228" s="31" t="str">
        <f>IF(BY228="","",IF(AA228="","",IF(AA228="NEMA",AC228,AA228)))</f>
        <v/>
      </c>
      <c r="CB228" s="31" t="str">
        <f t="shared" si="226"/>
        <v/>
      </c>
      <c r="CC228" s="31" t="str">
        <f>IF(BV228="","",MAX(CC$12:CC227)+1)</f>
        <v/>
      </c>
      <c r="CD228" s="31" t="str">
        <f t="shared" si="227"/>
        <v/>
      </c>
      <c r="CE228" s="66" t="str">
        <f t="shared" si="228"/>
        <v/>
      </c>
      <c r="CF228" s="47" t="s">
        <v>0</v>
      </c>
      <c r="CG228" s="73" t="str">
        <f>IF(BN228="","",IF(BN228&lt;&gt;"NEMA","",IFERROR(INDEX(nat_klubAliasId,MATCH(BL228,nat_noviKluboviAliasi,0)),"")))</f>
        <v/>
      </c>
      <c r="CH228" s="47"/>
      <c r="CI228" s="19" t="str">
        <f t="shared" si="229"/>
        <v/>
      </c>
      <c r="CJ228" s="47" t="s">
        <v>0</v>
      </c>
      <c r="CK228" s="52" t="str">
        <f>IF(X228&lt;&gt;"NEMA","",IF(IFERROR(MATCH(W228,W$12:W227,0),0)&lt;&gt;0,"",W228))</f>
        <v/>
      </c>
      <c r="CL228" s="73" t="str">
        <f>IF(CK228="","",IFERROR(INDEX(regKlub_alias_id,MATCH(CK228,regKlub_alias_alias,0)),"NEMA"))</f>
        <v/>
      </c>
      <c r="CM228" s="31" t="str">
        <f>IF(OR(CL228="",CL228&lt;&gt;"NEMA"),"",MAX(CM$12:CM227)+1)</f>
        <v/>
      </c>
      <c r="CN228" s="66" t="str">
        <f>IF(OR(CL228="",CL228&lt;&gt;"NEMA"),"",INDEX(regKlub_id,MATCH(CK228,regKlub_naziv,0)))</f>
        <v/>
      </c>
      <c r="CO228" s="47" t="s">
        <v>0</v>
      </c>
      <c r="CP228" s="19" t="str">
        <f>IF(OR(CL228="",CL228&lt;&gt;"NEMA"),"","INSERT INTO klub_alias(id,alias,klub_id) VALUES ("&amp;CM228&amp;",'"&amp;CK228&amp;"',"&amp;CN228&amp;");")</f>
        <v/>
      </c>
      <c r="CQ228" s="47" t="s">
        <v>0</v>
      </c>
      <c r="CR228" s="143" t="str">
        <f>IF(BR228="","",IF(BV228="",IF(IFERROR(MATCH(BR228,nat_noviKluboviAliasi,0),0)&gt;0,INDEX(nat_kluboviAliasi,MATCH(BR228,nat_noviKluboviAliasi,0)),BR228),BV228))</f>
        <v>OK Kapela</v>
      </c>
      <c r="CS228" s="47" t="s">
        <v>0</v>
      </c>
      <c r="CT228" s="58" t="str">
        <f>IF(G228="","",G228)</f>
        <v>48:56</v>
      </c>
      <c r="CU228" s="73" t="str">
        <f>IF(H228="","",H228)</f>
        <v>0</v>
      </c>
      <c r="CV228" s="229" t="str">
        <f>IF(CT228="",IF(OR(AL228="",CU228&lt;&gt;"0"),"","GREŠKA"),IF(AND(65535&gt;=VALUE(LEFT(CT228,SEARCH(":",CT228)-1))*60+VALUE(RIGHT(CT228,2)),OR(CU228="0",CU228="1",CU228="2",CU228="3",CU228="4")),"","GREŠKA"))</f>
        <v/>
      </c>
      <c r="CW228" s="230">
        <f t="shared" si="183"/>
        <v>2936</v>
      </c>
      <c r="CX228" s="163">
        <f t="shared" si="199"/>
        <v>1</v>
      </c>
      <c r="CY228" s="47" t="s">
        <v>0</v>
      </c>
      <c r="CZ228" s="222" t="str">
        <f>IF(CV228&lt;&gt;"GREŠKA","",AK228&amp;" "&amp;AL228&amp;" – Molim u OEventu provjeriti i ispraviti rezultat – vrijeme ("&amp;IF(CT228="","nije upisano",CT228)&amp;") i classifier ("&amp;CU228&amp;").")&amp;IF(OR(CV228&lt;&gt;"GREŠKA",CX228&lt;&gt;5),"
","")&amp;IF(CX228&lt;&gt;5,"",AK228&amp;" "&amp;AL228&amp;" – Molim u provjeriti je li natjecatelj zaista diskvalificiran. Ako je koje je obrazloženje, ako nije molim u OEventu ispraviti rezultat")</f>
        <v xml:space="preserve">
</v>
      </c>
      <c r="DA228" s="223">
        <f t="shared" si="230"/>
        <v>6</v>
      </c>
      <c r="DB228" s="47" t="s">
        <v>0</v>
      </c>
      <c r="DC228" s="47"/>
      <c r="DD228" s="47"/>
      <c r="DE228" s="47"/>
      <c r="DF228" s="47" t="s">
        <v>0</v>
      </c>
      <c r="DG228" s="53" t="str">
        <f>IF(BD228="","",IF(DI228="O",1,""))</f>
        <v/>
      </c>
      <c r="DH228" t="s">
        <v>0</v>
      </c>
      <c r="DI228" s="128" t="str">
        <f>IF(Q228="","",LEFT(INDEX(regKategorija_oznaka,MATCH(S228,regKategorija_id,0)),1))</f>
        <v>Ž</v>
      </c>
      <c r="DJ228" t="s">
        <v>0</v>
      </c>
      <c r="DK228" s="52" t="str">
        <f>IF(BD228="","",IF(M228&lt;&gt;"CRO","","INSERT INTO osoba (id,reg_broj,oib,spol_id,dat_rodjenja) VALUES ("&amp;BD228&amp;",(SELECT max(os.reg_broj)+1 FROM osoba AS os),Null,'"&amp;DI228&amp;"',Null); INSERT INTO osoba_log (id,reg_broj,oib,spol_id,dat_rodjenja,dnevnik_id) SELECT id,reg_broj,oib,spol_id,dat_rodjenja,"&amp;data_dnevnik_id&amp;" FROM osoba WHERE id = "&amp;BD228&amp;";"))</f>
        <v/>
      </c>
      <c r="DL228" s="66" t="str">
        <f>IF(BD228="","","INSERT INTO imeprezime (id,osoba_id,rbr,ime,prezime,klub_id,identitet_id,sintaksa_id,info,aktivno,dnevnik_id) VALUES ("&amp;BD228&amp;","&amp;IF(DK228="","Null",BD228)&amp;",1,'"&amp;IF(AV228&lt;&gt;"",AV228,AK228)&amp;"','"&amp;IF(AW228&lt;&gt;"",AW228,AL228)&amp;"',(SELECT id FROM klub WHERE naziv = '"&amp;CR228&amp;"'),Null,1,'',1,"&amp;data_dnevnik_id&amp;");")</f>
        <v/>
      </c>
      <c r="DM228" t="s">
        <v>0</v>
      </c>
      <c r="DN228" s="19" t="str">
        <f t="shared" si="238"/>
        <v/>
      </c>
      <c r="DO228" s="47" t="s">
        <v>0</v>
      </c>
      <c r="DP228" s="19" t="str">
        <f>IF(BA228="","","INSERT INTO imeprezime_alias(id,alias,imeprezime_id) VALUES ("&amp;BB228&amp;",'"&amp;BA228&amp;"',"&amp;IF(BC228="NEMA",BD228,BC228)&amp;");")</f>
        <v/>
      </c>
      <c r="DQ228" s="47" t="s">
        <v>0</v>
      </c>
      <c r="DR228" s="52" t="str">
        <f>IF(AL228="","",DU228 &amp; IF(Q228="",""," – " &amp; Q228))</f>
        <v>Wanda – Kovač – OK Kapela – Ž16</v>
      </c>
      <c r="DS228" s="53">
        <f t="shared" si="200"/>
        <v>268</v>
      </c>
      <c r="DT228" s="47" t="s">
        <v>0</v>
      </c>
      <c r="DU228" s="52" t="str">
        <f>IF(AL228="","",DX228 &amp; IF(CR228="",""," – " &amp; CR228))</f>
        <v>Wanda – Kovač – OK Kapela</v>
      </c>
      <c r="DV228" s="53">
        <f t="shared" si="201"/>
        <v>268</v>
      </c>
      <c r="DW228" s="47" t="s">
        <v>0</v>
      </c>
      <c r="DX228" s="52" t="str">
        <f>IF(BG228="","",BF228&amp;" – "&amp;BG228)</f>
        <v>Wanda – Kovač</v>
      </c>
      <c r="DY228" s="53">
        <f t="shared" si="202"/>
        <v>268</v>
      </c>
      <c r="DZ228" s="47" t="s">
        <v>0</v>
      </c>
      <c r="EA228" s="58">
        <f t="shared" si="231"/>
        <v>268</v>
      </c>
      <c r="EB228" s="53" cm="1">
        <f t="array" ref="EB228">IF(EA228&lt;&gt;"",INDEX(regNatjecatelj_id,EA228,0),IF(BD228&lt;&gt;"",BD228,""))</f>
        <v>1204</v>
      </c>
      <c r="EC228" s="47" t="s">
        <v>0</v>
      </c>
      <c r="ED228" s="58" t="str">
        <f>IF(AL228="","",IF(BD228&lt;&gt;"","novo",IF(AN228="","imepre","imepre(ali)")))</f>
        <v>imepre</v>
      </c>
      <c r="EE228" s="73" t="str">
        <f>IF(AL228="","",IF(BL228="",IF(IFERROR(INDEX(regNatjecatelj_klub,MATCH(EB228,regNatjecatelj_id,0)),"NEMA")="","klu",""),IF(OR(AND(BN228&lt;&gt;"",BN228&lt;&gt;"NEMA"),CD228&lt;&gt;""),"klu(ali)",IF(AND(BP228&lt;&gt;"",BP228&lt;&gt;BO228),"(raz-klu)","klu"))))</f>
        <v>klu</v>
      </c>
      <c r="EF228" s="73" t="str">
        <f>IF(AL228="","","kat"&amp;IF(AND(W228&lt;&gt;Q228,Q228&lt;&gt;"Open"),"(ali)",""))</f>
        <v>kat</v>
      </c>
      <c r="EG228" s="73" t="str">
        <f t="shared" si="203"/>
        <v/>
      </c>
      <c r="EH228" s="66" t="str">
        <f>IF(AL228="","",ED228&amp;IF(ED228="novo","","-"&amp;EE228&amp;"-"&amp;EF228)&amp;IF(EG228="","","-"&amp;EG228))</f>
        <v>imepre-klu-kat</v>
      </c>
      <c r="EI228" s="47" t="s">
        <v>0</v>
      </c>
      <c r="EJ228" s="58">
        <f>IF(AL228="","",MAX(EJ$12:EJ227)+1)</f>
        <v>385</v>
      </c>
      <c r="EK228" s="73">
        <f>IF(AO228="","",X228)</f>
        <v>37</v>
      </c>
      <c r="EL228" s="73">
        <f t="shared" si="232"/>
        <v>1204</v>
      </c>
      <c r="EM228" s="73">
        <f t="shared" si="204"/>
        <v>2936</v>
      </c>
      <c r="EN228" s="73">
        <f t="shared" si="205"/>
        <v>1</v>
      </c>
      <c r="EO228" s="73">
        <f t="shared" si="233"/>
        <v>1</v>
      </c>
      <c r="EP228" s="73">
        <f t="shared" si="234"/>
        <v>1</v>
      </c>
      <c r="EQ228" s="73" t="str">
        <f t="shared" si="206"/>
        <v>0</v>
      </c>
      <c r="ER228" s="73" t="str">
        <f>IF(OR(AN228="",AN228="NEMA"),BB228,AN228)</f>
        <v/>
      </c>
      <c r="ES228" s="73" t="str">
        <f>IF(AND(BN228&lt;&gt;"",BN228&lt;&gt;"NEMA"),BN228,IF(CG228&lt;&gt;"",CG228,IF(AND(CL228&lt;&gt;"",CL228&lt;&gt;"NEMA"),CL228,IF(CM228&lt;&gt;"",CM228,""))))</f>
        <v/>
      </c>
      <c r="ET228" s="53" t="str">
        <f>IF(INDEX(natKategorija_alias_Id,MATCH(S228,natKategorija_katRegId,0))="","",INDEX(natKategorija_alias_Id,MATCH(S228,natKategorija_katRegId,0)))</f>
        <v/>
      </c>
      <c r="EU228" s="47" t="s">
        <v>0</v>
      </c>
      <c r="EV228" s="19" t="str">
        <f t="shared" si="235"/>
        <v>INSERT INTO rezultat(id,stazakategorija_id,imeprezime_id,vrijeme_sec,status_id,registracija,uparivanje_id,originalstatus_id,imeprezimealias_id,klubalias_id,kategorijaalias_id) VALUES (385,37,1204,2936,1,1,1,0,Null,Null,Null);</v>
      </c>
      <c r="EW228" s="47" t="s">
        <v>0</v>
      </c>
      <c r="EX228" s="19" t="str">
        <f t="shared" si="236"/>
        <v>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28" s="47" t="s">
        <v>0</v>
      </c>
      <c r="EZ228" s="180" t="str">
        <f>AG228&amp;IF(CP228="","","
")&amp;CP228&amp;IF(CI228="","","
")&amp;CI228&amp;IF(DN228="","","
")&amp;DN228&amp;IF(DP228="","","
")&amp;DP228&amp;IF(EV228="","","
")&amp;EV228&amp;IF(EX228="","","
")&amp;EX228</f>
        <v xml:space="preserve">
INSERT INTO rezultat(id,stazakategorija_id,imeprezime_id,vrijeme_sec,status_id,registracija,uparivanje_id,originalstatus_id,imeprezimealias_id,klubalias_id,kategorijaalias_id) VALUES (385,37,1204,2936,1,1,1,0,Null,Null,Null);
UPDATE
	registar
SET
	potvrda = 1
WHERE
	imeprezime_id=1204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28" s="47" t="s">
        <v>0</v>
      </c>
    </row>
    <row r="229" spans="1:157" x14ac:dyDescent="0.25">
      <c r="A229" t="s">
        <v>0</v>
      </c>
      <c r="B229" s="52" t="str">
        <f>IF(csv!F219="","",csv!T219)</f>
        <v>Ž16</v>
      </c>
      <c r="C229" s="31" t="s">
        <v>0</v>
      </c>
      <c r="D229" s="31" t="str">
        <f>IF(csv!F219="","",csv!F219)</f>
        <v>Petra</v>
      </c>
      <c r="E229" s="31" t="str">
        <f>IF(csv!E219="","",csv!E219)</f>
        <v>Dasović</v>
      </c>
      <c r="F229" s="31" t="s">
        <v>0</v>
      </c>
      <c r="G229" s="73" t="str">
        <f>IF(csv!M219="","",csv!M219)</f>
        <v>52:05</v>
      </c>
      <c r="H229" s="73" t="str">
        <f>IF(csv!N219="","",csv!N219)</f>
        <v>0</v>
      </c>
      <c r="I229" s="31" t="s">
        <v>0</v>
      </c>
      <c r="J229" s="31" t="str">
        <f>IF(csv!P219="","",csv!P219)</f>
        <v>KAP</v>
      </c>
      <c r="K229" s="31" t="str">
        <f>IF(csv!Q219="","",csv!Q219)</f>
        <v>OK Kapela</v>
      </c>
      <c r="L229" s="31" t="s">
        <v>0</v>
      </c>
      <c r="M229" s="66" t="str">
        <f>IF(csv!R219="","",csv!R219)</f>
        <v>CRO</v>
      </c>
      <c r="N229" s="47" t="s">
        <v>0</v>
      </c>
      <c r="O229" s="243" t="str">
        <f t="shared" si="207"/>
        <v>ok</v>
      </c>
      <c r="P229" s="47"/>
      <c r="Q229" s="52" t="str">
        <f t="shared" si="208"/>
        <v>Ž16</v>
      </c>
      <c r="R229" s="73">
        <f>IF(Q229="","",IF(COUNTIF(Q$12:Q228,Q229)=0,R228+1,R228))</f>
        <v>15</v>
      </c>
      <c r="S229" s="73">
        <f t="shared" si="209"/>
        <v>120</v>
      </c>
      <c r="T229" s="73">
        <f t="shared" si="184"/>
        <v>27</v>
      </c>
      <c r="U229" s="66" t="str">
        <f t="shared" si="185"/>
        <v>Ž21B – Ž16</v>
      </c>
      <c r="V229" s="47" t="s">
        <v>0</v>
      </c>
      <c r="W229" s="222" t="str">
        <f t="shared" si="186"/>
        <v>Ž16</v>
      </c>
      <c r="X229" s="223">
        <f t="shared" si="187"/>
        <v>37</v>
      </c>
      <c r="Y229" s="47" t="s">
        <v>0</v>
      </c>
      <c r="Z229" s="52" t="str">
        <f t="shared" si="210"/>
        <v>CRO</v>
      </c>
      <c r="AA229" s="73">
        <f t="shared" si="188"/>
        <v>1</v>
      </c>
      <c r="AB229" s="31" t="str">
        <f t="shared" si="211"/>
        <v/>
      </c>
      <c r="AC229" s="66" t="str">
        <f>IF(AB229="","",MAX(AC$12:AC228)+1)</f>
        <v/>
      </c>
      <c r="AD229" s="47" t="s">
        <v>0</v>
      </c>
      <c r="AE229" s="125"/>
      <c r="AF229" s="47" t="s">
        <v>0</v>
      </c>
      <c r="AG229" s="19" t="str">
        <f t="shared" si="212"/>
        <v/>
      </c>
      <c r="AH229" s="47" t="s">
        <v>0</v>
      </c>
      <c r="AI229" s="143" t="str">
        <f t="shared" si="213"/>
        <v>CRO</v>
      </c>
      <c r="AJ229" s="47"/>
      <c r="AK229" s="52" t="str">
        <f t="shared" si="214"/>
        <v>Petra</v>
      </c>
      <c r="AL229" s="31" t="str">
        <f t="shared" si="215"/>
        <v>Dasović</v>
      </c>
      <c r="AM229" s="73">
        <f t="shared" si="216"/>
        <v>1438</v>
      </c>
      <c r="AN229" s="73" t="str">
        <f t="shared" si="217"/>
        <v/>
      </c>
      <c r="AO229" s="31" t="str">
        <f t="shared" si="189"/>
        <v>Petra</v>
      </c>
      <c r="AP229" s="66" t="str">
        <f t="shared" si="190"/>
        <v>Dasović</v>
      </c>
      <c r="AQ229" s="47" t="s">
        <v>0</v>
      </c>
      <c r="AR229" s="82" t="str">
        <f t="shared" si="218"/>
        <v/>
      </c>
      <c r="AS229" s="47" t="s">
        <v>0</v>
      </c>
      <c r="AT229" s="19" t="str">
        <f t="shared" si="219"/>
        <v/>
      </c>
      <c r="AU229" s="47" t="s">
        <v>0</v>
      </c>
      <c r="AV229" s="103"/>
      <c r="AW229" s="105"/>
      <c r="AX229" s="47" t="s">
        <v>0</v>
      </c>
      <c r="AY229" s="256" t="str">
        <f t="shared" si="237"/>
        <v/>
      </c>
      <c r="AZ229" s="47" t="s">
        <v>0</v>
      </c>
      <c r="BA229" s="52" t="str">
        <f t="shared" si="191"/>
        <v/>
      </c>
      <c r="BB229" s="73" t="str">
        <f>IF(AV229&amp;AW229="","",MAX(BB$12:BB228)+1)</f>
        <v/>
      </c>
      <c r="BC229" s="268" t="str">
        <f t="shared" si="192"/>
        <v/>
      </c>
      <c r="BD229" s="53" t="str">
        <f>IF(AND(AM229="NEMA",AN229="NEMA",OR(AV229&amp;AW229="",BC229="NEMA")),MAX(BD$12:BD228)+1,"")</f>
        <v/>
      </c>
      <c r="BE229" s="47" t="s">
        <v>0</v>
      </c>
      <c r="BF229" s="52" t="str">
        <f t="shared" si="193"/>
        <v>Petra</v>
      </c>
      <c r="BG229" s="31" t="str">
        <f t="shared" si="194"/>
        <v>Dasović</v>
      </c>
      <c r="BH229" s="73" t="str">
        <f t="shared" si="220"/>
        <v/>
      </c>
      <c r="BI229" s="53">
        <f t="shared" si="221"/>
        <v>1438</v>
      </c>
      <c r="BJ229" s="47" t="s">
        <v>0</v>
      </c>
      <c r="BK229" s="52" t="str">
        <f t="shared" si="195"/>
        <v>KAP</v>
      </c>
      <c r="BL229" s="31" t="str">
        <f t="shared" si="196"/>
        <v>OK Kapela</v>
      </c>
      <c r="BM229" s="73">
        <f t="shared" si="197"/>
        <v>5</v>
      </c>
      <c r="BN229" s="73" t="str">
        <f t="shared" si="198"/>
        <v/>
      </c>
      <c r="BO229" s="31" t="str" cm="1">
        <f t="array" ref="BO229">IF(BN229="",""&amp;BL229,IF(BN229="NEMA",BL229,INDEX(regKlub_naziv,MATCH(INDEX(regKlub_alias_klubId,BN229),regKlub_id,0))))</f>
        <v>OK Kapela</v>
      </c>
      <c r="BP229" s="31" t="str" cm="1">
        <f t="array" ref="BP229">IFERROR(""&amp;INDEX(regNatjecatelj_klub,DY229),"")</f>
        <v>OK Kapela</v>
      </c>
      <c r="BQ229" s="88" t="str">
        <f t="shared" si="222"/>
        <v/>
      </c>
      <c r="BR229" s="66" t="str">
        <f t="shared" si="223"/>
        <v>OK Kapela</v>
      </c>
      <c r="BS229" s="47" t="s">
        <v>0</v>
      </c>
      <c r="BT229" s="82" t="str">
        <f>IF(BN229&lt;&gt;"NEMA","",IF(IFERROR(MATCH(BL229,BL$12:BL228,0),0)&lt;&gt;0,"",BL229))</f>
        <v/>
      </c>
      <c r="BU229" s="47" t="s">
        <v>0</v>
      </c>
      <c r="BV229" s="125"/>
      <c r="BW229" s="47" t="s">
        <v>0</v>
      </c>
      <c r="BX229" s="58" t="str">
        <f t="shared" si="224"/>
        <v/>
      </c>
      <c r="BY229" s="31" t="str">
        <f t="shared" si="225"/>
        <v/>
      </c>
      <c r="BZ229" s="31" t="str">
        <f>IF(BY229="","",MAX(BZ$12:BZ228)+1)</f>
        <v/>
      </c>
      <c r="CA229" s="31" t="str">
        <f>IF(BY229="","",IF(AA229="","",IF(AA229="NEMA",AC229,AA229)))</f>
        <v/>
      </c>
      <c r="CB229" s="31" t="str">
        <f t="shared" si="226"/>
        <v/>
      </c>
      <c r="CC229" s="31" t="str">
        <f>IF(BV229="","",MAX(CC$12:CC228)+1)</f>
        <v/>
      </c>
      <c r="CD229" s="31" t="str">
        <f t="shared" si="227"/>
        <v/>
      </c>
      <c r="CE229" s="66" t="str">
        <f t="shared" si="228"/>
        <v/>
      </c>
      <c r="CF229" s="47" t="s">
        <v>0</v>
      </c>
      <c r="CG229" s="73" t="str">
        <f>IF(BN229="","",IF(BN229&lt;&gt;"NEMA","",IFERROR(INDEX(nat_klubAliasId,MATCH(BL229,nat_noviKluboviAliasi,0)),"")))</f>
        <v/>
      </c>
      <c r="CH229" s="47"/>
      <c r="CI229" s="19" t="str">
        <f t="shared" si="229"/>
        <v/>
      </c>
      <c r="CJ229" s="47" t="s">
        <v>0</v>
      </c>
      <c r="CK229" s="52" t="str">
        <f>IF(X229&lt;&gt;"NEMA","",IF(IFERROR(MATCH(W229,W$12:W228,0),0)&lt;&gt;0,"",W229))</f>
        <v/>
      </c>
      <c r="CL229" s="73" t="str">
        <f>IF(CK229="","",IFERROR(INDEX(regKlub_alias_id,MATCH(CK229,regKlub_alias_alias,0)),"NEMA"))</f>
        <v/>
      </c>
      <c r="CM229" s="31" t="str">
        <f>IF(OR(CL229="",CL229&lt;&gt;"NEMA"),"",MAX(CM$12:CM228)+1)</f>
        <v/>
      </c>
      <c r="CN229" s="66" t="str">
        <f>IF(OR(CL229="",CL229&lt;&gt;"NEMA"),"",INDEX(regKlub_id,MATCH(CK229,regKlub_naziv,0)))</f>
        <v/>
      </c>
      <c r="CO229" s="47" t="s">
        <v>0</v>
      </c>
      <c r="CP229" s="19" t="str">
        <f>IF(OR(CL229="",CL229&lt;&gt;"NEMA"),"","INSERT INTO klub_alias(id,alias,klub_id) VALUES ("&amp;CM229&amp;",'"&amp;CK229&amp;"',"&amp;CN229&amp;");")</f>
        <v/>
      </c>
      <c r="CQ229" s="47" t="s">
        <v>0</v>
      </c>
      <c r="CR229" s="143" t="str">
        <f>IF(BR229="","",IF(BV229="",IF(IFERROR(MATCH(BR229,nat_noviKluboviAliasi,0),0)&gt;0,INDEX(nat_kluboviAliasi,MATCH(BR229,nat_noviKluboviAliasi,0)),BR229),BV229))</f>
        <v>OK Kapela</v>
      </c>
      <c r="CS229" s="47" t="s">
        <v>0</v>
      </c>
      <c r="CT229" s="58" t="str">
        <f>IF(G229="","",G229)</f>
        <v>52:05</v>
      </c>
      <c r="CU229" s="73" t="str">
        <f>IF(H229="","",H229)</f>
        <v>0</v>
      </c>
      <c r="CV229" s="229" t="str">
        <f>IF(CT229="",IF(OR(AL229="",CU229&lt;&gt;"0"),"","GREŠKA"),IF(AND(65535&gt;=VALUE(LEFT(CT229,SEARCH(":",CT229)-1))*60+VALUE(RIGHT(CT229,2)),OR(CU229="0",CU229="1",CU229="2",CU229="3",CU229="4")),"","GREŠKA"))</f>
        <v/>
      </c>
      <c r="CW229" s="230">
        <f t="shared" si="183"/>
        <v>3125</v>
      </c>
      <c r="CX229" s="163">
        <f t="shared" si="199"/>
        <v>1</v>
      </c>
      <c r="CY229" s="47" t="s">
        <v>0</v>
      </c>
      <c r="CZ229" s="222" t="str">
        <f>IF(CV229&lt;&gt;"GREŠKA","",AK229&amp;" "&amp;AL229&amp;" – Molim u OEventu provjeriti i ispraviti rezultat – vrijeme ("&amp;IF(CT229="","nije upisano",CT229)&amp;") i classifier ("&amp;CU229&amp;").")&amp;IF(OR(CV229&lt;&gt;"GREŠKA",CX229&lt;&gt;5),"
","")&amp;IF(CX229&lt;&gt;5,"",AK229&amp;" "&amp;AL229&amp;" – Molim u provjeriti je li natjecatelj zaista diskvalificiran. Ako je koje je obrazloženje, ako nije molim u OEventu ispraviti rezultat")</f>
        <v xml:space="preserve">
</v>
      </c>
      <c r="DA229" s="223">
        <f t="shared" si="230"/>
        <v>6</v>
      </c>
      <c r="DB229" s="47" t="s">
        <v>0</v>
      </c>
      <c r="DC229" s="47"/>
      <c r="DD229" s="47"/>
      <c r="DE229" s="47"/>
      <c r="DF229" s="47" t="s">
        <v>0</v>
      </c>
      <c r="DG229" s="53" t="str">
        <f>IF(BD229="","",IF(DI229="O",1,""))</f>
        <v/>
      </c>
      <c r="DH229" t="s">
        <v>0</v>
      </c>
      <c r="DI229" s="128" t="str">
        <f>IF(Q229="","",LEFT(INDEX(regKategorija_oznaka,MATCH(S229,regKategorija_id,0)),1))</f>
        <v>Ž</v>
      </c>
      <c r="DJ229" t="s">
        <v>0</v>
      </c>
      <c r="DK229" s="52" t="str">
        <f>IF(BD229="","",IF(M229&lt;&gt;"CRO","","INSERT INTO osoba (id,reg_broj,oib,spol_id,dat_rodjenja) VALUES ("&amp;BD229&amp;",(SELECT max(os.reg_broj)+1 FROM osoba AS os),Null,'"&amp;DI229&amp;"',Null); INSERT INTO osoba_log (id,reg_broj,oib,spol_id,dat_rodjenja,dnevnik_id) SELECT id,reg_broj,oib,spol_id,dat_rodjenja,"&amp;data_dnevnik_id&amp;" FROM osoba WHERE id = "&amp;BD229&amp;";"))</f>
        <v/>
      </c>
      <c r="DL229" s="66" t="str">
        <f>IF(BD229="","","INSERT INTO imeprezime (id,osoba_id,rbr,ime,prezime,klub_id,identitet_id,sintaksa_id,info,aktivno,dnevnik_id) VALUES ("&amp;BD229&amp;","&amp;IF(DK229="","Null",BD229)&amp;",1,'"&amp;IF(AV229&lt;&gt;"",AV229,AK229)&amp;"','"&amp;IF(AW229&lt;&gt;"",AW229,AL229)&amp;"',(SELECT id FROM klub WHERE naziv = '"&amp;CR229&amp;"'),Null,1,'',1,"&amp;data_dnevnik_id&amp;");")</f>
        <v/>
      </c>
      <c r="DM229" t="s">
        <v>0</v>
      </c>
      <c r="DN229" s="19" t="str">
        <f t="shared" si="238"/>
        <v/>
      </c>
      <c r="DO229" s="47" t="s">
        <v>0</v>
      </c>
      <c r="DP229" s="19" t="str">
        <f>IF(BA229="","","INSERT INTO imeprezime_alias(id,alias,imeprezime_id) VALUES ("&amp;BB229&amp;",'"&amp;BA229&amp;"',"&amp;IF(BC229="NEMA",BD229,BC229)&amp;");")</f>
        <v/>
      </c>
      <c r="DQ229" s="47" t="s">
        <v>0</v>
      </c>
      <c r="DR229" s="52" t="str">
        <f>IF(AL229="","",DU229 &amp; IF(Q229="",""," – " &amp; Q229))</f>
        <v>Petra – Dasović – OK Kapela – Ž16</v>
      </c>
      <c r="DS229" s="53">
        <f t="shared" si="200"/>
        <v>226</v>
      </c>
      <c r="DT229" s="47" t="s">
        <v>0</v>
      </c>
      <c r="DU229" s="52" t="str">
        <f>IF(AL229="","",DX229 &amp; IF(CR229="",""," – " &amp; CR229))</f>
        <v>Petra – Dasović – OK Kapela</v>
      </c>
      <c r="DV229" s="53">
        <f t="shared" si="201"/>
        <v>226</v>
      </c>
      <c r="DW229" s="47" t="s">
        <v>0</v>
      </c>
      <c r="DX229" s="52" t="str">
        <f>IF(BG229="","",BF229&amp;" – "&amp;BG229)</f>
        <v>Petra – Dasović</v>
      </c>
      <c r="DY229" s="53">
        <f t="shared" si="202"/>
        <v>226</v>
      </c>
      <c r="DZ229" s="47" t="s">
        <v>0</v>
      </c>
      <c r="EA229" s="58">
        <f t="shared" si="231"/>
        <v>226</v>
      </c>
      <c r="EB229" s="53" cm="1">
        <f t="array" ref="EB229">IF(EA229&lt;&gt;"",INDEX(regNatjecatelj_id,EA229,0),IF(BD229&lt;&gt;"",BD229,""))</f>
        <v>1438</v>
      </c>
      <c r="EC229" s="47" t="s">
        <v>0</v>
      </c>
      <c r="ED229" s="58" t="str">
        <f>IF(AL229="","",IF(BD229&lt;&gt;"","novo",IF(AN229="","imepre","imepre(ali)")))</f>
        <v>imepre</v>
      </c>
      <c r="EE229" s="73" t="str">
        <f>IF(AL229="","",IF(BL229="",IF(IFERROR(INDEX(regNatjecatelj_klub,MATCH(EB229,regNatjecatelj_id,0)),"NEMA")="","klu",""),IF(OR(AND(BN229&lt;&gt;"",BN229&lt;&gt;"NEMA"),CD229&lt;&gt;""),"klu(ali)",IF(AND(BP229&lt;&gt;"",BP229&lt;&gt;BO229),"(raz-klu)","klu"))))</f>
        <v>klu</v>
      </c>
      <c r="EF229" s="73" t="str">
        <f>IF(AL229="","","kat"&amp;IF(AND(W229&lt;&gt;Q229,Q229&lt;&gt;"Open"),"(ali)",""))</f>
        <v>kat</v>
      </c>
      <c r="EG229" s="73" t="str">
        <f t="shared" si="203"/>
        <v/>
      </c>
      <c r="EH229" s="66" t="str">
        <f>IF(AL229="","",ED229&amp;IF(ED229="novo","","-"&amp;EE229&amp;"-"&amp;EF229)&amp;IF(EG229="","","-"&amp;EG229))</f>
        <v>imepre-klu-kat</v>
      </c>
      <c r="EI229" s="47" t="s">
        <v>0</v>
      </c>
      <c r="EJ229" s="58">
        <f>IF(AL229="","",MAX(EJ$12:EJ228)+1)</f>
        <v>386</v>
      </c>
      <c r="EK229" s="73">
        <f>IF(AO229="","",X229)</f>
        <v>37</v>
      </c>
      <c r="EL229" s="73">
        <f t="shared" si="232"/>
        <v>1438</v>
      </c>
      <c r="EM229" s="73">
        <f t="shared" si="204"/>
        <v>3125</v>
      </c>
      <c r="EN229" s="73">
        <f t="shared" si="205"/>
        <v>1</v>
      </c>
      <c r="EO229" s="73">
        <f t="shared" si="233"/>
        <v>1</v>
      </c>
      <c r="EP229" s="73">
        <f t="shared" si="234"/>
        <v>1</v>
      </c>
      <c r="EQ229" s="73" t="str">
        <f t="shared" si="206"/>
        <v>0</v>
      </c>
      <c r="ER229" s="73" t="str">
        <f>IF(OR(AN229="",AN229="NEMA"),BB229,AN229)</f>
        <v/>
      </c>
      <c r="ES229" s="73" t="str">
        <f>IF(AND(BN229&lt;&gt;"",BN229&lt;&gt;"NEMA"),BN229,IF(CG229&lt;&gt;"",CG229,IF(AND(CL229&lt;&gt;"",CL229&lt;&gt;"NEMA"),CL229,IF(CM229&lt;&gt;"",CM229,""))))</f>
        <v/>
      </c>
      <c r="ET229" s="53" t="str">
        <f>IF(INDEX(natKategorija_alias_Id,MATCH(S229,natKategorija_katRegId,0))="","",INDEX(natKategorija_alias_Id,MATCH(S229,natKategorija_katRegId,0)))</f>
        <v/>
      </c>
      <c r="EU229" s="47" t="s">
        <v>0</v>
      </c>
      <c r="EV229" s="19" t="str">
        <f t="shared" si="235"/>
        <v>INSERT INTO rezultat(id,stazakategorija_id,imeprezime_id,vrijeme_sec,status_id,registracija,uparivanje_id,originalstatus_id,imeprezimealias_id,klubalias_id,kategorijaalias_id) VALUES (386,37,1438,3125,1,1,1,0,Null,Null,Null);</v>
      </c>
      <c r="EW229" s="47" t="s">
        <v>0</v>
      </c>
      <c r="EX229" s="19" t="str">
        <f t="shared" si="236"/>
        <v>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29" s="47" t="s">
        <v>0</v>
      </c>
      <c r="EZ229" s="180" t="str">
        <f>AG229&amp;IF(CP229="","","
")&amp;CP229&amp;IF(CI229="","","
")&amp;CI229&amp;IF(DN229="","","
")&amp;DN229&amp;IF(DP229="","","
")&amp;DP229&amp;IF(EV229="","","
")&amp;EV229&amp;IF(EX229="","","
")&amp;EX229</f>
        <v xml:space="preserve">
INSERT INTO rezultat(id,stazakategorija_id,imeprezime_id,vrijeme_sec,status_id,registracija,uparivanje_id,originalstatus_id,imeprezimealias_id,klubalias_id,kategorijaalias_id) VALUES (386,37,1438,3125,1,1,1,0,Null,Null,Null);
UPDATE
	registar
SET
	potvrda = 1
WHERE
	imeprezime_id=1438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29" s="47" t="s">
        <v>0</v>
      </c>
    </row>
    <row r="230" spans="1:157" x14ac:dyDescent="0.25">
      <c r="A230" t="s">
        <v>0</v>
      </c>
      <c r="B230" s="52" t="str">
        <f>IF(csv!F220="","",csv!T220)</f>
        <v>Ž16</v>
      </c>
      <c r="C230" s="31" t="s">
        <v>0</v>
      </c>
      <c r="D230" s="31" t="str">
        <f>IF(csv!F220="","",csv!F220)</f>
        <v>Kimi Maria</v>
      </c>
      <c r="E230" s="31" t="str">
        <f>IF(csv!E220="","",csv!E220)</f>
        <v>Gobec</v>
      </c>
      <c r="F230" s="31" t="s">
        <v>0</v>
      </c>
      <c r="G230" s="73" t="str">
        <f>IF(csv!M220="","",csv!M220)</f>
        <v>53:31</v>
      </c>
      <c r="H230" s="73" t="str">
        <f>IF(csv!N220="","",csv!N220)</f>
        <v>0</v>
      </c>
      <c r="I230" s="31" t="s">
        <v>0</v>
      </c>
      <c r="J230" s="31" t="str">
        <f>IF(csv!P220="","",csv!P220)</f>
        <v>Vihor</v>
      </c>
      <c r="K230" s="31" t="str">
        <f>IF(csv!Q220="","",csv!Q220)</f>
        <v>OK Vihor</v>
      </c>
      <c r="L230" s="31" t="s">
        <v>0</v>
      </c>
      <c r="M230" s="66" t="str">
        <f>IF(csv!R220="","",csv!R220)</f>
        <v>CRO</v>
      </c>
      <c r="N230" s="47" t="s">
        <v>0</v>
      </c>
      <c r="O230" s="243" t="str">
        <f t="shared" si="207"/>
        <v>ok</v>
      </c>
      <c r="P230" s="47"/>
      <c r="Q230" s="52" t="str">
        <f t="shared" si="208"/>
        <v>Ž16</v>
      </c>
      <c r="R230" s="73">
        <f>IF(Q230="","",IF(COUNTIF(Q$12:Q229,Q230)=0,R229+1,R229))</f>
        <v>15</v>
      </c>
      <c r="S230" s="73">
        <f t="shared" si="209"/>
        <v>120</v>
      </c>
      <c r="T230" s="73">
        <f t="shared" si="184"/>
        <v>27</v>
      </c>
      <c r="U230" s="66" t="str">
        <f t="shared" si="185"/>
        <v>Ž21B – Ž16</v>
      </c>
      <c r="V230" s="47" t="s">
        <v>0</v>
      </c>
      <c r="W230" s="222" t="str">
        <f t="shared" si="186"/>
        <v>Ž16</v>
      </c>
      <c r="X230" s="223">
        <f t="shared" si="187"/>
        <v>37</v>
      </c>
      <c r="Y230" s="47" t="s">
        <v>0</v>
      </c>
      <c r="Z230" s="52" t="str">
        <f t="shared" si="210"/>
        <v>CRO</v>
      </c>
      <c r="AA230" s="73">
        <f t="shared" si="188"/>
        <v>1</v>
      </c>
      <c r="AB230" s="31" t="str">
        <f t="shared" si="211"/>
        <v/>
      </c>
      <c r="AC230" s="66" t="str">
        <f>IF(AB230="","",MAX(AC$12:AC229)+1)</f>
        <v/>
      </c>
      <c r="AD230" s="47" t="s">
        <v>0</v>
      </c>
      <c r="AE230" s="125"/>
      <c r="AF230" s="47" t="s">
        <v>0</v>
      </c>
      <c r="AG230" s="19" t="str">
        <f t="shared" si="212"/>
        <v/>
      </c>
      <c r="AH230" s="47" t="s">
        <v>0</v>
      </c>
      <c r="AI230" s="143" t="str">
        <f t="shared" si="213"/>
        <v>CRO</v>
      </c>
      <c r="AJ230" s="47"/>
      <c r="AK230" s="52" t="str">
        <f t="shared" si="214"/>
        <v>Kimi Maria</v>
      </c>
      <c r="AL230" s="31" t="str">
        <f t="shared" si="215"/>
        <v>Gobec</v>
      </c>
      <c r="AM230" s="73">
        <f t="shared" si="216"/>
        <v>1301</v>
      </c>
      <c r="AN230" s="73" t="str">
        <f t="shared" si="217"/>
        <v/>
      </c>
      <c r="AO230" s="31" t="str">
        <f t="shared" si="189"/>
        <v>Kimi Maria</v>
      </c>
      <c r="AP230" s="66" t="str">
        <f t="shared" si="190"/>
        <v>Gobec</v>
      </c>
      <c r="AQ230" s="47" t="s">
        <v>0</v>
      </c>
      <c r="AR230" s="82" t="str">
        <f t="shared" si="218"/>
        <v/>
      </c>
      <c r="AS230" s="47" t="s">
        <v>0</v>
      </c>
      <c r="AT230" s="19" t="str">
        <f t="shared" si="219"/>
        <v/>
      </c>
      <c r="AU230" s="47" t="s">
        <v>0</v>
      </c>
      <c r="AV230" s="103"/>
      <c r="AW230" s="105"/>
      <c r="AX230" s="47" t="s">
        <v>0</v>
      </c>
      <c r="AY230" s="256" t="str">
        <f t="shared" si="237"/>
        <v/>
      </c>
      <c r="AZ230" s="47" t="s">
        <v>0</v>
      </c>
      <c r="BA230" s="52" t="str">
        <f t="shared" si="191"/>
        <v/>
      </c>
      <c r="BB230" s="73" t="str">
        <f>IF(AV230&amp;AW230="","",MAX(BB$12:BB229)+1)</f>
        <v/>
      </c>
      <c r="BC230" s="268" t="str">
        <f t="shared" si="192"/>
        <v/>
      </c>
      <c r="BD230" s="53" t="str">
        <f>IF(AND(AM230="NEMA",AN230="NEMA",OR(AV230&amp;AW230="",BC230="NEMA")),MAX(BD$12:BD229)+1,"")</f>
        <v/>
      </c>
      <c r="BE230" s="47" t="s">
        <v>0</v>
      </c>
      <c r="BF230" s="52" t="str">
        <f t="shared" si="193"/>
        <v>Kimi Maria</v>
      </c>
      <c r="BG230" s="31" t="str">
        <f t="shared" si="194"/>
        <v>Gobec</v>
      </c>
      <c r="BH230" s="73" t="str">
        <f t="shared" si="220"/>
        <v/>
      </c>
      <c r="BI230" s="53">
        <f t="shared" si="221"/>
        <v>1301</v>
      </c>
      <c r="BJ230" s="47" t="s">
        <v>0</v>
      </c>
      <c r="BK230" s="52" t="str">
        <f t="shared" si="195"/>
        <v>Vihor</v>
      </c>
      <c r="BL230" s="31" t="str">
        <f t="shared" si="196"/>
        <v>OK Vihor</v>
      </c>
      <c r="BM230" s="73">
        <f t="shared" si="197"/>
        <v>12</v>
      </c>
      <c r="BN230" s="73" t="str">
        <f t="shared" si="198"/>
        <v/>
      </c>
      <c r="BO230" s="31" t="str" cm="1">
        <f t="array" ref="BO230">IF(BN230="",""&amp;BL230,IF(BN230="NEMA",BL230,INDEX(regKlub_naziv,MATCH(INDEX(regKlub_alias_klubId,BN230),regKlub_id,0))))</f>
        <v>OK Vihor</v>
      </c>
      <c r="BP230" s="31" t="str" cm="1">
        <f t="array" ref="BP230">IFERROR(""&amp;INDEX(regNatjecatelj_klub,DY230),"")</f>
        <v>OK Vihor</v>
      </c>
      <c r="BQ230" s="88" t="str">
        <f t="shared" si="222"/>
        <v/>
      </c>
      <c r="BR230" s="66" t="str">
        <f t="shared" si="223"/>
        <v>OK Vihor</v>
      </c>
      <c r="BS230" s="47" t="s">
        <v>0</v>
      </c>
      <c r="BT230" s="82" t="str">
        <f>IF(BN230&lt;&gt;"NEMA","",IF(IFERROR(MATCH(BL230,BL$12:BL229,0),0)&lt;&gt;0,"",BL230))</f>
        <v/>
      </c>
      <c r="BU230" s="47" t="s">
        <v>0</v>
      </c>
      <c r="BV230" s="125"/>
      <c r="BW230" s="47" t="s">
        <v>0</v>
      </c>
      <c r="BX230" s="58" t="str">
        <f t="shared" si="224"/>
        <v/>
      </c>
      <c r="BY230" s="31" t="str">
        <f t="shared" si="225"/>
        <v/>
      </c>
      <c r="BZ230" s="31" t="str">
        <f>IF(BY230="","",MAX(BZ$12:BZ229)+1)</f>
        <v/>
      </c>
      <c r="CA230" s="31" t="str">
        <f>IF(BY230="","",IF(AA230="","",IF(AA230="NEMA",AC230,AA230)))</f>
        <v/>
      </c>
      <c r="CB230" s="31" t="str">
        <f t="shared" si="226"/>
        <v/>
      </c>
      <c r="CC230" s="31" t="str">
        <f>IF(BV230="","",MAX(CC$12:CC229)+1)</f>
        <v/>
      </c>
      <c r="CD230" s="31" t="str">
        <f t="shared" si="227"/>
        <v/>
      </c>
      <c r="CE230" s="66" t="str">
        <f t="shared" si="228"/>
        <v/>
      </c>
      <c r="CF230" s="47" t="s">
        <v>0</v>
      </c>
      <c r="CG230" s="73" t="str">
        <f>IF(BN230="","",IF(BN230&lt;&gt;"NEMA","",IFERROR(INDEX(nat_klubAliasId,MATCH(BL230,nat_noviKluboviAliasi,0)),"")))</f>
        <v/>
      </c>
      <c r="CH230" s="47"/>
      <c r="CI230" s="19" t="str">
        <f t="shared" si="229"/>
        <v/>
      </c>
      <c r="CJ230" s="47" t="s">
        <v>0</v>
      </c>
      <c r="CK230" s="52" t="str">
        <f>IF(X230&lt;&gt;"NEMA","",IF(IFERROR(MATCH(W230,W$12:W229,0),0)&lt;&gt;0,"",W230))</f>
        <v/>
      </c>
      <c r="CL230" s="73" t="str">
        <f>IF(CK230="","",IFERROR(INDEX(regKlub_alias_id,MATCH(CK230,regKlub_alias_alias,0)),"NEMA"))</f>
        <v/>
      </c>
      <c r="CM230" s="31" t="str">
        <f>IF(OR(CL230="",CL230&lt;&gt;"NEMA"),"",MAX(CM$12:CM229)+1)</f>
        <v/>
      </c>
      <c r="CN230" s="66" t="str">
        <f>IF(OR(CL230="",CL230&lt;&gt;"NEMA"),"",INDEX(regKlub_id,MATCH(CK230,regKlub_naziv,0)))</f>
        <v/>
      </c>
      <c r="CO230" s="47" t="s">
        <v>0</v>
      </c>
      <c r="CP230" s="19" t="str">
        <f>IF(OR(CL230="",CL230&lt;&gt;"NEMA"),"","INSERT INTO klub_alias(id,alias,klub_id) VALUES ("&amp;CM230&amp;",'"&amp;CK230&amp;"',"&amp;CN230&amp;");")</f>
        <v/>
      </c>
      <c r="CQ230" s="47" t="s">
        <v>0</v>
      </c>
      <c r="CR230" s="143" t="str">
        <f>IF(BR230="","",IF(BV230="",IF(IFERROR(MATCH(BR230,nat_noviKluboviAliasi,0),0)&gt;0,INDEX(nat_kluboviAliasi,MATCH(BR230,nat_noviKluboviAliasi,0)),BR230),BV230))</f>
        <v>OK Vihor</v>
      </c>
      <c r="CS230" s="47" t="s">
        <v>0</v>
      </c>
      <c r="CT230" s="58" t="str">
        <f>IF(G230="","",G230)</f>
        <v>53:31</v>
      </c>
      <c r="CU230" s="73" t="str">
        <f>IF(H230="","",H230)</f>
        <v>0</v>
      </c>
      <c r="CV230" s="229" t="str">
        <f>IF(CT230="",IF(OR(AL230="",CU230&lt;&gt;"0"),"","GREŠKA"),IF(AND(65535&gt;=VALUE(LEFT(CT230,SEARCH(":",CT230)-1))*60+VALUE(RIGHT(CT230,2)),OR(CU230="0",CU230="1",CU230="2",CU230="3",CU230="4")),"","GREŠKA"))</f>
        <v/>
      </c>
      <c r="CW230" s="230">
        <f t="shared" si="183"/>
        <v>3211</v>
      </c>
      <c r="CX230" s="163">
        <f t="shared" si="199"/>
        <v>1</v>
      </c>
      <c r="CY230" s="47" t="s">
        <v>0</v>
      </c>
      <c r="CZ230" s="222" t="str">
        <f>IF(CV230&lt;&gt;"GREŠKA","",AK230&amp;" "&amp;AL230&amp;" – Molim u OEventu provjeriti i ispraviti rezultat – vrijeme ("&amp;IF(CT230="","nije upisano",CT230)&amp;") i classifier ("&amp;CU230&amp;").")&amp;IF(OR(CV230&lt;&gt;"GREŠKA",CX230&lt;&gt;5),"
","")&amp;IF(CX230&lt;&gt;5,"",AK230&amp;" "&amp;AL230&amp;" – Molim u provjeriti je li natjecatelj zaista diskvalificiran. Ako je koje je obrazloženje, ako nije molim u OEventu ispraviti rezultat")</f>
        <v xml:space="preserve">
</v>
      </c>
      <c r="DA230" s="223">
        <f t="shared" si="230"/>
        <v>6</v>
      </c>
      <c r="DB230" s="47" t="s">
        <v>0</v>
      </c>
      <c r="DC230" s="47"/>
      <c r="DD230" s="47"/>
      <c r="DE230" s="47"/>
      <c r="DF230" s="47" t="s">
        <v>0</v>
      </c>
      <c r="DG230" s="53" t="str">
        <f>IF(BD230="","",IF(DI230="O",1,""))</f>
        <v/>
      </c>
      <c r="DH230" t="s">
        <v>0</v>
      </c>
      <c r="DI230" s="128" t="str">
        <f>IF(Q230="","",LEFT(INDEX(regKategorija_oznaka,MATCH(S230,regKategorija_id,0)),1))</f>
        <v>Ž</v>
      </c>
      <c r="DJ230" t="s">
        <v>0</v>
      </c>
      <c r="DK230" s="52" t="str">
        <f>IF(BD230="","",IF(M230&lt;&gt;"CRO","","INSERT INTO osoba (id,reg_broj,oib,spol_id,dat_rodjenja) VALUES ("&amp;BD230&amp;",(SELECT max(os.reg_broj)+1 FROM osoba AS os),Null,'"&amp;DI230&amp;"',Null); INSERT INTO osoba_log (id,reg_broj,oib,spol_id,dat_rodjenja,dnevnik_id) SELECT id,reg_broj,oib,spol_id,dat_rodjenja,"&amp;data_dnevnik_id&amp;" FROM osoba WHERE id = "&amp;BD230&amp;";"))</f>
        <v/>
      </c>
      <c r="DL230" s="66" t="str">
        <f>IF(BD230="","","INSERT INTO imeprezime (id,osoba_id,rbr,ime,prezime,klub_id,identitet_id,sintaksa_id,info,aktivno,dnevnik_id) VALUES ("&amp;BD230&amp;","&amp;IF(DK230="","Null",BD230)&amp;",1,'"&amp;IF(AV230&lt;&gt;"",AV230,AK230)&amp;"','"&amp;IF(AW230&lt;&gt;"",AW230,AL230)&amp;"',(SELECT id FROM klub WHERE naziv = '"&amp;CR230&amp;"'),Null,1,'',1,"&amp;data_dnevnik_id&amp;");")</f>
        <v/>
      </c>
      <c r="DM230" t="s">
        <v>0</v>
      </c>
      <c r="DN230" s="19" t="str">
        <f t="shared" si="238"/>
        <v/>
      </c>
      <c r="DO230" s="47" t="s">
        <v>0</v>
      </c>
      <c r="DP230" s="19" t="str">
        <f>IF(BA230="","","INSERT INTO imeprezime_alias(id,alias,imeprezime_id) VALUES ("&amp;BB230&amp;",'"&amp;BA230&amp;"',"&amp;IF(BC230="NEMA",BD230,BC230)&amp;");")</f>
        <v/>
      </c>
      <c r="DQ230" s="47" t="s">
        <v>0</v>
      </c>
      <c r="DR230" s="52" t="str">
        <f>IF(AL230="","",DU230 &amp; IF(Q230="",""," – " &amp; Q230))</f>
        <v>Kimi Maria – Gobec – OK Vihor – Ž16</v>
      </c>
      <c r="DS230" s="53">
        <f t="shared" si="200"/>
        <v>676</v>
      </c>
      <c r="DT230" s="47" t="s">
        <v>0</v>
      </c>
      <c r="DU230" s="52" t="str">
        <f>IF(AL230="","",DX230 &amp; IF(CR230="",""," – " &amp; CR230))</f>
        <v>Kimi Maria – Gobec – OK Vihor</v>
      </c>
      <c r="DV230" s="53">
        <f t="shared" si="201"/>
        <v>676</v>
      </c>
      <c r="DW230" s="47" t="s">
        <v>0</v>
      </c>
      <c r="DX230" s="52" t="str">
        <f>IF(BG230="","",BF230&amp;" – "&amp;BG230)</f>
        <v>Kimi Maria – Gobec</v>
      </c>
      <c r="DY230" s="53">
        <f t="shared" si="202"/>
        <v>676</v>
      </c>
      <c r="DZ230" s="47" t="s">
        <v>0</v>
      </c>
      <c r="EA230" s="58">
        <f t="shared" si="231"/>
        <v>676</v>
      </c>
      <c r="EB230" s="53" cm="1">
        <f t="array" ref="EB230">IF(EA230&lt;&gt;"",INDEX(regNatjecatelj_id,EA230,0),IF(BD230&lt;&gt;"",BD230,""))</f>
        <v>1301</v>
      </c>
      <c r="EC230" s="47" t="s">
        <v>0</v>
      </c>
      <c r="ED230" s="58" t="str">
        <f>IF(AL230="","",IF(BD230&lt;&gt;"","novo",IF(AN230="","imepre","imepre(ali)")))</f>
        <v>imepre</v>
      </c>
      <c r="EE230" s="73" t="str">
        <f>IF(AL230="","",IF(BL230="",IF(IFERROR(INDEX(regNatjecatelj_klub,MATCH(EB230,regNatjecatelj_id,0)),"NEMA")="","klu",""),IF(OR(AND(BN230&lt;&gt;"",BN230&lt;&gt;"NEMA"),CD230&lt;&gt;""),"klu(ali)",IF(AND(BP230&lt;&gt;"",BP230&lt;&gt;BO230),"(raz-klu)","klu"))))</f>
        <v>klu</v>
      </c>
      <c r="EF230" s="73" t="str">
        <f>IF(AL230="","","kat"&amp;IF(AND(W230&lt;&gt;Q230,Q230&lt;&gt;"Open"),"(ali)",""))</f>
        <v>kat</v>
      </c>
      <c r="EG230" s="73" t="str">
        <f t="shared" si="203"/>
        <v/>
      </c>
      <c r="EH230" s="66" t="str">
        <f>IF(AL230="","",ED230&amp;IF(ED230="novo","","-"&amp;EE230&amp;"-"&amp;EF230)&amp;IF(EG230="","","-"&amp;EG230))</f>
        <v>imepre-klu-kat</v>
      </c>
      <c r="EI230" s="47" t="s">
        <v>0</v>
      </c>
      <c r="EJ230" s="58">
        <f>IF(AL230="","",MAX(EJ$12:EJ229)+1)</f>
        <v>387</v>
      </c>
      <c r="EK230" s="73">
        <f>IF(AO230="","",X230)</f>
        <v>37</v>
      </c>
      <c r="EL230" s="73">
        <f t="shared" si="232"/>
        <v>1301</v>
      </c>
      <c r="EM230" s="73">
        <f t="shared" si="204"/>
        <v>3211</v>
      </c>
      <c r="EN230" s="73">
        <f t="shared" si="205"/>
        <v>1</v>
      </c>
      <c r="EO230" s="73">
        <f t="shared" si="233"/>
        <v>1</v>
      </c>
      <c r="EP230" s="73">
        <f t="shared" si="234"/>
        <v>1</v>
      </c>
      <c r="EQ230" s="73" t="str">
        <f t="shared" si="206"/>
        <v>0</v>
      </c>
      <c r="ER230" s="73" t="str">
        <f>IF(OR(AN230="",AN230="NEMA"),BB230,AN230)</f>
        <v/>
      </c>
      <c r="ES230" s="73" t="str">
        <f>IF(AND(BN230&lt;&gt;"",BN230&lt;&gt;"NEMA"),BN230,IF(CG230&lt;&gt;"",CG230,IF(AND(CL230&lt;&gt;"",CL230&lt;&gt;"NEMA"),CL230,IF(CM230&lt;&gt;"",CM230,""))))</f>
        <v/>
      </c>
      <c r="ET230" s="53" t="str">
        <f>IF(INDEX(natKategorija_alias_Id,MATCH(S230,natKategorija_katRegId,0))="","",INDEX(natKategorija_alias_Id,MATCH(S230,natKategorija_katRegId,0)))</f>
        <v/>
      </c>
      <c r="EU230" s="47" t="s">
        <v>0</v>
      </c>
      <c r="EV230" s="19" t="str">
        <f t="shared" si="235"/>
        <v>INSERT INTO rezultat(id,stazakategorija_id,imeprezime_id,vrijeme_sec,status_id,registracija,uparivanje_id,originalstatus_id,imeprezimealias_id,klubalias_id,kategorijaalias_id) VALUES (387,37,1301,3211,1,1,1,0,Null,Null,Null);</v>
      </c>
      <c r="EW230" s="47" t="s">
        <v>0</v>
      </c>
      <c r="EX230" s="19" t="str">
        <f t="shared" si="236"/>
        <v>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0" s="47" t="s">
        <v>0</v>
      </c>
      <c r="EZ230" s="180" t="str">
        <f>AG230&amp;IF(CP230="","","
")&amp;CP230&amp;IF(CI230="","","
")&amp;CI230&amp;IF(DN230="","","
")&amp;DN230&amp;IF(DP230="","","
")&amp;DP230&amp;IF(EV230="","","
")&amp;EV230&amp;IF(EX230="","","
")&amp;EX230</f>
        <v xml:space="preserve">
INSERT INTO rezultat(id,stazakategorija_id,imeprezime_id,vrijeme_sec,status_id,registracija,uparivanje_id,originalstatus_id,imeprezimealias_id,klubalias_id,kategorijaalias_id) VALUES (387,37,1301,3211,1,1,1,0,Null,Null,Null);
UPDATE
	registar
SET
	potvrda = 1
WHERE
	imeprezime_id=1301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0" s="47" t="s">
        <v>0</v>
      </c>
    </row>
    <row r="231" spans="1:157" x14ac:dyDescent="0.25">
      <c r="A231" t="s">
        <v>0</v>
      </c>
      <c r="B231" s="52" t="str">
        <f>IF(csv!F221="","",csv!T221)</f>
        <v>Ž16</v>
      </c>
      <c r="C231" s="31" t="s">
        <v>0</v>
      </c>
      <c r="D231" s="31" t="str">
        <f>IF(csv!F221="","",csv!F221)</f>
        <v>Majda</v>
      </c>
      <c r="E231" s="31" t="str">
        <f>IF(csv!E221="","",csv!E221)</f>
        <v>Vidaković</v>
      </c>
      <c r="F231" s="31" t="s">
        <v>0</v>
      </c>
      <c r="G231" s="73" t="str">
        <f>IF(csv!M221="","",csv!M221)</f>
        <v>53:57</v>
      </c>
      <c r="H231" s="73" t="str">
        <f>IF(csv!N221="","",csv!N221)</f>
        <v>0</v>
      </c>
      <c r="I231" s="31" t="s">
        <v>0</v>
      </c>
      <c r="J231" s="31" t="str">
        <f>IF(csv!P221="","",csv!P221)</f>
        <v>KAP</v>
      </c>
      <c r="K231" s="31" t="str">
        <f>IF(csv!Q221="","",csv!Q221)</f>
        <v>OK Kapela</v>
      </c>
      <c r="L231" s="31" t="s">
        <v>0</v>
      </c>
      <c r="M231" s="66" t="str">
        <f>IF(csv!R221="","",csv!R221)</f>
        <v>CRO</v>
      </c>
      <c r="N231" s="47" t="s">
        <v>0</v>
      </c>
      <c r="O231" s="243" t="str">
        <f t="shared" si="207"/>
        <v>ok</v>
      </c>
      <c r="P231" s="47"/>
      <c r="Q231" s="52" t="str">
        <f t="shared" si="208"/>
        <v>Ž16</v>
      </c>
      <c r="R231" s="73">
        <f>IF(Q231="","",IF(COUNTIF(Q$12:Q230,Q231)=0,R230+1,R230))</f>
        <v>15</v>
      </c>
      <c r="S231" s="73">
        <f t="shared" si="209"/>
        <v>120</v>
      </c>
      <c r="T231" s="73">
        <f t="shared" si="184"/>
        <v>27</v>
      </c>
      <c r="U231" s="66" t="str">
        <f t="shared" si="185"/>
        <v>Ž21B – Ž16</v>
      </c>
      <c r="V231" s="47" t="s">
        <v>0</v>
      </c>
      <c r="W231" s="222" t="str">
        <f t="shared" si="186"/>
        <v>Ž16</v>
      </c>
      <c r="X231" s="223">
        <f t="shared" si="187"/>
        <v>37</v>
      </c>
      <c r="Y231" s="47" t="s">
        <v>0</v>
      </c>
      <c r="Z231" s="52" t="str">
        <f t="shared" si="210"/>
        <v>CRO</v>
      </c>
      <c r="AA231" s="73">
        <f t="shared" si="188"/>
        <v>1</v>
      </c>
      <c r="AB231" s="31" t="str">
        <f t="shared" si="211"/>
        <v/>
      </c>
      <c r="AC231" s="66" t="str">
        <f>IF(AB231="","",MAX(AC$12:AC230)+1)</f>
        <v/>
      </c>
      <c r="AD231" s="47" t="s">
        <v>0</v>
      </c>
      <c r="AE231" s="125"/>
      <c r="AF231" s="47" t="s">
        <v>0</v>
      </c>
      <c r="AG231" s="19" t="str">
        <f t="shared" si="212"/>
        <v/>
      </c>
      <c r="AH231" s="47" t="s">
        <v>0</v>
      </c>
      <c r="AI231" s="143" t="str">
        <f t="shared" si="213"/>
        <v>CRO</v>
      </c>
      <c r="AJ231" s="47"/>
      <c r="AK231" s="52" t="str">
        <f t="shared" si="214"/>
        <v>Majda</v>
      </c>
      <c r="AL231" s="31" t="str">
        <f t="shared" si="215"/>
        <v>Vidaković</v>
      </c>
      <c r="AM231" s="73">
        <f t="shared" si="216"/>
        <v>1259</v>
      </c>
      <c r="AN231" s="73" t="str">
        <f t="shared" si="217"/>
        <v/>
      </c>
      <c r="AO231" s="31" t="str">
        <f t="shared" si="189"/>
        <v>Majda</v>
      </c>
      <c r="AP231" s="66" t="str">
        <f t="shared" si="190"/>
        <v>Vidaković</v>
      </c>
      <c r="AQ231" s="47" t="s">
        <v>0</v>
      </c>
      <c r="AR231" s="82" t="str">
        <f t="shared" si="218"/>
        <v/>
      </c>
      <c r="AS231" s="47" t="s">
        <v>0</v>
      </c>
      <c r="AT231" s="19" t="str">
        <f t="shared" si="219"/>
        <v/>
      </c>
      <c r="AU231" s="47" t="s">
        <v>0</v>
      </c>
      <c r="AV231" s="103"/>
      <c r="AW231" s="105"/>
      <c r="AX231" s="47" t="s">
        <v>0</v>
      </c>
      <c r="AY231" s="256" t="str">
        <f t="shared" si="237"/>
        <v/>
      </c>
      <c r="AZ231" s="47" t="s">
        <v>0</v>
      </c>
      <c r="BA231" s="52" t="str">
        <f t="shared" si="191"/>
        <v/>
      </c>
      <c r="BB231" s="73" t="str">
        <f>IF(AV231&amp;AW231="","",MAX(BB$12:BB230)+1)</f>
        <v/>
      </c>
      <c r="BC231" s="268" t="str">
        <f t="shared" si="192"/>
        <v/>
      </c>
      <c r="BD231" s="53" t="str">
        <f>IF(AND(AM231="NEMA",AN231="NEMA",OR(AV231&amp;AW231="",BC231="NEMA")),MAX(BD$12:BD230)+1,"")</f>
        <v/>
      </c>
      <c r="BE231" s="47" t="s">
        <v>0</v>
      </c>
      <c r="BF231" s="52" t="str">
        <f t="shared" si="193"/>
        <v>Majda</v>
      </c>
      <c r="BG231" s="31" t="str">
        <f t="shared" si="194"/>
        <v>Vidaković</v>
      </c>
      <c r="BH231" s="73" t="str">
        <f t="shared" si="220"/>
        <v/>
      </c>
      <c r="BI231" s="53">
        <f t="shared" si="221"/>
        <v>1259</v>
      </c>
      <c r="BJ231" s="47" t="s">
        <v>0</v>
      </c>
      <c r="BK231" s="52" t="str">
        <f t="shared" si="195"/>
        <v>KAP</v>
      </c>
      <c r="BL231" s="31" t="str">
        <f t="shared" si="196"/>
        <v>OK Kapela</v>
      </c>
      <c r="BM231" s="73">
        <f t="shared" si="197"/>
        <v>5</v>
      </c>
      <c r="BN231" s="73" t="str">
        <f t="shared" si="198"/>
        <v/>
      </c>
      <c r="BO231" s="31" t="str" cm="1">
        <f t="array" ref="BO231">IF(BN231="",""&amp;BL231,IF(BN231="NEMA",BL231,INDEX(regKlub_naziv,MATCH(INDEX(regKlub_alias_klubId,BN231),regKlub_id,0))))</f>
        <v>OK Kapela</v>
      </c>
      <c r="BP231" s="31" t="str" cm="1">
        <f t="array" ref="BP231">IFERROR(""&amp;INDEX(regNatjecatelj_klub,DY231),"")</f>
        <v>OK Kapela</v>
      </c>
      <c r="BQ231" s="88" t="str">
        <f t="shared" si="222"/>
        <v/>
      </c>
      <c r="BR231" s="66" t="str">
        <f t="shared" si="223"/>
        <v>OK Kapela</v>
      </c>
      <c r="BS231" s="47" t="s">
        <v>0</v>
      </c>
      <c r="BT231" s="82" t="str">
        <f>IF(BN231&lt;&gt;"NEMA","",IF(IFERROR(MATCH(BL231,BL$12:BL230,0),0)&lt;&gt;0,"",BL231))</f>
        <v/>
      </c>
      <c r="BU231" s="47" t="s">
        <v>0</v>
      </c>
      <c r="BV231" s="125"/>
      <c r="BW231" s="47" t="s">
        <v>0</v>
      </c>
      <c r="BX231" s="58" t="str">
        <f t="shared" si="224"/>
        <v/>
      </c>
      <c r="BY231" s="31" t="str">
        <f t="shared" si="225"/>
        <v/>
      </c>
      <c r="BZ231" s="31" t="str">
        <f>IF(BY231="","",MAX(BZ$12:BZ230)+1)</f>
        <v/>
      </c>
      <c r="CA231" s="31" t="str">
        <f>IF(BY231="","",IF(AA231="","",IF(AA231="NEMA",AC231,AA231)))</f>
        <v/>
      </c>
      <c r="CB231" s="31" t="str">
        <f t="shared" si="226"/>
        <v/>
      </c>
      <c r="CC231" s="31" t="str">
        <f>IF(BV231="","",MAX(CC$12:CC230)+1)</f>
        <v/>
      </c>
      <c r="CD231" s="31" t="str">
        <f t="shared" si="227"/>
        <v/>
      </c>
      <c r="CE231" s="66" t="str">
        <f t="shared" si="228"/>
        <v/>
      </c>
      <c r="CF231" s="47" t="s">
        <v>0</v>
      </c>
      <c r="CG231" s="73" t="str">
        <f>IF(BN231="","",IF(BN231&lt;&gt;"NEMA","",IFERROR(INDEX(nat_klubAliasId,MATCH(BL231,nat_noviKluboviAliasi,0)),"")))</f>
        <v/>
      </c>
      <c r="CH231" s="47"/>
      <c r="CI231" s="19" t="str">
        <f t="shared" si="229"/>
        <v/>
      </c>
      <c r="CJ231" s="47" t="s">
        <v>0</v>
      </c>
      <c r="CK231" s="52" t="str">
        <f>IF(X231&lt;&gt;"NEMA","",IF(IFERROR(MATCH(W231,W$12:W230,0),0)&lt;&gt;0,"",W231))</f>
        <v/>
      </c>
      <c r="CL231" s="73" t="str">
        <f>IF(CK231="","",IFERROR(INDEX(regKlub_alias_id,MATCH(CK231,regKlub_alias_alias,0)),"NEMA"))</f>
        <v/>
      </c>
      <c r="CM231" s="31" t="str">
        <f>IF(OR(CL231="",CL231&lt;&gt;"NEMA"),"",MAX(CM$12:CM230)+1)</f>
        <v/>
      </c>
      <c r="CN231" s="66" t="str">
        <f>IF(OR(CL231="",CL231&lt;&gt;"NEMA"),"",INDEX(regKlub_id,MATCH(CK231,regKlub_naziv,0)))</f>
        <v/>
      </c>
      <c r="CO231" s="47" t="s">
        <v>0</v>
      </c>
      <c r="CP231" s="19" t="str">
        <f>IF(OR(CL231="",CL231&lt;&gt;"NEMA"),"","INSERT INTO klub_alias(id,alias,klub_id) VALUES ("&amp;CM231&amp;",'"&amp;CK231&amp;"',"&amp;CN231&amp;");")</f>
        <v/>
      </c>
      <c r="CQ231" s="47" t="s">
        <v>0</v>
      </c>
      <c r="CR231" s="143" t="str">
        <f>IF(BR231="","",IF(BV231="",IF(IFERROR(MATCH(BR231,nat_noviKluboviAliasi,0),0)&gt;0,INDEX(nat_kluboviAliasi,MATCH(BR231,nat_noviKluboviAliasi,0)),BR231),BV231))</f>
        <v>OK Kapela</v>
      </c>
      <c r="CS231" s="47" t="s">
        <v>0</v>
      </c>
      <c r="CT231" s="58" t="str">
        <f>IF(G231="","",G231)</f>
        <v>53:57</v>
      </c>
      <c r="CU231" s="73" t="str">
        <f>IF(H231="","",H231)</f>
        <v>0</v>
      </c>
      <c r="CV231" s="229" t="str">
        <f>IF(CT231="",IF(OR(AL231="",CU231&lt;&gt;"0"),"","GREŠKA"),IF(AND(65535&gt;=VALUE(LEFT(CT231,SEARCH(":",CT231)-1))*60+VALUE(RIGHT(CT231,2)),OR(CU231="0",CU231="1",CU231="2",CU231="3",CU231="4")),"","GREŠKA"))</f>
        <v/>
      </c>
      <c r="CW231" s="230">
        <f t="shared" si="183"/>
        <v>3237</v>
      </c>
      <c r="CX231" s="163">
        <f t="shared" si="199"/>
        <v>1</v>
      </c>
      <c r="CY231" s="47" t="s">
        <v>0</v>
      </c>
      <c r="CZ231" s="222" t="str">
        <f>IF(CV231&lt;&gt;"GREŠKA","",AK231&amp;" "&amp;AL231&amp;" – Molim u OEventu provjeriti i ispraviti rezultat – vrijeme ("&amp;IF(CT231="","nije upisano",CT231)&amp;") i classifier ("&amp;CU231&amp;").")&amp;IF(OR(CV231&lt;&gt;"GREŠKA",CX231&lt;&gt;5),"
","")&amp;IF(CX231&lt;&gt;5,"",AK231&amp;" "&amp;AL231&amp;" – Molim u provjeriti je li natjecatelj zaista diskvalificiran. Ako je koje je obrazloženje, ako nije molim u OEventu ispraviti rezultat")</f>
        <v xml:space="preserve">
</v>
      </c>
      <c r="DA231" s="223">
        <f t="shared" si="230"/>
        <v>6</v>
      </c>
      <c r="DB231" s="47" t="s">
        <v>0</v>
      </c>
      <c r="DC231" s="47"/>
      <c r="DD231" s="47"/>
      <c r="DE231" s="47"/>
      <c r="DF231" s="47" t="s">
        <v>0</v>
      </c>
      <c r="DG231" s="53" t="str">
        <f>IF(BD231="","",IF(DI231="O",1,""))</f>
        <v/>
      </c>
      <c r="DH231" t="s">
        <v>0</v>
      </c>
      <c r="DI231" s="128" t="str">
        <f>IF(Q231="","",LEFT(INDEX(regKategorija_oznaka,MATCH(S231,regKategorija_id,0)),1))</f>
        <v>Ž</v>
      </c>
      <c r="DJ231" t="s">
        <v>0</v>
      </c>
      <c r="DK231" s="52" t="str">
        <f>IF(BD231="","",IF(M231&lt;&gt;"CRO","","INSERT INTO osoba (id,reg_broj,oib,spol_id,dat_rodjenja) VALUES ("&amp;BD231&amp;",(SELECT max(os.reg_broj)+1 FROM osoba AS os),Null,'"&amp;DI231&amp;"',Null); INSERT INTO osoba_log (id,reg_broj,oib,spol_id,dat_rodjenja,dnevnik_id) SELECT id,reg_broj,oib,spol_id,dat_rodjenja,"&amp;data_dnevnik_id&amp;" FROM osoba WHERE id = "&amp;BD231&amp;";"))</f>
        <v/>
      </c>
      <c r="DL231" s="66" t="str">
        <f>IF(BD231="","","INSERT INTO imeprezime (id,osoba_id,rbr,ime,prezime,klub_id,identitet_id,sintaksa_id,info,aktivno,dnevnik_id) VALUES ("&amp;BD231&amp;","&amp;IF(DK231="","Null",BD231)&amp;",1,'"&amp;IF(AV231&lt;&gt;"",AV231,AK231)&amp;"','"&amp;IF(AW231&lt;&gt;"",AW231,AL231)&amp;"',(SELECT id FROM klub WHERE naziv = '"&amp;CR231&amp;"'),Null,1,'',1,"&amp;data_dnevnik_id&amp;");")</f>
        <v/>
      </c>
      <c r="DM231" t="s">
        <v>0</v>
      </c>
      <c r="DN231" s="19" t="str">
        <f t="shared" si="238"/>
        <v/>
      </c>
      <c r="DO231" s="47" t="s">
        <v>0</v>
      </c>
      <c r="DP231" s="19" t="str">
        <f>IF(BA231="","","INSERT INTO imeprezime_alias(id,alias,imeprezime_id) VALUES ("&amp;BB231&amp;",'"&amp;BA231&amp;"',"&amp;IF(BC231="NEMA",BD231,BC231)&amp;");")</f>
        <v/>
      </c>
      <c r="DQ231" s="47" t="s">
        <v>0</v>
      </c>
      <c r="DR231" s="52" t="str">
        <f>IF(AL231="","",DU231 &amp; IF(Q231="",""," – " &amp; Q231))</f>
        <v>Majda – Vidaković – OK Kapela – Ž16</v>
      </c>
      <c r="DS231" s="53">
        <f t="shared" si="200"/>
        <v>324</v>
      </c>
      <c r="DT231" s="47" t="s">
        <v>0</v>
      </c>
      <c r="DU231" s="52" t="str">
        <f>IF(AL231="","",DX231 &amp; IF(CR231="",""," – " &amp; CR231))</f>
        <v>Majda – Vidaković – OK Kapela</v>
      </c>
      <c r="DV231" s="53">
        <f t="shared" si="201"/>
        <v>324</v>
      </c>
      <c r="DW231" s="47" t="s">
        <v>0</v>
      </c>
      <c r="DX231" s="52" t="str">
        <f>IF(BG231="","",BF231&amp;" – "&amp;BG231)</f>
        <v>Majda – Vidaković</v>
      </c>
      <c r="DY231" s="53">
        <f t="shared" si="202"/>
        <v>324</v>
      </c>
      <c r="DZ231" s="47" t="s">
        <v>0</v>
      </c>
      <c r="EA231" s="58">
        <f t="shared" si="231"/>
        <v>324</v>
      </c>
      <c r="EB231" s="53" cm="1">
        <f t="array" ref="EB231">IF(EA231&lt;&gt;"",INDEX(regNatjecatelj_id,EA231,0),IF(BD231&lt;&gt;"",BD231,""))</f>
        <v>1259</v>
      </c>
      <c r="EC231" s="47" t="s">
        <v>0</v>
      </c>
      <c r="ED231" s="58" t="str">
        <f>IF(AL231="","",IF(BD231&lt;&gt;"","novo",IF(AN231="","imepre","imepre(ali)")))</f>
        <v>imepre</v>
      </c>
      <c r="EE231" s="73" t="str">
        <f>IF(AL231="","",IF(BL231="",IF(IFERROR(INDEX(regNatjecatelj_klub,MATCH(EB231,regNatjecatelj_id,0)),"NEMA")="","klu",""),IF(OR(AND(BN231&lt;&gt;"",BN231&lt;&gt;"NEMA"),CD231&lt;&gt;""),"klu(ali)",IF(AND(BP231&lt;&gt;"",BP231&lt;&gt;BO231),"(raz-klu)","klu"))))</f>
        <v>klu</v>
      </c>
      <c r="EF231" s="73" t="str">
        <f>IF(AL231="","","kat"&amp;IF(AND(W231&lt;&gt;Q231,Q231&lt;&gt;"Open"),"(ali)",""))</f>
        <v>kat</v>
      </c>
      <c r="EG231" s="73" t="str">
        <f t="shared" si="203"/>
        <v/>
      </c>
      <c r="EH231" s="66" t="str">
        <f>IF(AL231="","",ED231&amp;IF(ED231="novo","","-"&amp;EE231&amp;"-"&amp;EF231)&amp;IF(EG231="","","-"&amp;EG231))</f>
        <v>imepre-klu-kat</v>
      </c>
      <c r="EI231" s="47" t="s">
        <v>0</v>
      </c>
      <c r="EJ231" s="58">
        <f>IF(AL231="","",MAX(EJ$12:EJ230)+1)</f>
        <v>388</v>
      </c>
      <c r="EK231" s="73">
        <f>IF(AO231="","",X231)</f>
        <v>37</v>
      </c>
      <c r="EL231" s="73">
        <f t="shared" si="232"/>
        <v>1259</v>
      </c>
      <c r="EM231" s="73">
        <f t="shared" si="204"/>
        <v>3237</v>
      </c>
      <c r="EN231" s="73">
        <f t="shared" si="205"/>
        <v>1</v>
      </c>
      <c r="EO231" s="73">
        <f t="shared" si="233"/>
        <v>1</v>
      </c>
      <c r="EP231" s="73">
        <f t="shared" si="234"/>
        <v>1</v>
      </c>
      <c r="EQ231" s="73" t="str">
        <f t="shared" si="206"/>
        <v>0</v>
      </c>
      <c r="ER231" s="73" t="str">
        <f>IF(OR(AN231="",AN231="NEMA"),BB231,AN231)</f>
        <v/>
      </c>
      <c r="ES231" s="73" t="str">
        <f>IF(AND(BN231&lt;&gt;"",BN231&lt;&gt;"NEMA"),BN231,IF(CG231&lt;&gt;"",CG231,IF(AND(CL231&lt;&gt;"",CL231&lt;&gt;"NEMA"),CL231,IF(CM231&lt;&gt;"",CM231,""))))</f>
        <v/>
      </c>
      <c r="ET231" s="53" t="str">
        <f>IF(INDEX(natKategorija_alias_Id,MATCH(S231,natKategorija_katRegId,0))="","",INDEX(natKategorija_alias_Id,MATCH(S231,natKategorija_katRegId,0)))</f>
        <v/>
      </c>
      <c r="EU231" s="47" t="s">
        <v>0</v>
      </c>
      <c r="EV231" s="19" t="str">
        <f t="shared" si="235"/>
        <v>INSERT INTO rezultat(id,stazakategorija_id,imeprezime_id,vrijeme_sec,status_id,registracija,uparivanje_id,originalstatus_id,imeprezimealias_id,klubalias_id,kategorijaalias_id) VALUES (388,37,1259,3237,1,1,1,0,Null,Null,Null);</v>
      </c>
      <c r="EW231" s="47" t="s">
        <v>0</v>
      </c>
      <c r="EX231" s="19" t="str">
        <f t="shared" si="236"/>
        <v>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1" s="47" t="s">
        <v>0</v>
      </c>
      <c r="EZ231" s="180" t="str">
        <f>AG231&amp;IF(CP231="","","
")&amp;CP231&amp;IF(CI231="","","
")&amp;CI231&amp;IF(DN231="","","
")&amp;DN231&amp;IF(DP231="","","
")&amp;DP231&amp;IF(EV231="","","
")&amp;EV231&amp;IF(EX231="","","
")&amp;EX231</f>
        <v xml:space="preserve">
INSERT INTO rezultat(id,stazakategorija_id,imeprezime_id,vrijeme_sec,status_id,registracija,uparivanje_id,originalstatus_id,imeprezimealias_id,klubalias_id,kategorijaalias_id) VALUES (388,37,1259,3237,1,1,1,0,Null,Null,Null);
UPDATE
	registar
SET
	potvrda = 1
WHERE
	imeprezime_id=1259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1" s="47" t="s">
        <v>0</v>
      </c>
    </row>
    <row r="232" spans="1:157" x14ac:dyDescent="0.25">
      <c r="A232" t="s">
        <v>0</v>
      </c>
      <c r="B232" s="52" t="str">
        <f>IF(csv!F222="","",csv!T222)</f>
        <v>Ž16</v>
      </c>
      <c r="C232" s="31" t="s">
        <v>0</v>
      </c>
      <c r="D232" s="31" t="str">
        <f>IF(csv!F222="","",csv!F222)</f>
        <v>Marta</v>
      </c>
      <c r="E232" s="31" t="str">
        <f>IF(csv!E222="","",csv!E222)</f>
        <v>Nikolić</v>
      </c>
      <c r="F232" s="31" t="s">
        <v>0</v>
      </c>
      <c r="G232" s="73" t="str">
        <f>IF(csv!M222="","",csv!M222)</f>
        <v>58:06</v>
      </c>
      <c r="H232" s="73" t="str">
        <f>IF(csv!N222="","",csv!N222)</f>
        <v>0</v>
      </c>
      <c r="I232" s="31" t="s">
        <v>0</v>
      </c>
      <c r="J232" s="31" t="str">
        <f>IF(csv!P222="","",csv!P222)</f>
        <v>Vihor</v>
      </c>
      <c r="K232" s="31" t="str">
        <f>IF(csv!Q222="","",csv!Q222)</f>
        <v>OK Vihor</v>
      </c>
      <c r="L232" s="31" t="s">
        <v>0</v>
      </c>
      <c r="M232" s="66" t="str">
        <f>IF(csv!R222="","",csv!R222)</f>
        <v>CRO</v>
      </c>
      <c r="N232" s="47" t="s">
        <v>0</v>
      </c>
      <c r="O232" s="243" t="str">
        <f t="shared" si="207"/>
        <v>ok</v>
      </c>
      <c r="P232" s="47"/>
      <c r="Q232" s="52" t="str">
        <f t="shared" si="208"/>
        <v>Ž16</v>
      </c>
      <c r="R232" s="73">
        <f>IF(Q232="","",IF(COUNTIF(Q$12:Q231,Q232)=0,R231+1,R231))</f>
        <v>15</v>
      </c>
      <c r="S232" s="73">
        <f t="shared" si="209"/>
        <v>120</v>
      </c>
      <c r="T232" s="73">
        <f t="shared" si="184"/>
        <v>27</v>
      </c>
      <c r="U232" s="66" t="str">
        <f t="shared" si="185"/>
        <v>Ž21B – Ž16</v>
      </c>
      <c r="V232" s="47" t="s">
        <v>0</v>
      </c>
      <c r="W232" s="222" t="str">
        <f t="shared" si="186"/>
        <v>Ž16</v>
      </c>
      <c r="X232" s="223">
        <f t="shared" si="187"/>
        <v>37</v>
      </c>
      <c r="Y232" s="47" t="s">
        <v>0</v>
      </c>
      <c r="Z232" s="52" t="str">
        <f t="shared" si="210"/>
        <v>CRO</v>
      </c>
      <c r="AA232" s="73">
        <f t="shared" si="188"/>
        <v>1</v>
      </c>
      <c r="AB232" s="31" t="str">
        <f t="shared" si="211"/>
        <v/>
      </c>
      <c r="AC232" s="66" t="str">
        <f>IF(AB232="","",MAX(AC$12:AC231)+1)</f>
        <v/>
      </c>
      <c r="AD232" s="47" t="s">
        <v>0</v>
      </c>
      <c r="AE232" s="125"/>
      <c r="AF232" s="47" t="s">
        <v>0</v>
      </c>
      <c r="AG232" s="19" t="str">
        <f t="shared" si="212"/>
        <v/>
      </c>
      <c r="AH232" s="47" t="s">
        <v>0</v>
      </c>
      <c r="AI232" s="143" t="str">
        <f t="shared" si="213"/>
        <v>CRO</v>
      </c>
      <c r="AJ232" s="47"/>
      <c r="AK232" s="52" t="str">
        <f t="shared" si="214"/>
        <v>Marta</v>
      </c>
      <c r="AL232" s="31" t="str">
        <f t="shared" si="215"/>
        <v>Nikolić</v>
      </c>
      <c r="AM232" s="73">
        <f t="shared" si="216"/>
        <v>1041</v>
      </c>
      <c r="AN232" s="73" t="str">
        <f t="shared" si="217"/>
        <v/>
      </c>
      <c r="AO232" s="31" t="str">
        <f t="shared" si="189"/>
        <v>Marta</v>
      </c>
      <c r="AP232" s="66" t="str">
        <f t="shared" si="190"/>
        <v>Nikolić</v>
      </c>
      <c r="AQ232" s="47" t="s">
        <v>0</v>
      </c>
      <c r="AR232" s="82" t="str">
        <f t="shared" si="218"/>
        <v/>
      </c>
      <c r="AS232" s="47" t="s">
        <v>0</v>
      </c>
      <c r="AT232" s="19" t="str">
        <f t="shared" si="219"/>
        <v/>
      </c>
      <c r="AU232" s="47" t="s">
        <v>0</v>
      </c>
      <c r="AV232" s="103"/>
      <c r="AW232" s="105"/>
      <c r="AX232" s="47" t="s">
        <v>0</v>
      </c>
      <c r="AY232" s="256" t="str">
        <f t="shared" si="237"/>
        <v/>
      </c>
      <c r="AZ232" s="47" t="s">
        <v>0</v>
      </c>
      <c r="BA232" s="52" t="str">
        <f t="shared" si="191"/>
        <v/>
      </c>
      <c r="BB232" s="73" t="str">
        <f>IF(AV232&amp;AW232="","",MAX(BB$12:BB231)+1)</f>
        <v/>
      </c>
      <c r="BC232" s="268" t="str">
        <f t="shared" si="192"/>
        <v/>
      </c>
      <c r="BD232" s="53" t="str">
        <f>IF(AND(AM232="NEMA",AN232="NEMA",OR(AV232&amp;AW232="",BC232="NEMA")),MAX(BD$12:BD231)+1,"")</f>
        <v/>
      </c>
      <c r="BE232" s="47" t="s">
        <v>0</v>
      </c>
      <c r="BF232" s="52" t="str">
        <f t="shared" si="193"/>
        <v>Marta</v>
      </c>
      <c r="BG232" s="31" t="str">
        <f t="shared" si="194"/>
        <v>Nikolić</v>
      </c>
      <c r="BH232" s="73" t="str">
        <f t="shared" si="220"/>
        <v/>
      </c>
      <c r="BI232" s="53">
        <f t="shared" si="221"/>
        <v>1041</v>
      </c>
      <c r="BJ232" s="47" t="s">
        <v>0</v>
      </c>
      <c r="BK232" s="52" t="str">
        <f t="shared" si="195"/>
        <v>Vihor</v>
      </c>
      <c r="BL232" s="31" t="str">
        <f t="shared" si="196"/>
        <v>OK Vihor</v>
      </c>
      <c r="BM232" s="73">
        <f t="shared" si="197"/>
        <v>12</v>
      </c>
      <c r="BN232" s="73" t="str">
        <f t="shared" si="198"/>
        <v/>
      </c>
      <c r="BO232" s="31" t="str" cm="1">
        <f t="array" ref="BO232">IF(BN232="",""&amp;BL232,IF(BN232="NEMA",BL232,INDEX(regKlub_naziv,MATCH(INDEX(regKlub_alias_klubId,BN232),regKlub_id,0))))</f>
        <v>OK Vihor</v>
      </c>
      <c r="BP232" s="31" t="str" cm="1">
        <f t="array" ref="BP232">IFERROR(""&amp;INDEX(regNatjecatelj_klub,DY232),"")</f>
        <v>OK Vihor</v>
      </c>
      <c r="BQ232" s="88" t="str">
        <f t="shared" si="222"/>
        <v/>
      </c>
      <c r="BR232" s="66" t="str">
        <f t="shared" si="223"/>
        <v>OK Vihor</v>
      </c>
      <c r="BS232" s="47" t="s">
        <v>0</v>
      </c>
      <c r="BT232" s="82" t="str">
        <f>IF(BN232&lt;&gt;"NEMA","",IF(IFERROR(MATCH(BL232,BL$12:BL231,0),0)&lt;&gt;0,"",BL232))</f>
        <v/>
      </c>
      <c r="BU232" s="47" t="s">
        <v>0</v>
      </c>
      <c r="BV232" s="125"/>
      <c r="BW232" s="47" t="s">
        <v>0</v>
      </c>
      <c r="BX232" s="58" t="str">
        <f t="shared" si="224"/>
        <v/>
      </c>
      <c r="BY232" s="31" t="str">
        <f t="shared" si="225"/>
        <v/>
      </c>
      <c r="BZ232" s="31" t="str">
        <f>IF(BY232="","",MAX(BZ$12:BZ231)+1)</f>
        <v/>
      </c>
      <c r="CA232" s="31" t="str">
        <f>IF(BY232="","",IF(AA232="","",IF(AA232="NEMA",AC232,AA232)))</f>
        <v/>
      </c>
      <c r="CB232" s="31" t="str">
        <f t="shared" si="226"/>
        <v/>
      </c>
      <c r="CC232" s="31" t="str">
        <f>IF(BV232="","",MAX(CC$12:CC231)+1)</f>
        <v/>
      </c>
      <c r="CD232" s="31" t="str">
        <f t="shared" si="227"/>
        <v/>
      </c>
      <c r="CE232" s="66" t="str">
        <f t="shared" si="228"/>
        <v/>
      </c>
      <c r="CF232" s="47" t="s">
        <v>0</v>
      </c>
      <c r="CG232" s="73" t="str">
        <f>IF(BN232="","",IF(BN232&lt;&gt;"NEMA","",IFERROR(INDEX(nat_klubAliasId,MATCH(BL232,nat_noviKluboviAliasi,0)),"")))</f>
        <v/>
      </c>
      <c r="CH232" s="47"/>
      <c r="CI232" s="19" t="str">
        <f t="shared" si="229"/>
        <v/>
      </c>
      <c r="CJ232" s="47" t="s">
        <v>0</v>
      </c>
      <c r="CK232" s="52" t="str">
        <f>IF(X232&lt;&gt;"NEMA","",IF(IFERROR(MATCH(W232,W$12:W231,0),0)&lt;&gt;0,"",W232))</f>
        <v/>
      </c>
      <c r="CL232" s="73" t="str">
        <f>IF(CK232="","",IFERROR(INDEX(regKlub_alias_id,MATCH(CK232,regKlub_alias_alias,0)),"NEMA"))</f>
        <v/>
      </c>
      <c r="CM232" s="31" t="str">
        <f>IF(OR(CL232="",CL232&lt;&gt;"NEMA"),"",MAX(CM$12:CM231)+1)</f>
        <v/>
      </c>
      <c r="CN232" s="66" t="str">
        <f>IF(OR(CL232="",CL232&lt;&gt;"NEMA"),"",INDEX(regKlub_id,MATCH(CK232,regKlub_naziv,0)))</f>
        <v/>
      </c>
      <c r="CO232" s="47" t="s">
        <v>0</v>
      </c>
      <c r="CP232" s="19" t="str">
        <f>IF(OR(CL232="",CL232&lt;&gt;"NEMA"),"","INSERT INTO klub_alias(id,alias,klub_id) VALUES ("&amp;CM232&amp;",'"&amp;CK232&amp;"',"&amp;CN232&amp;");")</f>
        <v/>
      </c>
      <c r="CQ232" s="47" t="s">
        <v>0</v>
      </c>
      <c r="CR232" s="143" t="str">
        <f>IF(BR232="","",IF(BV232="",IF(IFERROR(MATCH(BR232,nat_noviKluboviAliasi,0),0)&gt;0,INDEX(nat_kluboviAliasi,MATCH(BR232,nat_noviKluboviAliasi,0)),BR232),BV232))</f>
        <v>OK Vihor</v>
      </c>
      <c r="CS232" s="47" t="s">
        <v>0</v>
      </c>
      <c r="CT232" s="58" t="str">
        <f>IF(G232="","",G232)</f>
        <v>58:06</v>
      </c>
      <c r="CU232" s="73" t="str">
        <f>IF(H232="","",H232)</f>
        <v>0</v>
      </c>
      <c r="CV232" s="229" t="str">
        <f>IF(CT232="",IF(OR(AL232="",CU232&lt;&gt;"0"),"","GREŠKA"),IF(AND(65535&gt;=VALUE(LEFT(CT232,SEARCH(":",CT232)-1))*60+VALUE(RIGHT(CT232,2)),OR(CU232="0",CU232="1",CU232="2",CU232="3",CU232="4")),"","GREŠKA"))</f>
        <v/>
      </c>
      <c r="CW232" s="230">
        <f t="shared" si="183"/>
        <v>3486</v>
      </c>
      <c r="CX232" s="163">
        <f t="shared" si="199"/>
        <v>1</v>
      </c>
      <c r="CY232" s="47" t="s">
        <v>0</v>
      </c>
      <c r="CZ232" s="222" t="str">
        <f>IF(CV232&lt;&gt;"GREŠKA","",AK232&amp;" "&amp;AL232&amp;" – Molim u OEventu provjeriti i ispraviti rezultat – vrijeme ("&amp;IF(CT232="","nije upisano",CT232)&amp;") i classifier ("&amp;CU232&amp;").")&amp;IF(OR(CV232&lt;&gt;"GREŠKA",CX232&lt;&gt;5),"
","")&amp;IF(CX232&lt;&gt;5,"",AK232&amp;" "&amp;AL232&amp;" – Molim u provjeriti je li natjecatelj zaista diskvalificiran. Ako je koje je obrazloženje, ako nije molim u OEventu ispraviti rezultat")</f>
        <v xml:space="preserve">
</v>
      </c>
      <c r="DA232" s="223">
        <f t="shared" si="230"/>
        <v>6</v>
      </c>
      <c r="DB232" s="47" t="s">
        <v>0</v>
      </c>
      <c r="DC232" s="47"/>
      <c r="DD232" s="47"/>
      <c r="DE232" s="47"/>
      <c r="DF232" s="47" t="s">
        <v>0</v>
      </c>
      <c r="DG232" s="53" t="str">
        <f>IF(BD232="","",IF(DI232="O",1,""))</f>
        <v/>
      </c>
      <c r="DH232" t="s">
        <v>0</v>
      </c>
      <c r="DI232" s="128" t="str">
        <f>IF(Q232="","",LEFT(INDEX(regKategorija_oznaka,MATCH(S232,regKategorija_id,0)),1))</f>
        <v>Ž</v>
      </c>
      <c r="DJ232" t="s">
        <v>0</v>
      </c>
      <c r="DK232" s="52" t="str">
        <f>IF(BD232="","",IF(M232&lt;&gt;"CRO","","INSERT INTO osoba (id,reg_broj,oib,spol_id,dat_rodjenja) VALUES ("&amp;BD232&amp;",(SELECT max(os.reg_broj)+1 FROM osoba AS os),Null,'"&amp;DI232&amp;"',Null); INSERT INTO osoba_log (id,reg_broj,oib,spol_id,dat_rodjenja,dnevnik_id) SELECT id,reg_broj,oib,spol_id,dat_rodjenja,"&amp;data_dnevnik_id&amp;" FROM osoba WHERE id = "&amp;BD232&amp;";"))</f>
        <v/>
      </c>
      <c r="DL232" s="66" t="str">
        <f>IF(BD232="","","INSERT INTO imeprezime (id,osoba_id,rbr,ime,prezime,klub_id,identitet_id,sintaksa_id,info,aktivno,dnevnik_id) VALUES ("&amp;BD232&amp;","&amp;IF(DK232="","Null",BD232)&amp;",1,'"&amp;IF(AV232&lt;&gt;"",AV232,AK232)&amp;"','"&amp;IF(AW232&lt;&gt;"",AW232,AL232)&amp;"',(SELECT id FROM klub WHERE naziv = '"&amp;CR232&amp;"'),Null,1,'',1,"&amp;data_dnevnik_id&amp;");")</f>
        <v/>
      </c>
      <c r="DM232" t="s">
        <v>0</v>
      </c>
      <c r="DN232" s="19" t="str">
        <f t="shared" si="238"/>
        <v/>
      </c>
      <c r="DO232" s="47" t="s">
        <v>0</v>
      </c>
      <c r="DP232" s="19" t="str">
        <f>IF(BA232="","","INSERT INTO imeprezime_alias(id,alias,imeprezime_id) VALUES ("&amp;BB232&amp;",'"&amp;BA232&amp;"',"&amp;IF(BC232="NEMA",BD232,BC232)&amp;");")</f>
        <v/>
      </c>
      <c r="DQ232" s="47" t="s">
        <v>0</v>
      </c>
      <c r="DR232" s="52" t="str">
        <f>IF(AL232="","",DU232 &amp; IF(Q232="",""," – " &amp; Q232))</f>
        <v>Marta – Nikolić – OK Vihor – Ž16</v>
      </c>
      <c r="DS232" s="53">
        <f t="shared" si="200"/>
        <v>819</v>
      </c>
      <c r="DT232" s="47" t="s">
        <v>0</v>
      </c>
      <c r="DU232" s="52" t="str">
        <f>IF(AL232="","",DX232 &amp; IF(CR232="",""," – " &amp; CR232))</f>
        <v>Marta – Nikolić – OK Vihor</v>
      </c>
      <c r="DV232" s="53">
        <f t="shared" si="201"/>
        <v>819</v>
      </c>
      <c r="DW232" s="47" t="s">
        <v>0</v>
      </c>
      <c r="DX232" s="52" t="str">
        <f>IF(BG232="","",BF232&amp;" – "&amp;BG232)</f>
        <v>Marta – Nikolić</v>
      </c>
      <c r="DY232" s="53">
        <f t="shared" si="202"/>
        <v>819</v>
      </c>
      <c r="DZ232" s="47" t="s">
        <v>0</v>
      </c>
      <c r="EA232" s="58">
        <f t="shared" si="231"/>
        <v>819</v>
      </c>
      <c r="EB232" s="53" cm="1">
        <f t="array" ref="EB232">IF(EA232&lt;&gt;"",INDEX(regNatjecatelj_id,EA232,0),IF(BD232&lt;&gt;"",BD232,""))</f>
        <v>1041</v>
      </c>
      <c r="EC232" s="47" t="s">
        <v>0</v>
      </c>
      <c r="ED232" s="58" t="str">
        <f>IF(AL232="","",IF(BD232&lt;&gt;"","novo",IF(AN232="","imepre","imepre(ali)")))</f>
        <v>imepre</v>
      </c>
      <c r="EE232" s="73" t="str">
        <f>IF(AL232="","",IF(BL232="",IF(IFERROR(INDEX(regNatjecatelj_klub,MATCH(EB232,regNatjecatelj_id,0)),"NEMA")="","klu",""),IF(OR(AND(BN232&lt;&gt;"",BN232&lt;&gt;"NEMA"),CD232&lt;&gt;""),"klu(ali)",IF(AND(BP232&lt;&gt;"",BP232&lt;&gt;BO232),"(raz-klu)","klu"))))</f>
        <v>klu</v>
      </c>
      <c r="EF232" s="73" t="str">
        <f>IF(AL232="","","kat"&amp;IF(AND(W232&lt;&gt;Q232,Q232&lt;&gt;"Open"),"(ali)",""))</f>
        <v>kat</v>
      </c>
      <c r="EG232" s="73" t="str">
        <f t="shared" si="203"/>
        <v/>
      </c>
      <c r="EH232" s="66" t="str">
        <f>IF(AL232="","",ED232&amp;IF(ED232="novo","","-"&amp;EE232&amp;"-"&amp;EF232)&amp;IF(EG232="","","-"&amp;EG232))</f>
        <v>imepre-klu-kat</v>
      </c>
      <c r="EI232" s="47" t="s">
        <v>0</v>
      </c>
      <c r="EJ232" s="58">
        <f>IF(AL232="","",MAX(EJ$12:EJ231)+1)</f>
        <v>389</v>
      </c>
      <c r="EK232" s="73">
        <f>IF(AO232="","",X232)</f>
        <v>37</v>
      </c>
      <c r="EL232" s="73">
        <f t="shared" si="232"/>
        <v>1041</v>
      </c>
      <c r="EM232" s="73">
        <f t="shared" si="204"/>
        <v>3486</v>
      </c>
      <c r="EN232" s="73">
        <f t="shared" si="205"/>
        <v>1</v>
      </c>
      <c r="EO232" s="73">
        <f t="shared" si="233"/>
        <v>1</v>
      </c>
      <c r="EP232" s="73">
        <f t="shared" si="234"/>
        <v>1</v>
      </c>
      <c r="EQ232" s="73" t="str">
        <f t="shared" si="206"/>
        <v>0</v>
      </c>
      <c r="ER232" s="73" t="str">
        <f>IF(OR(AN232="",AN232="NEMA"),BB232,AN232)</f>
        <v/>
      </c>
      <c r="ES232" s="73" t="str">
        <f>IF(AND(BN232&lt;&gt;"",BN232&lt;&gt;"NEMA"),BN232,IF(CG232&lt;&gt;"",CG232,IF(AND(CL232&lt;&gt;"",CL232&lt;&gt;"NEMA"),CL232,IF(CM232&lt;&gt;"",CM232,""))))</f>
        <v/>
      </c>
      <c r="ET232" s="53" t="str">
        <f>IF(INDEX(natKategorija_alias_Id,MATCH(S232,natKategorija_katRegId,0))="","",INDEX(natKategorija_alias_Id,MATCH(S232,natKategorija_katRegId,0)))</f>
        <v/>
      </c>
      <c r="EU232" s="47" t="s">
        <v>0</v>
      </c>
      <c r="EV232" s="19" t="str">
        <f t="shared" si="235"/>
        <v>INSERT INTO rezultat(id,stazakategorija_id,imeprezime_id,vrijeme_sec,status_id,registracija,uparivanje_id,originalstatus_id,imeprezimealias_id,klubalias_id,kategorijaalias_id) VALUES (389,37,1041,3486,1,1,1,0,Null,Null,Null);</v>
      </c>
      <c r="EW232" s="47" t="s">
        <v>0</v>
      </c>
      <c r="EX232" s="19" t="str">
        <f t="shared" si="236"/>
        <v>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2" s="47" t="s">
        <v>0</v>
      </c>
      <c r="EZ232" s="180" t="str">
        <f>AG232&amp;IF(CP232="","","
")&amp;CP232&amp;IF(CI232="","","
")&amp;CI232&amp;IF(DN232="","","
")&amp;DN232&amp;IF(DP232="","","
")&amp;DP232&amp;IF(EV232="","","
")&amp;EV232&amp;IF(EX232="","","
")&amp;EX232</f>
        <v xml:space="preserve">
INSERT INTO rezultat(id,stazakategorija_id,imeprezime_id,vrijeme_sec,status_id,registracija,uparivanje_id,originalstatus_id,imeprezimealias_id,klubalias_id,kategorijaalias_id) VALUES (389,37,1041,3486,1,1,1,0,Null,Null,Null);
UPDATE
	registar
SET
	potvrda = 1
WHERE
	imeprezime_id=1041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2" s="47" t="s">
        <v>0</v>
      </c>
    </row>
    <row r="233" spans="1:157" x14ac:dyDescent="0.25">
      <c r="A233" t="s">
        <v>0</v>
      </c>
      <c r="B233" s="52" t="str">
        <f>IF(csv!F223="","",csv!T223)</f>
        <v>Ž16</v>
      </c>
      <c r="C233" s="31" t="s">
        <v>0</v>
      </c>
      <c r="D233" s="31" t="str">
        <f>IF(csv!F223="","",csv!F223)</f>
        <v>Jana</v>
      </c>
      <c r="E233" s="31" t="str">
        <f>IF(csv!E223="","",csv!E223)</f>
        <v>Cvjetko</v>
      </c>
      <c r="F233" s="31" t="s">
        <v>0</v>
      </c>
      <c r="G233" s="73" t="str">
        <f>IF(csv!M223="","",csv!M223)</f>
        <v>63:07</v>
      </c>
      <c r="H233" s="73" t="str">
        <f>IF(csv!N223="","",csv!N223)</f>
        <v>0</v>
      </c>
      <c r="I233" s="31" t="s">
        <v>0</v>
      </c>
      <c r="J233" s="31" t="str">
        <f>IF(csv!P223="","",csv!P223)</f>
        <v>JAP</v>
      </c>
      <c r="K233" s="31" t="str">
        <f>IF(csv!Q223="","",csv!Q223)</f>
        <v>OK Japetic</v>
      </c>
      <c r="L233" s="31" t="s">
        <v>0</v>
      </c>
      <c r="M233" s="66" t="str">
        <f>IF(csv!R223="","",csv!R223)</f>
        <v>CRO</v>
      </c>
      <c r="N233" s="47" t="s">
        <v>0</v>
      </c>
      <c r="O233" s="243" t="str">
        <f t="shared" si="207"/>
        <v>ok</v>
      </c>
      <c r="P233" s="47"/>
      <c r="Q233" s="52" t="str">
        <f t="shared" si="208"/>
        <v>Ž16</v>
      </c>
      <c r="R233" s="73">
        <f>IF(Q233="","",IF(COUNTIF(Q$12:Q232,Q233)=0,R232+1,R232))</f>
        <v>15</v>
      </c>
      <c r="S233" s="73">
        <f t="shared" si="209"/>
        <v>120</v>
      </c>
      <c r="T233" s="73">
        <f t="shared" si="184"/>
        <v>27</v>
      </c>
      <c r="U233" s="66" t="str">
        <f t="shared" si="185"/>
        <v>Ž21B – Ž16</v>
      </c>
      <c r="V233" s="47" t="s">
        <v>0</v>
      </c>
      <c r="W233" s="222" t="str">
        <f t="shared" si="186"/>
        <v>Ž16</v>
      </c>
      <c r="X233" s="223">
        <f t="shared" si="187"/>
        <v>37</v>
      </c>
      <c r="Y233" s="47" t="s">
        <v>0</v>
      </c>
      <c r="Z233" s="52" t="str">
        <f t="shared" si="210"/>
        <v>CRO</v>
      </c>
      <c r="AA233" s="73">
        <f t="shared" si="188"/>
        <v>1</v>
      </c>
      <c r="AB233" s="31" t="str">
        <f t="shared" si="211"/>
        <v/>
      </c>
      <c r="AC233" s="66" t="str">
        <f>IF(AB233="","",MAX(AC$12:AC232)+1)</f>
        <v/>
      </c>
      <c r="AD233" s="47" t="s">
        <v>0</v>
      </c>
      <c r="AE233" s="125"/>
      <c r="AF233" s="47" t="s">
        <v>0</v>
      </c>
      <c r="AG233" s="19" t="str">
        <f t="shared" si="212"/>
        <v/>
      </c>
      <c r="AH233" s="47" t="s">
        <v>0</v>
      </c>
      <c r="AI233" s="143" t="str">
        <f t="shared" si="213"/>
        <v>CRO</v>
      </c>
      <c r="AJ233" s="47"/>
      <c r="AK233" s="52" t="str">
        <f t="shared" si="214"/>
        <v>Jana</v>
      </c>
      <c r="AL233" s="31" t="str">
        <f t="shared" si="215"/>
        <v>Cvjetko</v>
      </c>
      <c r="AM233" s="73">
        <f t="shared" si="216"/>
        <v>1864</v>
      </c>
      <c r="AN233" s="73" t="str">
        <f t="shared" si="217"/>
        <v/>
      </c>
      <c r="AO233" s="31" t="str">
        <f t="shared" si="189"/>
        <v>Jana</v>
      </c>
      <c r="AP233" s="66" t="str">
        <f t="shared" si="190"/>
        <v>Cvjetko</v>
      </c>
      <c r="AQ233" s="47" t="s">
        <v>0</v>
      </c>
      <c r="AR233" s="82" t="str">
        <f t="shared" si="218"/>
        <v/>
      </c>
      <c r="AS233" s="47" t="s">
        <v>0</v>
      </c>
      <c r="AT233" s="19" t="str">
        <f t="shared" si="219"/>
        <v/>
      </c>
      <c r="AU233" s="47" t="s">
        <v>0</v>
      </c>
      <c r="AV233" s="103"/>
      <c r="AW233" s="105"/>
      <c r="AX233" s="47" t="s">
        <v>0</v>
      </c>
      <c r="AY233" s="256" t="str">
        <f t="shared" si="237"/>
        <v/>
      </c>
      <c r="AZ233" s="47" t="s">
        <v>0</v>
      </c>
      <c r="BA233" s="52" t="str">
        <f t="shared" si="191"/>
        <v/>
      </c>
      <c r="BB233" s="73" t="str">
        <f>IF(AV233&amp;AW233="","",MAX(BB$12:BB232)+1)</f>
        <v/>
      </c>
      <c r="BC233" s="268" t="str">
        <f t="shared" si="192"/>
        <v/>
      </c>
      <c r="BD233" s="53" t="str">
        <f>IF(AND(AM233="NEMA",AN233="NEMA",OR(AV233&amp;AW233="",BC233="NEMA")),MAX(BD$12:BD232)+1,"")</f>
        <v/>
      </c>
      <c r="BE233" s="47" t="s">
        <v>0</v>
      </c>
      <c r="BF233" s="52" t="str">
        <f t="shared" si="193"/>
        <v>Jana</v>
      </c>
      <c r="BG233" s="31" t="str">
        <f t="shared" si="194"/>
        <v>Cvjetko</v>
      </c>
      <c r="BH233" s="73" t="str">
        <f t="shared" si="220"/>
        <v/>
      </c>
      <c r="BI233" s="53">
        <f t="shared" si="221"/>
        <v>1864</v>
      </c>
      <c r="BJ233" s="47" t="s">
        <v>0</v>
      </c>
      <c r="BK233" s="52" t="str">
        <f t="shared" si="195"/>
        <v>JAP</v>
      </c>
      <c r="BL233" s="31" t="str">
        <f t="shared" si="196"/>
        <v>OK Japetic</v>
      </c>
      <c r="BM233" s="73" t="str">
        <f t="shared" si="197"/>
        <v>NEMA</v>
      </c>
      <c r="BN233" s="73">
        <f t="shared" si="198"/>
        <v>1</v>
      </c>
      <c r="BO233" s="31" t="str" cm="1">
        <f t="array" ref="BO233">IF(BN233="",""&amp;BL233,IF(BN233="NEMA",BL233,INDEX(regKlub_naziv,MATCH(INDEX(regKlub_alias_klubId,BN233),regKlub_id,0))))</f>
        <v>OK Japetić</v>
      </c>
      <c r="BP233" s="31" t="str" cm="1">
        <f t="array" ref="BP233">IFERROR(""&amp;INDEX(regNatjecatelj_klub,DY233),"")</f>
        <v>OK Japetić</v>
      </c>
      <c r="BQ233" s="88" t="str">
        <f t="shared" si="222"/>
        <v/>
      </c>
      <c r="BR233" s="66" t="str">
        <f t="shared" si="223"/>
        <v>OK Japetić</v>
      </c>
      <c r="BS233" s="47" t="s">
        <v>0</v>
      </c>
      <c r="BT233" s="82" t="str">
        <f>IF(BN233&lt;&gt;"NEMA","",IF(IFERROR(MATCH(BL233,BL$12:BL232,0),0)&lt;&gt;0,"",BL233))</f>
        <v/>
      </c>
      <c r="BU233" s="47" t="s">
        <v>0</v>
      </c>
      <c r="BV233" s="125"/>
      <c r="BW233" s="47" t="s">
        <v>0</v>
      </c>
      <c r="BX233" s="58" t="str">
        <f t="shared" si="224"/>
        <v/>
      </c>
      <c r="BY233" s="31" t="str">
        <f t="shared" si="225"/>
        <v/>
      </c>
      <c r="BZ233" s="31" t="str">
        <f>IF(BY233="","",MAX(BZ$12:BZ232)+1)</f>
        <v/>
      </c>
      <c r="CA233" s="31" t="str">
        <f>IF(BY233="","",IF(AA233="","",IF(AA233="NEMA",AC233,AA233)))</f>
        <v/>
      </c>
      <c r="CB233" s="31" t="str">
        <f t="shared" si="226"/>
        <v/>
      </c>
      <c r="CC233" s="31" t="str">
        <f>IF(BV233="","",MAX(CC$12:CC232)+1)</f>
        <v/>
      </c>
      <c r="CD233" s="31" t="str">
        <f t="shared" si="227"/>
        <v/>
      </c>
      <c r="CE233" s="66" t="str">
        <f t="shared" si="228"/>
        <v/>
      </c>
      <c r="CF233" s="47" t="s">
        <v>0</v>
      </c>
      <c r="CG233" s="73" t="str">
        <f>IF(BN233="","",IF(BN233&lt;&gt;"NEMA","",IFERROR(INDEX(nat_klubAliasId,MATCH(BL233,nat_noviKluboviAliasi,0)),"")))</f>
        <v/>
      </c>
      <c r="CH233" s="47"/>
      <c r="CI233" s="19" t="str">
        <f t="shared" si="229"/>
        <v/>
      </c>
      <c r="CJ233" s="47" t="s">
        <v>0</v>
      </c>
      <c r="CK233" s="52" t="str">
        <f>IF(X233&lt;&gt;"NEMA","",IF(IFERROR(MATCH(W233,W$12:W232,0),0)&lt;&gt;0,"",W233))</f>
        <v/>
      </c>
      <c r="CL233" s="73" t="str">
        <f>IF(CK233="","",IFERROR(INDEX(regKlub_alias_id,MATCH(CK233,regKlub_alias_alias,0)),"NEMA"))</f>
        <v/>
      </c>
      <c r="CM233" s="31" t="str">
        <f>IF(OR(CL233="",CL233&lt;&gt;"NEMA"),"",MAX(CM$12:CM232)+1)</f>
        <v/>
      </c>
      <c r="CN233" s="66" t="str">
        <f>IF(OR(CL233="",CL233&lt;&gt;"NEMA"),"",INDEX(regKlub_id,MATCH(CK233,regKlub_naziv,0)))</f>
        <v/>
      </c>
      <c r="CO233" s="47" t="s">
        <v>0</v>
      </c>
      <c r="CP233" s="19" t="str">
        <f>IF(OR(CL233="",CL233&lt;&gt;"NEMA"),"","INSERT INTO klub_alias(id,alias,klub_id) VALUES ("&amp;CM233&amp;",'"&amp;CK233&amp;"',"&amp;CN233&amp;");")</f>
        <v/>
      </c>
      <c r="CQ233" s="47" t="s">
        <v>0</v>
      </c>
      <c r="CR233" s="143" t="str">
        <f>IF(BR233="","",IF(BV233="",IF(IFERROR(MATCH(BR233,nat_noviKluboviAliasi,0),0)&gt;0,INDEX(nat_kluboviAliasi,MATCH(BR233,nat_noviKluboviAliasi,0)),BR233),BV233))</f>
        <v>OK Japetić</v>
      </c>
      <c r="CS233" s="47" t="s">
        <v>0</v>
      </c>
      <c r="CT233" s="58" t="str">
        <f>IF(G233="","",G233)</f>
        <v>63:07</v>
      </c>
      <c r="CU233" s="73" t="str">
        <f>IF(H233="","",H233)</f>
        <v>0</v>
      </c>
      <c r="CV233" s="229" t="str">
        <f>IF(CT233="",IF(OR(AL233="",CU233&lt;&gt;"0"),"","GREŠKA"),IF(AND(65535&gt;=VALUE(LEFT(CT233,SEARCH(":",CT233)-1))*60+VALUE(RIGHT(CT233,2)),OR(CU233="0",CU233="1",CU233="2",CU233="3",CU233="4")),"","GREŠKA"))</f>
        <v/>
      </c>
      <c r="CW233" s="230">
        <f t="shared" si="183"/>
        <v>3787</v>
      </c>
      <c r="CX233" s="163">
        <f t="shared" si="199"/>
        <v>1</v>
      </c>
      <c r="CY233" s="47" t="s">
        <v>0</v>
      </c>
      <c r="CZ233" s="222" t="str">
        <f>IF(CV233&lt;&gt;"GREŠKA","",AK233&amp;" "&amp;AL233&amp;" – Molim u OEventu provjeriti i ispraviti rezultat – vrijeme ("&amp;IF(CT233="","nije upisano",CT233)&amp;") i classifier ("&amp;CU233&amp;").")&amp;IF(OR(CV233&lt;&gt;"GREŠKA",CX233&lt;&gt;5),"
","")&amp;IF(CX233&lt;&gt;5,"",AK233&amp;" "&amp;AL233&amp;" – Molim u provjeriti je li natjecatelj zaista diskvalificiran. Ako je koje je obrazloženje, ako nije molim u OEventu ispraviti rezultat")</f>
        <v xml:space="preserve">
</v>
      </c>
      <c r="DA233" s="223">
        <f t="shared" si="230"/>
        <v>6</v>
      </c>
      <c r="DB233" s="47" t="s">
        <v>0</v>
      </c>
      <c r="DC233" s="47"/>
      <c r="DD233" s="47"/>
      <c r="DE233" s="47"/>
      <c r="DF233" s="47" t="s">
        <v>0</v>
      </c>
      <c r="DG233" s="53" t="str">
        <f>IF(BD233="","",IF(DI233="O",1,""))</f>
        <v/>
      </c>
      <c r="DH233" t="s">
        <v>0</v>
      </c>
      <c r="DI233" s="128" t="str">
        <f>IF(Q233="","",LEFT(INDEX(regKategorija_oznaka,MATCH(S233,regKategorija_id,0)),1))</f>
        <v>Ž</v>
      </c>
      <c r="DJ233" t="s">
        <v>0</v>
      </c>
      <c r="DK233" s="52" t="str">
        <f>IF(BD233="","",IF(M233&lt;&gt;"CRO","","INSERT INTO osoba (id,reg_broj,oib,spol_id,dat_rodjenja) VALUES ("&amp;BD233&amp;",(SELECT max(os.reg_broj)+1 FROM osoba AS os),Null,'"&amp;DI233&amp;"',Null); INSERT INTO osoba_log (id,reg_broj,oib,spol_id,dat_rodjenja,dnevnik_id) SELECT id,reg_broj,oib,spol_id,dat_rodjenja,"&amp;data_dnevnik_id&amp;" FROM osoba WHERE id = "&amp;BD233&amp;";"))</f>
        <v/>
      </c>
      <c r="DL233" s="66" t="str">
        <f>IF(BD233="","","INSERT INTO imeprezime (id,osoba_id,rbr,ime,prezime,klub_id,identitet_id,sintaksa_id,info,aktivno,dnevnik_id) VALUES ("&amp;BD233&amp;","&amp;IF(DK233="","Null",BD233)&amp;",1,'"&amp;IF(AV233&lt;&gt;"",AV233,AK233)&amp;"','"&amp;IF(AW233&lt;&gt;"",AW233,AL233)&amp;"',(SELECT id FROM klub WHERE naziv = '"&amp;CR233&amp;"'),Null,1,'',1,"&amp;data_dnevnik_id&amp;");")</f>
        <v/>
      </c>
      <c r="DM233" t="s">
        <v>0</v>
      </c>
      <c r="DN233" s="19" t="str">
        <f t="shared" si="238"/>
        <v/>
      </c>
      <c r="DO233" s="47" t="s">
        <v>0</v>
      </c>
      <c r="DP233" s="19" t="str">
        <f>IF(BA233="","","INSERT INTO imeprezime_alias(id,alias,imeprezime_id) VALUES ("&amp;BB233&amp;",'"&amp;BA233&amp;"',"&amp;IF(BC233="NEMA",BD233,BC233)&amp;");")</f>
        <v/>
      </c>
      <c r="DQ233" s="47" t="s">
        <v>0</v>
      </c>
      <c r="DR233" s="52" t="str">
        <f>IF(AL233="","",DU233 &amp; IF(Q233="",""," – " &amp; Q233))</f>
        <v>Jana – Cvjetko – OK Japetić – Ž16</v>
      </c>
      <c r="DS233" s="53">
        <f t="shared" si="200"/>
        <v>82</v>
      </c>
      <c r="DT233" s="47" t="s">
        <v>0</v>
      </c>
      <c r="DU233" s="52" t="str">
        <f>IF(AL233="","",DX233 &amp; IF(CR233="",""," – " &amp; CR233))</f>
        <v>Jana – Cvjetko – OK Japetić</v>
      </c>
      <c r="DV233" s="53">
        <f t="shared" si="201"/>
        <v>82</v>
      </c>
      <c r="DW233" s="47" t="s">
        <v>0</v>
      </c>
      <c r="DX233" s="52" t="str">
        <f>IF(BG233="","",BF233&amp;" – "&amp;BG233)</f>
        <v>Jana – Cvjetko</v>
      </c>
      <c r="DY233" s="53">
        <f t="shared" si="202"/>
        <v>82</v>
      </c>
      <c r="DZ233" s="47" t="s">
        <v>0</v>
      </c>
      <c r="EA233" s="58">
        <f t="shared" si="231"/>
        <v>82</v>
      </c>
      <c r="EB233" s="53" cm="1">
        <f t="array" ref="EB233">IF(EA233&lt;&gt;"",INDEX(regNatjecatelj_id,EA233,0),IF(BD233&lt;&gt;"",BD233,""))</f>
        <v>1864</v>
      </c>
      <c r="EC233" s="47" t="s">
        <v>0</v>
      </c>
      <c r="ED233" s="58" t="str">
        <f>IF(AL233="","",IF(BD233&lt;&gt;"","novo",IF(AN233="","imepre","imepre(ali)")))</f>
        <v>imepre</v>
      </c>
      <c r="EE233" s="73" t="str">
        <f>IF(AL233="","",IF(BL233="",IF(IFERROR(INDEX(regNatjecatelj_klub,MATCH(EB233,regNatjecatelj_id,0)),"NEMA")="","klu",""),IF(OR(AND(BN233&lt;&gt;"",BN233&lt;&gt;"NEMA"),CD233&lt;&gt;""),"klu(ali)",IF(AND(BP233&lt;&gt;"",BP233&lt;&gt;BO233),"(raz-klu)","klu"))))</f>
        <v>klu(ali)</v>
      </c>
      <c r="EF233" s="73" t="str">
        <f>IF(AL233="","","kat"&amp;IF(AND(W233&lt;&gt;Q233,Q233&lt;&gt;"Open"),"(ali)",""))</f>
        <v>kat</v>
      </c>
      <c r="EG233" s="73" t="str">
        <f t="shared" si="203"/>
        <v/>
      </c>
      <c r="EH233" s="66" t="str">
        <f>IF(AL233="","",ED233&amp;IF(ED233="novo","","-"&amp;EE233&amp;"-"&amp;EF233)&amp;IF(EG233="","","-"&amp;EG233))</f>
        <v>imepre-klu(ali)-kat</v>
      </c>
      <c r="EI233" s="47" t="s">
        <v>0</v>
      </c>
      <c r="EJ233" s="58">
        <f>IF(AL233="","",MAX(EJ$12:EJ232)+1)</f>
        <v>390</v>
      </c>
      <c r="EK233" s="73">
        <f>IF(AO233="","",X233)</f>
        <v>37</v>
      </c>
      <c r="EL233" s="73">
        <f t="shared" si="232"/>
        <v>1864</v>
      </c>
      <c r="EM233" s="73">
        <f t="shared" si="204"/>
        <v>3787</v>
      </c>
      <c r="EN233" s="73">
        <f t="shared" si="205"/>
        <v>1</v>
      </c>
      <c r="EO233" s="73">
        <f t="shared" si="233"/>
        <v>1</v>
      </c>
      <c r="EP233" s="73">
        <f t="shared" si="234"/>
        <v>3</v>
      </c>
      <c r="EQ233" s="73" t="str">
        <f t="shared" si="206"/>
        <v>0</v>
      </c>
      <c r="ER233" s="73" t="str">
        <f>IF(OR(AN233="",AN233="NEMA"),BB233,AN233)</f>
        <v/>
      </c>
      <c r="ES233" s="73">
        <f>IF(AND(BN233&lt;&gt;"",BN233&lt;&gt;"NEMA"),BN233,IF(CG233&lt;&gt;"",CG233,IF(AND(CL233&lt;&gt;"",CL233&lt;&gt;"NEMA"),CL233,IF(CM233&lt;&gt;"",CM233,""))))</f>
        <v>1</v>
      </c>
      <c r="ET233" s="53" t="str">
        <f>IF(INDEX(natKategorija_alias_Id,MATCH(S233,natKategorija_katRegId,0))="","",INDEX(natKategorija_alias_Id,MATCH(S233,natKategorija_katRegId,0)))</f>
        <v/>
      </c>
      <c r="EU233" s="47" t="s">
        <v>0</v>
      </c>
      <c r="EV233" s="19" t="str">
        <f t="shared" si="235"/>
        <v>INSERT INTO rezultat(id,stazakategorija_id,imeprezime_id,vrijeme_sec,status_id,registracija,uparivanje_id,originalstatus_id,imeprezimealias_id,klubalias_id,kategorijaalias_id) VALUES (390,37,1864,3787,1,1,3,0,Null,1,Null);</v>
      </c>
      <c r="EW233" s="47" t="s">
        <v>0</v>
      </c>
      <c r="EX233" s="19" t="str">
        <f t="shared" si="236"/>
        <v>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3" s="47" t="s">
        <v>0</v>
      </c>
      <c r="EZ233" s="180" t="str">
        <f>AG233&amp;IF(CP233="","","
")&amp;CP233&amp;IF(CI233="","","
")&amp;CI233&amp;IF(DN233="","","
")&amp;DN233&amp;IF(DP233="","","
")&amp;DP233&amp;IF(EV233="","","
")&amp;EV233&amp;IF(EX233="","","
")&amp;EX233</f>
        <v xml:space="preserve">
INSERT INTO rezultat(id,stazakategorija_id,imeprezime_id,vrijeme_sec,status_id,registracija,uparivanje_id,originalstatus_id,imeprezimealias_id,klubalias_id,kategorijaalias_id) VALUES (390,37,1864,3787,1,1,3,0,Null,1,Null);
UPDATE
	registar
SET
	potvrda = 1
WHERE
	imeprezime_id=1864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3" s="47" t="s">
        <v>0</v>
      </c>
    </row>
    <row r="234" spans="1:157" x14ac:dyDescent="0.25">
      <c r="A234" t="s">
        <v>0</v>
      </c>
      <c r="B234" s="52" t="str">
        <f>IF(csv!F224="","",csv!T224)</f>
        <v>Ž16</v>
      </c>
      <c r="C234" s="31" t="s">
        <v>0</v>
      </c>
      <c r="D234" s="31" t="str">
        <f>IF(csv!F224="","",csv!F224)</f>
        <v>Melissa</v>
      </c>
      <c r="E234" s="31" t="str">
        <f>IF(csv!E224="","",csv!E224)</f>
        <v>Drobić</v>
      </c>
      <c r="F234" s="31" t="s">
        <v>0</v>
      </c>
      <c r="G234" s="73" t="str">
        <f>IF(csv!M224="","",csv!M224)</f>
        <v>70:04</v>
      </c>
      <c r="H234" s="73" t="str">
        <f>IF(csv!N224="","",csv!N224)</f>
        <v>0</v>
      </c>
      <c r="I234" s="31" t="s">
        <v>0</v>
      </c>
      <c r="J234" s="31" t="str">
        <f>IF(csv!P224="","",csv!P224)</f>
        <v>KAP</v>
      </c>
      <c r="K234" s="31" t="str">
        <f>IF(csv!Q224="","",csv!Q224)</f>
        <v>OK Kapela</v>
      </c>
      <c r="L234" s="31" t="s">
        <v>0</v>
      </c>
      <c r="M234" s="66" t="str">
        <f>IF(csv!R224="","",csv!R224)</f>
        <v>CRO</v>
      </c>
      <c r="N234" s="47" t="s">
        <v>0</v>
      </c>
      <c r="O234" s="243" t="str">
        <f t="shared" si="207"/>
        <v>ok</v>
      </c>
      <c r="P234" s="47"/>
      <c r="Q234" s="52" t="str">
        <f t="shared" si="208"/>
        <v>Ž16</v>
      </c>
      <c r="R234" s="73">
        <f>IF(Q234="","",IF(COUNTIF(Q$12:Q233,Q234)=0,R233+1,R233))</f>
        <v>15</v>
      </c>
      <c r="S234" s="73">
        <f t="shared" si="209"/>
        <v>120</v>
      </c>
      <c r="T234" s="73">
        <f t="shared" si="184"/>
        <v>27</v>
      </c>
      <c r="U234" s="66" t="str">
        <f t="shared" si="185"/>
        <v>Ž21B – Ž16</v>
      </c>
      <c r="V234" s="47" t="s">
        <v>0</v>
      </c>
      <c r="W234" s="222" t="str">
        <f t="shared" si="186"/>
        <v>Ž16</v>
      </c>
      <c r="X234" s="223">
        <f t="shared" si="187"/>
        <v>37</v>
      </c>
      <c r="Y234" s="47" t="s">
        <v>0</v>
      </c>
      <c r="Z234" s="52" t="str">
        <f t="shared" si="210"/>
        <v>CRO</v>
      </c>
      <c r="AA234" s="73">
        <f t="shared" si="188"/>
        <v>1</v>
      </c>
      <c r="AB234" s="31" t="str">
        <f t="shared" si="211"/>
        <v/>
      </c>
      <c r="AC234" s="66" t="str">
        <f>IF(AB234="","",MAX(AC$12:AC233)+1)</f>
        <v/>
      </c>
      <c r="AD234" s="47" t="s">
        <v>0</v>
      </c>
      <c r="AE234" s="125"/>
      <c r="AF234" s="47" t="s">
        <v>0</v>
      </c>
      <c r="AG234" s="19" t="str">
        <f t="shared" si="212"/>
        <v/>
      </c>
      <c r="AH234" s="47" t="s">
        <v>0</v>
      </c>
      <c r="AI234" s="143" t="str">
        <f t="shared" si="213"/>
        <v>CRO</v>
      </c>
      <c r="AJ234" s="47"/>
      <c r="AK234" s="52" t="str">
        <f t="shared" si="214"/>
        <v>Melissa</v>
      </c>
      <c r="AL234" s="31" t="str">
        <f t="shared" si="215"/>
        <v>Drobić</v>
      </c>
      <c r="AM234" s="73">
        <f t="shared" si="216"/>
        <v>1178</v>
      </c>
      <c r="AN234" s="73" t="str">
        <f t="shared" si="217"/>
        <v/>
      </c>
      <c r="AO234" s="31" t="str">
        <f t="shared" si="189"/>
        <v>Melissa</v>
      </c>
      <c r="AP234" s="66" t="str">
        <f t="shared" si="190"/>
        <v>Drobić</v>
      </c>
      <c r="AQ234" s="47" t="s">
        <v>0</v>
      </c>
      <c r="AR234" s="82" t="str">
        <f t="shared" si="218"/>
        <v/>
      </c>
      <c r="AS234" s="47" t="s">
        <v>0</v>
      </c>
      <c r="AT234" s="19" t="str">
        <f t="shared" si="219"/>
        <v/>
      </c>
      <c r="AU234" s="47" t="s">
        <v>0</v>
      </c>
      <c r="AV234" s="103"/>
      <c r="AW234" s="105"/>
      <c r="AX234" s="47" t="s">
        <v>0</v>
      </c>
      <c r="AY234" s="256" t="str">
        <f t="shared" si="237"/>
        <v/>
      </c>
      <c r="AZ234" s="47" t="s">
        <v>0</v>
      </c>
      <c r="BA234" s="52" t="str">
        <f t="shared" si="191"/>
        <v/>
      </c>
      <c r="BB234" s="73" t="str">
        <f>IF(AV234&amp;AW234="","",MAX(BB$12:BB233)+1)</f>
        <v/>
      </c>
      <c r="BC234" s="268" t="str">
        <f t="shared" si="192"/>
        <v/>
      </c>
      <c r="BD234" s="53" t="str">
        <f>IF(AND(AM234="NEMA",AN234="NEMA",OR(AV234&amp;AW234="",BC234="NEMA")),MAX(BD$12:BD233)+1,"")</f>
        <v/>
      </c>
      <c r="BE234" s="47" t="s">
        <v>0</v>
      </c>
      <c r="BF234" s="52" t="str">
        <f t="shared" si="193"/>
        <v>Melissa</v>
      </c>
      <c r="BG234" s="31" t="str">
        <f t="shared" si="194"/>
        <v>Drobić</v>
      </c>
      <c r="BH234" s="73" t="str">
        <f t="shared" si="220"/>
        <v/>
      </c>
      <c r="BI234" s="53">
        <f t="shared" si="221"/>
        <v>1178</v>
      </c>
      <c r="BJ234" s="47" t="s">
        <v>0</v>
      </c>
      <c r="BK234" s="52" t="str">
        <f t="shared" si="195"/>
        <v>KAP</v>
      </c>
      <c r="BL234" s="31" t="str">
        <f t="shared" si="196"/>
        <v>OK Kapela</v>
      </c>
      <c r="BM234" s="73">
        <f t="shared" si="197"/>
        <v>5</v>
      </c>
      <c r="BN234" s="73" t="str">
        <f t="shared" si="198"/>
        <v/>
      </c>
      <c r="BO234" s="31" t="str" cm="1">
        <f t="array" ref="BO234">IF(BN234="",""&amp;BL234,IF(BN234="NEMA",BL234,INDEX(regKlub_naziv,MATCH(INDEX(regKlub_alias_klubId,BN234),regKlub_id,0))))</f>
        <v>OK Kapela</v>
      </c>
      <c r="BP234" s="31" t="str" cm="1">
        <f t="array" ref="BP234">IFERROR(""&amp;INDEX(regNatjecatelj_klub,DY234),"")</f>
        <v>OK Kapela</v>
      </c>
      <c r="BQ234" s="88" t="str">
        <f t="shared" si="222"/>
        <v/>
      </c>
      <c r="BR234" s="66" t="str">
        <f t="shared" si="223"/>
        <v>OK Kapela</v>
      </c>
      <c r="BS234" s="47" t="s">
        <v>0</v>
      </c>
      <c r="BT234" s="82" t="str">
        <f>IF(BN234&lt;&gt;"NEMA","",IF(IFERROR(MATCH(BL234,BL$12:BL233,0),0)&lt;&gt;0,"",BL234))</f>
        <v/>
      </c>
      <c r="BU234" s="47" t="s">
        <v>0</v>
      </c>
      <c r="BV234" s="125"/>
      <c r="BW234" s="47" t="s">
        <v>0</v>
      </c>
      <c r="BX234" s="58" t="str">
        <f t="shared" si="224"/>
        <v/>
      </c>
      <c r="BY234" s="31" t="str">
        <f t="shared" si="225"/>
        <v/>
      </c>
      <c r="BZ234" s="31" t="str">
        <f>IF(BY234="","",MAX(BZ$12:BZ233)+1)</f>
        <v/>
      </c>
      <c r="CA234" s="31" t="str">
        <f>IF(BY234="","",IF(AA234="","",IF(AA234="NEMA",AC234,AA234)))</f>
        <v/>
      </c>
      <c r="CB234" s="31" t="str">
        <f t="shared" si="226"/>
        <v/>
      </c>
      <c r="CC234" s="31" t="str">
        <f>IF(BV234="","",MAX(CC$12:CC233)+1)</f>
        <v/>
      </c>
      <c r="CD234" s="31" t="str">
        <f t="shared" si="227"/>
        <v/>
      </c>
      <c r="CE234" s="66" t="str">
        <f t="shared" si="228"/>
        <v/>
      </c>
      <c r="CF234" s="47" t="s">
        <v>0</v>
      </c>
      <c r="CG234" s="73" t="str">
        <f>IF(BN234="","",IF(BN234&lt;&gt;"NEMA","",IFERROR(INDEX(nat_klubAliasId,MATCH(BL234,nat_noviKluboviAliasi,0)),"")))</f>
        <v/>
      </c>
      <c r="CH234" s="47"/>
      <c r="CI234" s="19" t="str">
        <f t="shared" si="229"/>
        <v/>
      </c>
      <c r="CJ234" s="47" t="s">
        <v>0</v>
      </c>
      <c r="CK234" s="52" t="str">
        <f>IF(X234&lt;&gt;"NEMA","",IF(IFERROR(MATCH(W234,W$12:W233,0),0)&lt;&gt;0,"",W234))</f>
        <v/>
      </c>
      <c r="CL234" s="73" t="str">
        <f>IF(CK234="","",IFERROR(INDEX(regKlub_alias_id,MATCH(CK234,regKlub_alias_alias,0)),"NEMA"))</f>
        <v/>
      </c>
      <c r="CM234" s="31" t="str">
        <f>IF(OR(CL234="",CL234&lt;&gt;"NEMA"),"",MAX(CM$12:CM233)+1)</f>
        <v/>
      </c>
      <c r="CN234" s="66" t="str">
        <f>IF(OR(CL234="",CL234&lt;&gt;"NEMA"),"",INDEX(regKlub_id,MATCH(CK234,regKlub_naziv,0)))</f>
        <v/>
      </c>
      <c r="CO234" s="47" t="s">
        <v>0</v>
      </c>
      <c r="CP234" s="19" t="str">
        <f>IF(OR(CL234="",CL234&lt;&gt;"NEMA"),"","INSERT INTO klub_alias(id,alias,klub_id) VALUES ("&amp;CM234&amp;",'"&amp;CK234&amp;"',"&amp;CN234&amp;");")</f>
        <v/>
      </c>
      <c r="CQ234" s="47" t="s">
        <v>0</v>
      </c>
      <c r="CR234" s="143" t="str">
        <f>IF(BR234="","",IF(BV234="",IF(IFERROR(MATCH(BR234,nat_noviKluboviAliasi,0),0)&gt;0,INDEX(nat_kluboviAliasi,MATCH(BR234,nat_noviKluboviAliasi,0)),BR234),BV234))</f>
        <v>OK Kapela</v>
      </c>
      <c r="CS234" s="47" t="s">
        <v>0</v>
      </c>
      <c r="CT234" s="58" t="str">
        <f>IF(G234="","",G234)</f>
        <v>70:04</v>
      </c>
      <c r="CU234" s="73" t="str">
        <f>IF(H234="","",H234)</f>
        <v>0</v>
      </c>
      <c r="CV234" s="229" t="str">
        <f>IF(CT234="",IF(OR(AL234="",CU234&lt;&gt;"0"),"","GREŠKA"),IF(AND(65535&gt;=VALUE(LEFT(CT234,SEARCH(":",CT234)-1))*60+VALUE(RIGHT(CT234,2)),OR(CU234="0",CU234="1",CU234="2",CU234="3",CU234="4")),"","GREŠKA"))</f>
        <v/>
      </c>
      <c r="CW234" s="230">
        <f t="shared" si="183"/>
        <v>4204</v>
      </c>
      <c r="CX234" s="163">
        <f t="shared" si="199"/>
        <v>1</v>
      </c>
      <c r="CY234" s="47" t="s">
        <v>0</v>
      </c>
      <c r="CZ234" s="222" t="str">
        <f>IF(CV234&lt;&gt;"GREŠKA","",AK234&amp;" "&amp;AL234&amp;" – Molim u OEventu provjeriti i ispraviti rezultat – vrijeme ("&amp;IF(CT234="","nije upisano",CT234)&amp;") i classifier ("&amp;CU234&amp;").")&amp;IF(OR(CV234&lt;&gt;"GREŠKA",CX234&lt;&gt;5),"
","")&amp;IF(CX234&lt;&gt;5,"",AK234&amp;" "&amp;AL234&amp;" – Molim u provjeriti je li natjecatelj zaista diskvalificiran. Ako je koje je obrazloženje, ako nije molim u OEventu ispraviti rezultat")</f>
        <v xml:space="preserve">
</v>
      </c>
      <c r="DA234" s="223">
        <f t="shared" si="230"/>
        <v>6</v>
      </c>
      <c r="DB234" s="47" t="s">
        <v>0</v>
      </c>
      <c r="DC234" s="47"/>
      <c r="DD234" s="47"/>
      <c r="DE234" s="47"/>
      <c r="DF234" s="47" t="s">
        <v>0</v>
      </c>
      <c r="DG234" s="53" t="str">
        <f>IF(BD234="","",IF(DI234="O",1,""))</f>
        <v/>
      </c>
      <c r="DH234" t="s">
        <v>0</v>
      </c>
      <c r="DI234" s="128" t="str">
        <f>IF(Q234="","",LEFT(INDEX(regKategorija_oznaka,MATCH(S234,regKategorija_id,0)),1))</f>
        <v>Ž</v>
      </c>
      <c r="DJ234" t="s">
        <v>0</v>
      </c>
      <c r="DK234" s="52" t="str">
        <f>IF(BD234="","",IF(M234&lt;&gt;"CRO","","INSERT INTO osoba (id,reg_broj,oib,spol_id,dat_rodjenja) VALUES ("&amp;BD234&amp;",(SELECT max(os.reg_broj)+1 FROM osoba AS os),Null,'"&amp;DI234&amp;"',Null); INSERT INTO osoba_log (id,reg_broj,oib,spol_id,dat_rodjenja,dnevnik_id) SELECT id,reg_broj,oib,spol_id,dat_rodjenja,"&amp;data_dnevnik_id&amp;" FROM osoba WHERE id = "&amp;BD234&amp;";"))</f>
        <v/>
      </c>
      <c r="DL234" s="66" t="str">
        <f>IF(BD234="","","INSERT INTO imeprezime (id,osoba_id,rbr,ime,prezime,klub_id,identitet_id,sintaksa_id,info,aktivno,dnevnik_id) VALUES ("&amp;BD234&amp;","&amp;IF(DK234="","Null",BD234)&amp;",1,'"&amp;IF(AV234&lt;&gt;"",AV234,AK234)&amp;"','"&amp;IF(AW234&lt;&gt;"",AW234,AL234)&amp;"',(SELECT id FROM klub WHERE naziv = '"&amp;CR234&amp;"'),Null,1,'',1,"&amp;data_dnevnik_id&amp;");")</f>
        <v/>
      </c>
      <c r="DM234" t="s">
        <v>0</v>
      </c>
      <c r="DN234" s="19" t="str">
        <f t="shared" si="238"/>
        <v/>
      </c>
      <c r="DO234" s="47" t="s">
        <v>0</v>
      </c>
      <c r="DP234" s="19" t="str">
        <f>IF(BA234="","","INSERT INTO imeprezime_alias(id,alias,imeprezime_id) VALUES ("&amp;BB234&amp;",'"&amp;BA234&amp;"',"&amp;IF(BC234="NEMA",BD234,BC234)&amp;");")</f>
        <v/>
      </c>
      <c r="DQ234" s="47" t="s">
        <v>0</v>
      </c>
      <c r="DR234" s="52" t="str">
        <f>IF(AL234="","",DU234 &amp; IF(Q234="",""," – " &amp; Q234))</f>
        <v>Melissa – Drobić – OK Kapela – Ž16</v>
      </c>
      <c r="DS234" s="53">
        <f t="shared" si="200"/>
        <v>228</v>
      </c>
      <c r="DT234" s="47" t="s">
        <v>0</v>
      </c>
      <c r="DU234" s="52" t="str">
        <f>IF(AL234="","",DX234 &amp; IF(CR234="",""," – " &amp; CR234))</f>
        <v>Melissa – Drobić – OK Kapela</v>
      </c>
      <c r="DV234" s="53">
        <f t="shared" si="201"/>
        <v>228</v>
      </c>
      <c r="DW234" s="47" t="s">
        <v>0</v>
      </c>
      <c r="DX234" s="52" t="str">
        <f>IF(BG234="","",BF234&amp;" – "&amp;BG234)</f>
        <v>Melissa – Drobić</v>
      </c>
      <c r="DY234" s="53">
        <f t="shared" si="202"/>
        <v>228</v>
      </c>
      <c r="DZ234" s="47" t="s">
        <v>0</v>
      </c>
      <c r="EA234" s="58">
        <f t="shared" si="231"/>
        <v>228</v>
      </c>
      <c r="EB234" s="53" cm="1">
        <f t="array" ref="EB234">IF(EA234&lt;&gt;"",INDEX(regNatjecatelj_id,EA234,0),IF(BD234&lt;&gt;"",BD234,""))</f>
        <v>1178</v>
      </c>
      <c r="EC234" s="47" t="s">
        <v>0</v>
      </c>
      <c r="ED234" s="58" t="str">
        <f>IF(AL234="","",IF(BD234&lt;&gt;"","novo",IF(AN234="","imepre","imepre(ali)")))</f>
        <v>imepre</v>
      </c>
      <c r="EE234" s="73" t="str">
        <f>IF(AL234="","",IF(BL234="",IF(IFERROR(INDEX(regNatjecatelj_klub,MATCH(EB234,regNatjecatelj_id,0)),"NEMA")="","klu",""),IF(OR(AND(BN234&lt;&gt;"",BN234&lt;&gt;"NEMA"),CD234&lt;&gt;""),"klu(ali)",IF(AND(BP234&lt;&gt;"",BP234&lt;&gt;BO234),"(raz-klu)","klu"))))</f>
        <v>klu</v>
      </c>
      <c r="EF234" s="73" t="str">
        <f>IF(AL234="","","kat"&amp;IF(AND(W234&lt;&gt;Q234,Q234&lt;&gt;"Open"),"(ali)",""))</f>
        <v>kat</v>
      </c>
      <c r="EG234" s="73" t="str">
        <f t="shared" si="203"/>
        <v/>
      </c>
      <c r="EH234" s="66" t="str">
        <f>IF(AL234="","",ED234&amp;IF(ED234="novo","","-"&amp;EE234&amp;"-"&amp;EF234)&amp;IF(EG234="","","-"&amp;EG234))</f>
        <v>imepre-klu-kat</v>
      </c>
      <c r="EI234" s="47" t="s">
        <v>0</v>
      </c>
      <c r="EJ234" s="58">
        <f>IF(AL234="","",MAX(EJ$12:EJ233)+1)</f>
        <v>391</v>
      </c>
      <c r="EK234" s="73">
        <f>IF(AO234="","",X234)</f>
        <v>37</v>
      </c>
      <c r="EL234" s="73">
        <f t="shared" si="232"/>
        <v>1178</v>
      </c>
      <c r="EM234" s="73">
        <f t="shared" si="204"/>
        <v>4204</v>
      </c>
      <c r="EN234" s="73">
        <f t="shared" si="205"/>
        <v>1</v>
      </c>
      <c r="EO234" s="73">
        <f t="shared" si="233"/>
        <v>1</v>
      </c>
      <c r="EP234" s="73">
        <f t="shared" si="234"/>
        <v>1</v>
      </c>
      <c r="EQ234" s="73" t="str">
        <f t="shared" si="206"/>
        <v>0</v>
      </c>
      <c r="ER234" s="73" t="str">
        <f>IF(OR(AN234="",AN234="NEMA"),BB234,AN234)</f>
        <v/>
      </c>
      <c r="ES234" s="73" t="str">
        <f>IF(AND(BN234&lt;&gt;"",BN234&lt;&gt;"NEMA"),BN234,IF(CG234&lt;&gt;"",CG234,IF(AND(CL234&lt;&gt;"",CL234&lt;&gt;"NEMA"),CL234,IF(CM234&lt;&gt;"",CM234,""))))</f>
        <v/>
      </c>
      <c r="ET234" s="53" t="str">
        <f>IF(INDEX(natKategorija_alias_Id,MATCH(S234,natKategorija_katRegId,0))="","",INDEX(natKategorija_alias_Id,MATCH(S234,natKategorija_katRegId,0)))</f>
        <v/>
      </c>
      <c r="EU234" s="47" t="s">
        <v>0</v>
      </c>
      <c r="EV234" s="19" t="str">
        <f t="shared" si="235"/>
        <v>INSERT INTO rezultat(id,stazakategorija_id,imeprezime_id,vrijeme_sec,status_id,registracija,uparivanje_id,originalstatus_id,imeprezimealias_id,klubalias_id,kategorijaalias_id) VALUES (391,37,1178,4204,1,1,1,0,Null,Null,Null);</v>
      </c>
      <c r="EW234" s="47" t="s">
        <v>0</v>
      </c>
      <c r="EX234" s="19" t="str">
        <f t="shared" si="236"/>
        <v>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4" s="47" t="s">
        <v>0</v>
      </c>
      <c r="EZ234" s="180" t="str">
        <f>AG234&amp;IF(CP234="","","
")&amp;CP234&amp;IF(CI234="","","
")&amp;CI234&amp;IF(DN234="","","
")&amp;DN234&amp;IF(DP234="","","
")&amp;DP234&amp;IF(EV234="","","
")&amp;EV234&amp;IF(EX234="","","
")&amp;EX234</f>
        <v xml:space="preserve">
INSERT INTO rezultat(id,stazakategorija_id,imeprezime_id,vrijeme_sec,status_id,registracija,uparivanje_id,originalstatus_id,imeprezimealias_id,klubalias_id,kategorijaalias_id) VALUES (391,37,1178,4204,1,1,1,0,Null,Null,Null);
UPDATE
	registar
SET
	potvrda = 1
WHERE
	imeprezime_id=1178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4" s="47" t="s">
        <v>0</v>
      </c>
    </row>
    <row r="235" spans="1:157" x14ac:dyDescent="0.25">
      <c r="A235" t="s">
        <v>0</v>
      </c>
      <c r="B235" s="52" t="str">
        <f>IF(csv!F225="","",csv!T225)</f>
        <v>Ž16</v>
      </c>
      <c r="C235" s="31" t="s">
        <v>0</v>
      </c>
      <c r="D235" s="31" t="str">
        <f>IF(csv!F225="","",csv!F225)</f>
        <v>Mare</v>
      </c>
      <c r="E235" s="31" t="str">
        <f>IF(csv!E225="","",csv!E225)</f>
        <v>Gršković</v>
      </c>
      <c r="F235" s="31" t="s">
        <v>0</v>
      </c>
      <c r="G235" s="73" t="str">
        <f>IF(csv!M225="","",csv!M225)</f>
        <v>76:07</v>
      </c>
      <c r="H235" s="73" t="str">
        <f>IF(csv!N225="","",csv!N225)</f>
        <v>0</v>
      </c>
      <c r="I235" s="31" t="s">
        <v>0</v>
      </c>
      <c r="J235" s="31" t="str">
        <f>IF(csv!P225="","",csv!P225)</f>
        <v>KAP</v>
      </c>
      <c r="K235" s="31" t="str">
        <f>IF(csv!Q225="","",csv!Q225)</f>
        <v>OK Kapela</v>
      </c>
      <c r="L235" s="31" t="s">
        <v>0</v>
      </c>
      <c r="M235" s="66" t="str">
        <f>IF(csv!R225="","",csv!R225)</f>
        <v>CRO</v>
      </c>
      <c r="N235" s="47" t="s">
        <v>0</v>
      </c>
      <c r="O235" s="243" t="str">
        <f t="shared" si="207"/>
        <v>ok</v>
      </c>
      <c r="P235" s="47"/>
      <c r="Q235" s="52" t="str">
        <f t="shared" si="208"/>
        <v>Ž16</v>
      </c>
      <c r="R235" s="73">
        <f>IF(Q235="","",IF(COUNTIF(Q$12:Q234,Q235)=0,R234+1,R234))</f>
        <v>15</v>
      </c>
      <c r="S235" s="73">
        <f t="shared" si="209"/>
        <v>120</v>
      </c>
      <c r="T235" s="73">
        <f t="shared" si="184"/>
        <v>27</v>
      </c>
      <c r="U235" s="66" t="str">
        <f t="shared" si="185"/>
        <v>Ž21B – Ž16</v>
      </c>
      <c r="V235" s="47" t="s">
        <v>0</v>
      </c>
      <c r="W235" s="222" t="str">
        <f t="shared" si="186"/>
        <v>Ž16</v>
      </c>
      <c r="X235" s="223">
        <f t="shared" si="187"/>
        <v>37</v>
      </c>
      <c r="Y235" s="47" t="s">
        <v>0</v>
      </c>
      <c r="Z235" s="52" t="str">
        <f t="shared" si="210"/>
        <v>CRO</v>
      </c>
      <c r="AA235" s="73">
        <f t="shared" si="188"/>
        <v>1</v>
      </c>
      <c r="AB235" s="31" t="str">
        <f t="shared" si="211"/>
        <v/>
      </c>
      <c r="AC235" s="66" t="str">
        <f>IF(AB235="","",MAX(AC$12:AC234)+1)</f>
        <v/>
      </c>
      <c r="AD235" s="47" t="s">
        <v>0</v>
      </c>
      <c r="AE235" s="125"/>
      <c r="AF235" s="47" t="s">
        <v>0</v>
      </c>
      <c r="AG235" s="19" t="str">
        <f t="shared" si="212"/>
        <v/>
      </c>
      <c r="AH235" s="47" t="s">
        <v>0</v>
      </c>
      <c r="AI235" s="143" t="str">
        <f t="shared" si="213"/>
        <v>CRO</v>
      </c>
      <c r="AJ235" s="47"/>
      <c r="AK235" s="52" t="str">
        <f t="shared" si="214"/>
        <v>Mare</v>
      </c>
      <c r="AL235" s="31" t="str">
        <f t="shared" si="215"/>
        <v>Gršković</v>
      </c>
      <c r="AM235" s="73">
        <f t="shared" si="216"/>
        <v>1378</v>
      </c>
      <c r="AN235" s="73" t="str">
        <f t="shared" si="217"/>
        <v/>
      </c>
      <c r="AO235" s="31" t="str">
        <f t="shared" si="189"/>
        <v>Mare</v>
      </c>
      <c r="AP235" s="66" t="str">
        <f t="shared" si="190"/>
        <v>Gršković</v>
      </c>
      <c r="AQ235" s="47" t="s">
        <v>0</v>
      </c>
      <c r="AR235" s="82" t="str">
        <f t="shared" si="218"/>
        <v/>
      </c>
      <c r="AS235" s="47" t="s">
        <v>0</v>
      </c>
      <c r="AT235" s="19" t="str">
        <f t="shared" si="219"/>
        <v/>
      </c>
      <c r="AU235" s="47" t="s">
        <v>0</v>
      </c>
      <c r="AV235" s="103"/>
      <c r="AW235" s="105"/>
      <c r="AX235" s="47" t="s">
        <v>0</v>
      </c>
      <c r="AY235" s="256" t="str">
        <f t="shared" si="237"/>
        <v/>
      </c>
      <c r="AZ235" s="47" t="s">
        <v>0</v>
      </c>
      <c r="BA235" s="52" t="str">
        <f t="shared" si="191"/>
        <v/>
      </c>
      <c r="BB235" s="73" t="str">
        <f>IF(AV235&amp;AW235="","",MAX(BB$12:BB234)+1)</f>
        <v/>
      </c>
      <c r="BC235" s="268" t="str">
        <f t="shared" si="192"/>
        <v/>
      </c>
      <c r="BD235" s="53" t="str">
        <f>IF(AND(AM235="NEMA",AN235="NEMA",OR(AV235&amp;AW235="",BC235="NEMA")),MAX(BD$12:BD234)+1,"")</f>
        <v/>
      </c>
      <c r="BE235" s="47" t="s">
        <v>0</v>
      </c>
      <c r="BF235" s="52" t="str">
        <f t="shared" si="193"/>
        <v>Mare</v>
      </c>
      <c r="BG235" s="31" t="str">
        <f t="shared" si="194"/>
        <v>Gršković</v>
      </c>
      <c r="BH235" s="73" t="str">
        <f t="shared" si="220"/>
        <v/>
      </c>
      <c r="BI235" s="53">
        <f t="shared" si="221"/>
        <v>1378</v>
      </c>
      <c r="BJ235" s="47" t="s">
        <v>0</v>
      </c>
      <c r="BK235" s="52" t="str">
        <f t="shared" si="195"/>
        <v>KAP</v>
      </c>
      <c r="BL235" s="31" t="str">
        <f t="shared" si="196"/>
        <v>OK Kapela</v>
      </c>
      <c r="BM235" s="73">
        <f t="shared" si="197"/>
        <v>5</v>
      </c>
      <c r="BN235" s="73" t="str">
        <f t="shared" si="198"/>
        <v/>
      </c>
      <c r="BO235" s="31" t="str" cm="1">
        <f t="array" ref="BO235">IF(BN235="",""&amp;BL235,IF(BN235="NEMA",BL235,INDEX(regKlub_naziv,MATCH(INDEX(regKlub_alias_klubId,BN235),regKlub_id,0))))</f>
        <v>OK Kapela</v>
      </c>
      <c r="BP235" s="31" t="str" cm="1">
        <f t="array" ref="BP235">IFERROR(""&amp;INDEX(regNatjecatelj_klub,DY235),"")</f>
        <v>OK Kapela</v>
      </c>
      <c r="BQ235" s="88" t="str">
        <f t="shared" si="222"/>
        <v/>
      </c>
      <c r="BR235" s="66" t="str">
        <f t="shared" si="223"/>
        <v>OK Kapela</v>
      </c>
      <c r="BS235" s="47" t="s">
        <v>0</v>
      </c>
      <c r="BT235" s="82" t="str">
        <f>IF(BN235&lt;&gt;"NEMA","",IF(IFERROR(MATCH(BL235,BL$12:BL234,0),0)&lt;&gt;0,"",BL235))</f>
        <v/>
      </c>
      <c r="BU235" s="47" t="s">
        <v>0</v>
      </c>
      <c r="BV235" s="125"/>
      <c r="BW235" s="47" t="s">
        <v>0</v>
      </c>
      <c r="BX235" s="58" t="str">
        <f t="shared" si="224"/>
        <v/>
      </c>
      <c r="BY235" s="31" t="str">
        <f t="shared" si="225"/>
        <v/>
      </c>
      <c r="BZ235" s="31" t="str">
        <f>IF(BY235="","",MAX(BZ$12:BZ234)+1)</f>
        <v/>
      </c>
      <c r="CA235" s="31" t="str">
        <f>IF(BY235="","",IF(AA235="","",IF(AA235="NEMA",AC235,AA235)))</f>
        <v/>
      </c>
      <c r="CB235" s="31" t="str">
        <f t="shared" si="226"/>
        <v/>
      </c>
      <c r="CC235" s="31" t="str">
        <f>IF(BV235="","",MAX(CC$12:CC234)+1)</f>
        <v/>
      </c>
      <c r="CD235" s="31" t="str">
        <f t="shared" si="227"/>
        <v/>
      </c>
      <c r="CE235" s="66" t="str">
        <f t="shared" si="228"/>
        <v/>
      </c>
      <c r="CF235" s="47" t="s">
        <v>0</v>
      </c>
      <c r="CG235" s="73" t="str">
        <f>IF(BN235="","",IF(BN235&lt;&gt;"NEMA","",IFERROR(INDEX(nat_klubAliasId,MATCH(BL235,nat_noviKluboviAliasi,0)),"")))</f>
        <v/>
      </c>
      <c r="CH235" s="47"/>
      <c r="CI235" s="19" t="str">
        <f t="shared" si="229"/>
        <v/>
      </c>
      <c r="CJ235" s="47" t="s">
        <v>0</v>
      </c>
      <c r="CK235" s="52" t="str">
        <f>IF(X235&lt;&gt;"NEMA","",IF(IFERROR(MATCH(W235,W$12:W234,0),0)&lt;&gt;0,"",W235))</f>
        <v/>
      </c>
      <c r="CL235" s="73" t="str">
        <f>IF(CK235="","",IFERROR(INDEX(regKlub_alias_id,MATCH(CK235,regKlub_alias_alias,0)),"NEMA"))</f>
        <v/>
      </c>
      <c r="CM235" s="31" t="str">
        <f>IF(OR(CL235="",CL235&lt;&gt;"NEMA"),"",MAX(CM$12:CM234)+1)</f>
        <v/>
      </c>
      <c r="CN235" s="66" t="str">
        <f>IF(OR(CL235="",CL235&lt;&gt;"NEMA"),"",INDEX(regKlub_id,MATCH(CK235,regKlub_naziv,0)))</f>
        <v/>
      </c>
      <c r="CO235" s="47" t="s">
        <v>0</v>
      </c>
      <c r="CP235" s="19" t="str">
        <f>IF(OR(CL235="",CL235&lt;&gt;"NEMA"),"","INSERT INTO klub_alias(id,alias,klub_id) VALUES ("&amp;CM235&amp;",'"&amp;CK235&amp;"',"&amp;CN235&amp;");")</f>
        <v/>
      </c>
      <c r="CQ235" s="47" t="s">
        <v>0</v>
      </c>
      <c r="CR235" s="143" t="str">
        <f>IF(BR235="","",IF(BV235="",IF(IFERROR(MATCH(BR235,nat_noviKluboviAliasi,0),0)&gt;0,INDEX(nat_kluboviAliasi,MATCH(BR235,nat_noviKluboviAliasi,0)),BR235),BV235))</f>
        <v>OK Kapela</v>
      </c>
      <c r="CS235" s="47" t="s">
        <v>0</v>
      </c>
      <c r="CT235" s="58" t="str">
        <f>IF(G235="","",G235)</f>
        <v>76:07</v>
      </c>
      <c r="CU235" s="73" t="str">
        <f>IF(H235="","",H235)</f>
        <v>0</v>
      </c>
      <c r="CV235" s="229" t="str">
        <f>IF(CT235="",IF(OR(AL235="",CU235&lt;&gt;"0"),"","GREŠKA"),IF(AND(65535&gt;=VALUE(LEFT(CT235,SEARCH(":",CT235)-1))*60+VALUE(RIGHT(CT235,2)),OR(CU235="0",CU235="1",CU235="2",CU235="3",CU235="4")),"","GREŠKA"))</f>
        <v/>
      </c>
      <c r="CW235" s="230">
        <f t="shared" si="183"/>
        <v>4567</v>
      </c>
      <c r="CX235" s="163">
        <f t="shared" si="199"/>
        <v>1</v>
      </c>
      <c r="CY235" s="47" t="s">
        <v>0</v>
      </c>
      <c r="CZ235" s="222" t="str">
        <f>IF(CV235&lt;&gt;"GREŠKA","",AK235&amp;" "&amp;AL235&amp;" – Molim u OEventu provjeriti i ispraviti rezultat – vrijeme ("&amp;IF(CT235="","nije upisano",CT235)&amp;") i classifier ("&amp;CU235&amp;").")&amp;IF(OR(CV235&lt;&gt;"GREŠKA",CX235&lt;&gt;5),"
","")&amp;IF(CX235&lt;&gt;5,"",AK235&amp;" "&amp;AL235&amp;" – Molim u provjeriti je li natjecatelj zaista diskvalificiran. Ako je koje je obrazloženje, ako nije molim u OEventu ispraviti rezultat")</f>
        <v xml:space="preserve">
</v>
      </c>
      <c r="DA235" s="223">
        <f t="shared" si="230"/>
        <v>6</v>
      </c>
      <c r="DB235" s="47" t="s">
        <v>0</v>
      </c>
      <c r="DC235" s="47"/>
      <c r="DD235" s="47"/>
      <c r="DE235" s="47"/>
      <c r="DF235" s="47" t="s">
        <v>0</v>
      </c>
      <c r="DG235" s="53" t="str">
        <f>IF(BD235="","",IF(DI235="O",1,""))</f>
        <v/>
      </c>
      <c r="DH235" t="s">
        <v>0</v>
      </c>
      <c r="DI235" s="128" t="str">
        <f>IF(Q235="","",LEFT(INDEX(regKategorija_oznaka,MATCH(S235,regKategorija_id,0)),1))</f>
        <v>Ž</v>
      </c>
      <c r="DJ235" t="s">
        <v>0</v>
      </c>
      <c r="DK235" s="52" t="str">
        <f>IF(BD235="","",IF(M235&lt;&gt;"CRO","","INSERT INTO osoba (id,reg_broj,oib,spol_id,dat_rodjenja) VALUES ("&amp;BD235&amp;",(SELECT max(os.reg_broj)+1 FROM osoba AS os),Null,'"&amp;DI235&amp;"',Null); INSERT INTO osoba_log (id,reg_broj,oib,spol_id,dat_rodjenja,dnevnik_id) SELECT id,reg_broj,oib,spol_id,dat_rodjenja,"&amp;data_dnevnik_id&amp;" FROM osoba WHERE id = "&amp;BD235&amp;";"))</f>
        <v/>
      </c>
      <c r="DL235" s="66" t="str">
        <f>IF(BD235="","","INSERT INTO imeprezime (id,osoba_id,rbr,ime,prezime,klub_id,identitet_id,sintaksa_id,info,aktivno,dnevnik_id) VALUES ("&amp;BD235&amp;","&amp;IF(DK235="","Null",BD235)&amp;",1,'"&amp;IF(AV235&lt;&gt;"",AV235,AK235)&amp;"','"&amp;IF(AW235&lt;&gt;"",AW235,AL235)&amp;"',(SELECT id FROM klub WHERE naziv = '"&amp;CR235&amp;"'),Null,1,'',1,"&amp;data_dnevnik_id&amp;");")</f>
        <v/>
      </c>
      <c r="DM235" t="s">
        <v>0</v>
      </c>
      <c r="DN235" s="19" t="str">
        <f t="shared" si="238"/>
        <v/>
      </c>
      <c r="DO235" s="47" t="s">
        <v>0</v>
      </c>
      <c r="DP235" s="19" t="str">
        <f>IF(BA235="","","INSERT INTO imeprezime_alias(id,alias,imeprezime_id) VALUES ("&amp;BB235&amp;",'"&amp;BA235&amp;"',"&amp;IF(BC235="NEMA",BD235,BC235)&amp;");")</f>
        <v/>
      </c>
      <c r="DQ235" s="47" t="s">
        <v>0</v>
      </c>
      <c r="DR235" s="52" t="str">
        <f>IF(AL235="","",DU235 &amp; IF(Q235="",""," – " &amp; Q235))</f>
        <v>Mare – Gršković – OK Kapela – Ž16</v>
      </c>
      <c r="DS235" s="53">
        <f t="shared" si="200"/>
        <v>248</v>
      </c>
      <c r="DT235" s="47" t="s">
        <v>0</v>
      </c>
      <c r="DU235" s="52" t="str">
        <f>IF(AL235="","",DX235 &amp; IF(CR235="",""," – " &amp; CR235))</f>
        <v>Mare – Gršković – OK Kapela</v>
      </c>
      <c r="DV235" s="53">
        <f t="shared" si="201"/>
        <v>248</v>
      </c>
      <c r="DW235" s="47" t="s">
        <v>0</v>
      </c>
      <c r="DX235" s="52" t="str">
        <f>IF(BG235="","",BF235&amp;" – "&amp;BG235)</f>
        <v>Mare – Gršković</v>
      </c>
      <c r="DY235" s="53">
        <f t="shared" si="202"/>
        <v>248</v>
      </c>
      <c r="DZ235" s="47" t="s">
        <v>0</v>
      </c>
      <c r="EA235" s="58">
        <f t="shared" si="231"/>
        <v>248</v>
      </c>
      <c r="EB235" s="53" cm="1">
        <f t="array" ref="EB235">IF(EA235&lt;&gt;"",INDEX(regNatjecatelj_id,EA235,0),IF(BD235&lt;&gt;"",BD235,""))</f>
        <v>1378</v>
      </c>
      <c r="EC235" s="47" t="s">
        <v>0</v>
      </c>
      <c r="ED235" s="58" t="str">
        <f>IF(AL235="","",IF(BD235&lt;&gt;"","novo",IF(AN235="","imepre","imepre(ali)")))</f>
        <v>imepre</v>
      </c>
      <c r="EE235" s="73" t="str">
        <f>IF(AL235="","",IF(BL235="",IF(IFERROR(INDEX(regNatjecatelj_klub,MATCH(EB235,regNatjecatelj_id,0)),"NEMA")="","klu",""),IF(OR(AND(BN235&lt;&gt;"",BN235&lt;&gt;"NEMA"),CD235&lt;&gt;""),"klu(ali)",IF(AND(BP235&lt;&gt;"",BP235&lt;&gt;BO235),"(raz-klu)","klu"))))</f>
        <v>klu</v>
      </c>
      <c r="EF235" s="73" t="str">
        <f>IF(AL235="","","kat"&amp;IF(AND(W235&lt;&gt;Q235,Q235&lt;&gt;"Open"),"(ali)",""))</f>
        <v>kat</v>
      </c>
      <c r="EG235" s="73" t="str">
        <f t="shared" si="203"/>
        <v/>
      </c>
      <c r="EH235" s="66" t="str">
        <f>IF(AL235="","",ED235&amp;IF(ED235="novo","","-"&amp;EE235&amp;"-"&amp;EF235)&amp;IF(EG235="","","-"&amp;EG235))</f>
        <v>imepre-klu-kat</v>
      </c>
      <c r="EI235" s="47" t="s">
        <v>0</v>
      </c>
      <c r="EJ235" s="58">
        <f>IF(AL235="","",MAX(EJ$12:EJ234)+1)</f>
        <v>392</v>
      </c>
      <c r="EK235" s="73">
        <f>IF(AO235="","",X235)</f>
        <v>37</v>
      </c>
      <c r="EL235" s="73">
        <f t="shared" si="232"/>
        <v>1378</v>
      </c>
      <c r="EM235" s="73">
        <f t="shared" si="204"/>
        <v>4567</v>
      </c>
      <c r="EN235" s="73">
        <f t="shared" si="205"/>
        <v>1</v>
      </c>
      <c r="EO235" s="73">
        <f t="shared" si="233"/>
        <v>1</v>
      </c>
      <c r="EP235" s="73">
        <f t="shared" si="234"/>
        <v>1</v>
      </c>
      <c r="EQ235" s="73" t="str">
        <f t="shared" si="206"/>
        <v>0</v>
      </c>
      <c r="ER235" s="73" t="str">
        <f>IF(OR(AN235="",AN235="NEMA"),BB235,AN235)</f>
        <v/>
      </c>
      <c r="ES235" s="73" t="str">
        <f>IF(AND(BN235&lt;&gt;"",BN235&lt;&gt;"NEMA"),BN235,IF(CG235&lt;&gt;"",CG235,IF(AND(CL235&lt;&gt;"",CL235&lt;&gt;"NEMA"),CL235,IF(CM235&lt;&gt;"",CM235,""))))</f>
        <v/>
      </c>
      <c r="ET235" s="53" t="str">
        <f>IF(INDEX(natKategorija_alias_Id,MATCH(S235,natKategorija_katRegId,0))="","",INDEX(natKategorija_alias_Id,MATCH(S235,natKategorija_katRegId,0)))</f>
        <v/>
      </c>
      <c r="EU235" s="47" t="s">
        <v>0</v>
      </c>
      <c r="EV235" s="19" t="str">
        <f t="shared" si="235"/>
        <v>INSERT INTO rezultat(id,stazakategorija_id,imeprezime_id,vrijeme_sec,status_id,registracija,uparivanje_id,originalstatus_id,imeprezimealias_id,klubalias_id,kategorijaalias_id) VALUES (392,37,1378,4567,1,1,1,0,Null,Null,Null);</v>
      </c>
      <c r="EW235" s="47" t="s">
        <v>0</v>
      </c>
      <c r="EX235" s="19" t="str">
        <f t="shared" si="236"/>
        <v>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5" s="47" t="s">
        <v>0</v>
      </c>
      <c r="EZ235" s="180" t="str">
        <f>AG235&amp;IF(CP235="","","
")&amp;CP235&amp;IF(CI235="","","
")&amp;CI235&amp;IF(DN235="","","
")&amp;DN235&amp;IF(DP235="","","
")&amp;DP235&amp;IF(EV235="","","
")&amp;EV235&amp;IF(EX235="","","
")&amp;EX235</f>
        <v xml:space="preserve">
INSERT INTO rezultat(id,stazakategorija_id,imeprezime_id,vrijeme_sec,status_id,registracija,uparivanje_id,originalstatus_id,imeprezimealias_id,klubalias_id,kategorijaalias_id) VALUES (392,37,1378,4567,1,1,1,0,Null,Null,Null);
UPDATE
	registar
SET
	potvrda = 1
WHERE
	imeprezime_id=1378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5" s="47" t="s">
        <v>0</v>
      </c>
    </row>
    <row r="236" spans="1:157" x14ac:dyDescent="0.25">
      <c r="A236" t="s">
        <v>0</v>
      </c>
      <c r="B236" s="52" t="str">
        <f>IF(csv!F226="","",csv!T226)</f>
        <v>Ž16</v>
      </c>
      <c r="C236" s="31" t="s">
        <v>0</v>
      </c>
      <c r="D236" s="31" t="str">
        <f>IF(csv!F226="","",csv!F226)</f>
        <v>Ema</v>
      </c>
      <c r="E236" s="31" t="str">
        <f>IF(csv!E226="","",csv!E226)</f>
        <v>Potrebica</v>
      </c>
      <c r="F236" s="31" t="s">
        <v>0</v>
      </c>
      <c r="G236" s="73" t="str">
        <f>IF(csv!M226="","",csv!M226)</f>
        <v>81:16</v>
      </c>
      <c r="H236" s="73" t="str">
        <f>IF(csv!N226="","",csv!N226)</f>
        <v>0</v>
      </c>
      <c r="I236" s="31" t="s">
        <v>0</v>
      </c>
      <c r="J236" s="31" t="str">
        <f>IF(csv!P226="","",csv!P226)</f>
        <v>OK Varaždin</v>
      </c>
      <c r="K236" s="31" t="str">
        <f>IF(csv!Q226="","",csv!Q226)</f>
        <v>OK Varaždin</v>
      </c>
      <c r="L236" s="31" t="s">
        <v>0</v>
      </c>
      <c r="M236" s="66" t="str">
        <f>IF(csv!R226="","",csv!R226)</f>
        <v>CRO</v>
      </c>
      <c r="N236" s="47" t="s">
        <v>0</v>
      </c>
      <c r="O236" s="243" t="str">
        <f t="shared" si="207"/>
        <v>ok</v>
      </c>
      <c r="P236" s="47"/>
      <c r="Q236" s="52" t="str">
        <f t="shared" si="208"/>
        <v>Ž16</v>
      </c>
      <c r="R236" s="73">
        <f>IF(Q236="","",IF(COUNTIF(Q$12:Q235,Q236)=0,R235+1,R235))</f>
        <v>15</v>
      </c>
      <c r="S236" s="73">
        <f t="shared" si="209"/>
        <v>120</v>
      </c>
      <c r="T236" s="73">
        <f t="shared" si="184"/>
        <v>27</v>
      </c>
      <c r="U236" s="66" t="str">
        <f t="shared" si="185"/>
        <v>Ž21B – Ž16</v>
      </c>
      <c r="V236" s="47" t="s">
        <v>0</v>
      </c>
      <c r="W236" s="222" t="str">
        <f t="shared" si="186"/>
        <v>Ž16</v>
      </c>
      <c r="X236" s="223">
        <f t="shared" si="187"/>
        <v>37</v>
      </c>
      <c r="Y236" s="47" t="s">
        <v>0</v>
      </c>
      <c r="Z236" s="52" t="str">
        <f t="shared" si="210"/>
        <v>CRO</v>
      </c>
      <c r="AA236" s="73">
        <f t="shared" si="188"/>
        <v>1</v>
      </c>
      <c r="AB236" s="31" t="str">
        <f t="shared" si="211"/>
        <v/>
      </c>
      <c r="AC236" s="66" t="str">
        <f>IF(AB236="","",MAX(AC$12:AC235)+1)</f>
        <v/>
      </c>
      <c r="AD236" s="47" t="s">
        <v>0</v>
      </c>
      <c r="AE236" s="125"/>
      <c r="AF236" s="47" t="s">
        <v>0</v>
      </c>
      <c r="AG236" s="19" t="str">
        <f t="shared" si="212"/>
        <v/>
      </c>
      <c r="AH236" s="47" t="s">
        <v>0</v>
      </c>
      <c r="AI236" s="143" t="str">
        <f t="shared" si="213"/>
        <v>CRO</v>
      </c>
      <c r="AJ236" s="47"/>
      <c r="AK236" s="52" t="str">
        <f t="shared" si="214"/>
        <v>Ema</v>
      </c>
      <c r="AL236" s="31" t="str">
        <f t="shared" si="215"/>
        <v>Potrebica</v>
      </c>
      <c r="AM236" s="73">
        <f t="shared" si="216"/>
        <v>1441</v>
      </c>
      <c r="AN236" s="73" t="str">
        <f t="shared" si="217"/>
        <v/>
      </c>
      <c r="AO236" s="31" t="str">
        <f t="shared" si="189"/>
        <v>Ema</v>
      </c>
      <c r="AP236" s="66" t="str">
        <f t="shared" si="190"/>
        <v>Potrebica</v>
      </c>
      <c r="AQ236" s="47" t="s">
        <v>0</v>
      </c>
      <c r="AR236" s="82" t="str">
        <f t="shared" si="218"/>
        <v/>
      </c>
      <c r="AS236" s="47" t="s">
        <v>0</v>
      </c>
      <c r="AT236" s="19" t="str">
        <f t="shared" si="219"/>
        <v/>
      </c>
      <c r="AU236" s="47" t="s">
        <v>0</v>
      </c>
      <c r="AV236" s="103"/>
      <c r="AW236" s="105"/>
      <c r="AX236" s="47" t="s">
        <v>0</v>
      </c>
      <c r="AY236" s="256" t="str">
        <f t="shared" si="237"/>
        <v/>
      </c>
      <c r="AZ236" s="47" t="s">
        <v>0</v>
      </c>
      <c r="BA236" s="52" t="str">
        <f t="shared" si="191"/>
        <v/>
      </c>
      <c r="BB236" s="73" t="str">
        <f>IF(AV236&amp;AW236="","",MAX(BB$12:BB235)+1)</f>
        <v/>
      </c>
      <c r="BC236" s="268" t="str">
        <f t="shared" si="192"/>
        <v/>
      </c>
      <c r="BD236" s="53" t="str">
        <f>IF(AND(AM236="NEMA",AN236="NEMA",OR(AV236&amp;AW236="",BC236="NEMA")),MAX(BD$12:BD235)+1,"")</f>
        <v/>
      </c>
      <c r="BE236" s="47" t="s">
        <v>0</v>
      </c>
      <c r="BF236" s="52" t="str">
        <f t="shared" si="193"/>
        <v>Ema</v>
      </c>
      <c r="BG236" s="31" t="str">
        <f t="shared" si="194"/>
        <v>Potrebica</v>
      </c>
      <c r="BH236" s="73" t="str">
        <f t="shared" si="220"/>
        <v/>
      </c>
      <c r="BI236" s="53">
        <f t="shared" si="221"/>
        <v>1441</v>
      </c>
      <c r="BJ236" s="47" t="s">
        <v>0</v>
      </c>
      <c r="BK236" s="52" t="str">
        <f t="shared" si="195"/>
        <v>OK Varaždin</v>
      </c>
      <c r="BL236" s="31" t="str">
        <f t="shared" si="196"/>
        <v>OK Varaždin</v>
      </c>
      <c r="BM236" s="73">
        <f t="shared" si="197"/>
        <v>11</v>
      </c>
      <c r="BN236" s="73" t="str">
        <f t="shared" si="198"/>
        <v/>
      </c>
      <c r="BO236" s="31" t="str" cm="1">
        <f t="array" ref="BO236">IF(BN236="",""&amp;BL236,IF(BN236="NEMA",BL236,INDEX(regKlub_naziv,MATCH(INDEX(regKlub_alias_klubId,BN236),regKlub_id,0))))</f>
        <v>OK Varaždin</v>
      </c>
      <c r="BP236" s="31" t="str" cm="1">
        <f t="array" ref="BP236">IFERROR(""&amp;INDEX(regNatjecatelj_klub,DY236),"")</f>
        <v>OK Varaždin</v>
      </c>
      <c r="BQ236" s="88" t="str">
        <f t="shared" si="222"/>
        <v/>
      </c>
      <c r="BR236" s="66" t="str">
        <f t="shared" si="223"/>
        <v>OK Varaždin</v>
      </c>
      <c r="BS236" s="47" t="s">
        <v>0</v>
      </c>
      <c r="BT236" s="82" t="str">
        <f>IF(BN236&lt;&gt;"NEMA","",IF(IFERROR(MATCH(BL236,BL$12:BL235,0),0)&lt;&gt;0,"",BL236))</f>
        <v/>
      </c>
      <c r="BU236" s="47" t="s">
        <v>0</v>
      </c>
      <c r="BV236" s="125"/>
      <c r="BW236" s="47" t="s">
        <v>0</v>
      </c>
      <c r="BX236" s="58" t="str">
        <f t="shared" si="224"/>
        <v/>
      </c>
      <c r="BY236" s="31" t="str">
        <f t="shared" si="225"/>
        <v/>
      </c>
      <c r="BZ236" s="31" t="str">
        <f>IF(BY236="","",MAX(BZ$12:BZ235)+1)</f>
        <v/>
      </c>
      <c r="CA236" s="31" t="str">
        <f>IF(BY236="","",IF(AA236="","",IF(AA236="NEMA",AC236,AA236)))</f>
        <v/>
      </c>
      <c r="CB236" s="31" t="str">
        <f t="shared" si="226"/>
        <v/>
      </c>
      <c r="CC236" s="31" t="str">
        <f>IF(BV236="","",MAX(CC$12:CC235)+1)</f>
        <v/>
      </c>
      <c r="CD236" s="31" t="str">
        <f t="shared" si="227"/>
        <v/>
      </c>
      <c r="CE236" s="66" t="str">
        <f t="shared" si="228"/>
        <v/>
      </c>
      <c r="CF236" s="47" t="s">
        <v>0</v>
      </c>
      <c r="CG236" s="73" t="str">
        <f>IF(BN236="","",IF(BN236&lt;&gt;"NEMA","",IFERROR(INDEX(nat_klubAliasId,MATCH(BL236,nat_noviKluboviAliasi,0)),"")))</f>
        <v/>
      </c>
      <c r="CH236" s="47"/>
      <c r="CI236" s="19" t="str">
        <f t="shared" si="229"/>
        <v/>
      </c>
      <c r="CJ236" s="47" t="s">
        <v>0</v>
      </c>
      <c r="CK236" s="52" t="str">
        <f>IF(X236&lt;&gt;"NEMA","",IF(IFERROR(MATCH(W236,W$12:W235,0),0)&lt;&gt;0,"",W236))</f>
        <v/>
      </c>
      <c r="CL236" s="73" t="str">
        <f>IF(CK236="","",IFERROR(INDEX(regKlub_alias_id,MATCH(CK236,regKlub_alias_alias,0)),"NEMA"))</f>
        <v/>
      </c>
      <c r="CM236" s="31" t="str">
        <f>IF(OR(CL236="",CL236&lt;&gt;"NEMA"),"",MAX(CM$12:CM235)+1)</f>
        <v/>
      </c>
      <c r="CN236" s="66" t="str">
        <f>IF(OR(CL236="",CL236&lt;&gt;"NEMA"),"",INDEX(regKlub_id,MATCH(CK236,regKlub_naziv,0)))</f>
        <v/>
      </c>
      <c r="CO236" s="47" t="s">
        <v>0</v>
      </c>
      <c r="CP236" s="19" t="str">
        <f>IF(OR(CL236="",CL236&lt;&gt;"NEMA"),"","INSERT INTO klub_alias(id,alias,klub_id) VALUES ("&amp;CM236&amp;",'"&amp;CK236&amp;"',"&amp;CN236&amp;");")</f>
        <v/>
      </c>
      <c r="CQ236" s="47" t="s">
        <v>0</v>
      </c>
      <c r="CR236" s="143" t="str">
        <f>IF(BR236="","",IF(BV236="",IF(IFERROR(MATCH(BR236,nat_noviKluboviAliasi,0),0)&gt;0,INDEX(nat_kluboviAliasi,MATCH(BR236,nat_noviKluboviAliasi,0)),BR236),BV236))</f>
        <v>OK Varaždin</v>
      </c>
      <c r="CS236" s="47" t="s">
        <v>0</v>
      </c>
      <c r="CT236" s="58" t="str">
        <f>IF(G236="","",G236)</f>
        <v>81:16</v>
      </c>
      <c r="CU236" s="73" t="str">
        <f>IF(H236="","",H236)</f>
        <v>0</v>
      </c>
      <c r="CV236" s="229" t="str">
        <f>IF(CT236="",IF(OR(AL236="",CU236&lt;&gt;"0"),"","GREŠKA"),IF(AND(65535&gt;=VALUE(LEFT(CT236,SEARCH(":",CT236)-1))*60+VALUE(RIGHT(CT236,2)),OR(CU236="0",CU236="1",CU236="2",CU236="3",CU236="4")),"","GREŠKA"))</f>
        <v/>
      </c>
      <c r="CW236" s="230">
        <f t="shared" si="183"/>
        <v>4876</v>
      </c>
      <c r="CX236" s="163">
        <f t="shared" si="199"/>
        <v>1</v>
      </c>
      <c r="CY236" s="47" t="s">
        <v>0</v>
      </c>
      <c r="CZ236" s="222" t="str">
        <f>IF(CV236&lt;&gt;"GREŠKA","",AK236&amp;" "&amp;AL236&amp;" – Molim u OEventu provjeriti i ispraviti rezultat – vrijeme ("&amp;IF(CT236="","nije upisano",CT236)&amp;") i classifier ("&amp;CU236&amp;").")&amp;IF(OR(CV236&lt;&gt;"GREŠKA",CX236&lt;&gt;5),"
","")&amp;IF(CX236&lt;&gt;5,"",AK236&amp;" "&amp;AL236&amp;" – Molim u provjeriti je li natjecatelj zaista diskvalificiran. Ako je koje je obrazloženje, ako nije molim u OEventu ispraviti rezultat")</f>
        <v xml:space="preserve">
</v>
      </c>
      <c r="DA236" s="223">
        <f t="shared" si="230"/>
        <v>6</v>
      </c>
      <c r="DB236" s="47" t="s">
        <v>0</v>
      </c>
      <c r="DC236" s="47"/>
      <c r="DD236" s="47"/>
      <c r="DE236" s="47"/>
      <c r="DF236" s="47" t="s">
        <v>0</v>
      </c>
      <c r="DG236" s="53" t="str">
        <f>IF(BD236="","",IF(DI236="O",1,""))</f>
        <v/>
      </c>
      <c r="DH236" t="s">
        <v>0</v>
      </c>
      <c r="DI236" s="128" t="str">
        <f>IF(Q236="","",LEFT(INDEX(regKategorija_oznaka,MATCH(S236,regKategorija_id,0)),1))</f>
        <v>Ž</v>
      </c>
      <c r="DJ236" t="s">
        <v>0</v>
      </c>
      <c r="DK236" s="52" t="str">
        <f>IF(BD236="","",IF(M236&lt;&gt;"CRO","","INSERT INTO osoba (id,reg_broj,oib,spol_id,dat_rodjenja) VALUES ("&amp;BD236&amp;",(SELECT max(os.reg_broj)+1 FROM osoba AS os),Null,'"&amp;DI236&amp;"',Null); INSERT INTO osoba_log (id,reg_broj,oib,spol_id,dat_rodjenja,dnevnik_id) SELECT id,reg_broj,oib,spol_id,dat_rodjenja,"&amp;data_dnevnik_id&amp;" FROM osoba WHERE id = "&amp;BD236&amp;";"))</f>
        <v/>
      </c>
      <c r="DL236" s="66" t="str">
        <f>IF(BD236="","","INSERT INTO imeprezime (id,osoba_id,rbr,ime,prezime,klub_id,identitet_id,sintaksa_id,info,aktivno,dnevnik_id) VALUES ("&amp;BD236&amp;","&amp;IF(DK236="","Null",BD236)&amp;",1,'"&amp;IF(AV236&lt;&gt;"",AV236,AK236)&amp;"','"&amp;IF(AW236&lt;&gt;"",AW236,AL236)&amp;"',(SELECT id FROM klub WHERE naziv = '"&amp;CR236&amp;"'),Null,1,'',1,"&amp;data_dnevnik_id&amp;");")</f>
        <v/>
      </c>
      <c r="DM236" t="s">
        <v>0</v>
      </c>
      <c r="DN236" s="19" t="str">
        <f t="shared" si="238"/>
        <v/>
      </c>
      <c r="DO236" s="47" t="s">
        <v>0</v>
      </c>
      <c r="DP236" s="19" t="str">
        <f>IF(BA236="","","INSERT INTO imeprezime_alias(id,alias,imeprezime_id) VALUES ("&amp;BB236&amp;",'"&amp;BA236&amp;"',"&amp;IF(BC236="NEMA",BD236,BC236)&amp;");")</f>
        <v/>
      </c>
      <c r="DQ236" s="47" t="s">
        <v>0</v>
      </c>
      <c r="DR236" s="52" t="str">
        <f>IF(AL236="","",DU236 &amp; IF(Q236="",""," – " &amp; Q236))</f>
        <v>Ema – Potrebica – OK Varaždin – Ž16</v>
      </c>
      <c r="DS236" s="53">
        <f t="shared" si="200"/>
        <v>577</v>
      </c>
      <c r="DT236" s="47" t="s">
        <v>0</v>
      </c>
      <c r="DU236" s="52" t="str">
        <f>IF(AL236="","",DX236 &amp; IF(CR236="",""," – " &amp; CR236))</f>
        <v>Ema – Potrebica – OK Varaždin</v>
      </c>
      <c r="DV236" s="53">
        <f t="shared" si="201"/>
        <v>577</v>
      </c>
      <c r="DW236" s="47" t="s">
        <v>0</v>
      </c>
      <c r="DX236" s="52" t="str">
        <f>IF(BG236="","",BF236&amp;" – "&amp;BG236)</f>
        <v>Ema – Potrebica</v>
      </c>
      <c r="DY236" s="53">
        <f t="shared" si="202"/>
        <v>577</v>
      </c>
      <c r="DZ236" s="47" t="s">
        <v>0</v>
      </c>
      <c r="EA236" s="58">
        <f t="shared" si="231"/>
        <v>577</v>
      </c>
      <c r="EB236" s="53" cm="1">
        <f t="array" ref="EB236">IF(EA236&lt;&gt;"",INDEX(regNatjecatelj_id,EA236,0),IF(BD236&lt;&gt;"",BD236,""))</f>
        <v>1441</v>
      </c>
      <c r="EC236" s="47" t="s">
        <v>0</v>
      </c>
      <c r="ED236" s="58" t="str">
        <f>IF(AL236="","",IF(BD236&lt;&gt;"","novo",IF(AN236="","imepre","imepre(ali)")))</f>
        <v>imepre</v>
      </c>
      <c r="EE236" s="73" t="str">
        <f>IF(AL236="","",IF(BL236="",IF(IFERROR(INDEX(regNatjecatelj_klub,MATCH(EB236,regNatjecatelj_id,0)),"NEMA")="","klu",""),IF(OR(AND(BN236&lt;&gt;"",BN236&lt;&gt;"NEMA"),CD236&lt;&gt;""),"klu(ali)",IF(AND(BP236&lt;&gt;"",BP236&lt;&gt;BO236),"(raz-klu)","klu"))))</f>
        <v>klu</v>
      </c>
      <c r="EF236" s="73" t="str">
        <f>IF(AL236="","","kat"&amp;IF(AND(W236&lt;&gt;Q236,Q236&lt;&gt;"Open"),"(ali)",""))</f>
        <v>kat</v>
      </c>
      <c r="EG236" s="73" t="str">
        <f t="shared" si="203"/>
        <v/>
      </c>
      <c r="EH236" s="66" t="str">
        <f>IF(AL236="","",ED236&amp;IF(ED236="novo","","-"&amp;EE236&amp;"-"&amp;EF236)&amp;IF(EG236="","","-"&amp;EG236))</f>
        <v>imepre-klu-kat</v>
      </c>
      <c r="EI236" s="47" t="s">
        <v>0</v>
      </c>
      <c r="EJ236" s="58">
        <f>IF(AL236="","",MAX(EJ$12:EJ235)+1)</f>
        <v>393</v>
      </c>
      <c r="EK236" s="73">
        <f>IF(AO236="","",X236)</f>
        <v>37</v>
      </c>
      <c r="EL236" s="73">
        <f t="shared" si="232"/>
        <v>1441</v>
      </c>
      <c r="EM236" s="73">
        <f t="shared" si="204"/>
        <v>4876</v>
      </c>
      <c r="EN236" s="73">
        <f t="shared" si="205"/>
        <v>1</v>
      </c>
      <c r="EO236" s="73">
        <f t="shared" si="233"/>
        <v>1</v>
      </c>
      <c r="EP236" s="73">
        <f t="shared" si="234"/>
        <v>1</v>
      </c>
      <c r="EQ236" s="73" t="str">
        <f t="shared" si="206"/>
        <v>0</v>
      </c>
      <c r="ER236" s="73" t="str">
        <f>IF(OR(AN236="",AN236="NEMA"),BB236,AN236)</f>
        <v/>
      </c>
      <c r="ES236" s="73" t="str">
        <f>IF(AND(BN236&lt;&gt;"",BN236&lt;&gt;"NEMA"),BN236,IF(CG236&lt;&gt;"",CG236,IF(AND(CL236&lt;&gt;"",CL236&lt;&gt;"NEMA"),CL236,IF(CM236&lt;&gt;"",CM236,""))))</f>
        <v/>
      </c>
      <c r="ET236" s="53" t="str">
        <f>IF(INDEX(natKategorija_alias_Id,MATCH(S236,natKategorija_katRegId,0))="","",INDEX(natKategorija_alias_Id,MATCH(S236,natKategorija_katRegId,0)))</f>
        <v/>
      </c>
      <c r="EU236" s="47" t="s">
        <v>0</v>
      </c>
      <c r="EV236" s="19" t="str">
        <f t="shared" si="235"/>
        <v>INSERT INTO rezultat(id,stazakategorija_id,imeprezime_id,vrijeme_sec,status_id,registracija,uparivanje_id,originalstatus_id,imeprezimealias_id,klubalias_id,kategorijaalias_id) VALUES (393,37,1441,4876,1,1,1,0,Null,Null,Null);</v>
      </c>
      <c r="EW236" s="47" t="s">
        <v>0</v>
      </c>
      <c r="EX236" s="19" t="str">
        <f t="shared" si="236"/>
        <v>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6" s="47" t="s">
        <v>0</v>
      </c>
      <c r="EZ236" s="180" t="str">
        <f>AG236&amp;IF(CP236="","","
")&amp;CP236&amp;IF(CI236="","","
")&amp;CI236&amp;IF(DN236="","","
")&amp;DN236&amp;IF(DP236="","","
")&amp;DP236&amp;IF(EV236="","","
")&amp;EV236&amp;IF(EX236="","","
")&amp;EX236</f>
        <v xml:space="preserve">
INSERT INTO rezultat(id,stazakategorija_id,imeprezime_id,vrijeme_sec,status_id,registracija,uparivanje_id,originalstatus_id,imeprezimealias_id,klubalias_id,kategorijaalias_id) VALUES (393,37,1441,4876,1,1,1,0,Null,Null,Null);
UPDATE
	registar
SET
	potvrda = 1
WHERE
	imeprezime_id=1441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6" s="47" t="s">
        <v>0</v>
      </c>
    </row>
    <row r="237" spans="1:157" x14ac:dyDescent="0.25">
      <c r="A237" t="s">
        <v>0</v>
      </c>
      <c r="B237" s="52" t="str">
        <f>IF(csv!F227="","",csv!T227)</f>
        <v>Ž16</v>
      </c>
      <c r="C237" s="31" t="s">
        <v>0</v>
      </c>
      <c r="D237" s="31" t="str">
        <f>IF(csv!F227="","",csv!F227)</f>
        <v>Ira</v>
      </c>
      <c r="E237" s="31" t="str">
        <f>IF(csv!E227="","",csv!E227)</f>
        <v>Mareković</v>
      </c>
      <c r="F237" s="31" t="s">
        <v>0</v>
      </c>
      <c r="G237" s="73" t="str">
        <f>IF(csv!M227="","",csv!M227)</f>
        <v>84:12</v>
      </c>
      <c r="H237" s="73" t="str">
        <f>IF(csv!N227="","",csv!N227)</f>
        <v>0</v>
      </c>
      <c r="I237" s="31" t="s">
        <v>0</v>
      </c>
      <c r="J237" s="31" t="str">
        <f>IF(csv!P227="","",csv!P227)</f>
        <v>Vihor</v>
      </c>
      <c r="K237" s="31" t="str">
        <f>IF(csv!Q227="","",csv!Q227)</f>
        <v>OK Vihor</v>
      </c>
      <c r="L237" s="31" t="s">
        <v>0</v>
      </c>
      <c r="M237" s="66" t="str">
        <f>IF(csv!R227="","",csv!R227)</f>
        <v>CRO</v>
      </c>
      <c r="N237" s="47" t="s">
        <v>0</v>
      </c>
      <c r="O237" s="243" t="str">
        <f t="shared" si="207"/>
        <v>ok</v>
      </c>
      <c r="P237" s="47"/>
      <c r="Q237" s="52" t="str">
        <f t="shared" si="208"/>
        <v>Ž16</v>
      </c>
      <c r="R237" s="73">
        <f>IF(Q237="","",IF(COUNTIF(Q$12:Q236,Q237)=0,R236+1,R236))</f>
        <v>15</v>
      </c>
      <c r="S237" s="73">
        <f t="shared" si="209"/>
        <v>120</v>
      </c>
      <c r="T237" s="73">
        <f t="shared" si="184"/>
        <v>27</v>
      </c>
      <c r="U237" s="66" t="str">
        <f t="shared" si="185"/>
        <v>Ž21B – Ž16</v>
      </c>
      <c r="V237" s="47" t="s">
        <v>0</v>
      </c>
      <c r="W237" s="222" t="str">
        <f t="shared" si="186"/>
        <v>Ž16</v>
      </c>
      <c r="X237" s="223">
        <f t="shared" si="187"/>
        <v>37</v>
      </c>
      <c r="Y237" s="47" t="s">
        <v>0</v>
      </c>
      <c r="Z237" s="52" t="str">
        <f t="shared" si="210"/>
        <v>CRO</v>
      </c>
      <c r="AA237" s="73">
        <f t="shared" si="188"/>
        <v>1</v>
      </c>
      <c r="AB237" s="31" t="str">
        <f t="shared" si="211"/>
        <v/>
      </c>
      <c r="AC237" s="66" t="str">
        <f>IF(AB237="","",MAX(AC$12:AC236)+1)</f>
        <v/>
      </c>
      <c r="AD237" s="47" t="s">
        <v>0</v>
      </c>
      <c r="AE237" s="125"/>
      <c r="AF237" s="47" t="s">
        <v>0</v>
      </c>
      <c r="AG237" s="19" t="str">
        <f t="shared" si="212"/>
        <v/>
      </c>
      <c r="AH237" s="47" t="s">
        <v>0</v>
      </c>
      <c r="AI237" s="143" t="str">
        <f t="shared" si="213"/>
        <v>CRO</v>
      </c>
      <c r="AJ237" s="47"/>
      <c r="AK237" s="52" t="str">
        <f t="shared" si="214"/>
        <v>Ira</v>
      </c>
      <c r="AL237" s="31" t="str">
        <f t="shared" si="215"/>
        <v>Mareković</v>
      </c>
      <c r="AM237" s="73">
        <f t="shared" si="216"/>
        <v>1410</v>
      </c>
      <c r="AN237" s="73" t="str">
        <f t="shared" si="217"/>
        <v/>
      </c>
      <c r="AO237" s="31" t="str">
        <f t="shared" si="189"/>
        <v>Ira</v>
      </c>
      <c r="AP237" s="66" t="str">
        <f t="shared" si="190"/>
        <v>Mareković</v>
      </c>
      <c r="AQ237" s="47" t="s">
        <v>0</v>
      </c>
      <c r="AR237" s="82" t="str">
        <f t="shared" si="218"/>
        <v/>
      </c>
      <c r="AS237" s="47" t="s">
        <v>0</v>
      </c>
      <c r="AT237" s="19" t="str">
        <f t="shared" si="219"/>
        <v/>
      </c>
      <c r="AU237" s="47" t="s">
        <v>0</v>
      </c>
      <c r="AV237" s="103"/>
      <c r="AW237" s="105"/>
      <c r="AX237" s="47" t="s">
        <v>0</v>
      </c>
      <c r="AY237" s="256" t="str">
        <f t="shared" si="237"/>
        <v/>
      </c>
      <c r="AZ237" s="47" t="s">
        <v>0</v>
      </c>
      <c r="BA237" s="52" t="str">
        <f t="shared" si="191"/>
        <v/>
      </c>
      <c r="BB237" s="73" t="str">
        <f>IF(AV237&amp;AW237="","",MAX(BB$12:BB236)+1)</f>
        <v/>
      </c>
      <c r="BC237" s="268" t="str">
        <f t="shared" si="192"/>
        <v/>
      </c>
      <c r="BD237" s="53" t="str">
        <f>IF(AND(AM237="NEMA",AN237="NEMA",OR(AV237&amp;AW237="",BC237="NEMA")),MAX(BD$12:BD236)+1,"")</f>
        <v/>
      </c>
      <c r="BE237" s="47" t="s">
        <v>0</v>
      </c>
      <c r="BF237" s="52" t="str">
        <f t="shared" si="193"/>
        <v>Ira</v>
      </c>
      <c r="BG237" s="31" t="str">
        <f t="shared" si="194"/>
        <v>Mareković</v>
      </c>
      <c r="BH237" s="73" t="str">
        <f t="shared" si="220"/>
        <v/>
      </c>
      <c r="BI237" s="53">
        <f t="shared" si="221"/>
        <v>1410</v>
      </c>
      <c r="BJ237" s="47" t="s">
        <v>0</v>
      </c>
      <c r="BK237" s="52" t="str">
        <f t="shared" si="195"/>
        <v>Vihor</v>
      </c>
      <c r="BL237" s="31" t="str">
        <f t="shared" si="196"/>
        <v>OK Vihor</v>
      </c>
      <c r="BM237" s="73">
        <f t="shared" si="197"/>
        <v>12</v>
      </c>
      <c r="BN237" s="73" t="str">
        <f t="shared" si="198"/>
        <v/>
      </c>
      <c r="BO237" s="31" t="str" cm="1">
        <f t="array" ref="BO237">IF(BN237="",""&amp;BL237,IF(BN237="NEMA",BL237,INDEX(regKlub_naziv,MATCH(INDEX(regKlub_alias_klubId,BN237),regKlub_id,0))))</f>
        <v>OK Vihor</v>
      </c>
      <c r="BP237" s="31" t="str" cm="1">
        <f t="array" ref="BP237">IFERROR(""&amp;INDEX(regNatjecatelj_klub,DY237),"")</f>
        <v>OK Vihor</v>
      </c>
      <c r="BQ237" s="88" t="str">
        <f t="shared" si="222"/>
        <v/>
      </c>
      <c r="BR237" s="66" t="str">
        <f t="shared" si="223"/>
        <v>OK Vihor</v>
      </c>
      <c r="BS237" s="47" t="s">
        <v>0</v>
      </c>
      <c r="BT237" s="82" t="str">
        <f>IF(BN237&lt;&gt;"NEMA","",IF(IFERROR(MATCH(BL237,BL$12:BL236,0),0)&lt;&gt;0,"",BL237))</f>
        <v/>
      </c>
      <c r="BU237" s="47" t="s">
        <v>0</v>
      </c>
      <c r="BV237" s="125"/>
      <c r="BW237" s="47" t="s">
        <v>0</v>
      </c>
      <c r="BX237" s="58" t="str">
        <f t="shared" si="224"/>
        <v/>
      </c>
      <c r="BY237" s="31" t="str">
        <f t="shared" si="225"/>
        <v/>
      </c>
      <c r="BZ237" s="31" t="str">
        <f>IF(BY237="","",MAX(BZ$12:BZ236)+1)</f>
        <v/>
      </c>
      <c r="CA237" s="31" t="str">
        <f>IF(BY237="","",IF(AA237="","",IF(AA237="NEMA",AC237,AA237)))</f>
        <v/>
      </c>
      <c r="CB237" s="31" t="str">
        <f t="shared" si="226"/>
        <v/>
      </c>
      <c r="CC237" s="31" t="str">
        <f>IF(BV237="","",MAX(CC$12:CC236)+1)</f>
        <v/>
      </c>
      <c r="CD237" s="31" t="str">
        <f t="shared" si="227"/>
        <v/>
      </c>
      <c r="CE237" s="66" t="str">
        <f t="shared" si="228"/>
        <v/>
      </c>
      <c r="CF237" s="47" t="s">
        <v>0</v>
      </c>
      <c r="CG237" s="73" t="str">
        <f>IF(BN237="","",IF(BN237&lt;&gt;"NEMA","",IFERROR(INDEX(nat_klubAliasId,MATCH(BL237,nat_noviKluboviAliasi,0)),"")))</f>
        <v/>
      </c>
      <c r="CH237" s="47"/>
      <c r="CI237" s="19" t="str">
        <f t="shared" si="229"/>
        <v/>
      </c>
      <c r="CJ237" s="47" t="s">
        <v>0</v>
      </c>
      <c r="CK237" s="52" t="str">
        <f>IF(X237&lt;&gt;"NEMA","",IF(IFERROR(MATCH(W237,W$12:W236,0),0)&lt;&gt;0,"",W237))</f>
        <v/>
      </c>
      <c r="CL237" s="73" t="str">
        <f>IF(CK237="","",IFERROR(INDEX(regKlub_alias_id,MATCH(CK237,regKlub_alias_alias,0)),"NEMA"))</f>
        <v/>
      </c>
      <c r="CM237" s="31" t="str">
        <f>IF(OR(CL237="",CL237&lt;&gt;"NEMA"),"",MAX(CM$12:CM236)+1)</f>
        <v/>
      </c>
      <c r="CN237" s="66" t="str">
        <f>IF(OR(CL237="",CL237&lt;&gt;"NEMA"),"",INDEX(regKlub_id,MATCH(CK237,regKlub_naziv,0)))</f>
        <v/>
      </c>
      <c r="CO237" s="47" t="s">
        <v>0</v>
      </c>
      <c r="CP237" s="19" t="str">
        <f>IF(OR(CL237="",CL237&lt;&gt;"NEMA"),"","INSERT INTO klub_alias(id,alias,klub_id) VALUES ("&amp;CM237&amp;",'"&amp;CK237&amp;"',"&amp;CN237&amp;");")</f>
        <v/>
      </c>
      <c r="CQ237" s="47" t="s">
        <v>0</v>
      </c>
      <c r="CR237" s="143" t="str">
        <f>IF(BR237="","",IF(BV237="",IF(IFERROR(MATCH(BR237,nat_noviKluboviAliasi,0),0)&gt;0,INDEX(nat_kluboviAliasi,MATCH(BR237,nat_noviKluboviAliasi,0)),BR237),BV237))</f>
        <v>OK Vihor</v>
      </c>
      <c r="CS237" s="47" t="s">
        <v>0</v>
      </c>
      <c r="CT237" s="58" t="str">
        <f>IF(G237="","",G237)</f>
        <v>84:12</v>
      </c>
      <c r="CU237" s="73" t="str">
        <f>IF(H237="","",H237)</f>
        <v>0</v>
      </c>
      <c r="CV237" s="229" t="str">
        <f>IF(CT237="",IF(OR(AL237="",CU237&lt;&gt;"0"),"","GREŠKA"),IF(AND(65535&gt;=VALUE(LEFT(CT237,SEARCH(":",CT237)-1))*60+VALUE(RIGHT(CT237,2)),OR(CU237="0",CU237="1",CU237="2",CU237="3",CU237="4")),"","GREŠKA"))</f>
        <v/>
      </c>
      <c r="CW237" s="230">
        <f t="shared" si="183"/>
        <v>5052</v>
      </c>
      <c r="CX237" s="163">
        <f t="shared" si="199"/>
        <v>1</v>
      </c>
      <c r="CY237" s="47" t="s">
        <v>0</v>
      </c>
      <c r="CZ237" s="222" t="str">
        <f>IF(CV237&lt;&gt;"GREŠKA","",AK237&amp;" "&amp;AL237&amp;" – Molim u OEventu provjeriti i ispraviti rezultat – vrijeme ("&amp;IF(CT237="","nije upisano",CT237)&amp;") i classifier ("&amp;CU237&amp;").")&amp;IF(OR(CV237&lt;&gt;"GREŠKA",CX237&lt;&gt;5),"
","")&amp;IF(CX237&lt;&gt;5,"",AK237&amp;" "&amp;AL237&amp;" – Molim u provjeriti je li natjecatelj zaista diskvalificiran. Ako je koje je obrazloženje, ako nije molim u OEventu ispraviti rezultat")</f>
        <v xml:space="preserve">
</v>
      </c>
      <c r="DA237" s="223">
        <f t="shared" si="230"/>
        <v>6</v>
      </c>
      <c r="DB237" s="47" t="s">
        <v>0</v>
      </c>
      <c r="DC237" s="47"/>
      <c r="DD237" s="47"/>
      <c r="DE237" s="47"/>
      <c r="DF237" s="47" t="s">
        <v>0</v>
      </c>
      <c r="DG237" s="53" t="str">
        <f>IF(BD237="","",IF(DI237="O",1,""))</f>
        <v/>
      </c>
      <c r="DH237" t="s">
        <v>0</v>
      </c>
      <c r="DI237" s="128" t="str">
        <f>IF(Q237="","",LEFT(INDEX(regKategorija_oznaka,MATCH(S237,regKategorija_id,0)),1))</f>
        <v>Ž</v>
      </c>
      <c r="DJ237" t="s">
        <v>0</v>
      </c>
      <c r="DK237" s="52" t="str">
        <f>IF(BD237="","",IF(M237&lt;&gt;"CRO","","INSERT INTO osoba (id,reg_broj,oib,spol_id,dat_rodjenja) VALUES ("&amp;BD237&amp;",(SELECT max(os.reg_broj)+1 FROM osoba AS os),Null,'"&amp;DI237&amp;"',Null); INSERT INTO osoba_log (id,reg_broj,oib,spol_id,dat_rodjenja,dnevnik_id) SELECT id,reg_broj,oib,spol_id,dat_rodjenja,"&amp;data_dnevnik_id&amp;" FROM osoba WHERE id = "&amp;BD237&amp;";"))</f>
        <v/>
      </c>
      <c r="DL237" s="66" t="str">
        <f>IF(BD237="","","INSERT INTO imeprezime (id,osoba_id,rbr,ime,prezime,klub_id,identitet_id,sintaksa_id,info,aktivno,dnevnik_id) VALUES ("&amp;BD237&amp;","&amp;IF(DK237="","Null",BD237)&amp;",1,'"&amp;IF(AV237&lt;&gt;"",AV237,AK237)&amp;"','"&amp;IF(AW237&lt;&gt;"",AW237,AL237)&amp;"',(SELECT id FROM klub WHERE naziv = '"&amp;CR237&amp;"'),Null,1,'',1,"&amp;data_dnevnik_id&amp;");")</f>
        <v/>
      </c>
      <c r="DM237" t="s">
        <v>0</v>
      </c>
      <c r="DN237" s="19" t="str">
        <f t="shared" si="238"/>
        <v/>
      </c>
      <c r="DO237" s="47" t="s">
        <v>0</v>
      </c>
      <c r="DP237" s="19" t="str">
        <f>IF(BA237="","","INSERT INTO imeprezime_alias(id,alias,imeprezime_id) VALUES ("&amp;BB237&amp;",'"&amp;BA237&amp;"',"&amp;IF(BC237="NEMA",BD237,BC237)&amp;");")</f>
        <v/>
      </c>
      <c r="DQ237" s="47" t="s">
        <v>0</v>
      </c>
      <c r="DR237" s="52" t="str">
        <f>IF(AL237="","",DU237 &amp; IF(Q237="",""," – " &amp; Q237))</f>
        <v>Ira – Mareković – OK Vihor – Ž16</v>
      </c>
      <c r="DS237" s="53">
        <f t="shared" si="200"/>
        <v>787</v>
      </c>
      <c r="DT237" s="47" t="s">
        <v>0</v>
      </c>
      <c r="DU237" s="52" t="str">
        <f>IF(AL237="","",DX237 &amp; IF(CR237="",""," – " &amp; CR237))</f>
        <v>Ira – Mareković – OK Vihor</v>
      </c>
      <c r="DV237" s="53">
        <f t="shared" si="201"/>
        <v>787</v>
      </c>
      <c r="DW237" s="47" t="s">
        <v>0</v>
      </c>
      <c r="DX237" s="52" t="str">
        <f>IF(BG237="","",BF237&amp;" – "&amp;BG237)</f>
        <v>Ira – Mareković</v>
      </c>
      <c r="DY237" s="53">
        <f t="shared" si="202"/>
        <v>787</v>
      </c>
      <c r="DZ237" s="47" t="s">
        <v>0</v>
      </c>
      <c r="EA237" s="58">
        <f t="shared" si="231"/>
        <v>787</v>
      </c>
      <c r="EB237" s="53" cm="1">
        <f t="array" ref="EB237">IF(EA237&lt;&gt;"",INDEX(regNatjecatelj_id,EA237,0),IF(BD237&lt;&gt;"",BD237,""))</f>
        <v>1410</v>
      </c>
      <c r="EC237" s="47" t="s">
        <v>0</v>
      </c>
      <c r="ED237" s="58" t="str">
        <f>IF(AL237="","",IF(BD237&lt;&gt;"","novo",IF(AN237="","imepre","imepre(ali)")))</f>
        <v>imepre</v>
      </c>
      <c r="EE237" s="73" t="str">
        <f>IF(AL237="","",IF(BL237="",IF(IFERROR(INDEX(regNatjecatelj_klub,MATCH(EB237,regNatjecatelj_id,0)),"NEMA")="","klu",""),IF(OR(AND(BN237&lt;&gt;"",BN237&lt;&gt;"NEMA"),CD237&lt;&gt;""),"klu(ali)",IF(AND(BP237&lt;&gt;"",BP237&lt;&gt;BO237),"(raz-klu)","klu"))))</f>
        <v>klu</v>
      </c>
      <c r="EF237" s="73" t="str">
        <f>IF(AL237="","","kat"&amp;IF(AND(W237&lt;&gt;Q237,Q237&lt;&gt;"Open"),"(ali)",""))</f>
        <v>kat</v>
      </c>
      <c r="EG237" s="73" t="str">
        <f t="shared" si="203"/>
        <v/>
      </c>
      <c r="EH237" s="66" t="str">
        <f>IF(AL237="","",ED237&amp;IF(ED237="novo","","-"&amp;EE237&amp;"-"&amp;EF237)&amp;IF(EG237="","","-"&amp;EG237))</f>
        <v>imepre-klu-kat</v>
      </c>
      <c r="EI237" s="47" t="s">
        <v>0</v>
      </c>
      <c r="EJ237" s="58">
        <f>IF(AL237="","",MAX(EJ$12:EJ236)+1)</f>
        <v>394</v>
      </c>
      <c r="EK237" s="73">
        <f>IF(AO237="","",X237)</f>
        <v>37</v>
      </c>
      <c r="EL237" s="73">
        <f t="shared" si="232"/>
        <v>1410</v>
      </c>
      <c r="EM237" s="73">
        <f t="shared" si="204"/>
        <v>5052</v>
      </c>
      <c r="EN237" s="73">
        <f t="shared" si="205"/>
        <v>1</v>
      </c>
      <c r="EO237" s="73">
        <f t="shared" si="233"/>
        <v>1</v>
      </c>
      <c r="EP237" s="73">
        <f t="shared" si="234"/>
        <v>1</v>
      </c>
      <c r="EQ237" s="73" t="str">
        <f t="shared" si="206"/>
        <v>0</v>
      </c>
      <c r="ER237" s="73" t="str">
        <f>IF(OR(AN237="",AN237="NEMA"),BB237,AN237)</f>
        <v/>
      </c>
      <c r="ES237" s="73" t="str">
        <f>IF(AND(BN237&lt;&gt;"",BN237&lt;&gt;"NEMA"),BN237,IF(CG237&lt;&gt;"",CG237,IF(AND(CL237&lt;&gt;"",CL237&lt;&gt;"NEMA"),CL237,IF(CM237&lt;&gt;"",CM237,""))))</f>
        <v/>
      </c>
      <c r="ET237" s="53" t="str">
        <f>IF(INDEX(natKategorija_alias_Id,MATCH(S237,natKategorija_katRegId,0))="","",INDEX(natKategorija_alias_Id,MATCH(S237,natKategorija_katRegId,0)))</f>
        <v/>
      </c>
      <c r="EU237" s="47" t="s">
        <v>0</v>
      </c>
      <c r="EV237" s="19" t="str">
        <f t="shared" si="235"/>
        <v>INSERT INTO rezultat(id,stazakategorija_id,imeprezime_id,vrijeme_sec,status_id,registracija,uparivanje_id,originalstatus_id,imeprezimealias_id,klubalias_id,kategorijaalias_id) VALUES (394,37,1410,5052,1,1,1,0,Null,Null,Null);</v>
      </c>
      <c r="EW237" s="47" t="s">
        <v>0</v>
      </c>
      <c r="EX237" s="19" t="str">
        <f t="shared" si="236"/>
        <v>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7" s="47" t="s">
        <v>0</v>
      </c>
      <c r="EZ237" s="180" t="str">
        <f>AG237&amp;IF(CP237="","","
")&amp;CP237&amp;IF(CI237="","","
")&amp;CI237&amp;IF(DN237="","","
")&amp;DN237&amp;IF(DP237="","","
")&amp;DP237&amp;IF(EV237="","","
")&amp;EV237&amp;IF(EX237="","","
")&amp;EX237</f>
        <v xml:space="preserve">
INSERT INTO rezultat(id,stazakategorija_id,imeprezime_id,vrijeme_sec,status_id,registracija,uparivanje_id,originalstatus_id,imeprezimealias_id,klubalias_id,kategorijaalias_id) VALUES (394,37,1410,5052,1,1,1,0,Null,Null,Null);
UPDATE
	registar
SET
	potvrda = 1
WHERE
	imeprezime_id=1410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7" s="47" t="s">
        <v>0</v>
      </c>
    </row>
    <row r="238" spans="1:157" x14ac:dyDescent="0.25">
      <c r="A238" t="s">
        <v>0</v>
      </c>
      <c r="B238" s="52" t="str">
        <f>IF(csv!F228="","",csv!T228)</f>
        <v>Ž16</v>
      </c>
      <c r="C238" s="31" t="s">
        <v>0</v>
      </c>
      <c r="D238" s="31" t="str">
        <f>IF(csv!F228="","",csv!F228)</f>
        <v>Nina</v>
      </c>
      <c r="E238" s="31" t="str">
        <f>IF(csv!E228="","",csv!E228)</f>
        <v>Mioković</v>
      </c>
      <c r="F238" s="31" t="s">
        <v>0</v>
      </c>
      <c r="G238" s="73" t="str">
        <f>IF(csv!M228="","",csv!M228)</f>
        <v>87:18</v>
      </c>
      <c r="H238" s="73" t="str">
        <f>IF(csv!N228="","",csv!N228)</f>
        <v>0</v>
      </c>
      <c r="I238" s="31" t="s">
        <v>0</v>
      </c>
      <c r="J238" s="31" t="str">
        <f>IF(csv!P228="","",csv!P228)</f>
        <v>KAP</v>
      </c>
      <c r="K238" s="31" t="str">
        <f>IF(csv!Q228="","",csv!Q228)</f>
        <v>OK Kapela</v>
      </c>
      <c r="L238" s="31" t="s">
        <v>0</v>
      </c>
      <c r="M238" s="66" t="str">
        <f>IF(csv!R228="","",csv!R228)</f>
        <v>CRO</v>
      </c>
      <c r="N238" s="47" t="s">
        <v>0</v>
      </c>
      <c r="O238" s="243" t="str">
        <f t="shared" si="207"/>
        <v>ok</v>
      </c>
      <c r="P238" s="47"/>
      <c r="Q238" s="52" t="str">
        <f t="shared" si="208"/>
        <v>Ž16</v>
      </c>
      <c r="R238" s="73">
        <f>IF(Q238="","",IF(COUNTIF(Q$12:Q237,Q238)=0,R237+1,R237))</f>
        <v>15</v>
      </c>
      <c r="S238" s="73">
        <f t="shared" si="209"/>
        <v>120</v>
      </c>
      <c r="T238" s="73">
        <f t="shared" si="184"/>
        <v>27</v>
      </c>
      <c r="U238" s="66" t="str">
        <f t="shared" si="185"/>
        <v>Ž21B – Ž16</v>
      </c>
      <c r="V238" s="47" t="s">
        <v>0</v>
      </c>
      <c r="W238" s="222" t="str">
        <f t="shared" si="186"/>
        <v>Ž16</v>
      </c>
      <c r="X238" s="223">
        <f t="shared" si="187"/>
        <v>37</v>
      </c>
      <c r="Y238" s="47" t="s">
        <v>0</v>
      </c>
      <c r="Z238" s="52" t="str">
        <f t="shared" si="210"/>
        <v>CRO</v>
      </c>
      <c r="AA238" s="73">
        <f t="shared" si="188"/>
        <v>1</v>
      </c>
      <c r="AB238" s="31" t="str">
        <f t="shared" si="211"/>
        <v/>
      </c>
      <c r="AC238" s="66" t="str">
        <f>IF(AB238="","",MAX(AC$12:AC237)+1)</f>
        <v/>
      </c>
      <c r="AD238" s="47" t="s">
        <v>0</v>
      </c>
      <c r="AE238" s="125"/>
      <c r="AF238" s="47" t="s">
        <v>0</v>
      </c>
      <c r="AG238" s="19" t="str">
        <f t="shared" si="212"/>
        <v/>
      </c>
      <c r="AH238" s="47" t="s">
        <v>0</v>
      </c>
      <c r="AI238" s="143" t="str">
        <f t="shared" si="213"/>
        <v>CRO</v>
      </c>
      <c r="AJ238" s="47"/>
      <c r="AK238" s="52" t="str">
        <f t="shared" si="214"/>
        <v>Nina</v>
      </c>
      <c r="AL238" s="31" t="str">
        <f t="shared" si="215"/>
        <v>Mioković</v>
      </c>
      <c r="AM238" s="73">
        <f t="shared" si="216"/>
        <v>1243</v>
      </c>
      <c r="AN238" s="73" t="str">
        <f t="shared" si="217"/>
        <v/>
      </c>
      <c r="AO238" s="31" t="str">
        <f t="shared" si="189"/>
        <v>Nina</v>
      </c>
      <c r="AP238" s="66" t="str">
        <f t="shared" si="190"/>
        <v>Mioković</v>
      </c>
      <c r="AQ238" s="47" t="s">
        <v>0</v>
      </c>
      <c r="AR238" s="82" t="str">
        <f t="shared" si="218"/>
        <v/>
      </c>
      <c r="AS238" s="47" t="s">
        <v>0</v>
      </c>
      <c r="AT238" s="19" t="str">
        <f t="shared" si="219"/>
        <v/>
      </c>
      <c r="AU238" s="47" t="s">
        <v>0</v>
      </c>
      <c r="AV238" s="103"/>
      <c r="AW238" s="105"/>
      <c r="AX238" s="47" t="s">
        <v>0</v>
      </c>
      <c r="AY238" s="256" t="str">
        <f t="shared" si="237"/>
        <v/>
      </c>
      <c r="AZ238" s="47" t="s">
        <v>0</v>
      </c>
      <c r="BA238" s="52" t="str">
        <f t="shared" si="191"/>
        <v/>
      </c>
      <c r="BB238" s="73" t="str">
        <f>IF(AV238&amp;AW238="","",MAX(BB$12:BB237)+1)</f>
        <v/>
      </c>
      <c r="BC238" s="268" t="str">
        <f t="shared" si="192"/>
        <v/>
      </c>
      <c r="BD238" s="53" t="str">
        <f>IF(AND(AM238="NEMA",AN238="NEMA",OR(AV238&amp;AW238="",BC238="NEMA")),MAX(BD$12:BD237)+1,"")</f>
        <v/>
      </c>
      <c r="BE238" s="47" t="s">
        <v>0</v>
      </c>
      <c r="BF238" s="52" t="str">
        <f t="shared" si="193"/>
        <v>Nina</v>
      </c>
      <c r="BG238" s="31" t="str">
        <f t="shared" si="194"/>
        <v>Mioković</v>
      </c>
      <c r="BH238" s="73" t="str">
        <f t="shared" si="220"/>
        <v/>
      </c>
      <c r="BI238" s="53">
        <f t="shared" si="221"/>
        <v>1243</v>
      </c>
      <c r="BJ238" s="47" t="s">
        <v>0</v>
      </c>
      <c r="BK238" s="52" t="str">
        <f t="shared" si="195"/>
        <v>KAP</v>
      </c>
      <c r="BL238" s="31" t="str">
        <f t="shared" si="196"/>
        <v>OK Kapela</v>
      </c>
      <c r="BM238" s="73">
        <f t="shared" si="197"/>
        <v>5</v>
      </c>
      <c r="BN238" s="73" t="str">
        <f t="shared" si="198"/>
        <v/>
      </c>
      <c r="BO238" s="31" t="str" cm="1">
        <f t="array" ref="BO238">IF(BN238="",""&amp;BL238,IF(BN238="NEMA",BL238,INDEX(regKlub_naziv,MATCH(INDEX(regKlub_alias_klubId,BN238),regKlub_id,0))))</f>
        <v>OK Kapela</v>
      </c>
      <c r="BP238" s="31" t="str" cm="1">
        <f t="array" ref="BP238">IFERROR(""&amp;INDEX(regNatjecatelj_klub,DY238),"")</f>
        <v>OK Kapela</v>
      </c>
      <c r="BQ238" s="88" t="str">
        <f t="shared" si="222"/>
        <v/>
      </c>
      <c r="BR238" s="66" t="str">
        <f t="shared" si="223"/>
        <v>OK Kapela</v>
      </c>
      <c r="BS238" s="47" t="s">
        <v>0</v>
      </c>
      <c r="BT238" s="82" t="str">
        <f>IF(BN238&lt;&gt;"NEMA","",IF(IFERROR(MATCH(BL238,BL$12:BL237,0),0)&lt;&gt;0,"",BL238))</f>
        <v/>
      </c>
      <c r="BU238" s="47" t="s">
        <v>0</v>
      </c>
      <c r="BV238" s="125"/>
      <c r="BW238" s="47" t="s">
        <v>0</v>
      </c>
      <c r="BX238" s="58" t="str">
        <f t="shared" si="224"/>
        <v/>
      </c>
      <c r="BY238" s="31" t="str">
        <f t="shared" si="225"/>
        <v/>
      </c>
      <c r="BZ238" s="31" t="str">
        <f>IF(BY238="","",MAX(BZ$12:BZ237)+1)</f>
        <v/>
      </c>
      <c r="CA238" s="31" t="str">
        <f>IF(BY238="","",IF(AA238="","",IF(AA238="NEMA",AC238,AA238)))</f>
        <v/>
      </c>
      <c r="CB238" s="31" t="str">
        <f t="shared" si="226"/>
        <v/>
      </c>
      <c r="CC238" s="31" t="str">
        <f>IF(BV238="","",MAX(CC$12:CC237)+1)</f>
        <v/>
      </c>
      <c r="CD238" s="31" t="str">
        <f t="shared" si="227"/>
        <v/>
      </c>
      <c r="CE238" s="66" t="str">
        <f t="shared" si="228"/>
        <v/>
      </c>
      <c r="CF238" s="47" t="s">
        <v>0</v>
      </c>
      <c r="CG238" s="73" t="str">
        <f>IF(BN238="","",IF(BN238&lt;&gt;"NEMA","",IFERROR(INDEX(nat_klubAliasId,MATCH(BL238,nat_noviKluboviAliasi,0)),"")))</f>
        <v/>
      </c>
      <c r="CH238" s="47"/>
      <c r="CI238" s="19" t="str">
        <f t="shared" si="229"/>
        <v/>
      </c>
      <c r="CJ238" s="47" t="s">
        <v>0</v>
      </c>
      <c r="CK238" s="52" t="str">
        <f>IF(X238&lt;&gt;"NEMA","",IF(IFERROR(MATCH(W238,W$12:W237,0),0)&lt;&gt;0,"",W238))</f>
        <v/>
      </c>
      <c r="CL238" s="73" t="str">
        <f>IF(CK238="","",IFERROR(INDEX(regKlub_alias_id,MATCH(CK238,regKlub_alias_alias,0)),"NEMA"))</f>
        <v/>
      </c>
      <c r="CM238" s="31" t="str">
        <f>IF(OR(CL238="",CL238&lt;&gt;"NEMA"),"",MAX(CM$12:CM237)+1)</f>
        <v/>
      </c>
      <c r="CN238" s="66" t="str">
        <f>IF(OR(CL238="",CL238&lt;&gt;"NEMA"),"",INDEX(regKlub_id,MATCH(CK238,regKlub_naziv,0)))</f>
        <v/>
      </c>
      <c r="CO238" s="47" t="s">
        <v>0</v>
      </c>
      <c r="CP238" s="19" t="str">
        <f>IF(OR(CL238="",CL238&lt;&gt;"NEMA"),"","INSERT INTO klub_alias(id,alias,klub_id) VALUES ("&amp;CM238&amp;",'"&amp;CK238&amp;"',"&amp;CN238&amp;");")</f>
        <v/>
      </c>
      <c r="CQ238" s="47" t="s">
        <v>0</v>
      </c>
      <c r="CR238" s="143" t="str">
        <f>IF(BR238="","",IF(BV238="",IF(IFERROR(MATCH(BR238,nat_noviKluboviAliasi,0),0)&gt;0,INDEX(nat_kluboviAliasi,MATCH(BR238,nat_noviKluboviAliasi,0)),BR238),BV238))</f>
        <v>OK Kapela</v>
      </c>
      <c r="CS238" s="47" t="s">
        <v>0</v>
      </c>
      <c r="CT238" s="58" t="str">
        <f>IF(G238="","",G238)</f>
        <v>87:18</v>
      </c>
      <c r="CU238" s="73" t="str">
        <f>IF(H238="","",H238)</f>
        <v>0</v>
      </c>
      <c r="CV238" s="229" t="str">
        <f>IF(CT238="",IF(OR(AL238="",CU238&lt;&gt;"0"),"","GREŠKA"),IF(AND(65535&gt;=VALUE(LEFT(CT238,SEARCH(":",CT238)-1))*60+VALUE(RIGHT(CT238,2)),OR(CU238="0",CU238="1",CU238="2",CU238="3",CU238="4")),"","GREŠKA"))</f>
        <v/>
      </c>
      <c r="CW238" s="230">
        <f t="shared" si="183"/>
        <v>5238</v>
      </c>
      <c r="CX238" s="163">
        <f t="shared" si="199"/>
        <v>1</v>
      </c>
      <c r="CY238" s="47" t="s">
        <v>0</v>
      </c>
      <c r="CZ238" s="222" t="str">
        <f>IF(CV238&lt;&gt;"GREŠKA","",AK238&amp;" "&amp;AL238&amp;" – Molim u OEventu provjeriti i ispraviti rezultat – vrijeme ("&amp;IF(CT238="","nije upisano",CT238)&amp;") i classifier ("&amp;CU238&amp;").")&amp;IF(OR(CV238&lt;&gt;"GREŠKA",CX238&lt;&gt;5),"
","")&amp;IF(CX238&lt;&gt;5,"",AK238&amp;" "&amp;AL238&amp;" – Molim u provjeriti je li natjecatelj zaista diskvalificiran. Ako je koje je obrazloženje, ako nije molim u OEventu ispraviti rezultat")</f>
        <v xml:space="preserve">
</v>
      </c>
      <c r="DA238" s="223">
        <f t="shared" si="230"/>
        <v>6</v>
      </c>
      <c r="DB238" s="47" t="s">
        <v>0</v>
      </c>
      <c r="DC238" s="47"/>
      <c r="DD238" s="47"/>
      <c r="DE238" s="47"/>
      <c r="DF238" s="47" t="s">
        <v>0</v>
      </c>
      <c r="DG238" s="53" t="str">
        <f>IF(BD238="","",IF(DI238="O",1,""))</f>
        <v/>
      </c>
      <c r="DH238" t="s">
        <v>0</v>
      </c>
      <c r="DI238" s="128" t="str">
        <f>IF(Q238="","",LEFT(INDEX(regKategorija_oznaka,MATCH(S238,regKategorija_id,0)),1))</f>
        <v>Ž</v>
      </c>
      <c r="DJ238" t="s">
        <v>0</v>
      </c>
      <c r="DK238" s="52" t="str">
        <f>IF(BD238="","",IF(M238&lt;&gt;"CRO","","INSERT INTO osoba (id,reg_broj,oib,spol_id,dat_rodjenja) VALUES ("&amp;BD238&amp;",(SELECT max(os.reg_broj)+1 FROM osoba AS os),Null,'"&amp;DI238&amp;"',Null); INSERT INTO osoba_log (id,reg_broj,oib,spol_id,dat_rodjenja,dnevnik_id) SELECT id,reg_broj,oib,spol_id,dat_rodjenja,"&amp;data_dnevnik_id&amp;" FROM osoba WHERE id = "&amp;BD238&amp;";"))</f>
        <v/>
      </c>
      <c r="DL238" s="66" t="str">
        <f>IF(BD238="","","INSERT INTO imeprezime (id,osoba_id,rbr,ime,prezime,klub_id,identitet_id,sintaksa_id,info,aktivno,dnevnik_id) VALUES ("&amp;BD238&amp;","&amp;IF(DK238="","Null",BD238)&amp;",1,'"&amp;IF(AV238&lt;&gt;"",AV238,AK238)&amp;"','"&amp;IF(AW238&lt;&gt;"",AW238,AL238)&amp;"',(SELECT id FROM klub WHERE naziv = '"&amp;CR238&amp;"'),Null,1,'',1,"&amp;data_dnevnik_id&amp;");")</f>
        <v/>
      </c>
      <c r="DM238" t="s">
        <v>0</v>
      </c>
      <c r="DN238" s="19" t="str">
        <f t="shared" si="238"/>
        <v/>
      </c>
      <c r="DO238" s="47" t="s">
        <v>0</v>
      </c>
      <c r="DP238" s="19" t="str">
        <f>IF(BA238="","","INSERT INTO imeprezime_alias(id,alias,imeprezime_id) VALUES ("&amp;BB238&amp;",'"&amp;BA238&amp;"',"&amp;IF(BC238="NEMA",BD238,BC238)&amp;");")</f>
        <v/>
      </c>
      <c r="DQ238" s="47" t="s">
        <v>0</v>
      </c>
      <c r="DR238" s="52" t="str">
        <f>IF(AL238="","",DU238 &amp; IF(Q238="",""," – " &amp; Q238))</f>
        <v>Nina – Mioković – OK Kapela – Ž16</v>
      </c>
      <c r="DS238" s="53">
        <f t="shared" si="200"/>
        <v>286</v>
      </c>
      <c r="DT238" s="47" t="s">
        <v>0</v>
      </c>
      <c r="DU238" s="52" t="str">
        <f>IF(AL238="","",DX238 &amp; IF(CR238="",""," – " &amp; CR238))</f>
        <v>Nina – Mioković – OK Kapela</v>
      </c>
      <c r="DV238" s="53">
        <f t="shared" si="201"/>
        <v>286</v>
      </c>
      <c r="DW238" s="47" t="s">
        <v>0</v>
      </c>
      <c r="DX238" s="52" t="str">
        <f>IF(BG238="","",BF238&amp;" – "&amp;BG238)</f>
        <v>Nina – Mioković</v>
      </c>
      <c r="DY238" s="53">
        <f t="shared" si="202"/>
        <v>286</v>
      </c>
      <c r="DZ238" s="47" t="s">
        <v>0</v>
      </c>
      <c r="EA238" s="58">
        <f t="shared" si="231"/>
        <v>286</v>
      </c>
      <c r="EB238" s="53" cm="1">
        <f t="array" ref="EB238">IF(EA238&lt;&gt;"",INDEX(regNatjecatelj_id,EA238,0),IF(BD238&lt;&gt;"",BD238,""))</f>
        <v>1243</v>
      </c>
      <c r="EC238" s="47" t="s">
        <v>0</v>
      </c>
      <c r="ED238" s="58" t="str">
        <f>IF(AL238="","",IF(BD238&lt;&gt;"","novo",IF(AN238="","imepre","imepre(ali)")))</f>
        <v>imepre</v>
      </c>
      <c r="EE238" s="73" t="str">
        <f>IF(AL238="","",IF(BL238="",IF(IFERROR(INDEX(regNatjecatelj_klub,MATCH(EB238,regNatjecatelj_id,0)),"NEMA")="","klu",""),IF(OR(AND(BN238&lt;&gt;"",BN238&lt;&gt;"NEMA"),CD238&lt;&gt;""),"klu(ali)",IF(AND(BP238&lt;&gt;"",BP238&lt;&gt;BO238),"(raz-klu)","klu"))))</f>
        <v>klu</v>
      </c>
      <c r="EF238" s="73" t="str">
        <f>IF(AL238="","","kat"&amp;IF(AND(W238&lt;&gt;Q238,Q238&lt;&gt;"Open"),"(ali)",""))</f>
        <v>kat</v>
      </c>
      <c r="EG238" s="73" t="str">
        <f t="shared" si="203"/>
        <v/>
      </c>
      <c r="EH238" s="66" t="str">
        <f>IF(AL238="","",ED238&amp;IF(ED238="novo","","-"&amp;EE238&amp;"-"&amp;EF238)&amp;IF(EG238="","","-"&amp;EG238))</f>
        <v>imepre-klu-kat</v>
      </c>
      <c r="EI238" s="47" t="s">
        <v>0</v>
      </c>
      <c r="EJ238" s="58">
        <f>IF(AL238="","",MAX(EJ$12:EJ237)+1)</f>
        <v>395</v>
      </c>
      <c r="EK238" s="73">
        <f>IF(AO238="","",X238)</f>
        <v>37</v>
      </c>
      <c r="EL238" s="73">
        <f t="shared" si="232"/>
        <v>1243</v>
      </c>
      <c r="EM238" s="73">
        <f t="shared" si="204"/>
        <v>5238</v>
      </c>
      <c r="EN238" s="73">
        <f t="shared" si="205"/>
        <v>1</v>
      </c>
      <c r="EO238" s="73">
        <f t="shared" si="233"/>
        <v>1</v>
      </c>
      <c r="EP238" s="73">
        <f t="shared" si="234"/>
        <v>1</v>
      </c>
      <c r="EQ238" s="73" t="str">
        <f t="shared" si="206"/>
        <v>0</v>
      </c>
      <c r="ER238" s="73" t="str">
        <f>IF(OR(AN238="",AN238="NEMA"),BB238,AN238)</f>
        <v/>
      </c>
      <c r="ES238" s="73" t="str">
        <f>IF(AND(BN238&lt;&gt;"",BN238&lt;&gt;"NEMA"),BN238,IF(CG238&lt;&gt;"",CG238,IF(AND(CL238&lt;&gt;"",CL238&lt;&gt;"NEMA"),CL238,IF(CM238&lt;&gt;"",CM238,""))))</f>
        <v/>
      </c>
      <c r="ET238" s="53" t="str">
        <f>IF(INDEX(natKategorija_alias_Id,MATCH(S238,natKategorija_katRegId,0))="","",INDEX(natKategorija_alias_Id,MATCH(S238,natKategorija_katRegId,0)))</f>
        <v/>
      </c>
      <c r="EU238" s="47" t="s">
        <v>0</v>
      </c>
      <c r="EV238" s="19" t="str">
        <f t="shared" si="235"/>
        <v>INSERT INTO rezultat(id,stazakategorija_id,imeprezime_id,vrijeme_sec,status_id,registracija,uparivanje_id,originalstatus_id,imeprezimealias_id,klubalias_id,kategorijaalias_id) VALUES (395,37,1243,5238,1,1,1,0,Null,Null,Null);</v>
      </c>
      <c r="EW238" s="47" t="s">
        <v>0</v>
      </c>
      <c r="EX238" s="19" t="str">
        <f t="shared" si="236"/>
        <v>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8" s="47" t="s">
        <v>0</v>
      </c>
      <c r="EZ238" s="180" t="str">
        <f>AG238&amp;IF(CP238="","","
")&amp;CP238&amp;IF(CI238="","","
")&amp;CI238&amp;IF(DN238="","","
")&amp;DN238&amp;IF(DP238="","","
")&amp;DP238&amp;IF(EV238="","","
")&amp;EV238&amp;IF(EX238="","","
")&amp;EX238</f>
        <v xml:space="preserve">
INSERT INTO rezultat(id,stazakategorija_id,imeprezime_id,vrijeme_sec,status_id,registracija,uparivanje_id,originalstatus_id,imeprezimealias_id,klubalias_id,kategorijaalias_id) VALUES (395,37,1243,5238,1,1,1,0,Null,Null,Null);
UPDATE
	registar
SET
	potvrda = 1
WHERE
	imeprezime_id=1243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8" s="47" t="s">
        <v>0</v>
      </c>
    </row>
    <row r="239" spans="1:157" x14ac:dyDescent="0.25">
      <c r="A239" t="s">
        <v>0</v>
      </c>
      <c r="B239" s="52" t="str">
        <f>IF(csv!F229="","",csv!T229)</f>
        <v>Ž16</v>
      </c>
      <c r="C239" s="31" t="s">
        <v>0</v>
      </c>
      <c r="D239" s="31" t="str">
        <f>IF(csv!F229="","",csv!F229)</f>
        <v>Lucija Marijela</v>
      </c>
      <c r="E239" s="31" t="str">
        <f>IF(csv!E229="","",csv!E229)</f>
        <v>Štambuk</v>
      </c>
      <c r="F239" s="31" t="s">
        <v>0</v>
      </c>
      <c r="G239" s="73" t="str">
        <f>IF(csv!M229="","",csv!M229)</f>
        <v>99:01</v>
      </c>
      <c r="H239" s="73" t="str">
        <f>IF(csv!N229="","",csv!N229)</f>
        <v>0</v>
      </c>
      <c r="I239" s="31" t="s">
        <v>0</v>
      </c>
      <c r="J239" s="31" t="str">
        <f>IF(csv!P229="","",csv!P229)</f>
        <v>OK MERZ CRO</v>
      </c>
      <c r="K239" s="31" t="str">
        <f>IF(csv!Q229="","",csv!Q229)</f>
        <v>OK Ivan Merz</v>
      </c>
      <c r="L239" s="31" t="s">
        <v>0</v>
      </c>
      <c r="M239" s="66" t="str">
        <f>IF(csv!R229="","",csv!R229)</f>
        <v>CRO</v>
      </c>
      <c r="N239" s="47" t="s">
        <v>0</v>
      </c>
      <c r="O239" s="243" t="str">
        <f t="shared" si="207"/>
        <v>ok</v>
      </c>
      <c r="P239" s="47"/>
      <c r="Q239" s="52" t="str">
        <f t="shared" si="208"/>
        <v>Ž16</v>
      </c>
      <c r="R239" s="73">
        <f>IF(Q239="","",IF(COUNTIF(Q$12:Q238,Q239)=0,R238+1,R238))</f>
        <v>15</v>
      </c>
      <c r="S239" s="73">
        <f t="shared" si="209"/>
        <v>120</v>
      </c>
      <c r="T239" s="73">
        <f t="shared" si="184"/>
        <v>27</v>
      </c>
      <c r="U239" s="66" t="str">
        <f t="shared" si="185"/>
        <v>Ž21B – Ž16</v>
      </c>
      <c r="V239" s="47" t="s">
        <v>0</v>
      </c>
      <c r="W239" s="222" t="str">
        <f t="shared" si="186"/>
        <v>Ž16</v>
      </c>
      <c r="X239" s="223">
        <f t="shared" si="187"/>
        <v>37</v>
      </c>
      <c r="Y239" s="47" t="s">
        <v>0</v>
      </c>
      <c r="Z239" s="52" t="str">
        <f t="shared" si="210"/>
        <v>CRO</v>
      </c>
      <c r="AA239" s="73">
        <f t="shared" si="188"/>
        <v>1</v>
      </c>
      <c r="AB239" s="31" t="str">
        <f t="shared" si="211"/>
        <v/>
      </c>
      <c r="AC239" s="66" t="str">
        <f>IF(AB239="","",MAX(AC$12:AC238)+1)</f>
        <v/>
      </c>
      <c r="AD239" s="47" t="s">
        <v>0</v>
      </c>
      <c r="AE239" s="125"/>
      <c r="AF239" s="47" t="s">
        <v>0</v>
      </c>
      <c r="AG239" s="19" t="str">
        <f t="shared" si="212"/>
        <v/>
      </c>
      <c r="AH239" s="47" t="s">
        <v>0</v>
      </c>
      <c r="AI239" s="143" t="str">
        <f t="shared" si="213"/>
        <v>CRO</v>
      </c>
      <c r="AJ239" s="47"/>
      <c r="AK239" s="52" t="str">
        <f t="shared" si="214"/>
        <v>Lucija Marijela</v>
      </c>
      <c r="AL239" s="31" t="str">
        <f t="shared" si="215"/>
        <v>Štambuk</v>
      </c>
      <c r="AM239" s="73">
        <f t="shared" si="216"/>
        <v>1493</v>
      </c>
      <c r="AN239" s="73" t="str">
        <f t="shared" si="217"/>
        <v/>
      </c>
      <c r="AO239" s="31" t="str">
        <f t="shared" si="189"/>
        <v>Lucija Marijela</v>
      </c>
      <c r="AP239" s="66" t="str">
        <f t="shared" si="190"/>
        <v>Štambuk</v>
      </c>
      <c r="AQ239" s="47" t="s">
        <v>0</v>
      </c>
      <c r="AR239" s="82" t="str">
        <f t="shared" si="218"/>
        <v/>
      </c>
      <c r="AS239" s="47" t="s">
        <v>0</v>
      </c>
      <c r="AT239" s="19" t="str">
        <f t="shared" si="219"/>
        <v/>
      </c>
      <c r="AU239" s="47" t="s">
        <v>0</v>
      </c>
      <c r="AV239" s="103"/>
      <c r="AW239" s="105"/>
      <c r="AX239" s="47" t="s">
        <v>0</v>
      </c>
      <c r="AY239" s="256" t="str">
        <f t="shared" si="237"/>
        <v/>
      </c>
      <c r="AZ239" s="47" t="s">
        <v>0</v>
      </c>
      <c r="BA239" s="52" t="str">
        <f t="shared" si="191"/>
        <v/>
      </c>
      <c r="BB239" s="73" t="str">
        <f>IF(AV239&amp;AW239="","",MAX(BB$12:BB238)+1)</f>
        <v/>
      </c>
      <c r="BC239" s="268" t="str">
        <f t="shared" si="192"/>
        <v/>
      </c>
      <c r="BD239" s="53" t="str">
        <f>IF(AND(AM239="NEMA",AN239="NEMA",OR(AV239&amp;AW239="",BC239="NEMA")),MAX(BD$12:BD238)+1,"")</f>
        <v/>
      </c>
      <c r="BE239" s="47" t="s">
        <v>0</v>
      </c>
      <c r="BF239" s="52" t="str">
        <f t="shared" si="193"/>
        <v>Lucija Marijela</v>
      </c>
      <c r="BG239" s="31" t="str">
        <f t="shared" si="194"/>
        <v>Štambuk</v>
      </c>
      <c r="BH239" s="73" t="str">
        <f t="shared" si="220"/>
        <v/>
      </c>
      <c r="BI239" s="53">
        <f t="shared" si="221"/>
        <v>1493</v>
      </c>
      <c r="BJ239" s="47" t="s">
        <v>0</v>
      </c>
      <c r="BK239" s="52" t="str">
        <f t="shared" si="195"/>
        <v>OK MERZ CRO</v>
      </c>
      <c r="BL239" s="31" t="str">
        <f t="shared" si="196"/>
        <v>OK Ivan Merz</v>
      </c>
      <c r="BM239" s="73">
        <f t="shared" si="197"/>
        <v>2</v>
      </c>
      <c r="BN239" s="73" t="str">
        <f t="shared" si="198"/>
        <v/>
      </c>
      <c r="BO239" s="31" t="str" cm="1">
        <f t="array" ref="BO239">IF(BN239="",""&amp;BL239,IF(BN239="NEMA",BL239,INDEX(regKlub_naziv,MATCH(INDEX(regKlub_alias_klubId,BN239),regKlub_id,0))))</f>
        <v>OK Ivan Merz</v>
      </c>
      <c r="BP239" s="31" t="str" cm="1">
        <f t="array" ref="BP239">IFERROR(""&amp;INDEX(regNatjecatelj_klub,DY239),"")</f>
        <v>OK Ivan Merz</v>
      </c>
      <c r="BQ239" s="88" t="str">
        <f t="shared" si="222"/>
        <v/>
      </c>
      <c r="BR239" s="66" t="str">
        <f t="shared" si="223"/>
        <v>OK Ivan Merz</v>
      </c>
      <c r="BS239" s="47" t="s">
        <v>0</v>
      </c>
      <c r="BT239" s="82" t="str">
        <f>IF(BN239&lt;&gt;"NEMA","",IF(IFERROR(MATCH(BL239,BL$12:BL238,0),0)&lt;&gt;0,"",BL239))</f>
        <v/>
      </c>
      <c r="BU239" s="47" t="s">
        <v>0</v>
      </c>
      <c r="BV239" s="125"/>
      <c r="BW239" s="47" t="s">
        <v>0</v>
      </c>
      <c r="BX239" s="58" t="str">
        <f t="shared" si="224"/>
        <v/>
      </c>
      <c r="BY239" s="31" t="str">
        <f t="shared" si="225"/>
        <v/>
      </c>
      <c r="BZ239" s="31" t="str">
        <f>IF(BY239="","",MAX(BZ$12:BZ238)+1)</f>
        <v/>
      </c>
      <c r="CA239" s="31" t="str">
        <f>IF(BY239="","",IF(AA239="","",IF(AA239="NEMA",AC239,AA239)))</f>
        <v/>
      </c>
      <c r="CB239" s="31" t="str">
        <f t="shared" si="226"/>
        <v/>
      </c>
      <c r="CC239" s="31" t="str">
        <f>IF(BV239="","",MAX(CC$12:CC238)+1)</f>
        <v/>
      </c>
      <c r="CD239" s="31" t="str">
        <f t="shared" si="227"/>
        <v/>
      </c>
      <c r="CE239" s="66" t="str">
        <f t="shared" si="228"/>
        <v/>
      </c>
      <c r="CF239" s="47" t="s">
        <v>0</v>
      </c>
      <c r="CG239" s="73" t="str">
        <f>IF(BN239="","",IF(BN239&lt;&gt;"NEMA","",IFERROR(INDEX(nat_klubAliasId,MATCH(BL239,nat_noviKluboviAliasi,0)),"")))</f>
        <v/>
      </c>
      <c r="CH239" s="47"/>
      <c r="CI239" s="19" t="str">
        <f t="shared" si="229"/>
        <v/>
      </c>
      <c r="CJ239" s="47" t="s">
        <v>0</v>
      </c>
      <c r="CK239" s="52" t="str">
        <f>IF(X239&lt;&gt;"NEMA","",IF(IFERROR(MATCH(W239,W$12:W238,0),0)&lt;&gt;0,"",W239))</f>
        <v/>
      </c>
      <c r="CL239" s="73" t="str">
        <f>IF(CK239="","",IFERROR(INDEX(regKlub_alias_id,MATCH(CK239,regKlub_alias_alias,0)),"NEMA"))</f>
        <v/>
      </c>
      <c r="CM239" s="31" t="str">
        <f>IF(OR(CL239="",CL239&lt;&gt;"NEMA"),"",MAX(CM$12:CM238)+1)</f>
        <v/>
      </c>
      <c r="CN239" s="66" t="str">
        <f>IF(OR(CL239="",CL239&lt;&gt;"NEMA"),"",INDEX(regKlub_id,MATCH(CK239,regKlub_naziv,0)))</f>
        <v/>
      </c>
      <c r="CO239" s="47" t="s">
        <v>0</v>
      </c>
      <c r="CP239" s="19" t="str">
        <f>IF(OR(CL239="",CL239&lt;&gt;"NEMA"),"","INSERT INTO klub_alias(id,alias,klub_id) VALUES ("&amp;CM239&amp;",'"&amp;CK239&amp;"',"&amp;CN239&amp;");")</f>
        <v/>
      </c>
      <c r="CQ239" s="47" t="s">
        <v>0</v>
      </c>
      <c r="CR239" s="143" t="str">
        <f>IF(BR239="","",IF(BV239="",IF(IFERROR(MATCH(BR239,nat_noviKluboviAliasi,0),0)&gt;0,INDEX(nat_kluboviAliasi,MATCH(BR239,nat_noviKluboviAliasi,0)),BR239),BV239))</f>
        <v>OK Ivan Merz</v>
      </c>
      <c r="CS239" s="47" t="s">
        <v>0</v>
      </c>
      <c r="CT239" s="58" t="str">
        <f>IF(G239="","",G239)</f>
        <v>99:01</v>
      </c>
      <c r="CU239" s="73" t="str">
        <f>IF(H239="","",H239)</f>
        <v>0</v>
      </c>
      <c r="CV239" s="229" t="str">
        <f>IF(CT239="",IF(OR(AL239="",CU239&lt;&gt;"0"),"","GREŠKA"),IF(AND(65535&gt;=VALUE(LEFT(CT239,SEARCH(":",CT239)-1))*60+VALUE(RIGHT(CT239,2)),OR(CU239="0",CU239="1",CU239="2",CU239="3",CU239="4")),"","GREŠKA"))</f>
        <v/>
      </c>
      <c r="CW239" s="230">
        <f t="shared" si="183"/>
        <v>5941</v>
      </c>
      <c r="CX239" s="163">
        <f t="shared" si="199"/>
        <v>1</v>
      </c>
      <c r="CY239" s="47" t="s">
        <v>0</v>
      </c>
      <c r="CZ239" s="222" t="str">
        <f>IF(CV239&lt;&gt;"GREŠKA","",AK239&amp;" "&amp;AL239&amp;" – Molim u OEventu provjeriti i ispraviti rezultat – vrijeme ("&amp;IF(CT239="","nije upisano",CT239)&amp;") i classifier ("&amp;CU239&amp;").")&amp;IF(OR(CV239&lt;&gt;"GREŠKA",CX239&lt;&gt;5),"
","")&amp;IF(CX239&lt;&gt;5,"",AK239&amp;" "&amp;AL239&amp;" – Molim u provjeriti je li natjecatelj zaista diskvalificiran. Ako je koje je obrazloženje, ako nije molim u OEventu ispraviti rezultat")</f>
        <v xml:space="preserve">
</v>
      </c>
      <c r="DA239" s="223">
        <f t="shared" si="230"/>
        <v>6</v>
      </c>
      <c r="DB239" s="47" t="s">
        <v>0</v>
      </c>
      <c r="DC239" s="47"/>
      <c r="DD239" s="47"/>
      <c r="DE239" s="47"/>
      <c r="DF239" s="47" t="s">
        <v>0</v>
      </c>
      <c r="DG239" s="53" t="str">
        <f>IF(BD239="","",IF(DI239="O",1,""))</f>
        <v/>
      </c>
      <c r="DH239" t="s">
        <v>0</v>
      </c>
      <c r="DI239" s="128" t="str">
        <f>IF(Q239="","",LEFT(INDEX(regKategorija_oznaka,MATCH(S239,regKategorija_id,0)),1))</f>
        <v>Ž</v>
      </c>
      <c r="DJ239" t="s">
        <v>0</v>
      </c>
      <c r="DK239" s="52" t="str">
        <f>IF(BD239="","",IF(M239&lt;&gt;"CRO","","INSERT INTO osoba (id,reg_broj,oib,spol_id,dat_rodjenja) VALUES ("&amp;BD239&amp;",(SELECT max(os.reg_broj)+1 FROM osoba AS os),Null,'"&amp;DI239&amp;"',Null); INSERT INTO osoba_log (id,reg_broj,oib,spol_id,dat_rodjenja,dnevnik_id) SELECT id,reg_broj,oib,spol_id,dat_rodjenja,"&amp;data_dnevnik_id&amp;" FROM osoba WHERE id = "&amp;BD239&amp;";"))</f>
        <v/>
      </c>
      <c r="DL239" s="66" t="str">
        <f>IF(BD239="","","INSERT INTO imeprezime (id,osoba_id,rbr,ime,prezime,klub_id,identitet_id,sintaksa_id,info,aktivno,dnevnik_id) VALUES ("&amp;BD239&amp;","&amp;IF(DK239="","Null",BD239)&amp;",1,'"&amp;IF(AV239&lt;&gt;"",AV239,AK239)&amp;"','"&amp;IF(AW239&lt;&gt;"",AW239,AL239)&amp;"',(SELECT id FROM klub WHERE naziv = '"&amp;CR239&amp;"'),Null,1,'',1,"&amp;data_dnevnik_id&amp;");")</f>
        <v/>
      </c>
      <c r="DM239" t="s">
        <v>0</v>
      </c>
      <c r="DN239" s="19" t="str">
        <f t="shared" si="238"/>
        <v/>
      </c>
      <c r="DO239" s="47" t="s">
        <v>0</v>
      </c>
      <c r="DP239" s="19" t="str">
        <f>IF(BA239="","","INSERT INTO imeprezime_alias(id,alias,imeprezime_id) VALUES ("&amp;BB239&amp;",'"&amp;BA239&amp;"',"&amp;IF(BC239="NEMA",BD239,BC239)&amp;");")</f>
        <v/>
      </c>
      <c r="DQ239" s="47" t="s">
        <v>0</v>
      </c>
      <c r="DR239" s="52" t="str">
        <f>IF(AL239="","",DU239 &amp; IF(Q239="",""," – " &amp; Q239))</f>
        <v>Lucija Marijela – Štambuk – OK Ivan Merz – Ž16</v>
      </c>
      <c r="DS239" s="53">
        <f t="shared" si="200"/>
        <v>68</v>
      </c>
      <c r="DT239" s="47" t="s">
        <v>0</v>
      </c>
      <c r="DU239" s="52" t="str">
        <f>IF(AL239="","",DX239 &amp; IF(CR239="",""," – " &amp; CR239))</f>
        <v>Lucija Marijela – Štambuk – OK Ivan Merz</v>
      </c>
      <c r="DV239" s="53">
        <f t="shared" si="201"/>
        <v>68</v>
      </c>
      <c r="DW239" s="47" t="s">
        <v>0</v>
      </c>
      <c r="DX239" s="52" t="str">
        <f>IF(BG239="","",BF239&amp;" – "&amp;BG239)</f>
        <v>Lucija Marijela – Štambuk</v>
      </c>
      <c r="DY239" s="53">
        <f t="shared" si="202"/>
        <v>68</v>
      </c>
      <c r="DZ239" s="47" t="s">
        <v>0</v>
      </c>
      <c r="EA239" s="58">
        <f t="shared" si="231"/>
        <v>68</v>
      </c>
      <c r="EB239" s="53" cm="1">
        <f t="array" ref="EB239">IF(EA239&lt;&gt;"",INDEX(regNatjecatelj_id,EA239,0),IF(BD239&lt;&gt;"",BD239,""))</f>
        <v>1493</v>
      </c>
      <c r="EC239" s="47" t="s">
        <v>0</v>
      </c>
      <c r="ED239" s="58" t="str">
        <f>IF(AL239="","",IF(BD239&lt;&gt;"","novo",IF(AN239="","imepre","imepre(ali)")))</f>
        <v>imepre</v>
      </c>
      <c r="EE239" s="73" t="str">
        <f>IF(AL239="","",IF(BL239="",IF(IFERROR(INDEX(regNatjecatelj_klub,MATCH(EB239,regNatjecatelj_id,0)),"NEMA")="","klu",""),IF(OR(AND(BN239&lt;&gt;"",BN239&lt;&gt;"NEMA"),CD239&lt;&gt;""),"klu(ali)",IF(AND(BP239&lt;&gt;"",BP239&lt;&gt;BO239),"(raz-klu)","klu"))))</f>
        <v>klu</v>
      </c>
      <c r="EF239" s="73" t="str">
        <f>IF(AL239="","","kat"&amp;IF(AND(W239&lt;&gt;Q239,Q239&lt;&gt;"Open"),"(ali)",""))</f>
        <v>kat</v>
      </c>
      <c r="EG239" s="73" t="str">
        <f t="shared" si="203"/>
        <v/>
      </c>
      <c r="EH239" s="66" t="str">
        <f>IF(AL239="","",ED239&amp;IF(ED239="novo","","-"&amp;EE239&amp;"-"&amp;EF239)&amp;IF(EG239="","","-"&amp;EG239))</f>
        <v>imepre-klu-kat</v>
      </c>
      <c r="EI239" s="47" t="s">
        <v>0</v>
      </c>
      <c r="EJ239" s="58">
        <f>IF(AL239="","",MAX(EJ$12:EJ238)+1)</f>
        <v>396</v>
      </c>
      <c r="EK239" s="73">
        <f>IF(AO239="","",X239)</f>
        <v>37</v>
      </c>
      <c r="EL239" s="73">
        <f t="shared" si="232"/>
        <v>1493</v>
      </c>
      <c r="EM239" s="73">
        <f t="shared" si="204"/>
        <v>5941</v>
      </c>
      <c r="EN239" s="73">
        <f t="shared" si="205"/>
        <v>1</v>
      </c>
      <c r="EO239" s="73">
        <f t="shared" si="233"/>
        <v>1</v>
      </c>
      <c r="EP239" s="73">
        <f t="shared" si="234"/>
        <v>1</v>
      </c>
      <c r="EQ239" s="73" t="str">
        <f t="shared" si="206"/>
        <v>0</v>
      </c>
      <c r="ER239" s="73" t="str">
        <f>IF(OR(AN239="",AN239="NEMA"),BB239,AN239)</f>
        <v/>
      </c>
      <c r="ES239" s="73" t="str">
        <f>IF(AND(BN239&lt;&gt;"",BN239&lt;&gt;"NEMA"),BN239,IF(CG239&lt;&gt;"",CG239,IF(AND(CL239&lt;&gt;"",CL239&lt;&gt;"NEMA"),CL239,IF(CM239&lt;&gt;"",CM239,""))))</f>
        <v/>
      </c>
      <c r="ET239" s="53" t="str">
        <f>IF(INDEX(natKategorija_alias_Id,MATCH(S239,natKategorija_katRegId,0))="","",INDEX(natKategorija_alias_Id,MATCH(S239,natKategorija_katRegId,0)))</f>
        <v/>
      </c>
      <c r="EU239" s="47" t="s">
        <v>0</v>
      </c>
      <c r="EV239" s="19" t="str">
        <f t="shared" si="235"/>
        <v>INSERT INTO rezultat(id,stazakategorija_id,imeprezime_id,vrijeme_sec,status_id,registracija,uparivanje_id,originalstatus_id,imeprezimealias_id,klubalias_id,kategorijaalias_id) VALUES (396,37,1493,5941,1,1,1,0,Null,Null,Null);</v>
      </c>
      <c r="EW239" s="47" t="s">
        <v>0</v>
      </c>
      <c r="EX239" s="19" t="str">
        <f t="shared" si="236"/>
        <v>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39" s="47" t="s">
        <v>0</v>
      </c>
      <c r="EZ239" s="180" t="str">
        <f>AG239&amp;IF(CP239="","","
")&amp;CP239&amp;IF(CI239="","","
")&amp;CI239&amp;IF(DN239="","","
")&amp;DN239&amp;IF(DP239="","","
")&amp;DP239&amp;IF(EV239="","","
")&amp;EV239&amp;IF(EX239="","","
")&amp;EX239</f>
        <v xml:space="preserve">
INSERT INTO rezultat(id,stazakategorija_id,imeprezime_id,vrijeme_sec,status_id,registracija,uparivanje_id,originalstatus_id,imeprezimealias_id,klubalias_id,kategorijaalias_id) VALUES (396,37,1493,5941,1,1,1,0,Null,Null,Null);
UPDATE
	registar
SET
	potvrda = 1
WHERE
	imeprezime_id=1493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39" s="47" t="s">
        <v>0</v>
      </c>
    </row>
    <row r="240" spans="1:157" x14ac:dyDescent="0.25">
      <c r="A240" t="s">
        <v>0</v>
      </c>
      <c r="B240" s="52" t="str">
        <f>IF(csv!F230="","",csv!T230)</f>
        <v>Ž16</v>
      </c>
      <c r="C240" s="31" t="s">
        <v>0</v>
      </c>
      <c r="D240" s="31" t="str">
        <f>IF(csv!F230="","",csv!F230)</f>
        <v>Jelena</v>
      </c>
      <c r="E240" s="31" t="str">
        <f>IF(csv!E230="","",csv!E230)</f>
        <v>Gojmerac</v>
      </c>
      <c r="F240" s="31" t="s">
        <v>0</v>
      </c>
      <c r="G240" s="73" t="str">
        <f>IF(csv!M230="","",csv!M230)</f>
        <v>62:55</v>
      </c>
      <c r="H240" s="73" t="str">
        <f>IF(csv!N230="","",csv!N230)</f>
        <v>3</v>
      </c>
      <c r="I240" s="31" t="s">
        <v>0</v>
      </c>
      <c r="J240" s="31" t="str">
        <f>IF(csv!P230="","",csv!P230)</f>
        <v>OK MERZ CRO</v>
      </c>
      <c r="K240" s="31" t="str">
        <f>IF(csv!Q230="","",csv!Q230)</f>
        <v>OK Ivan Merz</v>
      </c>
      <c r="L240" s="31" t="s">
        <v>0</v>
      </c>
      <c r="M240" s="66" t="str">
        <f>IF(csv!R230="","",csv!R230)</f>
        <v>CRO</v>
      </c>
      <c r="N240" s="47" t="s">
        <v>0</v>
      </c>
      <c r="O240" s="243" t="str">
        <f t="shared" si="207"/>
        <v>ok</v>
      </c>
      <c r="P240" s="47"/>
      <c r="Q240" s="52" t="str">
        <f t="shared" si="208"/>
        <v>Ž16</v>
      </c>
      <c r="R240" s="73">
        <f>IF(Q240="","",IF(COUNTIF(Q$12:Q239,Q240)=0,R239+1,R239))</f>
        <v>15</v>
      </c>
      <c r="S240" s="73">
        <f t="shared" si="209"/>
        <v>120</v>
      </c>
      <c r="T240" s="73">
        <f t="shared" si="184"/>
        <v>27</v>
      </c>
      <c r="U240" s="66" t="str">
        <f t="shared" si="185"/>
        <v>Ž21B – Ž16</v>
      </c>
      <c r="V240" s="47" t="s">
        <v>0</v>
      </c>
      <c r="W240" s="222" t="str">
        <f t="shared" si="186"/>
        <v>Ž16</v>
      </c>
      <c r="X240" s="223">
        <f t="shared" si="187"/>
        <v>37</v>
      </c>
      <c r="Y240" s="47" t="s">
        <v>0</v>
      </c>
      <c r="Z240" s="52" t="str">
        <f t="shared" si="210"/>
        <v>CRO</v>
      </c>
      <c r="AA240" s="73">
        <f t="shared" si="188"/>
        <v>1</v>
      </c>
      <c r="AB240" s="31" t="str">
        <f t="shared" si="211"/>
        <v/>
      </c>
      <c r="AC240" s="66" t="str">
        <f>IF(AB240="","",MAX(AC$12:AC239)+1)</f>
        <v/>
      </c>
      <c r="AD240" s="47" t="s">
        <v>0</v>
      </c>
      <c r="AE240" s="125"/>
      <c r="AF240" s="47" t="s">
        <v>0</v>
      </c>
      <c r="AG240" s="19" t="str">
        <f t="shared" si="212"/>
        <v/>
      </c>
      <c r="AH240" s="47" t="s">
        <v>0</v>
      </c>
      <c r="AI240" s="143" t="str">
        <f t="shared" si="213"/>
        <v>CRO</v>
      </c>
      <c r="AJ240" s="47"/>
      <c r="AK240" s="52" t="str">
        <f t="shared" si="214"/>
        <v>Jelena</v>
      </c>
      <c r="AL240" s="31" t="str">
        <f t="shared" si="215"/>
        <v>Gojmerac</v>
      </c>
      <c r="AM240" s="73">
        <f t="shared" si="216"/>
        <v>1435</v>
      </c>
      <c r="AN240" s="73" t="str">
        <f t="shared" si="217"/>
        <v/>
      </c>
      <c r="AO240" s="31" t="str">
        <f t="shared" si="189"/>
        <v>Jelena</v>
      </c>
      <c r="AP240" s="66" t="str">
        <f t="shared" si="190"/>
        <v>Gojmerac</v>
      </c>
      <c r="AQ240" s="47" t="s">
        <v>0</v>
      </c>
      <c r="AR240" s="82" t="str">
        <f t="shared" si="218"/>
        <v/>
      </c>
      <c r="AS240" s="47" t="s">
        <v>0</v>
      </c>
      <c r="AT240" s="19" t="str">
        <f t="shared" si="219"/>
        <v/>
      </c>
      <c r="AU240" s="47" t="s">
        <v>0</v>
      </c>
      <c r="AV240" s="103"/>
      <c r="AW240" s="105"/>
      <c r="AX240" s="47" t="s">
        <v>0</v>
      </c>
      <c r="AY240" s="256" t="str">
        <f t="shared" si="237"/>
        <v/>
      </c>
      <c r="AZ240" s="47" t="s">
        <v>0</v>
      </c>
      <c r="BA240" s="52" t="str">
        <f t="shared" si="191"/>
        <v/>
      </c>
      <c r="BB240" s="73" t="str">
        <f>IF(AV240&amp;AW240="","",MAX(BB$12:BB239)+1)</f>
        <v/>
      </c>
      <c r="BC240" s="268" t="str">
        <f t="shared" si="192"/>
        <v/>
      </c>
      <c r="BD240" s="53" t="str">
        <f>IF(AND(AM240="NEMA",AN240="NEMA",OR(AV240&amp;AW240="",BC240="NEMA")),MAX(BD$12:BD239)+1,"")</f>
        <v/>
      </c>
      <c r="BE240" s="47" t="s">
        <v>0</v>
      </c>
      <c r="BF240" s="52" t="str">
        <f t="shared" si="193"/>
        <v>Jelena</v>
      </c>
      <c r="BG240" s="31" t="str">
        <f t="shared" si="194"/>
        <v>Gojmerac</v>
      </c>
      <c r="BH240" s="73" t="str">
        <f t="shared" si="220"/>
        <v/>
      </c>
      <c r="BI240" s="53">
        <f t="shared" si="221"/>
        <v>1435</v>
      </c>
      <c r="BJ240" s="47" t="s">
        <v>0</v>
      </c>
      <c r="BK240" s="52" t="str">
        <f t="shared" si="195"/>
        <v>OK MERZ CRO</v>
      </c>
      <c r="BL240" s="31" t="str">
        <f t="shared" si="196"/>
        <v>OK Ivan Merz</v>
      </c>
      <c r="BM240" s="73">
        <f t="shared" si="197"/>
        <v>2</v>
      </c>
      <c r="BN240" s="73" t="str">
        <f t="shared" si="198"/>
        <v/>
      </c>
      <c r="BO240" s="31" t="str" cm="1">
        <f t="array" ref="BO240">IF(BN240="",""&amp;BL240,IF(BN240="NEMA",BL240,INDEX(regKlub_naziv,MATCH(INDEX(regKlub_alias_klubId,BN240),regKlub_id,0))))</f>
        <v>OK Ivan Merz</v>
      </c>
      <c r="BP240" s="31" t="str" cm="1">
        <f t="array" ref="BP240">IFERROR(""&amp;INDEX(regNatjecatelj_klub,DY240),"")</f>
        <v>OK Ivan Merz</v>
      </c>
      <c r="BQ240" s="88" t="str">
        <f t="shared" si="222"/>
        <v/>
      </c>
      <c r="BR240" s="66" t="str">
        <f t="shared" si="223"/>
        <v>OK Ivan Merz</v>
      </c>
      <c r="BS240" s="47" t="s">
        <v>0</v>
      </c>
      <c r="BT240" s="82" t="str">
        <f>IF(BN240&lt;&gt;"NEMA","",IF(IFERROR(MATCH(BL240,BL$12:BL239,0),0)&lt;&gt;0,"",BL240))</f>
        <v/>
      </c>
      <c r="BU240" s="47" t="s">
        <v>0</v>
      </c>
      <c r="BV240" s="125"/>
      <c r="BW240" s="47" t="s">
        <v>0</v>
      </c>
      <c r="BX240" s="58" t="str">
        <f t="shared" si="224"/>
        <v/>
      </c>
      <c r="BY240" s="31" t="str">
        <f t="shared" si="225"/>
        <v/>
      </c>
      <c r="BZ240" s="31" t="str">
        <f>IF(BY240="","",MAX(BZ$12:BZ239)+1)</f>
        <v/>
      </c>
      <c r="CA240" s="31" t="str">
        <f>IF(BY240="","",IF(AA240="","",IF(AA240="NEMA",AC240,AA240)))</f>
        <v/>
      </c>
      <c r="CB240" s="31" t="str">
        <f t="shared" si="226"/>
        <v/>
      </c>
      <c r="CC240" s="31" t="str">
        <f>IF(BV240="","",MAX(CC$12:CC239)+1)</f>
        <v/>
      </c>
      <c r="CD240" s="31" t="str">
        <f t="shared" si="227"/>
        <v/>
      </c>
      <c r="CE240" s="66" t="str">
        <f t="shared" si="228"/>
        <v/>
      </c>
      <c r="CF240" s="47" t="s">
        <v>0</v>
      </c>
      <c r="CG240" s="73" t="str">
        <f>IF(BN240="","",IF(BN240&lt;&gt;"NEMA","",IFERROR(INDEX(nat_klubAliasId,MATCH(BL240,nat_noviKluboviAliasi,0)),"")))</f>
        <v/>
      </c>
      <c r="CH240" s="47"/>
      <c r="CI240" s="19" t="str">
        <f t="shared" si="229"/>
        <v/>
      </c>
      <c r="CJ240" s="47" t="s">
        <v>0</v>
      </c>
      <c r="CK240" s="52" t="str">
        <f>IF(X240&lt;&gt;"NEMA","",IF(IFERROR(MATCH(W240,W$12:W239,0),0)&lt;&gt;0,"",W240))</f>
        <v/>
      </c>
      <c r="CL240" s="73" t="str">
        <f>IF(CK240="","",IFERROR(INDEX(regKlub_alias_id,MATCH(CK240,regKlub_alias_alias,0)),"NEMA"))</f>
        <v/>
      </c>
      <c r="CM240" s="31" t="str">
        <f>IF(OR(CL240="",CL240&lt;&gt;"NEMA"),"",MAX(CM$12:CM239)+1)</f>
        <v/>
      </c>
      <c r="CN240" s="66" t="str">
        <f>IF(OR(CL240="",CL240&lt;&gt;"NEMA"),"",INDEX(regKlub_id,MATCH(CK240,regKlub_naziv,0)))</f>
        <v/>
      </c>
      <c r="CO240" s="47" t="s">
        <v>0</v>
      </c>
      <c r="CP240" s="19" t="str">
        <f>IF(OR(CL240="",CL240&lt;&gt;"NEMA"),"","INSERT INTO klub_alias(id,alias,klub_id) VALUES ("&amp;CM240&amp;",'"&amp;CK240&amp;"',"&amp;CN240&amp;");")</f>
        <v/>
      </c>
      <c r="CQ240" s="47" t="s">
        <v>0</v>
      </c>
      <c r="CR240" s="143" t="str">
        <f>IF(BR240="","",IF(BV240="",IF(IFERROR(MATCH(BR240,nat_noviKluboviAliasi,0),0)&gt;0,INDEX(nat_kluboviAliasi,MATCH(BR240,nat_noviKluboviAliasi,0)),BR240),BV240))</f>
        <v>OK Ivan Merz</v>
      </c>
      <c r="CS240" s="47" t="s">
        <v>0</v>
      </c>
      <c r="CT240" s="58" t="str">
        <f>IF(G240="","",G240)</f>
        <v>62:55</v>
      </c>
      <c r="CU240" s="73" t="str">
        <f>IF(H240="","",H240)</f>
        <v>3</v>
      </c>
      <c r="CV240" s="229" t="str">
        <f>IF(CT240="",IF(OR(AL240="",CU240&lt;&gt;"0"),"","GREŠKA"),IF(AND(65535&gt;=VALUE(LEFT(CT240,SEARCH(":",CT240)-1))*60+VALUE(RIGHT(CT240,2)),OR(CU240="0",CU240="1",CU240="2",CU240="3",CU240="4")),"","GREŠKA"))</f>
        <v/>
      </c>
      <c r="CW240" s="230">
        <f t="shared" si="183"/>
        <v>3775</v>
      </c>
      <c r="CX240" s="163">
        <f t="shared" si="199"/>
        <v>3</v>
      </c>
      <c r="CY240" s="47" t="s">
        <v>0</v>
      </c>
      <c r="CZ240" s="222" t="str">
        <f>IF(CV240&lt;&gt;"GREŠKA","",AK240&amp;" "&amp;AL240&amp;" – Molim u OEventu provjeriti i ispraviti rezultat – vrijeme ("&amp;IF(CT240="","nije upisano",CT240)&amp;") i classifier ("&amp;CU240&amp;").")&amp;IF(OR(CV240&lt;&gt;"GREŠKA",CX240&lt;&gt;5),"
","")&amp;IF(CX240&lt;&gt;5,"",AK240&amp;" "&amp;AL240&amp;" – Molim u provjeriti je li natjecatelj zaista diskvalificiran. Ako je koje je obrazloženje, ako nije molim u OEventu ispraviti rezultat")</f>
        <v xml:space="preserve">
</v>
      </c>
      <c r="DA240" s="223">
        <f t="shared" si="230"/>
        <v>3</v>
      </c>
      <c r="DB240" s="47" t="s">
        <v>0</v>
      </c>
      <c r="DC240" s="47"/>
      <c r="DD240" s="47"/>
      <c r="DE240" s="47"/>
      <c r="DF240" s="47" t="s">
        <v>0</v>
      </c>
      <c r="DG240" s="53" t="str">
        <f>IF(BD240="","",IF(DI240="O",1,""))</f>
        <v/>
      </c>
      <c r="DH240" t="s">
        <v>0</v>
      </c>
      <c r="DI240" s="128" t="str">
        <f>IF(Q240="","",LEFT(INDEX(regKategorija_oznaka,MATCH(S240,regKategorija_id,0)),1))</f>
        <v>Ž</v>
      </c>
      <c r="DJ240" t="s">
        <v>0</v>
      </c>
      <c r="DK240" s="52" t="str">
        <f>IF(BD240="","",IF(M240&lt;&gt;"CRO","","INSERT INTO osoba (id,reg_broj,oib,spol_id,dat_rodjenja) VALUES ("&amp;BD240&amp;",(SELECT max(os.reg_broj)+1 FROM osoba AS os),Null,'"&amp;DI240&amp;"',Null); INSERT INTO osoba_log (id,reg_broj,oib,spol_id,dat_rodjenja,dnevnik_id) SELECT id,reg_broj,oib,spol_id,dat_rodjenja,"&amp;data_dnevnik_id&amp;" FROM osoba WHERE id = "&amp;BD240&amp;";"))</f>
        <v/>
      </c>
      <c r="DL240" s="66" t="str">
        <f>IF(BD240="","","INSERT INTO imeprezime (id,osoba_id,rbr,ime,prezime,klub_id,identitet_id,sintaksa_id,info,aktivno,dnevnik_id) VALUES ("&amp;BD240&amp;","&amp;IF(DK240="","Null",BD240)&amp;",1,'"&amp;IF(AV240&lt;&gt;"",AV240,AK240)&amp;"','"&amp;IF(AW240&lt;&gt;"",AW240,AL240)&amp;"',(SELECT id FROM klub WHERE naziv = '"&amp;CR240&amp;"'),Null,1,'',1,"&amp;data_dnevnik_id&amp;");")</f>
        <v/>
      </c>
      <c r="DM240" t="s">
        <v>0</v>
      </c>
      <c r="DN240" s="19" t="str">
        <f t="shared" si="238"/>
        <v/>
      </c>
      <c r="DO240" s="47" t="s">
        <v>0</v>
      </c>
      <c r="DP240" s="19" t="str">
        <f>IF(BA240="","","INSERT INTO imeprezime_alias(id,alias,imeprezime_id) VALUES ("&amp;BB240&amp;",'"&amp;BA240&amp;"',"&amp;IF(BC240="NEMA",BD240,BC240)&amp;");")</f>
        <v/>
      </c>
      <c r="DQ240" s="47" t="s">
        <v>0</v>
      </c>
      <c r="DR240" s="52" t="str">
        <f>IF(AL240="","",DU240 &amp; IF(Q240="",""," – " &amp; Q240))</f>
        <v>Jelena – Gojmerac – OK Ivan Merz – Ž16</v>
      </c>
      <c r="DS240" s="53">
        <f t="shared" si="200"/>
        <v>40</v>
      </c>
      <c r="DT240" s="47" t="s">
        <v>0</v>
      </c>
      <c r="DU240" s="52" t="str">
        <f>IF(AL240="","",DX240 &amp; IF(CR240="",""," – " &amp; CR240))</f>
        <v>Jelena – Gojmerac – OK Ivan Merz</v>
      </c>
      <c r="DV240" s="53">
        <f t="shared" si="201"/>
        <v>40</v>
      </c>
      <c r="DW240" s="47" t="s">
        <v>0</v>
      </c>
      <c r="DX240" s="52" t="str">
        <f>IF(BG240="","",BF240&amp;" – "&amp;BG240)</f>
        <v>Jelena – Gojmerac</v>
      </c>
      <c r="DY240" s="53">
        <f t="shared" si="202"/>
        <v>40</v>
      </c>
      <c r="DZ240" s="47" t="s">
        <v>0</v>
      </c>
      <c r="EA240" s="58">
        <f t="shared" si="231"/>
        <v>40</v>
      </c>
      <c r="EB240" s="53" cm="1">
        <f t="array" ref="EB240">IF(EA240&lt;&gt;"",INDEX(regNatjecatelj_id,EA240,0),IF(BD240&lt;&gt;"",BD240,""))</f>
        <v>1435</v>
      </c>
      <c r="EC240" s="47" t="s">
        <v>0</v>
      </c>
      <c r="ED240" s="58" t="str">
        <f>IF(AL240="","",IF(BD240&lt;&gt;"","novo",IF(AN240="","imepre","imepre(ali)")))</f>
        <v>imepre</v>
      </c>
      <c r="EE240" s="73" t="str">
        <f>IF(AL240="","",IF(BL240="",IF(IFERROR(INDEX(regNatjecatelj_klub,MATCH(EB240,regNatjecatelj_id,0)),"NEMA")="","klu",""),IF(OR(AND(BN240&lt;&gt;"",BN240&lt;&gt;"NEMA"),CD240&lt;&gt;""),"klu(ali)",IF(AND(BP240&lt;&gt;"",BP240&lt;&gt;BO240),"(raz-klu)","klu"))))</f>
        <v>klu</v>
      </c>
      <c r="EF240" s="73" t="str">
        <f>IF(AL240="","","kat"&amp;IF(AND(W240&lt;&gt;Q240,Q240&lt;&gt;"Open"),"(ali)",""))</f>
        <v>kat</v>
      </c>
      <c r="EG240" s="73" t="str">
        <f t="shared" si="203"/>
        <v/>
      </c>
      <c r="EH240" s="66" t="str">
        <f>IF(AL240="","",ED240&amp;IF(ED240="novo","","-"&amp;EE240&amp;"-"&amp;EF240)&amp;IF(EG240="","","-"&amp;EG240))</f>
        <v>imepre-klu-kat</v>
      </c>
      <c r="EI240" s="47" t="s">
        <v>0</v>
      </c>
      <c r="EJ240" s="58">
        <f>IF(AL240="","",MAX(EJ$12:EJ239)+1)</f>
        <v>397</v>
      </c>
      <c r="EK240" s="73">
        <f>IF(AO240="","",X240)</f>
        <v>37</v>
      </c>
      <c r="EL240" s="73">
        <f t="shared" si="232"/>
        <v>1435</v>
      </c>
      <c r="EM240" s="73">
        <f t="shared" si="204"/>
        <v>3775</v>
      </c>
      <c r="EN240" s="73">
        <f t="shared" si="205"/>
        <v>3</v>
      </c>
      <c r="EO240" s="73">
        <f t="shared" si="233"/>
        <v>1</v>
      </c>
      <c r="EP240" s="73">
        <f t="shared" si="234"/>
        <v>1</v>
      </c>
      <c r="EQ240" s="73" t="str">
        <f t="shared" si="206"/>
        <v>3</v>
      </c>
      <c r="ER240" s="73" t="str">
        <f>IF(OR(AN240="",AN240="NEMA"),BB240,AN240)</f>
        <v/>
      </c>
      <c r="ES240" s="73" t="str">
        <f>IF(AND(BN240&lt;&gt;"",BN240&lt;&gt;"NEMA"),BN240,IF(CG240&lt;&gt;"",CG240,IF(AND(CL240&lt;&gt;"",CL240&lt;&gt;"NEMA"),CL240,IF(CM240&lt;&gt;"",CM240,""))))</f>
        <v/>
      </c>
      <c r="ET240" s="53" t="str">
        <f>IF(INDEX(natKategorija_alias_Id,MATCH(S240,natKategorija_katRegId,0))="","",INDEX(natKategorija_alias_Id,MATCH(S240,natKategorija_katRegId,0)))</f>
        <v/>
      </c>
      <c r="EU240" s="47" t="s">
        <v>0</v>
      </c>
      <c r="EV240" s="19" t="str">
        <f t="shared" si="235"/>
        <v>INSERT INTO rezultat(id,stazakategorija_id,imeprezime_id,vrijeme_sec,status_id,registracija,uparivanje_id,originalstatus_id,imeprezimealias_id,klubalias_id,kategorijaalias_id) VALUES (397,37,1435,3775,3,1,1,3,Null,Null,Null);</v>
      </c>
      <c r="EW240" s="47" t="s">
        <v>0</v>
      </c>
      <c r="EX240" s="19" t="str">
        <f t="shared" si="236"/>
        <v>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40" s="47" t="s">
        <v>0</v>
      </c>
      <c r="EZ240" s="180" t="str">
        <f>AG240&amp;IF(CP240="","","
")&amp;CP240&amp;IF(CI240="","","
")&amp;CI240&amp;IF(DN240="","","
")&amp;DN240&amp;IF(DP240="","","
")&amp;DP240&amp;IF(EV240="","","
")&amp;EV240&amp;IF(EX240="","","
")&amp;EX240</f>
        <v xml:space="preserve">
INSERT INTO rezultat(id,stazakategorija_id,imeprezime_id,vrijeme_sec,status_id,registracija,uparivanje_id,originalstatus_id,imeprezimealias_id,klubalias_id,kategorijaalias_id) VALUES (397,37,1435,3775,3,1,1,3,Null,Null,Null);
UPDATE
	registar
SET
	potvrda = 1
WHERE
	imeprezime_id=1435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40" s="47" t="s">
        <v>0</v>
      </c>
    </row>
    <row r="241" spans="1:157" x14ac:dyDescent="0.25">
      <c r="A241" t="s">
        <v>0</v>
      </c>
      <c r="B241" s="52" t="str">
        <f>IF(csv!F231="","",csv!T231)</f>
        <v>Ž16</v>
      </c>
      <c r="C241" s="31" t="s">
        <v>0</v>
      </c>
      <c r="D241" s="31" t="str">
        <f>IF(csv!F231="","",csv!F231)</f>
        <v>Vacant</v>
      </c>
      <c r="E241" s="31" t="str">
        <f>IF(csv!E231="","",csv!E231)</f>
        <v/>
      </c>
      <c r="F241" s="31" t="s">
        <v>0</v>
      </c>
      <c r="G241" s="73" t="str">
        <f>IF(csv!M231="","",csv!M231)</f>
        <v/>
      </c>
      <c r="H241" s="73" t="str">
        <f>IF(csv!N231="","",csv!N231)</f>
        <v>0</v>
      </c>
      <c r="I241" s="31" t="s">
        <v>0</v>
      </c>
      <c r="J241" s="31" t="str">
        <f>IF(csv!P231="","",csv!P231)</f>
        <v/>
      </c>
      <c r="K241" s="31" t="str">
        <f>IF(csv!Q231="","",csv!Q231)</f>
        <v/>
      </c>
      <c r="L241" s="31" t="s">
        <v>0</v>
      </c>
      <c r="M241" s="66" t="str">
        <f>IF(csv!R231="","",csv!R231)</f>
        <v/>
      </c>
      <c r="N241" s="47" t="s">
        <v>0</v>
      </c>
      <c r="O241" s="243" t="str">
        <f t="shared" si="207"/>
        <v/>
      </c>
      <c r="P241" s="47"/>
      <c r="Q241" s="52" t="str">
        <f t="shared" si="208"/>
        <v>Ž16</v>
      </c>
      <c r="R241" s="73">
        <f>IF(Q241="","",IF(COUNTIF(Q$12:Q240,Q241)=0,R240+1,R240))</f>
        <v>15</v>
      </c>
      <c r="S241" s="73">
        <f t="shared" si="209"/>
        <v>120</v>
      </c>
      <c r="T241" s="73">
        <f t="shared" si="184"/>
        <v>27</v>
      </c>
      <c r="U241" s="66" t="str">
        <f t="shared" si="185"/>
        <v>Ž21B – Ž16</v>
      </c>
      <c r="V241" s="47" t="s">
        <v>0</v>
      </c>
      <c r="W241" s="222" t="str">
        <f t="shared" si="186"/>
        <v/>
      </c>
      <c r="X241" s="223" t="str">
        <f t="shared" si="187"/>
        <v/>
      </c>
      <c r="Y241" s="47" t="s">
        <v>0</v>
      </c>
      <c r="Z241" s="52" t="str">
        <f t="shared" si="210"/>
        <v/>
      </c>
      <c r="AA241" s="73" t="str">
        <f t="shared" si="188"/>
        <v/>
      </c>
      <c r="AB241" s="31" t="str">
        <f t="shared" si="211"/>
        <v/>
      </c>
      <c r="AC241" s="66" t="str">
        <f>IF(AB241="","",MAX(AC$12:AC240)+1)</f>
        <v/>
      </c>
      <c r="AD241" s="47" t="s">
        <v>0</v>
      </c>
      <c r="AE241" s="125"/>
      <c r="AF241" s="47" t="s">
        <v>0</v>
      </c>
      <c r="AG241" s="19" t="str">
        <f t="shared" si="212"/>
        <v/>
      </c>
      <c r="AH241" s="47" t="s">
        <v>0</v>
      </c>
      <c r="AI241" s="143" t="str">
        <f t="shared" si="213"/>
        <v/>
      </c>
      <c r="AJ241" s="47"/>
      <c r="AK241" s="52" t="str">
        <f t="shared" si="214"/>
        <v/>
      </c>
      <c r="AL241" s="31" t="str">
        <f t="shared" si="215"/>
        <v/>
      </c>
      <c r="AM241" s="73" t="str">
        <f t="shared" si="216"/>
        <v/>
      </c>
      <c r="AN241" s="73" t="str">
        <f t="shared" si="217"/>
        <v/>
      </c>
      <c r="AO241" s="31" t="str">
        <f t="shared" si="189"/>
        <v/>
      </c>
      <c r="AP241" s="66" t="str">
        <f t="shared" si="190"/>
        <v/>
      </c>
      <c r="AQ241" s="47" t="s">
        <v>0</v>
      </c>
      <c r="AR241" s="82" t="str">
        <f t="shared" si="218"/>
        <v/>
      </c>
      <c r="AS241" s="47" t="s">
        <v>0</v>
      </c>
      <c r="AT241" s="19" t="str">
        <f t="shared" si="219"/>
        <v/>
      </c>
      <c r="AU241" s="47" t="s">
        <v>0</v>
      </c>
      <c r="AV241" s="103"/>
      <c r="AW241" s="105"/>
      <c r="AX241" s="47" t="s">
        <v>0</v>
      </c>
      <c r="AY241" s="256" t="str">
        <f t="shared" si="237"/>
        <v/>
      </c>
      <c r="AZ241" s="47" t="s">
        <v>0</v>
      </c>
      <c r="BA241" s="52" t="str">
        <f t="shared" si="191"/>
        <v/>
      </c>
      <c r="BB241" s="73" t="str">
        <f>IF(AV241&amp;AW241="","",MAX(BB$12:BB240)+1)</f>
        <v/>
      </c>
      <c r="BC241" s="268" t="str">
        <f t="shared" si="192"/>
        <v/>
      </c>
      <c r="BD241" s="53" t="str">
        <f>IF(AND(AM241="NEMA",AN241="NEMA",OR(AV241&amp;AW241="",BC241="NEMA")),MAX(BD$12:BD240)+1,"")</f>
        <v/>
      </c>
      <c r="BE241" s="47" t="s">
        <v>0</v>
      </c>
      <c r="BF241" s="52" t="str">
        <f t="shared" si="193"/>
        <v/>
      </c>
      <c r="BG241" s="31" t="str">
        <f t="shared" si="194"/>
        <v/>
      </c>
      <c r="BH241" s="73" t="str">
        <f t="shared" si="220"/>
        <v/>
      </c>
      <c r="BI241" s="53" t="str">
        <f t="shared" si="221"/>
        <v/>
      </c>
      <c r="BJ241" s="47" t="s">
        <v>0</v>
      </c>
      <c r="BK241" s="52" t="str">
        <f t="shared" si="195"/>
        <v/>
      </c>
      <c r="BL241" s="31" t="str">
        <f t="shared" si="196"/>
        <v/>
      </c>
      <c r="BM241" s="73" t="str">
        <f t="shared" si="197"/>
        <v/>
      </c>
      <c r="BN241" s="73" t="str">
        <f t="shared" si="198"/>
        <v/>
      </c>
      <c r="BO241" s="31" t="str" cm="1">
        <f t="array" ref="BO241">IF(BN241="",""&amp;BL241,IF(BN241="NEMA",BL241,INDEX(regKlub_naziv,MATCH(INDEX(regKlub_alias_klubId,BN241),regKlub_id,0))))</f>
        <v/>
      </c>
      <c r="BP241" s="31" t="str" cm="1">
        <f t="array" ref="BP241">IFERROR(""&amp;INDEX(regNatjecatelj_klub,DY241),"")</f>
        <v/>
      </c>
      <c r="BQ241" s="88" t="str">
        <f t="shared" si="222"/>
        <v/>
      </c>
      <c r="BR241" s="66" t="str">
        <f t="shared" si="223"/>
        <v/>
      </c>
      <c r="BS241" s="47" t="s">
        <v>0</v>
      </c>
      <c r="BT241" s="82" t="str">
        <f>IF(BN241&lt;&gt;"NEMA","",IF(IFERROR(MATCH(BL241,BL$12:BL240,0),0)&lt;&gt;0,"",BL241))</f>
        <v/>
      </c>
      <c r="BU241" s="47" t="s">
        <v>0</v>
      </c>
      <c r="BV241" s="125"/>
      <c r="BW241" s="47" t="s">
        <v>0</v>
      </c>
      <c r="BX241" s="58" t="str">
        <f t="shared" si="224"/>
        <v/>
      </c>
      <c r="BY241" s="31" t="str">
        <f t="shared" si="225"/>
        <v/>
      </c>
      <c r="BZ241" s="31" t="str">
        <f>IF(BY241="","",MAX(BZ$12:BZ240)+1)</f>
        <v/>
      </c>
      <c r="CA241" s="31" t="str">
        <f>IF(BY241="","",IF(AA241="","",IF(AA241="NEMA",AC241,AA241)))</f>
        <v/>
      </c>
      <c r="CB241" s="31" t="str">
        <f t="shared" si="226"/>
        <v/>
      </c>
      <c r="CC241" s="31" t="str">
        <f>IF(BV241="","",MAX(CC$12:CC240)+1)</f>
        <v/>
      </c>
      <c r="CD241" s="31" t="str">
        <f t="shared" si="227"/>
        <v/>
      </c>
      <c r="CE241" s="66" t="str">
        <f t="shared" si="228"/>
        <v/>
      </c>
      <c r="CF241" s="47" t="s">
        <v>0</v>
      </c>
      <c r="CG241" s="73" t="str">
        <f>IF(BN241="","",IF(BN241&lt;&gt;"NEMA","",IFERROR(INDEX(nat_klubAliasId,MATCH(BL241,nat_noviKluboviAliasi,0)),"")))</f>
        <v/>
      </c>
      <c r="CH241" s="47"/>
      <c r="CI241" s="19" t="str">
        <f t="shared" si="229"/>
        <v/>
      </c>
      <c r="CJ241" s="47" t="s">
        <v>0</v>
      </c>
      <c r="CK241" s="52" t="str">
        <f>IF(X241&lt;&gt;"NEMA","",IF(IFERROR(MATCH(W241,W$12:W240,0),0)&lt;&gt;0,"",W241))</f>
        <v/>
      </c>
      <c r="CL241" s="73" t="str">
        <f>IF(CK241="","",IFERROR(INDEX(regKlub_alias_id,MATCH(CK241,regKlub_alias_alias,0)),"NEMA"))</f>
        <v/>
      </c>
      <c r="CM241" s="31" t="str">
        <f>IF(OR(CL241="",CL241&lt;&gt;"NEMA"),"",MAX(CM$12:CM240)+1)</f>
        <v/>
      </c>
      <c r="CN241" s="66" t="str">
        <f>IF(OR(CL241="",CL241&lt;&gt;"NEMA"),"",INDEX(regKlub_id,MATCH(CK241,regKlub_naziv,0)))</f>
        <v/>
      </c>
      <c r="CO241" s="47" t="s">
        <v>0</v>
      </c>
      <c r="CP241" s="19" t="str">
        <f>IF(OR(CL241="",CL241&lt;&gt;"NEMA"),"","INSERT INTO klub_alias(id,alias,klub_id) VALUES ("&amp;CM241&amp;",'"&amp;CK241&amp;"',"&amp;CN241&amp;");")</f>
        <v/>
      </c>
      <c r="CQ241" s="47" t="s">
        <v>0</v>
      </c>
      <c r="CR241" s="143" t="str">
        <f>IF(BR241="","",IF(BV241="",IF(IFERROR(MATCH(BR241,nat_noviKluboviAliasi,0),0)&gt;0,INDEX(nat_kluboviAliasi,MATCH(BR241,nat_noviKluboviAliasi,0)),BR241),BV241))</f>
        <v/>
      </c>
      <c r="CS241" s="47" t="s">
        <v>0</v>
      </c>
      <c r="CT241" s="58" t="str">
        <f>IF(G241="","",G241)</f>
        <v/>
      </c>
      <c r="CU241" s="73" t="str">
        <f>IF(H241="","",H241)</f>
        <v>0</v>
      </c>
      <c r="CV241" s="229" t="str">
        <f>IF(CT241="",IF(OR(AL241="",CU241&lt;&gt;"0"),"","GREŠKA"),IF(AND(65535&gt;=VALUE(LEFT(CT241,SEARCH(":",CT241)-1))*60+VALUE(RIGHT(CT241,2)),OR(CU241="0",CU241="1",CU241="2",CU241="3",CU241="4")),"","GREŠKA"))</f>
        <v/>
      </c>
      <c r="CW241" s="230" t="str">
        <f t="shared" si="183"/>
        <v/>
      </c>
      <c r="CX241" s="163" t="str">
        <f t="shared" si="199"/>
        <v/>
      </c>
      <c r="CY241" s="47" t="s">
        <v>0</v>
      </c>
      <c r="CZ241" s="222" t="str">
        <f>IF(CV241&lt;&gt;"GREŠKA","",AK241&amp;" "&amp;AL241&amp;" – Molim u OEventu provjeriti i ispraviti rezultat – vrijeme ("&amp;IF(CT241="","nije upisano",CT241)&amp;") i classifier ("&amp;CU241&amp;").")&amp;IF(OR(CV241&lt;&gt;"GREŠKA",CX241&lt;&gt;5),"
","")&amp;IF(CX241&lt;&gt;5,"",AK241&amp;" "&amp;AL241&amp;" – Molim u provjeriti je li natjecatelj zaista diskvalificiran. Ako je koje je obrazloženje, ako nije molim u OEventu ispraviti rezultat")</f>
        <v xml:space="preserve">
</v>
      </c>
      <c r="DA241" s="223" t="str">
        <f t="shared" si="230"/>
        <v/>
      </c>
      <c r="DB241" s="47" t="s">
        <v>0</v>
      </c>
      <c r="DC241" s="47"/>
      <c r="DD241" s="47"/>
      <c r="DE241" s="47"/>
      <c r="DF241" s="47" t="s">
        <v>0</v>
      </c>
      <c r="DG241" s="53" t="str">
        <f>IF(BD241="","",IF(DI241="O",1,""))</f>
        <v/>
      </c>
      <c r="DH241" t="s">
        <v>0</v>
      </c>
      <c r="DI241" s="128" t="str">
        <f>IF(Q241="","",LEFT(INDEX(regKategorija_oznaka,MATCH(S241,regKategorija_id,0)),1))</f>
        <v>Ž</v>
      </c>
      <c r="DJ241" t="s">
        <v>0</v>
      </c>
      <c r="DK241" s="52" t="str">
        <f>IF(BD241="","",IF(M241&lt;&gt;"CRO","","INSERT INTO osoba (id,reg_broj,oib,spol_id,dat_rodjenja) VALUES ("&amp;BD241&amp;",(SELECT max(os.reg_broj)+1 FROM osoba AS os),Null,'"&amp;DI241&amp;"',Null); INSERT INTO osoba_log (id,reg_broj,oib,spol_id,dat_rodjenja,dnevnik_id) SELECT id,reg_broj,oib,spol_id,dat_rodjenja,"&amp;data_dnevnik_id&amp;" FROM osoba WHERE id = "&amp;BD241&amp;";"))</f>
        <v/>
      </c>
      <c r="DL241" s="66" t="str">
        <f>IF(BD241="","","INSERT INTO imeprezime (id,osoba_id,rbr,ime,prezime,klub_id,identitet_id,sintaksa_id,info,aktivno,dnevnik_id) VALUES ("&amp;BD241&amp;","&amp;IF(DK241="","Null",BD241)&amp;",1,'"&amp;IF(AV241&lt;&gt;"",AV241,AK241)&amp;"','"&amp;IF(AW241&lt;&gt;"",AW241,AL241)&amp;"',(SELECT id FROM klub WHERE naziv = '"&amp;CR241&amp;"'),Null,1,'',1,"&amp;data_dnevnik_id&amp;");")</f>
        <v/>
      </c>
      <c r="DM241" t="s">
        <v>0</v>
      </c>
      <c r="DN241" s="19" t="str">
        <f t="shared" si="238"/>
        <v/>
      </c>
      <c r="DO241" s="47" t="s">
        <v>0</v>
      </c>
      <c r="DP241" s="19" t="str">
        <f>IF(BA241="","","INSERT INTO imeprezime_alias(id,alias,imeprezime_id) VALUES ("&amp;BB241&amp;",'"&amp;BA241&amp;"',"&amp;IF(BC241="NEMA",BD241,BC241)&amp;");")</f>
        <v/>
      </c>
      <c r="DQ241" s="47" t="s">
        <v>0</v>
      </c>
      <c r="DR241" s="52" t="str">
        <f>IF(AL241="","",DU241 &amp; IF(Q241="",""," – " &amp; Q241))</f>
        <v/>
      </c>
      <c r="DS241" s="53" t="str">
        <f t="shared" si="200"/>
        <v/>
      </c>
      <c r="DT241" s="47" t="s">
        <v>0</v>
      </c>
      <c r="DU241" s="52" t="str">
        <f>IF(AL241="","",DX241 &amp; IF(CR241="",""," – " &amp; CR241))</f>
        <v/>
      </c>
      <c r="DV241" s="53" t="str">
        <f t="shared" si="201"/>
        <v/>
      </c>
      <c r="DW241" s="47" t="s">
        <v>0</v>
      </c>
      <c r="DX241" s="52" t="str">
        <f>IF(BG241="","",BF241&amp;" – "&amp;BG241)</f>
        <v/>
      </c>
      <c r="DY241" s="53" t="str">
        <f t="shared" si="202"/>
        <v/>
      </c>
      <c r="DZ241" s="47" t="s">
        <v>0</v>
      </c>
      <c r="EA241" s="58" t="str">
        <f t="shared" si="231"/>
        <v/>
      </c>
      <c r="EB241" s="53" t="str" cm="1">
        <f t="array" ref="EB241">IF(EA241&lt;&gt;"",INDEX(regNatjecatelj_id,EA241,0),IF(BD241&lt;&gt;"",BD241,""))</f>
        <v/>
      </c>
      <c r="EC241" s="47" t="s">
        <v>0</v>
      </c>
      <c r="ED241" s="58" t="str">
        <f>IF(AL241="","",IF(BD241&lt;&gt;"","novo",IF(AN241="","imepre","imepre(ali)")))</f>
        <v/>
      </c>
      <c r="EE241" s="73" t="str">
        <f>IF(AL241="","",IF(BL241="",IF(IFERROR(INDEX(regNatjecatelj_klub,MATCH(EB241,regNatjecatelj_id,0)),"NEMA")="","klu",""),IF(OR(AND(BN241&lt;&gt;"",BN241&lt;&gt;"NEMA"),CD241&lt;&gt;""),"klu(ali)",IF(AND(BP241&lt;&gt;"",BP241&lt;&gt;BO241),"(raz-klu)","klu"))))</f>
        <v/>
      </c>
      <c r="EF241" s="73" t="str">
        <f>IF(AL241="","","kat"&amp;IF(AND(W241&lt;&gt;Q241,Q241&lt;&gt;"Open"),"(ali)",""))</f>
        <v/>
      </c>
      <c r="EG241" s="73" t="str">
        <f t="shared" si="203"/>
        <v/>
      </c>
      <c r="EH241" s="66" t="str">
        <f>IF(AL241="","",ED241&amp;IF(ED241="novo","","-"&amp;EE241&amp;"-"&amp;EF241)&amp;IF(EG241="","","-"&amp;EG241))</f>
        <v/>
      </c>
      <c r="EI241" s="47" t="s">
        <v>0</v>
      </c>
      <c r="EJ241" s="58" t="str">
        <f>IF(AL241="","",MAX(EJ$12:EJ240)+1)</f>
        <v/>
      </c>
      <c r="EK241" s="73" t="str">
        <f>IF(AO241="","",X241)</f>
        <v/>
      </c>
      <c r="EL241" s="73" t="str">
        <f t="shared" si="232"/>
        <v/>
      </c>
      <c r="EM241" s="73" t="str">
        <f t="shared" si="204"/>
        <v/>
      </c>
      <c r="EN241" s="73" t="str">
        <f t="shared" si="205"/>
        <v/>
      </c>
      <c r="EO241" s="73" t="str">
        <f t="shared" si="233"/>
        <v/>
      </c>
      <c r="EP241" s="73" t="str">
        <f t="shared" si="234"/>
        <v/>
      </c>
      <c r="EQ241" s="73" t="str">
        <f t="shared" si="206"/>
        <v/>
      </c>
      <c r="ER241" s="73" t="str">
        <f>IF(OR(AN241="",AN241="NEMA"),BB241,AN241)</f>
        <v/>
      </c>
      <c r="ES241" s="73" t="str">
        <f>IF(AND(BN241&lt;&gt;"",BN241&lt;&gt;"NEMA"),BN241,IF(CG241&lt;&gt;"",CG241,IF(AND(CL241&lt;&gt;"",CL241&lt;&gt;"NEMA"),CL241,IF(CM241&lt;&gt;"",CM241,""))))</f>
        <v/>
      </c>
      <c r="ET241" s="53" t="str">
        <f>IF(INDEX(natKategorija_alias_Id,MATCH(S241,natKategorija_katRegId,0))="","",INDEX(natKategorija_alias_Id,MATCH(S241,natKategorija_katRegId,0)))</f>
        <v/>
      </c>
      <c r="EU241" s="47" t="s">
        <v>0</v>
      </c>
      <c r="EV241" s="19" t="str">
        <f t="shared" si="235"/>
        <v/>
      </c>
      <c r="EW241" s="47" t="s">
        <v>0</v>
      </c>
      <c r="EX241" s="19" t="str">
        <f t="shared" si="236"/>
        <v/>
      </c>
      <c r="EY241" s="47" t="s">
        <v>0</v>
      </c>
      <c r="EZ241" s="180" t="str">
        <f>AG241&amp;IF(CP241="","","
")&amp;CP241&amp;IF(CI241="","","
")&amp;CI241&amp;IF(DN241="","","
")&amp;DN241&amp;IF(DP241="","","
")&amp;DP241&amp;IF(EV241="","","
")&amp;EV241&amp;IF(EX241="","","
")&amp;EX241</f>
        <v/>
      </c>
      <c r="FA241" s="47" t="s">
        <v>0</v>
      </c>
    </row>
    <row r="242" spans="1:157" x14ac:dyDescent="0.25">
      <c r="A242" t="s">
        <v>0</v>
      </c>
      <c r="B242" s="52" t="str">
        <f>IF(csv!F232="","",csv!T232)</f>
        <v>Ž16</v>
      </c>
      <c r="C242" s="31" t="s">
        <v>0</v>
      </c>
      <c r="D242" s="31" t="str">
        <f>IF(csv!F232="","",csv!F232)</f>
        <v>Dora</v>
      </c>
      <c r="E242" s="31" t="str">
        <f>IF(csv!E232="","",csv!E232)</f>
        <v>Valjak</v>
      </c>
      <c r="F242" s="31" t="s">
        <v>0</v>
      </c>
      <c r="G242" s="73" t="str">
        <f>IF(csv!M232="","",csv!M232)</f>
        <v/>
      </c>
      <c r="H242" s="73" t="str">
        <f>IF(csv!N232="","",csv!N232)</f>
        <v>1</v>
      </c>
      <c r="I242" s="31" t="s">
        <v>0</v>
      </c>
      <c r="J242" s="31" t="str">
        <f>IF(csv!P232="","",csv!P232)</f>
        <v>Vihor</v>
      </c>
      <c r="K242" s="31" t="str">
        <f>IF(csv!Q232="","",csv!Q232)</f>
        <v>OK Vihor</v>
      </c>
      <c r="L242" s="31" t="s">
        <v>0</v>
      </c>
      <c r="M242" s="66" t="str">
        <f>IF(csv!R232="","",csv!R232)</f>
        <v>CRO</v>
      </c>
      <c r="N242" s="47" t="s">
        <v>0</v>
      </c>
      <c r="O242" s="243" t="str">
        <f t="shared" si="207"/>
        <v>ok</v>
      </c>
      <c r="P242" s="47"/>
      <c r="Q242" s="52" t="str">
        <f t="shared" si="208"/>
        <v>Ž16</v>
      </c>
      <c r="R242" s="73">
        <f>IF(Q242="","",IF(COUNTIF(Q$12:Q241,Q242)=0,R241+1,R241))</f>
        <v>15</v>
      </c>
      <c r="S242" s="73">
        <f t="shared" si="209"/>
        <v>120</v>
      </c>
      <c r="T242" s="73">
        <f t="shared" si="184"/>
        <v>27</v>
      </c>
      <c r="U242" s="66" t="str">
        <f t="shared" si="185"/>
        <v>Ž21B – Ž16</v>
      </c>
      <c r="V242" s="47" t="s">
        <v>0</v>
      </c>
      <c r="W242" s="222" t="str">
        <f t="shared" si="186"/>
        <v>Ž16</v>
      </c>
      <c r="X242" s="223">
        <f t="shared" si="187"/>
        <v>37</v>
      </c>
      <c r="Y242" s="47" t="s">
        <v>0</v>
      </c>
      <c r="Z242" s="52" t="str">
        <f t="shared" si="210"/>
        <v>CRO</v>
      </c>
      <c r="AA242" s="73">
        <f t="shared" si="188"/>
        <v>1</v>
      </c>
      <c r="AB242" s="31" t="str">
        <f t="shared" si="211"/>
        <v/>
      </c>
      <c r="AC242" s="66" t="str">
        <f>IF(AB242="","",MAX(AC$12:AC241)+1)</f>
        <v/>
      </c>
      <c r="AD242" s="47" t="s">
        <v>0</v>
      </c>
      <c r="AE242" s="125"/>
      <c r="AF242" s="47" t="s">
        <v>0</v>
      </c>
      <c r="AG242" s="19" t="str">
        <f t="shared" si="212"/>
        <v/>
      </c>
      <c r="AH242" s="47" t="s">
        <v>0</v>
      </c>
      <c r="AI242" s="143" t="str">
        <f t="shared" si="213"/>
        <v>CRO</v>
      </c>
      <c r="AJ242" s="47"/>
      <c r="AK242" s="52" t="str">
        <f t="shared" si="214"/>
        <v>Dora</v>
      </c>
      <c r="AL242" s="31" t="str">
        <f t="shared" si="215"/>
        <v>Valjak</v>
      </c>
      <c r="AM242" s="73">
        <f t="shared" si="216"/>
        <v>1909</v>
      </c>
      <c r="AN242" s="73" t="str">
        <f t="shared" si="217"/>
        <v/>
      </c>
      <c r="AO242" s="31" t="str">
        <f t="shared" si="189"/>
        <v>Dora</v>
      </c>
      <c r="AP242" s="66" t="str">
        <f t="shared" si="190"/>
        <v>Valjak</v>
      </c>
      <c r="AQ242" s="47" t="s">
        <v>0</v>
      </c>
      <c r="AR242" s="82" t="str">
        <f t="shared" si="218"/>
        <v/>
      </c>
      <c r="AS242" s="47" t="s">
        <v>0</v>
      </c>
      <c r="AT242" s="19" t="str">
        <f t="shared" si="219"/>
        <v/>
      </c>
      <c r="AU242" s="47" t="s">
        <v>0</v>
      </c>
      <c r="AV242" s="103"/>
      <c r="AW242" s="105"/>
      <c r="AX242" s="47" t="s">
        <v>0</v>
      </c>
      <c r="AY242" s="256" t="str">
        <f t="shared" si="237"/>
        <v/>
      </c>
      <c r="AZ242" s="47" t="s">
        <v>0</v>
      </c>
      <c r="BA242" s="52" t="str">
        <f t="shared" si="191"/>
        <v/>
      </c>
      <c r="BB242" s="73" t="str">
        <f>IF(AV242&amp;AW242="","",MAX(BB$12:BB241)+1)</f>
        <v/>
      </c>
      <c r="BC242" s="268" t="str">
        <f t="shared" si="192"/>
        <v/>
      </c>
      <c r="BD242" s="53" t="str">
        <f>IF(AND(AM242="NEMA",AN242="NEMA",OR(AV242&amp;AW242="",BC242="NEMA")),MAX(BD$12:BD241)+1,"")</f>
        <v/>
      </c>
      <c r="BE242" s="47" t="s">
        <v>0</v>
      </c>
      <c r="BF242" s="52" t="str">
        <f t="shared" si="193"/>
        <v>Dora</v>
      </c>
      <c r="BG242" s="31" t="str">
        <f t="shared" si="194"/>
        <v>Valjak</v>
      </c>
      <c r="BH242" s="73" t="str">
        <f t="shared" si="220"/>
        <v/>
      </c>
      <c r="BI242" s="53">
        <f t="shared" si="221"/>
        <v>1909</v>
      </c>
      <c r="BJ242" s="47" t="s">
        <v>0</v>
      </c>
      <c r="BK242" s="52" t="str">
        <f t="shared" si="195"/>
        <v>Vihor</v>
      </c>
      <c r="BL242" s="31" t="str">
        <f t="shared" si="196"/>
        <v>OK Vihor</v>
      </c>
      <c r="BM242" s="73">
        <f t="shared" si="197"/>
        <v>12</v>
      </c>
      <c r="BN242" s="73" t="str">
        <f t="shared" si="198"/>
        <v/>
      </c>
      <c r="BO242" s="31" t="str" cm="1">
        <f t="array" ref="BO242">IF(BN242="",""&amp;BL242,IF(BN242="NEMA",BL242,INDEX(regKlub_naziv,MATCH(INDEX(regKlub_alias_klubId,BN242),regKlub_id,0))))</f>
        <v>OK Vihor</v>
      </c>
      <c r="BP242" s="31" t="str" cm="1">
        <f t="array" ref="BP242">IFERROR(""&amp;INDEX(regNatjecatelj_klub,DY242),"")</f>
        <v>OK Vihor</v>
      </c>
      <c r="BQ242" s="88" t="str">
        <f t="shared" si="222"/>
        <v/>
      </c>
      <c r="BR242" s="66" t="str">
        <f t="shared" si="223"/>
        <v>OK Vihor</v>
      </c>
      <c r="BS242" s="47" t="s">
        <v>0</v>
      </c>
      <c r="BT242" s="82" t="str">
        <f>IF(BN242&lt;&gt;"NEMA","",IF(IFERROR(MATCH(BL242,BL$12:BL241,0),0)&lt;&gt;0,"",BL242))</f>
        <v/>
      </c>
      <c r="BU242" s="47" t="s">
        <v>0</v>
      </c>
      <c r="BV242" s="125"/>
      <c r="BW242" s="47" t="s">
        <v>0</v>
      </c>
      <c r="BX242" s="58" t="str">
        <f t="shared" si="224"/>
        <v/>
      </c>
      <c r="BY242" s="31" t="str">
        <f t="shared" si="225"/>
        <v/>
      </c>
      <c r="BZ242" s="31" t="str">
        <f>IF(BY242="","",MAX(BZ$12:BZ241)+1)</f>
        <v/>
      </c>
      <c r="CA242" s="31" t="str">
        <f>IF(BY242="","",IF(AA242="","",IF(AA242="NEMA",AC242,AA242)))</f>
        <v/>
      </c>
      <c r="CB242" s="31" t="str">
        <f t="shared" si="226"/>
        <v/>
      </c>
      <c r="CC242" s="31" t="str">
        <f>IF(BV242="","",MAX(CC$12:CC241)+1)</f>
        <v/>
      </c>
      <c r="CD242" s="31" t="str">
        <f t="shared" si="227"/>
        <v/>
      </c>
      <c r="CE242" s="66" t="str">
        <f t="shared" si="228"/>
        <v/>
      </c>
      <c r="CF242" s="47" t="s">
        <v>0</v>
      </c>
      <c r="CG242" s="73" t="str">
        <f>IF(BN242="","",IF(BN242&lt;&gt;"NEMA","",IFERROR(INDEX(nat_klubAliasId,MATCH(BL242,nat_noviKluboviAliasi,0)),"")))</f>
        <v/>
      </c>
      <c r="CH242" s="47"/>
      <c r="CI242" s="19" t="str">
        <f t="shared" si="229"/>
        <v/>
      </c>
      <c r="CJ242" s="47" t="s">
        <v>0</v>
      </c>
      <c r="CK242" s="52" t="str">
        <f>IF(X242&lt;&gt;"NEMA","",IF(IFERROR(MATCH(W242,W$12:W241,0),0)&lt;&gt;0,"",W242))</f>
        <v/>
      </c>
      <c r="CL242" s="73" t="str">
        <f>IF(CK242="","",IFERROR(INDEX(regKlub_alias_id,MATCH(CK242,regKlub_alias_alias,0)),"NEMA"))</f>
        <v/>
      </c>
      <c r="CM242" s="31" t="str">
        <f>IF(OR(CL242="",CL242&lt;&gt;"NEMA"),"",MAX(CM$12:CM241)+1)</f>
        <v/>
      </c>
      <c r="CN242" s="66" t="str">
        <f>IF(OR(CL242="",CL242&lt;&gt;"NEMA"),"",INDEX(regKlub_id,MATCH(CK242,regKlub_naziv,0)))</f>
        <v/>
      </c>
      <c r="CO242" s="47" t="s">
        <v>0</v>
      </c>
      <c r="CP242" s="19" t="str">
        <f>IF(OR(CL242="",CL242&lt;&gt;"NEMA"),"","INSERT INTO klub_alias(id,alias,klub_id) VALUES ("&amp;CM242&amp;",'"&amp;CK242&amp;"',"&amp;CN242&amp;");")</f>
        <v/>
      </c>
      <c r="CQ242" s="47" t="s">
        <v>0</v>
      </c>
      <c r="CR242" s="143" t="str">
        <f>IF(BR242="","",IF(BV242="",IF(IFERROR(MATCH(BR242,nat_noviKluboviAliasi,0),0)&gt;0,INDEX(nat_kluboviAliasi,MATCH(BR242,nat_noviKluboviAliasi,0)),BR242),BV242))</f>
        <v>OK Vihor</v>
      </c>
      <c r="CS242" s="47" t="s">
        <v>0</v>
      </c>
      <c r="CT242" s="58" t="str">
        <f>IF(G242="","",G242)</f>
        <v/>
      </c>
      <c r="CU242" s="73" t="str">
        <f>IF(H242="","",H242)</f>
        <v>1</v>
      </c>
      <c r="CV242" s="229" t="str">
        <f>IF(CT242="",IF(OR(AL242="",CU242&lt;&gt;"0"),"","GREŠKA"),IF(AND(65535&gt;=VALUE(LEFT(CT242,SEARCH(":",CT242)-1))*60+VALUE(RIGHT(CT242,2)),OR(CU242="0",CU242="1",CU242="2",CU242="3",CU242="4")),"","GREŠKA"))</f>
        <v/>
      </c>
      <c r="CW242" s="230" t="str">
        <f t="shared" si="183"/>
        <v/>
      </c>
      <c r="CX242" s="163">
        <f t="shared" si="199"/>
        <v>6</v>
      </c>
      <c r="CY242" s="47" t="s">
        <v>0</v>
      </c>
      <c r="CZ242" s="222" t="str">
        <f>IF(CV242&lt;&gt;"GREŠKA","",AK242&amp;" "&amp;AL242&amp;" – Molim u OEventu provjeriti i ispraviti rezultat – vrijeme ("&amp;IF(CT242="","nije upisano",CT242)&amp;") i classifier ("&amp;CU242&amp;").")&amp;IF(OR(CV242&lt;&gt;"GREŠKA",CX242&lt;&gt;5),"
","")&amp;IF(CX242&lt;&gt;5,"",AK242&amp;" "&amp;AL242&amp;" – Molim u provjeriti je li natjecatelj zaista diskvalificiran. Ako je koje je obrazloženje, ako nije molim u OEventu ispraviti rezultat")</f>
        <v xml:space="preserve">
</v>
      </c>
      <c r="DA242" s="223" t="e">
        <f t="shared" si="230"/>
        <v>#N/A</v>
      </c>
      <c r="DB242" s="47" t="s">
        <v>0</v>
      </c>
      <c r="DC242" s="47"/>
      <c r="DD242" s="47"/>
      <c r="DE242" s="47"/>
      <c r="DF242" s="47" t="s">
        <v>0</v>
      </c>
      <c r="DG242" s="53" t="str">
        <f>IF(BD242="","",IF(DI242="O",1,""))</f>
        <v/>
      </c>
      <c r="DH242" t="s">
        <v>0</v>
      </c>
      <c r="DI242" s="128" t="str">
        <f>IF(Q242="","",LEFT(INDEX(regKategorija_oznaka,MATCH(S242,regKategorija_id,0)),1))</f>
        <v>Ž</v>
      </c>
      <c r="DJ242" t="s">
        <v>0</v>
      </c>
      <c r="DK242" s="52" t="str">
        <f>IF(BD242="","",IF(M242&lt;&gt;"CRO","","INSERT INTO osoba (id,reg_broj,oib,spol_id,dat_rodjenja) VALUES ("&amp;BD242&amp;",(SELECT max(os.reg_broj)+1 FROM osoba AS os),Null,'"&amp;DI242&amp;"',Null); INSERT INTO osoba_log (id,reg_broj,oib,spol_id,dat_rodjenja,dnevnik_id) SELECT id,reg_broj,oib,spol_id,dat_rodjenja,"&amp;data_dnevnik_id&amp;" FROM osoba WHERE id = "&amp;BD242&amp;";"))</f>
        <v/>
      </c>
      <c r="DL242" s="66" t="str">
        <f>IF(BD242="","","INSERT INTO imeprezime (id,osoba_id,rbr,ime,prezime,klub_id,identitet_id,sintaksa_id,info,aktivno,dnevnik_id) VALUES ("&amp;BD242&amp;","&amp;IF(DK242="","Null",BD242)&amp;",1,'"&amp;IF(AV242&lt;&gt;"",AV242,AK242)&amp;"','"&amp;IF(AW242&lt;&gt;"",AW242,AL242)&amp;"',(SELECT id FROM klub WHERE naziv = '"&amp;CR242&amp;"'),Null,1,'',1,"&amp;data_dnevnik_id&amp;");")</f>
        <v/>
      </c>
      <c r="DM242" t="s">
        <v>0</v>
      </c>
      <c r="DN242" s="19" t="str">
        <f t="shared" si="238"/>
        <v/>
      </c>
      <c r="DO242" s="47" t="s">
        <v>0</v>
      </c>
      <c r="DP242" s="19" t="str">
        <f>IF(BA242="","","INSERT INTO imeprezime_alias(id,alias,imeprezime_id) VALUES ("&amp;BB242&amp;",'"&amp;BA242&amp;"',"&amp;IF(BC242="NEMA",BD242,BC242)&amp;");")</f>
        <v/>
      </c>
      <c r="DQ242" s="47" t="s">
        <v>0</v>
      </c>
      <c r="DR242" s="52" t="str">
        <f>IF(AL242="","",DU242 &amp; IF(Q242="",""," – " &amp; Q242))</f>
        <v>Dora – Valjak – OK Vihor – Ž16</v>
      </c>
      <c r="DS242" s="53">
        <f t="shared" si="200"/>
        <v>934</v>
      </c>
      <c r="DT242" s="47" t="s">
        <v>0</v>
      </c>
      <c r="DU242" s="52" t="str">
        <f>IF(AL242="","",DX242 &amp; IF(CR242="",""," – " &amp; CR242))</f>
        <v>Dora – Valjak – OK Vihor</v>
      </c>
      <c r="DV242" s="53">
        <f t="shared" si="201"/>
        <v>934</v>
      </c>
      <c r="DW242" s="47" t="s">
        <v>0</v>
      </c>
      <c r="DX242" s="52" t="str">
        <f>IF(BG242="","",BF242&amp;" – "&amp;BG242)</f>
        <v>Dora – Valjak</v>
      </c>
      <c r="DY242" s="53">
        <f t="shared" si="202"/>
        <v>934</v>
      </c>
      <c r="DZ242" s="47" t="s">
        <v>0</v>
      </c>
      <c r="EA242" s="58">
        <f t="shared" si="231"/>
        <v>934</v>
      </c>
      <c r="EB242" s="53" cm="1">
        <f t="array" ref="EB242">IF(EA242&lt;&gt;"",INDEX(regNatjecatelj_id,EA242,0),IF(BD242&lt;&gt;"",BD242,""))</f>
        <v>1909</v>
      </c>
      <c r="EC242" s="47" t="s">
        <v>0</v>
      </c>
      <c r="ED242" s="58" t="str">
        <f>IF(AL242="","",IF(BD242&lt;&gt;"","novo",IF(AN242="","imepre","imepre(ali)")))</f>
        <v>imepre</v>
      </c>
      <c r="EE242" s="73" t="str">
        <f>IF(AL242="","",IF(BL242="",IF(IFERROR(INDEX(regNatjecatelj_klub,MATCH(EB242,regNatjecatelj_id,0)),"NEMA")="","klu",""),IF(OR(AND(BN242&lt;&gt;"",BN242&lt;&gt;"NEMA"),CD242&lt;&gt;""),"klu(ali)",IF(AND(BP242&lt;&gt;"",BP242&lt;&gt;BO242),"(raz-klu)","klu"))))</f>
        <v>klu</v>
      </c>
      <c r="EF242" s="73" t="str">
        <f>IF(AL242="","","kat"&amp;IF(AND(W242&lt;&gt;Q242,Q242&lt;&gt;"Open"),"(ali)",""))</f>
        <v>kat</v>
      </c>
      <c r="EG242" s="73" t="str">
        <f t="shared" si="203"/>
        <v/>
      </c>
      <c r="EH242" s="66" t="str">
        <f>IF(AL242="","",ED242&amp;IF(ED242="novo","","-"&amp;EE242&amp;"-"&amp;EF242)&amp;IF(EG242="","","-"&amp;EG242))</f>
        <v>imepre-klu-kat</v>
      </c>
      <c r="EI242" s="47" t="s">
        <v>0</v>
      </c>
      <c r="EJ242" s="58">
        <f>IF(AL242="","",MAX(EJ$12:EJ241)+1)</f>
        <v>398</v>
      </c>
      <c r="EK242" s="73">
        <f>IF(AO242="","",X242)</f>
        <v>37</v>
      </c>
      <c r="EL242" s="73">
        <f t="shared" si="232"/>
        <v>1909</v>
      </c>
      <c r="EM242" s="73" t="str">
        <f t="shared" si="204"/>
        <v/>
      </c>
      <c r="EN242" s="73">
        <f t="shared" si="205"/>
        <v>6</v>
      </c>
      <c r="EO242" s="73">
        <f t="shared" si="233"/>
        <v>1</v>
      </c>
      <c r="EP242" s="73">
        <f t="shared" si="234"/>
        <v>1</v>
      </c>
      <c r="EQ242" s="73" t="str">
        <f t="shared" si="206"/>
        <v>1</v>
      </c>
      <c r="ER242" s="73" t="str">
        <f>IF(OR(AN242="",AN242="NEMA"),BB242,AN242)</f>
        <v/>
      </c>
      <c r="ES242" s="73" t="str">
        <f>IF(AND(BN242&lt;&gt;"",BN242&lt;&gt;"NEMA"),BN242,IF(CG242&lt;&gt;"",CG242,IF(AND(CL242&lt;&gt;"",CL242&lt;&gt;"NEMA"),CL242,IF(CM242&lt;&gt;"",CM242,""))))</f>
        <v/>
      </c>
      <c r="ET242" s="53" t="str">
        <f>IF(INDEX(natKategorija_alias_Id,MATCH(S242,natKategorija_katRegId,0))="","",INDEX(natKategorija_alias_Id,MATCH(S242,natKategorija_katRegId,0)))</f>
        <v/>
      </c>
      <c r="EU242" s="47" t="s">
        <v>0</v>
      </c>
      <c r="EV242" s="19" t="str">
        <f t="shared" si="235"/>
        <v>INSERT INTO rezultat(id,stazakategorija_id,imeprezime_id,vrijeme_sec,status_id,registracija,uparivanje_id,originalstatus_id,imeprezimealias_id,klubalias_id,kategorijaalias_id) VALUES (398,37,1909,Null,6,1,1,1,Null,Null,Null);</v>
      </c>
      <c r="EW242" s="47" t="s">
        <v>0</v>
      </c>
      <c r="EX242" s="19" t="str">
        <f t="shared" si="236"/>
        <v>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EY242" s="47" t="s">
        <v>0</v>
      </c>
      <c r="EZ242" s="180" t="str">
        <f>AG242&amp;IF(CP242="","","
")&amp;CP242&amp;IF(CI242="","","
")&amp;CI242&amp;IF(DN242="","","
")&amp;DN242&amp;IF(DP242="","","
")&amp;DP242&amp;IF(EV242="","","
")&amp;EV242&amp;IF(EX242="","","
")&amp;EX242</f>
        <v xml:space="preserve">
INSERT INTO rezultat(id,stazakategorija_id,imeprezime_id,vrijeme_sec,status_id,registracija,uparivanje_id,originalstatus_id,imeprezimealias_id,klubalias_id,kategorijaalias_id) VALUES (398,37,1909,Null,6,1,1,1,Null,Null,Null);
UPDATE
	registar
SET
	potvrda = 1
WHERE
	imeprezime_id=1909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37)
                         		AND
                         	kategorija_liga.liga_id = 101)
		AND
	datum_od &lt;= '2021-04-18'
    	AND
    datum_do is Null;</v>
      </c>
      <c r="FA242" s="47" t="s">
        <v>0</v>
      </c>
    </row>
    <row r="243" spans="1:157" x14ac:dyDescent="0.25">
      <c r="A243" t="s">
        <v>0</v>
      </c>
      <c r="B243" s="52" t="str">
        <f>IF(csv!F233="","",csv!T233)</f>
        <v>Ž16</v>
      </c>
      <c r="C243" s="31" t="s">
        <v>0</v>
      </c>
      <c r="D243" s="31" t="str">
        <f>IF(csv!F233="","",csv!F233)</f>
        <v>Vacant</v>
      </c>
      <c r="E243" s="31" t="str">
        <f>IF(csv!E233="","",csv!E233)</f>
        <v/>
      </c>
      <c r="F243" s="31" t="s">
        <v>0</v>
      </c>
      <c r="G243" s="73" t="str">
        <f>IF(csv!M233="","",csv!M233)</f>
        <v/>
      </c>
      <c r="H243" s="73" t="str">
        <f>IF(csv!N233="","",csv!N233)</f>
        <v>0</v>
      </c>
      <c r="I243" s="31" t="s">
        <v>0</v>
      </c>
      <c r="J243" s="31" t="str">
        <f>IF(csv!P233="","",csv!P233)</f>
        <v/>
      </c>
      <c r="K243" s="31" t="str">
        <f>IF(csv!Q233="","",csv!Q233)</f>
        <v/>
      </c>
      <c r="L243" s="31" t="s">
        <v>0</v>
      </c>
      <c r="M243" s="66" t="str">
        <f>IF(csv!R233="","",csv!R233)</f>
        <v/>
      </c>
      <c r="N243" s="47" t="s">
        <v>0</v>
      </c>
      <c r="O243" s="243" t="str">
        <f t="shared" si="207"/>
        <v/>
      </c>
      <c r="P243" s="47"/>
      <c r="Q243" s="52" t="str">
        <f t="shared" si="208"/>
        <v>Ž16</v>
      </c>
      <c r="R243" s="73">
        <f>IF(Q243="","",IF(COUNTIF(Q$12:Q242,Q243)=0,R242+1,R242))</f>
        <v>15</v>
      </c>
      <c r="S243" s="73">
        <f t="shared" si="209"/>
        <v>120</v>
      </c>
      <c r="T243" s="73">
        <f t="shared" si="184"/>
        <v>27</v>
      </c>
      <c r="U243" s="66" t="str">
        <f t="shared" si="185"/>
        <v>Ž21B – Ž16</v>
      </c>
      <c r="V243" s="47" t="s">
        <v>0</v>
      </c>
      <c r="W243" s="222" t="str">
        <f t="shared" si="186"/>
        <v/>
      </c>
      <c r="X243" s="223" t="str">
        <f t="shared" si="187"/>
        <v/>
      </c>
      <c r="Y243" s="47" t="s">
        <v>0</v>
      </c>
      <c r="Z243" s="52" t="str">
        <f t="shared" si="210"/>
        <v/>
      </c>
      <c r="AA243" s="73" t="str">
        <f t="shared" si="188"/>
        <v/>
      </c>
      <c r="AB243" s="31" t="str">
        <f t="shared" si="211"/>
        <v/>
      </c>
      <c r="AC243" s="66" t="str">
        <f>IF(AB243="","",MAX(AC$12:AC242)+1)</f>
        <v/>
      </c>
      <c r="AD243" s="47" t="s">
        <v>0</v>
      </c>
      <c r="AE243" s="125"/>
      <c r="AF243" s="47" t="s">
        <v>0</v>
      </c>
      <c r="AG243" s="19" t="str">
        <f t="shared" si="212"/>
        <v/>
      </c>
      <c r="AH243" s="47" t="s">
        <v>0</v>
      </c>
      <c r="AI243" s="143" t="str">
        <f t="shared" si="213"/>
        <v/>
      </c>
      <c r="AJ243" s="47"/>
      <c r="AK243" s="52" t="str">
        <f t="shared" si="214"/>
        <v/>
      </c>
      <c r="AL243" s="31" t="str">
        <f t="shared" si="215"/>
        <v/>
      </c>
      <c r="AM243" s="73" t="str">
        <f t="shared" si="216"/>
        <v/>
      </c>
      <c r="AN243" s="73" t="str">
        <f t="shared" si="217"/>
        <v/>
      </c>
      <c r="AO243" s="31" t="str">
        <f t="shared" si="189"/>
        <v/>
      </c>
      <c r="AP243" s="66" t="str">
        <f t="shared" si="190"/>
        <v/>
      </c>
      <c r="AQ243" s="47" t="s">
        <v>0</v>
      </c>
      <c r="AR243" s="82" t="str">
        <f t="shared" si="218"/>
        <v/>
      </c>
      <c r="AS243" s="47" t="s">
        <v>0</v>
      </c>
      <c r="AT243" s="19" t="str">
        <f t="shared" si="219"/>
        <v/>
      </c>
      <c r="AU243" s="47" t="s">
        <v>0</v>
      </c>
      <c r="AV243" s="103"/>
      <c r="AW243" s="105"/>
      <c r="AX243" s="47" t="s">
        <v>0</v>
      </c>
      <c r="AY243" s="256" t="str">
        <f t="shared" si="237"/>
        <v/>
      </c>
      <c r="AZ243" s="47" t="s">
        <v>0</v>
      </c>
      <c r="BA243" s="52" t="str">
        <f t="shared" si="191"/>
        <v/>
      </c>
      <c r="BB243" s="73" t="str">
        <f>IF(AV243&amp;AW243="","",MAX(BB$12:BB242)+1)</f>
        <v/>
      </c>
      <c r="BC243" s="268" t="str">
        <f t="shared" si="192"/>
        <v/>
      </c>
      <c r="BD243" s="53" t="str">
        <f>IF(AND(AM243="NEMA",AN243="NEMA",OR(AV243&amp;AW243="",BC243="NEMA")),MAX(BD$12:BD242)+1,"")</f>
        <v/>
      </c>
      <c r="BE243" s="47" t="s">
        <v>0</v>
      </c>
      <c r="BF243" s="52" t="str">
        <f t="shared" si="193"/>
        <v/>
      </c>
      <c r="BG243" s="31" t="str">
        <f t="shared" si="194"/>
        <v/>
      </c>
      <c r="BH243" s="73" t="str">
        <f t="shared" si="220"/>
        <v/>
      </c>
      <c r="BI243" s="53" t="str">
        <f t="shared" si="221"/>
        <v/>
      </c>
      <c r="BJ243" s="47" t="s">
        <v>0</v>
      </c>
      <c r="BK243" s="52" t="str">
        <f t="shared" si="195"/>
        <v/>
      </c>
      <c r="BL243" s="31" t="str">
        <f t="shared" si="196"/>
        <v/>
      </c>
      <c r="BM243" s="73" t="str">
        <f t="shared" si="197"/>
        <v/>
      </c>
      <c r="BN243" s="73" t="str">
        <f t="shared" si="198"/>
        <v/>
      </c>
      <c r="BO243" s="31" t="str" cm="1">
        <f t="array" ref="BO243">IF(BN243="",""&amp;BL243,IF(BN243="NEMA",BL243,INDEX(regKlub_naziv,MATCH(INDEX(regKlub_alias_klubId,BN243),regKlub_id,0))))</f>
        <v/>
      </c>
      <c r="BP243" s="31" t="str" cm="1">
        <f t="array" ref="BP243">IFERROR(""&amp;INDEX(regNatjecatelj_klub,DY243),"")</f>
        <v/>
      </c>
      <c r="BQ243" s="88" t="str">
        <f t="shared" si="222"/>
        <v/>
      </c>
      <c r="BR243" s="66" t="str">
        <f t="shared" si="223"/>
        <v/>
      </c>
      <c r="BS243" s="47" t="s">
        <v>0</v>
      </c>
      <c r="BT243" s="82" t="str">
        <f>IF(BN243&lt;&gt;"NEMA","",IF(IFERROR(MATCH(BL243,BL$12:BL242,0),0)&lt;&gt;0,"",BL243))</f>
        <v/>
      </c>
      <c r="BU243" s="47" t="s">
        <v>0</v>
      </c>
      <c r="BV243" s="125"/>
      <c r="BW243" s="47" t="s">
        <v>0</v>
      </c>
      <c r="BX243" s="58" t="str">
        <f t="shared" si="224"/>
        <v/>
      </c>
      <c r="BY243" s="31" t="str">
        <f t="shared" si="225"/>
        <v/>
      </c>
      <c r="BZ243" s="31" t="str">
        <f>IF(BY243="","",MAX(BZ$12:BZ242)+1)</f>
        <v/>
      </c>
      <c r="CA243" s="31" t="str">
        <f>IF(BY243="","",IF(AA243="","",IF(AA243="NEMA",AC243,AA243)))</f>
        <v/>
      </c>
      <c r="CB243" s="31" t="str">
        <f t="shared" si="226"/>
        <v/>
      </c>
      <c r="CC243" s="31" t="str">
        <f>IF(BV243="","",MAX(CC$12:CC242)+1)</f>
        <v/>
      </c>
      <c r="CD243" s="31" t="str">
        <f t="shared" si="227"/>
        <v/>
      </c>
      <c r="CE243" s="66" t="str">
        <f t="shared" si="228"/>
        <v/>
      </c>
      <c r="CF243" s="47" t="s">
        <v>0</v>
      </c>
      <c r="CG243" s="73" t="str">
        <f>IF(BN243="","",IF(BN243&lt;&gt;"NEMA","",IFERROR(INDEX(nat_klubAliasId,MATCH(BL243,nat_noviKluboviAliasi,0)),"")))</f>
        <v/>
      </c>
      <c r="CH243" s="47"/>
      <c r="CI243" s="19" t="str">
        <f t="shared" si="229"/>
        <v/>
      </c>
      <c r="CJ243" s="47" t="s">
        <v>0</v>
      </c>
      <c r="CK243" s="52" t="str">
        <f>IF(X243&lt;&gt;"NEMA","",IF(IFERROR(MATCH(W243,W$12:W242,0),0)&lt;&gt;0,"",W243))</f>
        <v/>
      </c>
      <c r="CL243" s="73" t="str">
        <f>IF(CK243="","",IFERROR(INDEX(regKlub_alias_id,MATCH(CK243,regKlub_alias_alias,0)),"NEMA"))</f>
        <v/>
      </c>
      <c r="CM243" s="31" t="str">
        <f>IF(OR(CL243="",CL243&lt;&gt;"NEMA"),"",MAX(CM$12:CM242)+1)</f>
        <v/>
      </c>
      <c r="CN243" s="66" t="str">
        <f>IF(OR(CL243="",CL243&lt;&gt;"NEMA"),"",INDEX(regKlub_id,MATCH(CK243,regKlub_naziv,0)))</f>
        <v/>
      </c>
      <c r="CO243" s="47" t="s">
        <v>0</v>
      </c>
      <c r="CP243" s="19" t="str">
        <f>IF(OR(CL243="",CL243&lt;&gt;"NEMA"),"","INSERT INTO klub_alias(id,alias,klub_id) VALUES ("&amp;CM243&amp;",'"&amp;CK243&amp;"',"&amp;CN243&amp;");")</f>
        <v/>
      </c>
      <c r="CQ243" s="47" t="s">
        <v>0</v>
      </c>
      <c r="CR243" s="143" t="str">
        <f>IF(BR243="","",IF(BV243="",IF(IFERROR(MATCH(BR243,nat_noviKluboviAliasi,0),0)&gt;0,INDEX(nat_kluboviAliasi,MATCH(BR243,nat_noviKluboviAliasi,0)),BR243),BV243))</f>
        <v/>
      </c>
      <c r="CS243" s="47" t="s">
        <v>0</v>
      </c>
      <c r="CT243" s="58" t="str">
        <f>IF(G243="","",G243)</f>
        <v/>
      </c>
      <c r="CU243" s="73" t="str">
        <f>IF(H243="","",H243)</f>
        <v>0</v>
      </c>
      <c r="CV243" s="229" t="str">
        <f>IF(CT243="",IF(OR(AL243="",CU243&lt;&gt;"0"),"","GREŠKA"),IF(AND(65535&gt;=VALUE(LEFT(CT243,SEARCH(":",CT243)-1))*60+VALUE(RIGHT(CT243,2)),OR(CU243="0",CU243="1",CU243="2",CU243="3",CU243="4")),"","GREŠKA"))</f>
        <v/>
      </c>
      <c r="CW243" s="230" t="str">
        <f t="shared" si="183"/>
        <v/>
      </c>
      <c r="CX243" s="163" t="str">
        <f t="shared" si="199"/>
        <v/>
      </c>
      <c r="CY243" s="47" t="s">
        <v>0</v>
      </c>
      <c r="CZ243" s="222" t="str">
        <f>IF(CV243&lt;&gt;"GREŠKA","",AK243&amp;" "&amp;AL243&amp;" – Molim u OEventu provjeriti i ispraviti rezultat – vrijeme ("&amp;IF(CT243="","nije upisano",CT243)&amp;") i classifier ("&amp;CU243&amp;").")&amp;IF(OR(CV243&lt;&gt;"GREŠKA",CX243&lt;&gt;5),"
","")&amp;IF(CX243&lt;&gt;5,"",AK243&amp;" "&amp;AL243&amp;" – Molim u provjeriti je li natjecatelj zaista diskvalificiran. Ako je koje je obrazloženje, ako nije molim u OEventu ispraviti rezultat")</f>
        <v xml:space="preserve">
</v>
      </c>
      <c r="DA243" s="223" t="str">
        <f t="shared" si="230"/>
        <v/>
      </c>
      <c r="DB243" s="47" t="s">
        <v>0</v>
      </c>
      <c r="DC243" s="47"/>
      <c r="DD243" s="47"/>
      <c r="DE243" s="47"/>
      <c r="DF243" s="47" t="s">
        <v>0</v>
      </c>
      <c r="DG243" s="53" t="str">
        <f>IF(BD243="","",IF(DI243="O",1,""))</f>
        <v/>
      </c>
      <c r="DH243" t="s">
        <v>0</v>
      </c>
      <c r="DI243" s="128" t="str">
        <f>IF(Q243="","",LEFT(INDEX(regKategorija_oznaka,MATCH(S243,regKategorija_id,0)),1))</f>
        <v>Ž</v>
      </c>
      <c r="DJ243" t="s">
        <v>0</v>
      </c>
      <c r="DK243" s="52" t="str">
        <f>IF(BD243="","",IF(M243&lt;&gt;"CRO","","INSERT INTO osoba (id,reg_broj,oib,spol_id,dat_rodjenja) VALUES ("&amp;BD243&amp;",(SELECT max(os.reg_broj)+1 FROM osoba AS os),Null,'"&amp;DI243&amp;"',Null); INSERT INTO osoba_log (id,reg_broj,oib,spol_id,dat_rodjenja,dnevnik_id) SELECT id,reg_broj,oib,spol_id,dat_rodjenja,"&amp;data_dnevnik_id&amp;" FROM osoba WHERE id = "&amp;BD243&amp;";"))</f>
        <v/>
      </c>
      <c r="DL243" s="66" t="str">
        <f>IF(BD243="","","INSERT INTO imeprezime (id,osoba_id,rbr,ime,prezime,klub_id,identitet_id,sintaksa_id,info,aktivno,dnevnik_id) VALUES ("&amp;BD243&amp;","&amp;IF(DK243="","Null",BD243)&amp;",1,'"&amp;IF(AV243&lt;&gt;"",AV243,AK243)&amp;"','"&amp;IF(AW243&lt;&gt;"",AW243,AL243)&amp;"',(SELECT id FROM klub WHERE naziv = '"&amp;CR243&amp;"'),Null,1,'',1,"&amp;data_dnevnik_id&amp;");")</f>
        <v/>
      </c>
      <c r="DM243" t="s">
        <v>0</v>
      </c>
      <c r="DN243" s="19" t="str">
        <f t="shared" si="238"/>
        <v/>
      </c>
      <c r="DO243" s="47" t="s">
        <v>0</v>
      </c>
      <c r="DP243" s="19" t="str">
        <f>IF(BA243="","","INSERT INTO imeprezime_alias(id,alias,imeprezime_id) VALUES ("&amp;BB243&amp;",'"&amp;BA243&amp;"',"&amp;IF(BC243="NEMA",BD243,BC243)&amp;");")</f>
        <v/>
      </c>
      <c r="DQ243" s="47" t="s">
        <v>0</v>
      </c>
      <c r="DR243" s="52" t="str">
        <f>IF(AL243="","",DU243 &amp; IF(Q243="",""," – " &amp; Q243))</f>
        <v/>
      </c>
      <c r="DS243" s="53" t="str">
        <f t="shared" si="200"/>
        <v/>
      </c>
      <c r="DT243" s="47" t="s">
        <v>0</v>
      </c>
      <c r="DU243" s="52" t="str">
        <f>IF(AL243="","",DX243 &amp; IF(CR243="",""," – " &amp; CR243))</f>
        <v/>
      </c>
      <c r="DV243" s="53" t="str">
        <f t="shared" si="201"/>
        <v/>
      </c>
      <c r="DW243" s="47" t="s">
        <v>0</v>
      </c>
      <c r="DX243" s="52" t="str">
        <f>IF(BG243="","",BF243&amp;" – "&amp;BG243)</f>
        <v/>
      </c>
      <c r="DY243" s="53" t="str">
        <f t="shared" si="202"/>
        <v/>
      </c>
      <c r="DZ243" s="47" t="s">
        <v>0</v>
      </c>
      <c r="EA243" s="58" t="str">
        <f t="shared" si="231"/>
        <v/>
      </c>
      <c r="EB243" s="53" t="str" cm="1">
        <f t="array" ref="EB243">IF(EA243&lt;&gt;"",INDEX(regNatjecatelj_id,EA243,0),IF(BD243&lt;&gt;"",BD243,""))</f>
        <v/>
      </c>
      <c r="EC243" s="47" t="s">
        <v>0</v>
      </c>
      <c r="ED243" s="58" t="str">
        <f>IF(AL243="","",IF(BD243&lt;&gt;"","novo",IF(AN243="","imepre","imepre(ali)")))</f>
        <v/>
      </c>
      <c r="EE243" s="73" t="str">
        <f>IF(AL243="","",IF(BL243="",IF(IFERROR(INDEX(regNatjecatelj_klub,MATCH(EB243,regNatjecatelj_id,0)),"NEMA")="","klu",""),IF(OR(AND(BN243&lt;&gt;"",BN243&lt;&gt;"NEMA"),CD243&lt;&gt;""),"klu(ali)",IF(AND(BP243&lt;&gt;"",BP243&lt;&gt;BO243),"(raz-klu)","klu"))))</f>
        <v/>
      </c>
      <c r="EF243" s="73" t="str">
        <f>IF(AL243="","","kat"&amp;IF(AND(W243&lt;&gt;Q243,Q243&lt;&gt;"Open"),"(ali)",""))</f>
        <v/>
      </c>
      <c r="EG243" s="73" t="str">
        <f t="shared" si="203"/>
        <v/>
      </c>
      <c r="EH243" s="66" t="str">
        <f>IF(AL243="","",ED243&amp;IF(ED243="novo","","-"&amp;EE243&amp;"-"&amp;EF243)&amp;IF(EG243="","","-"&amp;EG243))</f>
        <v/>
      </c>
      <c r="EI243" s="47" t="s">
        <v>0</v>
      </c>
      <c r="EJ243" s="58" t="str">
        <f>IF(AL243="","",MAX(EJ$12:EJ242)+1)</f>
        <v/>
      </c>
      <c r="EK243" s="73" t="str">
        <f>IF(AO243="","",X243)</f>
        <v/>
      </c>
      <c r="EL243" s="73" t="str">
        <f t="shared" si="232"/>
        <v/>
      </c>
      <c r="EM243" s="73" t="str">
        <f t="shared" si="204"/>
        <v/>
      </c>
      <c r="EN243" s="73" t="str">
        <f t="shared" si="205"/>
        <v/>
      </c>
      <c r="EO243" s="73" t="str">
        <f t="shared" si="233"/>
        <v/>
      </c>
      <c r="EP243" s="73" t="str">
        <f t="shared" si="234"/>
        <v/>
      </c>
      <c r="EQ243" s="73" t="str">
        <f t="shared" si="206"/>
        <v/>
      </c>
      <c r="ER243" s="73" t="str">
        <f>IF(OR(AN243="",AN243="NEMA"),BB243,AN243)</f>
        <v/>
      </c>
      <c r="ES243" s="73" t="str">
        <f>IF(AND(BN243&lt;&gt;"",BN243&lt;&gt;"NEMA"),BN243,IF(CG243&lt;&gt;"",CG243,IF(AND(CL243&lt;&gt;"",CL243&lt;&gt;"NEMA"),CL243,IF(CM243&lt;&gt;"",CM243,""))))</f>
        <v/>
      </c>
      <c r="ET243" s="53" t="str">
        <f>IF(INDEX(natKategorija_alias_Id,MATCH(S243,natKategorija_katRegId,0))="","",INDEX(natKategorija_alias_Id,MATCH(S243,natKategorija_katRegId,0)))</f>
        <v/>
      </c>
      <c r="EU243" s="47" t="s">
        <v>0</v>
      </c>
      <c r="EV243" s="19" t="str">
        <f t="shared" si="235"/>
        <v/>
      </c>
      <c r="EW243" s="47" t="s">
        <v>0</v>
      </c>
      <c r="EX243" s="19" t="str">
        <f t="shared" si="236"/>
        <v/>
      </c>
      <c r="EY243" s="47" t="s">
        <v>0</v>
      </c>
      <c r="EZ243" s="180" t="str">
        <f>AG243&amp;IF(CP243="","","
")&amp;CP243&amp;IF(CI243="","","
")&amp;CI243&amp;IF(DN243="","","
")&amp;DN243&amp;IF(DP243="","","
")&amp;DP243&amp;IF(EV243="","","
")&amp;EV243&amp;IF(EX243="","","
")&amp;EX243</f>
        <v/>
      </c>
      <c r="FA243" s="47" t="s">
        <v>0</v>
      </c>
    </row>
    <row r="244" spans="1:157" x14ac:dyDescent="0.25">
      <c r="A244" t="s">
        <v>0</v>
      </c>
      <c r="B244" s="52" t="str">
        <f>IF(csv!F234="","",csv!T234)</f>
        <v>Ž20</v>
      </c>
      <c r="C244" s="31" t="s">
        <v>0</v>
      </c>
      <c r="D244" s="31" t="str">
        <f>IF(csv!F234="","",csv!F234)</f>
        <v>Dorja</v>
      </c>
      <c r="E244" s="31" t="str">
        <f>IF(csv!E234="","",csv!E234)</f>
        <v>Salopek</v>
      </c>
      <c r="F244" s="31" t="s">
        <v>0</v>
      </c>
      <c r="G244" s="73" t="str">
        <f>IF(csv!M234="","",csv!M234)</f>
        <v>34:26</v>
      </c>
      <c r="H244" s="73" t="str">
        <f>IF(csv!N234="","",csv!N234)</f>
        <v>0</v>
      </c>
      <c r="I244" s="31" t="s">
        <v>0</v>
      </c>
      <c r="J244" s="31" t="str">
        <f>IF(csv!P234="","",csv!P234)</f>
        <v>RIS</v>
      </c>
      <c r="K244" s="31" t="str">
        <f>IF(csv!Q234="","",csv!Q234)</f>
        <v>OK Ris</v>
      </c>
      <c r="L244" s="31" t="s">
        <v>0</v>
      </c>
      <c r="M244" s="66" t="str">
        <f>IF(csv!R234="","",csv!R234)</f>
        <v>CRO</v>
      </c>
      <c r="N244" s="47" t="s">
        <v>0</v>
      </c>
      <c r="O244" s="243" t="str">
        <f t="shared" si="207"/>
        <v>ok</v>
      </c>
      <c r="P244" s="47"/>
      <c r="Q244" s="52" t="str">
        <f t="shared" si="208"/>
        <v>Ž20</v>
      </c>
      <c r="R244" s="73">
        <f>IF(Q244="","",IF(COUNTIF(Q$12:Q243,Q244)=0,R243+1,R243))</f>
        <v>16</v>
      </c>
      <c r="S244" s="73">
        <f t="shared" si="209"/>
        <v>119</v>
      </c>
      <c r="T244" s="73">
        <f t="shared" si="184"/>
        <v>28</v>
      </c>
      <c r="U244" s="66" t="str">
        <f t="shared" si="185"/>
        <v>Ž20</v>
      </c>
      <c r="V244" s="47" t="s">
        <v>0</v>
      </c>
      <c r="W244" s="222" t="str">
        <f t="shared" si="186"/>
        <v>Ž20</v>
      </c>
      <c r="X244" s="223">
        <f t="shared" si="187"/>
        <v>38</v>
      </c>
      <c r="Y244" s="47" t="s">
        <v>0</v>
      </c>
      <c r="Z244" s="52" t="str">
        <f t="shared" si="210"/>
        <v>CRO</v>
      </c>
      <c r="AA244" s="73">
        <f t="shared" si="188"/>
        <v>1</v>
      </c>
      <c r="AB244" s="31" t="str">
        <f t="shared" si="211"/>
        <v/>
      </c>
      <c r="AC244" s="66" t="str">
        <f>IF(AB244="","",MAX(AC$12:AC243)+1)</f>
        <v/>
      </c>
      <c r="AD244" s="47" t="s">
        <v>0</v>
      </c>
      <c r="AE244" s="125"/>
      <c r="AF244" s="47" t="s">
        <v>0</v>
      </c>
      <c r="AG244" s="19" t="str">
        <f t="shared" si="212"/>
        <v/>
      </c>
      <c r="AH244" s="47" t="s">
        <v>0</v>
      </c>
      <c r="AI244" s="143" t="str">
        <f t="shared" si="213"/>
        <v>CRO</v>
      </c>
      <c r="AJ244" s="47"/>
      <c r="AK244" s="52" t="str">
        <f t="shared" si="214"/>
        <v>Dorja</v>
      </c>
      <c r="AL244" s="31" t="str">
        <f t="shared" si="215"/>
        <v>Salopek</v>
      </c>
      <c r="AM244" s="73">
        <f t="shared" si="216"/>
        <v>1966</v>
      </c>
      <c r="AN244" s="73" t="str">
        <f t="shared" si="217"/>
        <v/>
      </c>
      <c r="AO244" s="31" t="str">
        <f t="shared" si="189"/>
        <v>Dorja</v>
      </c>
      <c r="AP244" s="66" t="str">
        <f t="shared" si="190"/>
        <v>Salopek</v>
      </c>
      <c r="AQ244" s="47" t="s">
        <v>0</v>
      </c>
      <c r="AR244" s="82" t="str">
        <f t="shared" si="218"/>
        <v/>
      </c>
      <c r="AS244" s="47" t="s">
        <v>0</v>
      </c>
      <c r="AT244" s="19" t="str">
        <f t="shared" si="219"/>
        <v/>
      </c>
      <c r="AU244" s="47" t="s">
        <v>0</v>
      </c>
      <c r="AV244" s="103"/>
      <c r="AW244" s="105"/>
      <c r="AX244" s="47" t="s">
        <v>0</v>
      </c>
      <c r="AY244" s="256" t="str">
        <f t="shared" si="237"/>
        <v/>
      </c>
      <c r="AZ244" s="47" t="s">
        <v>0</v>
      </c>
      <c r="BA244" s="52" t="str">
        <f t="shared" si="191"/>
        <v/>
      </c>
      <c r="BB244" s="73" t="str">
        <f>IF(AV244&amp;AW244="","",MAX(BB$12:BB243)+1)</f>
        <v/>
      </c>
      <c r="BC244" s="268" t="str">
        <f t="shared" si="192"/>
        <v/>
      </c>
      <c r="BD244" s="53" t="str">
        <f>IF(AND(AM244="NEMA",AN244="NEMA",OR(AV244&amp;AW244="",BC244="NEMA")),MAX(BD$12:BD243)+1,"")</f>
        <v/>
      </c>
      <c r="BE244" s="47" t="s">
        <v>0</v>
      </c>
      <c r="BF244" s="52" t="str">
        <f t="shared" si="193"/>
        <v>Dorja</v>
      </c>
      <c r="BG244" s="31" t="str">
        <f t="shared" si="194"/>
        <v>Salopek</v>
      </c>
      <c r="BH244" s="73" t="str">
        <f t="shared" si="220"/>
        <v/>
      </c>
      <c r="BI244" s="53">
        <f t="shared" si="221"/>
        <v>1966</v>
      </c>
      <c r="BJ244" s="47" t="s">
        <v>0</v>
      </c>
      <c r="BK244" s="52" t="str">
        <f t="shared" si="195"/>
        <v>RIS</v>
      </c>
      <c r="BL244" s="31" t="str">
        <f t="shared" si="196"/>
        <v>OK Ris</v>
      </c>
      <c r="BM244" s="73">
        <f t="shared" si="197"/>
        <v>9</v>
      </c>
      <c r="BN244" s="73" t="str">
        <f t="shared" si="198"/>
        <v/>
      </c>
      <c r="BO244" s="31" t="str" cm="1">
        <f t="array" ref="BO244">IF(BN244="",""&amp;BL244,IF(BN244="NEMA",BL244,INDEX(regKlub_naziv,MATCH(INDEX(regKlub_alias_klubId,BN244),regKlub_id,0))))</f>
        <v>OK Ris</v>
      </c>
      <c r="BP244" s="31" t="str" cm="1">
        <f t="array" ref="BP244">IFERROR(""&amp;INDEX(regNatjecatelj_klub,DY244),"")</f>
        <v>OK Ris</v>
      </c>
      <c r="BQ244" s="88" t="str">
        <f t="shared" si="222"/>
        <v/>
      </c>
      <c r="BR244" s="66" t="str">
        <f t="shared" si="223"/>
        <v>OK Ris</v>
      </c>
      <c r="BS244" s="47" t="s">
        <v>0</v>
      </c>
      <c r="BT244" s="82" t="str">
        <f>IF(BN244&lt;&gt;"NEMA","",IF(IFERROR(MATCH(BL244,BL$12:BL243,0),0)&lt;&gt;0,"",BL244))</f>
        <v/>
      </c>
      <c r="BU244" s="47" t="s">
        <v>0</v>
      </c>
      <c r="BV244" s="125"/>
      <c r="BW244" s="47" t="s">
        <v>0</v>
      </c>
      <c r="BX244" s="58" t="str">
        <f t="shared" si="224"/>
        <v/>
      </c>
      <c r="BY244" s="31" t="str">
        <f t="shared" si="225"/>
        <v/>
      </c>
      <c r="BZ244" s="31" t="str">
        <f>IF(BY244="","",MAX(BZ$12:BZ243)+1)</f>
        <v/>
      </c>
      <c r="CA244" s="31" t="str">
        <f>IF(BY244="","",IF(AA244="","",IF(AA244="NEMA",AC244,AA244)))</f>
        <v/>
      </c>
      <c r="CB244" s="31" t="str">
        <f t="shared" si="226"/>
        <v/>
      </c>
      <c r="CC244" s="31" t="str">
        <f>IF(BV244="","",MAX(CC$12:CC243)+1)</f>
        <v/>
      </c>
      <c r="CD244" s="31" t="str">
        <f t="shared" si="227"/>
        <v/>
      </c>
      <c r="CE244" s="66" t="str">
        <f t="shared" si="228"/>
        <v/>
      </c>
      <c r="CF244" s="47" t="s">
        <v>0</v>
      </c>
      <c r="CG244" s="73" t="str">
        <f>IF(BN244="","",IF(BN244&lt;&gt;"NEMA","",IFERROR(INDEX(nat_klubAliasId,MATCH(BL244,nat_noviKluboviAliasi,0)),"")))</f>
        <v/>
      </c>
      <c r="CH244" s="47"/>
      <c r="CI244" s="19" t="str">
        <f t="shared" si="229"/>
        <v/>
      </c>
      <c r="CJ244" s="47" t="s">
        <v>0</v>
      </c>
      <c r="CK244" s="52" t="str">
        <f>IF(X244&lt;&gt;"NEMA","",IF(IFERROR(MATCH(W244,W$12:W243,0),0)&lt;&gt;0,"",W244))</f>
        <v/>
      </c>
      <c r="CL244" s="73" t="str">
        <f>IF(CK244="","",IFERROR(INDEX(regKlub_alias_id,MATCH(CK244,regKlub_alias_alias,0)),"NEMA"))</f>
        <v/>
      </c>
      <c r="CM244" s="31" t="str">
        <f>IF(OR(CL244="",CL244&lt;&gt;"NEMA"),"",MAX(CM$12:CM243)+1)</f>
        <v/>
      </c>
      <c r="CN244" s="66" t="str">
        <f>IF(OR(CL244="",CL244&lt;&gt;"NEMA"),"",INDEX(regKlub_id,MATCH(CK244,regKlub_naziv,0)))</f>
        <v/>
      </c>
      <c r="CO244" s="47" t="s">
        <v>0</v>
      </c>
      <c r="CP244" s="19" t="str">
        <f>IF(OR(CL244="",CL244&lt;&gt;"NEMA"),"","INSERT INTO klub_alias(id,alias,klub_id) VALUES ("&amp;CM244&amp;",'"&amp;CK244&amp;"',"&amp;CN244&amp;");")</f>
        <v/>
      </c>
      <c r="CQ244" s="47" t="s">
        <v>0</v>
      </c>
      <c r="CR244" s="143" t="str">
        <f>IF(BR244="","",IF(BV244="",IF(IFERROR(MATCH(BR244,nat_noviKluboviAliasi,0),0)&gt;0,INDEX(nat_kluboviAliasi,MATCH(BR244,nat_noviKluboviAliasi,0)),BR244),BV244))</f>
        <v>OK Ris</v>
      </c>
      <c r="CS244" s="47" t="s">
        <v>0</v>
      </c>
      <c r="CT244" s="58" t="str">
        <f>IF(G244="","",G244)</f>
        <v>34:26</v>
      </c>
      <c r="CU244" s="73" t="str">
        <f>IF(H244="","",H244)</f>
        <v>0</v>
      </c>
      <c r="CV244" s="229" t="str">
        <f>IF(CT244="",IF(OR(AL244="",CU244&lt;&gt;"0"),"","GREŠKA"),IF(AND(65535&gt;=VALUE(LEFT(CT244,SEARCH(":",CT244)-1))*60+VALUE(RIGHT(CT244,2)),OR(CU244="0",CU244="1",CU244="2",CU244="3",CU244="4")),"","GREŠKA"))</f>
        <v/>
      </c>
      <c r="CW244" s="230">
        <f t="shared" si="183"/>
        <v>2066</v>
      </c>
      <c r="CX244" s="163">
        <f t="shared" si="199"/>
        <v>1</v>
      </c>
      <c r="CY244" s="47" t="s">
        <v>0</v>
      </c>
      <c r="CZ244" s="222" t="str">
        <f>IF(CV244&lt;&gt;"GREŠKA","",AK244&amp;" "&amp;AL244&amp;" – Molim u OEventu provjeriti i ispraviti rezultat – vrijeme ("&amp;IF(CT244="","nije upisano",CT244)&amp;") i classifier ("&amp;CU244&amp;").")&amp;IF(OR(CV244&lt;&gt;"GREŠKA",CX244&lt;&gt;5),"
","")&amp;IF(CX244&lt;&gt;5,"",AK244&amp;" "&amp;AL244&amp;" – Molim u provjeriti je li natjecatelj zaista diskvalificiran. Ako je koje je obrazloženje, ako nije molim u OEventu ispraviti rezultat")</f>
        <v xml:space="preserve">
</v>
      </c>
      <c r="DA244" s="223">
        <f t="shared" si="230"/>
        <v>6</v>
      </c>
      <c r="DB244" s="47" t="s">
        <v>0</v>
      </c>
      <c r="DC244" s="47"/>
      <c r="DD244" s="47"/>
      <c r="DE244" s="47"/>
      <c r="DF244" s="47" t="s">
        <v>0</v>
      </c>
      <c r="DG244" s="53" t="str">
        <f>IF(BD244="","",IF(DI244="O",1,""))</f>
        <v/>
      </c>
      <c r="DH244" t="s">
        <v>0</v>
      </c>
      <c r="DI244" s="128" t="str">
        <f>IF(Q244="","",LEFT(INDEX(regKategorija_oznaka,MATCH(S244,regKategorija_id,0)),1))</f>
        <v>Ž</v>
      </c>
      <c r="DJ244" t="s">
        <v>0</v>
      </c>
      <c r="DK244" s="52" t="str">
        <f>IF(BD244="","",IF(M244&lt;&gt;"CRO","","INSERT INTO osoba (id,reg_broj,oib,spol_id,dat_rodjenja) VALUES ("&amp;BD244&amp;",(SELECT max(os.reg_broj)+1 FROM osoba AS os),Null,'"&amp;DI244&amp;"',Null); INSERT INTO osoba_log (id,reg_broj,oib,spol_id,dat_rodjenja,dnevnik_id) SELECT id,reg_broj,oib,spol_id,dat_rodjenja,"&amp;data_dnevnik_id&amp;" FROM osoba WHERE id = "&amp;BD244&amp;";"))</f>
        <v/>
      </c>
      <c r="DL244" s="66" t="str">
        <f>IF(BD244="","","INSERT INTO imeprezime (id,osoba_id,rbr,ime,prezime,klub_id,identitet_id,sintaksa_id,info,aktivno,dnevnik_id) VALUES ("&amp;BD244&amp;","&amp;IF(DK244="","Null",BD244)&amp;",1,'"&amp;IF(AV244&lt;&gt;"",AV244,AK244)&amp;"','"&amp;IF(AW244&lt;&gt;"",AW244,AL244)&amp;"',(SELECT id FROM klub WHERE naziv = '"&amp;CR244&amp;"'),Null,1,'',1,"&amp;data_dnevnik_id&amp;");")</f>
        <v/>
      </c>
      <c r="DM244" t="s">
        <v>0</v>
      </c>
      <c r="DN244" s="19" t="str">
        <f t="shared" si="238"/>
        <v/>
      </c>
      <c r="DO244" s="47" t="s">
        <v>0</v>
      </c>
      <c r="DP244" s="19" t="str">
        <f>IF(BA244="","","INSERT INTO imeprezime_alias(id,alias,imeprezime_id) VALUES ("&amp;BB244&amp;",'"&amp;BA244&amp;"',"&amp;IF(BC244="NEMA",BD244,BC244)&amp;");")</f>
        <v/>
      </c>
      <c r="DQ244" s="47" t="s">
        <v>0</v>
      </c>
      <c r="DR244" s="52" t="str">
        <f>IF(AL244="","",DU244 &amp; IF(Q244="",""," – " &amp; Q244))</f>
        <v>Dorja – Salopek – OK Ris – Ž20</v>
      </c>
      <c r="DS244" s="53" t="str">
        <f t="shared" si="200"/>
        <v>NEMA</v>
      </c>
      <c r="DT244" s="47" t="s">
        <v>0</v>
      </c>
      <c r="DU244" s="52" t="str">
        <f>IF(AL244="","",DX244 &amp; IF(CR244="",""," – " &amp; CR244))</f>
        <v>Dorja – Salopek – OK Ris</v>
      </c>
      <c r="DV244" s="53">
        <f t="shared" si="201"/>
        <v>451</v>
      </c>
      <c r="DW244" s="47" t="s">
        <v>0</v>
      </c>
      <c r="DX244" s="52" t="str">
        <f>IF(BG244="","",BF244&amp;" – "&amp;BG244)</f>
        <v>Dorja – Salopek</v>
      </c>
      <c r="DY244" s="53">
        <f t="shared" si="202"/>
        <v>451</v>
      </c>
      <c r="DZ244" s="47" t="s">
        <v>0</v>
      </c>
      <c r="EA244" s="58">
        <f t="shared" si="231"/>
        <v>451</v>
      </c>
      <c r="EB244" s="53" cm="1">
        <f t="array" ref="EB244">IF(EA244&lt;&gt;"",INDEX(regNatjecatelj_id,EA244,0),IF(BD244&lt;&gt;"",BD244,""))</f>
        <v>1966</v>
      </c>
      <c r="EC244" s="47" t="s">
        <v>0</v>
      </c>
      <c r="ED244" s="58" t="str">
        <f>IF(AL244="","",IF(BD244&lt;&gt;"","novo",IF(AN244="","imepre","imepre(ali)")))</f>
        <v>imepre</v>
      </c>
      <c r="EE244" s="73" t="str">
        <f>IF(AL244="","",IF(BL244="",IF(IFERROR(INDEX(regNatjecatelj_klub,MATCH(EB244,regNatjecatelj_id,0)),"NEMA")="","klu",""),IF(OR(AND(BN244&lt;&gt;"",BN244&lt;&gt;"NEMA"),CD244&lt;&gt;""),"klu(ali)",IF(AND(BP244&lt;&gt;"",BP244&lt;&gt;BO244),"(raz-klu)","klu"))))</f>
        <v>klu</v>
      </c>
      <c r="EF244" s="73" t="str">
        <f>IF(AL244="","","kat"&amp;IF(AND(W244&lt;&gt;Q244,Q244&lt;&gt;"Open"),"(ali)",""))</f>
        <v>kat</v>
      </c>
      <c r="EG244" s="73" t="str">
        <f t="shared" si="203"/>
        <v/>
      </c>
      <c r="EH244" s="66" t="str">
        <f>IF(AL244="","",ED244&amp;IF(ED244="novo","","-"&amp;EE244&amp;"-"&amp;EF244)&amp;IF(EG244="","","-"&amp;EG244))</f>
        <v>imepre-klu-kat</v>
      </c>
      <c r="EI244" s="47" t="s">
        <v>0</v>
      </c>
      <c r="EJ244" s="58">
        <f>IF(AL244="","",MAX(EJ$12:EJ243)+1)</f>
        <v>399</v>
      </c>
      <c r="EK244" s="73">
        <f>IF(AO244="","",X244)</f>
        <v>38</v>
      </c>
      <c r="EL244" s="73">
        <f t="shared" si="232"/>
        <v>1966</v>
      </c>
      <c r="EM244" s="73">
        <f t="shared" si="204"/>
        <v>2066</v>
      </c>
      <c r="EN244" s="73">
        <f t="shared" si="205"/>
        <v>1</v>
      </c>
      <c r="EO244" s="73">
        <f t="shared" si="233"/>
        <v>0</v>
      </c>
      <c r="EP244" s="73">
        <f t="shared" si="234"/>
        <v>1</v>
      </c>
      <c r="EQ244" s="73" t="str">
        <f t="shared" si="206"/>
        <v>0</v>
      </c>
      <c r="ER244" s="73" t="str">
        <f>IF(OR(AN244="",AN244="NEMA"),BB244,AN244)</f>
        <v/>
      </c>
      <c r="ES244" s="73" t="str">
        <f>IF(AND(BN244&lt;&gt;"",BN244&lt;&gt;"NEMA"),BN244,IF(CG244&lt;&gt;"",CG244,IF(AND(CL244&lt;&gt;"",CL244&lt;&gt;"NEMA"),CL244,IF(CM244&lt;&gt;"",CM244,""))))</f>
        <v/>
      </c>
      <c r="ET244" s="53" t="str">
        <f>IF(INDEX(natKategorija_alias_Id,MATCH(S244,natKategorija_katRegId,0))="","",INDEX(natKategorija_alias_Id,MATCH(S244,natKategorija_katRegId,0)))</f>
        <v/>
      </c>
      <c r="EU244" s="47" t="s">
        <v>0</v>
      </c>
      <c r="EV244" s="19" t="str">
        <f t="shared" si="235"/>
        <v>INSERT INTO rezultat(id,stazakategorija_id,imeprezime_id,vrijeme_sec,status_id,registracija,uparivanje_id,originalstatus_id,imeprezimealias_id,klubalias_id,kategorijaalias_id) VALUES (399,38,1966,2066,1,0,1,0,Null,Null,Null);</v>
      </c>
      <c r="EW244" s="47" t="s">
        <v>0</v>
      </c>
      <c r="EX244" s="19" t="str">
        <f t="shared" si="236"/>
        <v/>
      </c>
      <c r="EY244" s="47" t="s">
        <v>0</v>
      </c>
      <c r="EZ244" s="180" t="str">
        <f>AG244&amp;IF(CP244="","","
")&amp;CP244&amp;IF(CI244="","","
")&amp;CI244&amp;IF(DN244="","","
")&amp;DN244&amp;IF(DP244="","","
")&amp;DP244&amp;IF(EV244="","","
")&amp;EV244&amp;IF(EX244="","","
")&amp;EX244</f>
        <v xml:space="preserve">
INSERT INTO rezultat(id,stazakategorija_id,imeprezime_id,vrijeme_sec,status_id,registracija,uparivanje_id,originalstatus_id,imeprezimealias_id,klubalias_id,kategorijaalias_id) VALUES (399,38,1966,2066,1,0,1,0,Null,Null,Null);</v>
      </c>
      <c r="FA244" s="47" t="s">
        <v>0</v>
      </c>
    </row>
    <row r="245" spans="1:157" x14ac:dyDescent="0.25">
      <c r="A245" t="s">
        <v>0</v>
      </c>
      <c r="B245" s="52" t="str">
        <f>IF(csv!F235="","",csv!T235)</f>
        <v>Ž20</v>
      </c>
      <c r="C245" s="31" t="s">
        <v>0</v>
      </c>
      <c r="D245" s="31" t="str">
        <f>IF(csv!F235="","",csv!F235)</f>
        <v>Zdenka Petra</v>
      </c>
      <c r="E245" s="31" t="str">
        <f>IF(csv!E235="","",csv!E235)</f>
        <v>Štambuk</v>
      </c>
      <c r="F245" s="31" t="s">
        <v>0</v>
      </c>
      <c r="G245" s="73" t="str">
        <f>IF(csv!M235="","",csv!M235)</f>
        <v>39:50</v>
      </c>
      <c r="H245" s="73" t="str">
        <f>IF(csv!N235="","",csv!N235)</f>
        <v>0</v>
      </c>
      <c r="I245" s="31" t="s">
        <v>0</v>
      </c>
      <c r="J245" s="31" t="str">
        <f>IF(csv!P235="","",csv!P235)</f>
        <v>OK MERZ CRO</v>
      </c>
      <c r="K245" s="31" t="str">
        <f>IF(csv!Q235="","",csv!Q235)</f>
        <v>OK Ivan Merz</v>
      </c>
      <c r="L245" s="31" t="s">
        <v>0</v>
      </c>
      <c r="M245" s="66" t="str">
        <f>IF(csv!R235="","",csv!R235)</f>
        <v>CRO</v>
      </c>
      <c r="N245" s="47" t="s">
        <v>0</v>
      </c>
      <c r="O245" s="243" t="str">
        <f t="shared" si="207"/>
        <v>ok</v>
      </c>
      <c r="P245" s="47"/>
      <c r="Q245" s="52" t="str">
        <f t="shared" si="208"/>
        <v>Ž20</v>
      </c>
      <c r="R245" s="73">
        <f>IF(Q245="","",IF(COUNTIF(Q$12:Q244,Q245)=0,R244+1,R244))</f>
        <v>16</v>
      </c>
      <c r="S245" s="73">
        <f t="shared" si="209"/>
        <v>119</v>
      </c>
      <c r="T245" s="73">
        <f t="shared" si="184"/>
        <v>28</v>
      </c>
      <c r="U245" s="66" t="str">
        <f t="shared" si="185"/>
        <v>Ž20</v>
      </c>
      <c r="V245" s="47" t="s">
        <v>0</v>
      </c>
      <c r="W245" s="222" t="str">
        <f t="shared" si="186"/>
        <v>Ž20</v>
      </c>
      <c r="X245" s="223">
        <f t="shared" si="187"/>
        <v>38</v>
      </c>
      <c r="Y245" s="47" t="s">
        <v>0</v>
      </c>
      <c r="Z245" s="52" t="str">
        <f t="shared" si="210"/>
        <v>CRO</v>
      </c>
      <c r="AA245" s="73">
        <f t="shared" si="188"/>
        <v>1</v>
      </c>
      <c r="AB245" s="31" t="str">
        <f t="shared" si="211"/>
        <v/>
      </c>
      <c r="AC245" s="66" t="str">
        <f>IF(AB245="","",MAX(AC$12:AC244)+1)</f>
        <v/>
      </c>
      <c r="AD245" s="47" t="s">
        <v>0</v>
      </c>
      <c r="AE245" s="125"/>
      <c r="AF245" s="47" t="s">
        <v>0</v>
      </c>
      <c r="AG245" s="19" t="str">
        <f t="shared" si="212"/>
        <v/>
      </c>
      <c r="AH245" s="47" t="s">
        <v>0</v>
      </c>
      <c r="AI245" s="143" t="str">
        <f t="shared" si="213"/>
        <v>CRO</v>
      </c>
      <c r="AJ245" s="47"/>
      <c r="AK245" s="52" t="str">
        <f t="shared" si="214"/>
        <v>Zdenka Petra</v>
      </c>
      <c r="AL245" s="31" t="str">
        <f t="shared" si="215"/>
        <v>Štambuk</v>
      </c>
      <c r="AM245" s="73">
        <f t="shared" si="216"/>
        <v>1424</v>
      </c>
      <c r="AN245" s="73" t="str">
        <f t="shared" si="217"/>
        <v/>
      </c>
      <c r="AO245" s="31" t="str">
        <f t="shared" si="189"/>
        <v>Zdenka Petra</v>
      </c>
      <c r="AP245" s="66" t="str">
        <f t="shared" si="190"/>
        <v>Štambuk</v>
      </c>
      <c r="AQ245" s="47" t="s">
        <v>0</v>
      </c>
      <c r="AR245" s="82" t="str">
        <f t="shared" si="218"/>
        <v/>
      </c>
      <c r="AS245" s="47" t="s">
        <v>0</v>
      </c>
      <c r="AT245" s="19" t="str">
        <f t="shared" si="219"/>
        <v/>
      </c>
      <c r="AU245" s="47" t="s">
        <v>0</v>
      </c>
      <c r="AV245" s="103"/>
      <c r="AW245" s="105"/>
      <c r="AX245" s="47" t="s">
        <v>0</v>
      </c>
      <c r="AY245" s="256" t="str">
        <f t="shared" si="237"/>
        <v/>
      </c>
      <c r="AZ245" s="47" t="s">
        <v>0</v>
      </c>
      <c r="BA245" s="52" t="str">
        <f t="shared" si="191"/>
        <v/>
      </c>
      <c r="BB245" s="73" t="str">
        <f>IF(AV245&amp;AW245="","",MAX(BB$12:BB244)+1)</f>
        <v/>
      </c>
      <c r="BC245" s="268" t="str">
        <f t="shared" si="192"/>
        <v/>
      </c>
      <c r="BD245" s="53" t="str">
        <f>IF(AND(AM245="NEMA",AN245="NEMA",OR(AV245&amp;AW245="",BC245="NEMA")),MAX(BD$12:BD244)+1,"")</f>
        <v/>
      </c>
      <c r="BE245" s="47" t="s">
        <v>0</v>
      </c>
      <c r="BF245" s="52" t="str">
        <f t="shared" si="193"/>
        <v>Zdenka Petra</v>
      </c>
      <c r="BG245" s="31" t="str">
        <f t="shared" si="194"/>
        <v>Štambuk</v>
      </c>
      <c r="BH245" s="73" t="str">
        <f t="shared" si="220"/>
        <v/>
      </c>
      <c r="BI245" s="53">
        <f t="shared" si="221"/>
        <v>1424</v>
      </c>
      <c r="BJ245" s="47" t="s">
        <v>0</v>
      </c>
      <c r="BK245" s="52" t="str">
        <f t="shared" si="195"/>
        <v>OK MERZ CRO</v>
      </c>
      <c r="BL245" s="31" t="str">
        <f t="shared" si="196"/>
        <v>OK Ivan Merz</v>
      </c>
      <c r="BM245" s="73">
        <f t="shared" si="197"/>
        <v>2</v>
      </c>
      <c r="BN245" s="73" t="str">
        <f t="shared" si="198"/>
        <v/>
      </c>
      <c r="BO245" s="31" t="str" cm="1">
        <f t="array" ref="BO245">IF(BN245="",""&amp;BL245,IF(BN245="NEMA",BL245,INDEX(regKlub_naziv,MATCH(INDEX(regKlub_alias_klubId,BN245),regKlub_id,0))))</f>
        <v>OK Ivan Merz</v>
      </c>
      <c r="BP245" s="31" t="str" cm="1">
        <f t="array" ref="BP245">IFERROR(""&amp;INDEX(regNatjecatelj_klub,DY245),"")</f>
        <v>OK Ivan Merz</v>
      </c>
      <c r="BQ245" s="88" t="str">
        <f t="shared" si="222"/>
        <v/>
      </c>
      <c r="BR245" s="66" t="str">
        <f t="shared" si="223"/>
        <v>OK Ivan Merz</v>
      </c>
      <c r="BS245" s="47" t="s">
        <v>0</v>
      </c>
      <c r="BT245" s="82" t="str">
        <f>IF(BN245&lt;&gt;"NEMA","",IF(IFERROR(MATCH(BL245,BL$12:BL244,0),0)&lt;&gt;0,"",BL245))</f>
        <v/>
      </c>
      <c r="BU245" s="47" t="s">
        <v>0</v>
      </c>
      <c r="BV245" s="125"/>
      <c r="BW245" s="47" t="s">
        <v>0</v>
      </c>
      <c r="BX245" s="58" t="str">
        <f t="shared" si="224"/>
        <v/>
      </c>
      <c r="BY245" s="31" t="str">
        <f t="shared" si="225"/>
        <v/>
      </c>
      <c r="BZ245" s="31" t="str">
        <f>IF(BY245="","",MAX(BZ$12:BZ244)+1)</f>
        <v/>
      </c>
      <c r="CA245" s="31" t="str">
        <f>IF(BY245="","",IF(AA245="","",IF(AA245="NEMA",AC245,AA245)))</f>
        <v/>
      </c>
      <c r="CB245" s="31" t="str">
        <f t="shared" si="226"/>
        <v/>
      </c>
      <c r="CC245" s="31" t="str">
        <f>IF(BV245="","",MAX(CC$12:CC244)+1)</f>
        <v/>
      </c>
      <c r="CD245" s="31" t="str">
        <f t="shared" si="227"/>
        <v/>
      </c>
      <c r="CE245" s="66" t="str">
        <f t="shared" si="228"/>
        <v/>
      </c>
      <c r="CF245" s="47" t="s">
        <v>0</v>
      </c>
      <c r="CG245" s="73" t="str">
        <f>IF(BN245="","",IF(BN245&lt;&gt;"NEMA","",IFERROR(INDEX(nat_klubAliasId,MATCH(BL245,nat_noviKluboviAliasi,0)),"")))</f>
        <v/>
      </c>
      <c r="CH245" s="47"/>
      <c r="CI245" s="19" t="str">
        <f t="shared" si="229"/>
        <v/>
      </c>
      <c r="CJ245" s="47" t="s">
        <v>0</v>
      </c>
      <c r="CK245" s="52" t="str">
        <f>IF(X245&lt;&gt;"NEMA","",IF(IFERROR(MATCH(W245,W$12:W244,0),0)&lt;&gt;0,"",W245))</f>
        <v/>
      </c>
      <c r="CL245" s="73" t="str">
        <f>IF(CK245="","",IFERROR(INDEX(regKlub_alias_id,MATCH(CK245,regKlub_alias_alias,0)),"NEMA"))</f>
        <v/>
      </c>
      <c r="CM245" s="31" t="str">
        <f>IF(OR(CL245="",CL245&lt;&gt;"NEMA"),"",MAX(CM$12:CM244)+1)</f>
        <v/>
      </c>
      <c r="CN245" s="66" t="str">
        <f>IF(OR(CL245="",CL245&lt;&gt;"NEMA"),"",INDEX(regKlub_id,MATCH(CK245,regKlub_naziv,0)))</f>
        <v/>
      </c>
      <c r="CO245" s="47" t="s">
        <v>0</v>
      </c>
      <c r="CP245" s="19" t="str">
        <f>IF(OR(CL245="",CL245&lt;&gt;"NEMA"),"","INSERT INTO klub_alias(id,alias,klub_id) VALUES ("&amp;CM245&amp;",'"&amp;CK245&amp;"',"&amp;CN245&amp;");")</f>
        <v/>
      </c>
      <c r="CQ245" s="47" t="s">
        <v>0</v>
      </c>
      <c r="CR245" s="143" t="str">
        <f>IF(BR245="","",IF(BV245="",IF(IFERROR(MATCH(BR245,nat_noviKluboviAliasi,0),0)&gt;0,INDEX(nat_kluboviAliasi,MATCH(BR245,nat_noviKluboviAliasi,0)),BR245),BV245))</f>
        <v>OK Ivan Merz</v>
      </c>
      <c r="CS245" s="47" t="s">
        <v>0</v>
      </c>
      <c r="CT245" s="58" t="str">
        <f>IF(G245="","",G245)</f>
        <v>39:50</v>
      </c>
      <c r="CU245" s="73" t="str">
        <f>IF(H245="","",H245)</f>
        <v>0</v>
      </c>
      <c r="CV245" s="229" t="str">
        <f>IF(CT245="",IF(OR(AL245="",CU245&lt;&gt;"0"),"","GREŠKA"),IF(AND(65535&gt;=VALUE(LEFT(CT245,SEARCH(":",CT245)-1))*60+VALUE(RIGHT(CT245,2)),OR(CU245="0",CU245="1",CU245="2",CU245="3",CU245="4")),"","GREŠKA"))</f>
        <v/>
      </c>
      <c r="CW245" s="230">
        <f t="shared" si="183"/>
        <v>2390</v>
      </c>
      <c r="CX245" s="163">
        <f t="shared" si="199"/>
        <v>1</v>
      </c>
      <c r="CY245" s="47" t="s">
        <v>0</v>
      </c>
      <c r="CZ245" s="222" t="str">
        <f>IF(CV245&lt;&gt;"GREŠKA","",AK245&amp;" "&amp;AL245&amp;" – Molim u OEventu provjeriti i ispraviti rezultat – vrijeme ("&amp;IF(CT245="","nije upisano",CT245)&amp;") i classifier ("&amp;CU245&amp;").")&amp;IF(OR(CV245&lt;&gt;"GREŠKA",CX245&lt;&gt;5),"
","")&amp;IF(CX245&lt;&gt;5,"",AK245&amp;" "&amp;AL245&amp;" – Molim u provjeriti je li natjecatelj zaista diskvalificiran. Ako je koje je obrazloženje, ako nije molim u OEventu ispraviti rezultat")</f>
        <v xml:space="preserve">
</v>
      </c>
      <c r="DA245" s="223">
        <f t="shared" si="230"/>
        <v>6</v>
      </c>
      <c r="DB245" s="47" t="s">
        <v>0</v>
      </c>
      <c r="DC245" s="47"/>
      <c r="DD245" s="47"/>
      <c r="DE245" s="47"/>
      <c r="DF245" s="47" t="s">
        <v>0</v>
      </c>
      <c r="DG245" s="53" t="str">
        <f>IF(BD245="","",IF(DI245="O",1,""))</f>
        <v/>
      </c>
      <c r="DH245" t="s">
        <v>0</v>
      </c>
      <c r="DI245" s="128" t="str">
        <f>IF(Q245="","",LEFT(INDEX(regKategorija_oznaka,MATCH(S245,regKategorija_id,0)),1))</f>
        <v>Ž</v>
      </c>
      <c r="DJ245" t="s">
        <v>0</v>
      </c>
      <c r="DK245" s="52" t="str">
        <f>IF(BD245="","",IF(M245&lt;&gt;"CRO","","INSERT INTO osoba (id,reg_broj,oib,spol_id,dat_rodjenja) VALUES ("&amp;BD245&amp;",(SELECT max(os.reg_broj)+1 FROM osoba AS os),Null,'"&amp;DI245&amp;"',Null); INSERT INTO osoba_log (id,reg_broj,oib,spol_id,dat_rodjenja,dnevnik_id) SELECT id,reg_broj,oib,spol_id,dat_rodjenja,"&amp;data_dnevnik_id&amp;" FROM osoba WHERE id = "&amp;BD245&amp;";"))</f>
        <v/>
      </c>
      <c r="DL245" s="66" t="str">
        <f>IF(BD245="","","INSERT INTO imeprezime (id,osoba_id,rbr,ime,prezime,klub_id,identitet_id,sintaksa_id,info,aktivno,dnevnik_id) VALUES ("&amp;BD245&amp;","&amp;IF(DK245="","Null",BD245)&amp;",1,'"&amp;IF(AV245&lt;&gt;"",AV245,AK245)&amp;"','"&amp;IF(AW245&lt;&gt;"",AW245,AL245)&amp;"',(SELECT id FROM klub WHERE naziv = '"&amp;CR245&amp;"'),Null,1,'',1,"&amp;data_dnevnik_id&amp;");")</f>
        <v/>
      </c>
      <c r="DM245" t="s">
        <v>0</v>
      </c>
      <c r="DN245" s="19" t="str">
        <f t="shared" si="238"/>
        <v/>
      </c>
      <c r="DO245" s="47" t="s">
        <v>0</v>
      </c>
      <c r="DP245" s="19" t="str">
        <f>IF(BA245="","","INSERT INTO imeprezime_alias(id,alias,imeprezime_id) VALUES ("&amp;BB245&amp;",'"&amp;BA245&amp;"',"&amp;IF(BC245="NEMA",BD245,BC245)&amp;");")</f>
        <v/>
      </c>
      <c r="DQ245" s="47" t="s">
        <v>0</v>
      </c>
      <c r="DR245" s="52" t="str">
        <f>IF(AL245="","",DU245 &amp; IF(Q245="",""," – " &amp; Q245))</f>
        <v>Zdenka Petra – Štambuk – OK Ivan Merz – Ž20</v>
      </c>
      <c r="DS245" s="53">
        <f t="shared" si="200"/>
        <v>71</v>
      </c>
      <c r="DT245" s="47" t="s">
        <v>0</v>
      </c>
      <c r="DU245" s="52" t="str">
        <f>IF(AL245="","",DX245 &amp; IF(CR245="",""," – " &amp; CR245))</f>
        <v>Zdenka Petra – Štambuk – OK Ivan Merz</v>
      </c>
      <c r="DV245" s="53">
        <f t="shared" si="201"/>
        <v>71</v>
      </c>
      <c r="DW245" s="47" t="s">
        <v>0</v>
      </c>
      <c r="DX245" s="52" t="str">
        <f>IF(BG245="","",BF245&amp;" – "&amp;BG245)</f>
        <v>Zdenka Petra – Štambuk</v>
      </c>
      <c r="DY245" s="53">
        <f t="shared" si="202"/>
        <v>71</v>
      </c>
      <c r="DZ245" s="47" t="s">
        <v>0</v>
      </c>
      <c r="EA245" s="58">
        <f t="shared" si="231"/>
        <v>71</v>
      </c>
      <c r="EB245" s="53" cm="1">
        <f t="array" ref="EB245">IF(EA245&lt;&gt;"",INDEX(regNatjecatelj_id,EA245,0),IF(BD245&lt;&gt;"",BD245,""))</f>
        <v>1424</v>
      </c>
      <c r="EC245" s="47" t="s">
        <v>0</v>
      </c>
      <c r="ED245" s="58" t="str">
        <f>IF(AL245="","",IF(BD245&lt;&gt;"","novo",IF(AN245="","imepre","imepre(ali)")))</f>
        <v>imepre</v>
      </c>
      <c r="EE245" s="73" t="str">
        <f>IF(AL245="","",IF(BL245="",IF(IFERROR(INDEX(regNatjecatelj_klub,MATCH(EB245,regNatjecatelj_id,0)),"NEMA")="","klu",""),IF(OR(AND(BN245&lt;&gt;"",BN245&lt;&gt;"NEMA"),CD245&lt;&gt;""),"klu(ali)",IF(AND(BP245&lt;&gt;"",BP245&lt;&gt;BO245),"(raz-klu)","klu"))))</f>
        <v>klu</v>
      </c>
      <c r="EF245" s="73" t="str">
        <f>IF(AL245="","","kat"&amp;IF(AND(W245&lt;&gt;Q245,Q245&lt;&gt;"Open"),"(ali)",""))</f>
        <v>kat</v>
      </c>
      <c r="EG245" s="73" t="str">
        <f t="shared" si="203"/>
        <v/>
      </c>
      <c r="EH245" s="66" t="str">
        <f>IF(AL245="","",ED245&amp;IF(ED245="novo","","-"&amp;EE245&amp;"-"&amp;EF245)&amp;IF(EG245="","","-"&amp;EG245))</f>
        <v>imepre-klu-kat</v>
      </c>
      <c r="EI245" s="47" t="s">
        <v>0</v>
      </c>
      <c r="EJ245" s="58">
        <f>IF(AL245="","",MAX(EJ$12:EJ244)+1)</f>
        <v>400</v>
      </c>
      <c r="EK245" s="73">
        <f>IF(AO245="","",X245)</f>
        <v>38</v>
      </c>
      <c r="EL245" s="73">
        <f t="shared" si="232"/>
        <v>1424</v>
      </c>
      <c r="EM245" s="73">
        <f t="shared" si="204"/>
        <v>2390</v>
      </c>
      <c r="EN245" s="73">
        <f t="shared" si="205"/>
        <v>1</v>
      </c>
      <c r="EO245" s="73">
        <f t="shared" si="233"/>
        <v>1</v>
      </c>
      <c r="EP245" s="73">
        <f t="shared" si="234"/>
        <v>1</v>
      </c>
      <c r="EQ245" s="73" t="str">
        <f t="shared" si="206"/>
        <v>0</v>
      </c>
      <c r="ER245" s="73" t="str">
        <f>IF(OR(AN245="",AN245="NEMA"),BB245,AN245)</f>
        <v/>
      </c>
      <c r="ES245" s="73" t="str">
        <f>IF(AND(BN245&lt;&gt;"",BN245&lt;&gt;"NEMA"),BN245,IF(CG245&lt;&gt;"",CG245,IF(AND(CL245&lt;&gt;"",CL245&lt;&gt;"NEMA"),CL245,IF(CM245&lt;&gt;"",CM245,""))))</f>
        <v/>
      </c>
      <c r="ET245" s="53" t="str">
        <f>IF(INDEX(natKategorija_alias_Id,MATCH(S245,natKategorija_katRegId,0))="","",INDEX(natKategorija_alias_Id,MATCH(S245,natKategorija_katRegId,0)))</f>
        <v/>
      </c>
      <c r="EU245" s="47" t="s">
        <v>0</v>
      </c>
      <c r="EV245" s="19" t="str">
        <f t="shared" si="235"/>
        <v>INSERT INTO rezultat(id,stazakategorija_id,imeprezime_id,vrijeme_sec,status_id,registracija,uparivanje_id,originalstatus_id,imeprezimealias_id,klubalias_id,kategorijaalias_id) VALUES (400,38,1424,2390,1,1,1,0,Null,Null,Null);</v>
      </c>
      <c r="EW245" s="47" t="s">
        <v>0</v>
      </c>
      <c r="EX245" s="19" t="str">
        <f t="shared" si="236"/>
        <v>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Y245" s="47" t="s">
        <v>0</v>
      </c>
      <c r="EZ245" s="180" t="str">
        <f>AG245&amp;IF(CP245="","","
")&amp;CP245&amp;IF(CI245="","","
")&amp;CI245&amp;IF(DN245="","","
")&amp;DN245&amp;IF(DP245="","","
")&amp;DP245&amp;IF(EV245="","","
")&amp;EV245&amp;IF(EX245="","","
")&amp;EX245</f>
        <v xml:space="preserve">
INSERT INTO rezultat(id,stazakategorija_id,imeprezime_id,vrijeme_sec,status_id,registracija,uparivanje_id,originalstatus_id,imeprezimealias_id,klubalias_id,kategorijaalias_id) VALUES (400,38,1424,2390,1,1,1,0,Null,Null,Null);
UPDATE
	registar
SET
	potvrda = 1
WHERE
	imeprezime_id=1424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FA245" s="47" t="s">
        <v>0</v>
      </c>
    </row>
    <row r="246" spans="1:157" x14ac:dyDescent="0.25">
      <c r="A246" t="s">
        <v>0</v>
      </c>
      <c r="B246" s="52" t="str">
        <f>IF(csv!F236="","",csv!T236)</f>
        <v>Ž20</v>
      </c>
      <c r="C246" s="31" t="s">
        <v>0</v>
      </c>
      <c r="D246" s="31" t="str">
        <f>IF(csv!F236="","",csv!F236)</f>
        <v>Paula</v>
      </c>
      <c r="E246" s="31" t="str">
        <f>IF(csv!E236="","",csv!E236)</f>
        <v>Pavlin</v>
      </c>
      <c r="F246" s="31" t="s">
        <v>0</v>
      </c>
      <c r="G246" s="73" t="str">
        <f>IF(csv!M236="","",csv!M236)</f>
        <v>47:34</v>
      </c>
      <c r="H246" s="73" t="str">
        <f>IF(csv!N236="","",csv!N236)</f>
        <v>0</v>
      </c>
      <c r="I246" s="31" t="s">
        <v>0</v>
      </c>
      <c r="J246" s="31" t="str">
        <f>IF(csv!P236="","",csv!P236)</f>
        <v>Vihor</v>
      </c>
      <c r="K246" s="31" t="str">
        <f>IF(csv!Q236="","",csv!Q236)</f>
        <v>OK Vihor</v>
      </c>
      <c r="L246" s="31" t="s">
        <v>0</v>
      </c>
      <c r="M246" s="66" t="str">
        <f>IF(csv!R236="","",csv!R236)</f>
        <v>CRO</v>
      </c>
      <c r="N246" s="47" t="s">
        <v>0</v>
      </c>
      <c r="O246" s="243" t="str">
        <f t="shared" si="207"/>
        <v>ok</v>
      </c>
      <c r="P246" s="47"/>
      <c r="Q246" s="52" t="str">
        <f t="shared" si="208"/>
        <v>Ž20</v>
      </c>
      <c r="R246" s="73">
        <f>IF(Q246="","",IF(COUNTIF(Q$12:Q245,Q246)=0,R245+1,R245))</f>
        <v>16</v>
      </c>
      <c r="S246" s="73">
        <f t="shared" si="209"/>
        <v>119</v>
      </c>
      <c r="T246" s="73">
        <f t="shared" si="184"/>
        <v>28</v>
      </c>
      <c r="U246" s="66" t="str">
        <f t="shared" si="185"/>
        <v>Ž20</v>
      </c>
      <c r="V246" s="47" t="s">
        <v>0</v>
      </c>
      <c r="W246" s="222" t="str">
        <f t="shared" si="186"/>
        <v>Ž20</v>
      </c>
      <c r="X246" s="223">
        <f t="shared" si="187"/>
        <v>38</v>
      </c>
      <c r="Y246" s="47" t="s">
        <v>0</v>
      </c>
      <c r="Z246" s="52" t="str">
        <f t="shared" si="210"/>
        <v>CRO</v>
      </c>
      <c r="AA246" s="73">
        <f t="shared" si="188"/>
        <v>1</v>
      </c>
      <c r="AB246" s="31" t="str">
        <f t="shared" si="211"/>
        <v/>
      </c>
      <c r="AC246" s="66" t="str">
        <f>IF(AB246="","",MAX(AC$12:AC245)+1)</f>
        <v/>
      </c>
      <c r="AD246" s="47" t="s">
        <v>0</v>
      </c>
      <c r="AE246" s="125"/>
      <c r="AF246" s="47" t="s">
        <v>0</v>
      </c>
      <c r="AG246" s="19" t="str">
        <f t="shared" si="212"/>
        <v/>
      </c>
      <c r="AH246" s="47" t="s">
        <v>0</v>
      </c>
      <c r="AI246" s="143" t="str">
        <f t="shared" si="213"/>
        <v>CRO</v>
      </c>
      <c r="AJ246" s="47"/>
      <c r="AK246" s="52" t="str">
        <f t="shared" si="214"/>
        <v>Paula</v>
      </c>
      <c r="AL246" s="31" t="str">
        <f t="shared" si="215"/>
        <v>Pavlin</v>
      </c>
      <c r="AM246" s="73">
        <f t="shared" si="216"/>
        <v>1431</v>
      </c>
      <c r="AN246" s="73" t="str">
        <f t="shared" si="217"/>
        <v/>
      </c>
      <c r="AO246" s="31" t="str">
        <f t="shared" si="189"/>
        <v>Paula</v>
      </c>
      <c r="AP246" s="66" t="str">
        <f t="shared" si="190"/>
        <v>Pavlin</v>
      </c>
      <c r="AQ246" s="47" t="s">
        <v>0</v>
      </c>
      <c r="AR246" s="82" t="str">
        <f t="shared" si="218"/>
        <v/>
      </c>
      <c r="AS246" s="47" t="s">
        <v>0</v>
      </c>
      <c r="AT246" s="19" t="str">
        <f t="shared" si="219"/>
        <v/>
      </c>
      <c r="AU246" s="47" t="s">
        <v>0</v>
      </c>
      <c r="AV246" s="103"/>
      <c r="AW246" s="105"/>
      <c r="AX246" s="47" t="s">
        <v>0</v>
      </c>
      <c r="AY246" s="256" t="str">
        <f t="shared" si="237"/>
        <v/>
      </c>
      <c r="AZ246" s="47" t="s">
        <v>0</v>
      </c>
      <c r="BA246" s="52" t="str">
        <f t="shared" si="191"/>
        <v/>
      </c>
      <c r="BB246" s="73" t="str">
        <f>IF(AV246&amp;AW246="","",MAX(BB$12:BB245)+1)</f>
        <v/>
      </c>
      <c r="BC246" s="268" t="str">
        <f t="shared" si="192"/>
        <v/>
      </c>
      <c r="BD246" s="53" t="str">
        <f>IF(AND(AM246="NEMA",AN246="NEMA",OR(AV246&amp;AW246="",BC246="NEMA")),MAX(BD$12:BD245)+1,"")</f>
        <v/>
      </c>
      <c r="BE246" s="47" t="s">
        <v>0</v>
      </c>
      <c r="BF246" s="52" t="str">
        <f t="shared" si="193"/>
        <v>Paula</v>
      </c>
      <c r="BG246" s="31" t="str">
        <f t="shared" si="194"/>
        <v>Pavlin</v>
      </c>
      <c r="BH246" s="73" t="str">
        <f t="shared" si="220"/>
        <v/>
      </c>
      <c r="BI246" s="53">
        <f t="shared" si="221"/>
        <v>1431</v>
      </c>
      <c r="BJ246" s="47" t="s">
        <v>0</v>
      </c>
      <c r="BK246" s="52" t="str">
        <f t="shared" si="195"/>
        <v>Vihor</v>
      </c>
      <c r="BL246" s="31" t="str">
        <f t="shared" si="196"/>
        <v>OK Vihor</v>
      </c>
      <c r="BM246" s="73">
        <f t="shared" si="197"/>
        <v>12</v>
      </c>
      <c r="BN246" s="73" t="str">
        <f t="shared" si="198"/>
        <v/>
      </c>
      <c r="BO246" s="31" t="str" cm="1">
        <f t="array" ref="BO246">IF(BN246="",""&amp;BL246,IF(BN246="NEMA",BL246,INDEX(regKlub_naziv,MATCH(INDEX(regKlub_alias_klubId,BN246),regKlub_id,0))))</f>
        <v>OK Vihor</v>
      </c>
      <c r="BP246" s="31" t="str" cm="1">
        <f t="array" ref="BP246">IFERROR(""&amp;INDEX(regNatjecatelj_klub,DY246),"")</f>
        <v>OK Vihor</v>
      </c>
      <c r="BQ246" s="88" t="str">
        <f t="shared" si="222"/>
        <v/>
      </c>
      <c r="BR246" s="66" t="str">
        <f t="shared" si="223"/>
        <v>OK Vihor</v>
      </c>
      <c r="BS246" s="47" t="s">
        <v>0</v>
      </c>
      <c r="BT246" s="82" t="str">
        <f>IF(BN246&lt;&gt;"NEMA","",IF(IFERROR(MATCH(BL246,BL$12:BL245,0),0)&lt;&gt;0,"",BL246))</f>
        <v/>
      </c>
      <c r="BU246" s="47" t="s">
        <v>0</v>
      </c>
      <c r="BV246" s="125"/>
      <c r="BW246" s="47" t="s">
        <v>0</v>
      </c>
      <c r="BX246" s="58" t="str">
        <f t="shared" si="224"/>
        <v/>
      </c>
      <c r="BY246" s="31" t="str">
        <f t="shared" si="225"/>
        <v/>
      </c>
      <c r="BZ246" s="31" t="str">
        <f>IF(BY246="","",MAX(BZ$12:BZ245)+1)</f>
        <v/>
      </c>
      <c r="CA246" s="31" t="str">
        <f>IF(BY246="","",IF(AA246="","",IF(AA246="NEMA",AC246,AA246)))</f>
        <v/>
      </c>
      <c r="CB246" s="31" t="str">
        <f t="shared" si="226"/>
        <v/>
      </c>
      <c r="CC246" s="31" t="str">
        <f>IF(BV246="","",MAX(CC$12:CC245)+1)</f>
        <v/>
      </c>
      <c r="CD246" s="31" t="str">
        <f t="shared" si="227"/>
        <v/>
      </c>
      <c r="CE246" s="66" t="str">
        <f t="shared" si="228"/>
        <v/>
      </c>
      <c r="CF246" s="47" t="s">
        <v>0</v>
      </c>
      <c r="CG246" s="73" t="str">
        <f>IF(BN246="","",IF(BN246&lt;&gt;"NEMA","",IFERROR(INDEX(nat_klubAliasId,MATCH(BL246,nat_noviKluboviAliasi,0)),"")))</f>
        <v/>
      </c>
      <c r="CH246" s="47"/>
      <c r="CI246" s="19" t="str">
        <f t="shared" si="229"/>
        <v/>
      </c>
      <c r="CJ246" s="47" t="s">
        <v>0</v>
      </c>
      <c r="CK246" s="52" t="str">
        <f>IF(X246&lt;&gt;"NEMA","",IF(IFERROR(MATCH(W246,W$12:W245,0),0)&lt;&gt;0,"",W246))</f>
        <v/>
      </c>
      <c r="CL246" s="73" t="str">
        <f>IF(CK246="","",IFERROR(INDEX(regKlub_alias_id,MATCH(CK246,regKlub_alias_alias,0)),"NEMA"))</f>
        <v/>
      </c>
      <c r="CM246" s="31" t="str">
        <f>IF(OR(CL246="",CL246&lt;&gt;"NEMA"),"",MAX(CM$12:CM245)+1)</f>
        <v/>
      </c>
      <c r="CN246" s="66" t="str">
        <f>IF(OR(CL246="",CL246&lt;&gt;"NEMA"),"",INDEX(regKlub_id,MATCH(CK246,regKlub_naziv,0)))</f>
        <v/>
      </c>
      <c r="CO246" s="47" t="s">
        <v>0</v>
      </c>
      <c r="CP246" s="19" t="str">
        <f>IF(OR(CL246="",CL246&lt;&gt;"NEMA"),"","INSERT INTO klub_alias(id,alias,klub_id) VALUES ("&amp;CM246&amp;",'"&amp;CK246&amp;"',"&amp;CN246&amp;");")</f>
        <v/>
      </c>
      <c r="CQ246" s="47" t="s">
        <v>0</v>
      </c>
      <c r="CR246" s="143" t="str">
        <f>IF(BR246="","",IF(BV246="",IF(IFERROR(MATCH(BR246,nat_noviKluboviAliasi,0),0)&gt;0,INDEX(nat_kluboviAliasi,MATCH(BR246,nat_noviKluboviAliasi,0)),BR246),BV246))</f>
        <v>OK Vihor</v>
      </c>
      <c r="CS246" s="47" t="s">
        <v>0</v>
      </c>
      <c r="CT246" s="58" t="str">
        <f>IF(G246="","",G246)</f>
        <v>47:34</v>
      </c>
      <c r="CU246" s="73" t="str">
        <f>IF(H246="","",H246)</f>
        <v>0</v>
      </c>
      <c r="CV246" s="229" t="str">
        <f>IF(CT246="",IF(OR(AL246="",CU246&lt;&gt;"0"),"","GREŠKA"),IF(AND(65535&gt;=VALUE(LEFT(CT246,SEARCH(":",CT246)-1))*60+VALUE(RIGHT(CT246,2)),OR(CU246="0",CU246="1",CU246="2",CU246="3",CU246="4")),"","GREŠKA"))</f>
        <v/>
      </c>
      <c r="CW246" s="230">
        <f t="shared" si="183"/>
        <v>2854</v>
      </c>
      <c r="CX246" s="163">
        <f t="shared" si="199"/>
        <v>1</v>
      </c>
      <c r="CY246" s="47" t="s">
        <v>0</v>
      </c>
      <c r="CZ246" s="222" t="str">
        <f>IF(CV246&lt;&gt;"GREŠKA","",AK246&amp;" "&amp;AL246&amp;" – Molim u OEventu provjeriti i ispraviti rezultat – vrijeme ("&amp;IF(CT246="","nije upisano",CT246)&amp;") i classifier ("&amp;CU246&amp;").")&amp;IF(OR(CV246&lt;&gt;"GREŠKA",CX246&lt;&gt;5),"
","")&amp;IF(CX246&lt;&gt;5,"",AK246&amp;" "&amp;AL246&amp;" – Molim u provjeriti je li natjecatelj zaista diskvalificiran. Ako je koje je obrazloženje, ako nije molim u OEventu ispraviti rezultat")</f>
        <v xml:space="preserve">
</v>
      </c>
      <c r="DA246" s="223">
        <f t="shared" si="230"/>
        <v>6</v>
      </c>
      <c r="DB246" s="47" t="s">
        <v>0</v>
      </c>
      <c r="DC246" s="47"/>
      <c r="DD246" s="47"/>
      <c r="DE246" s="47"/>
      <c r="DF246" s="47" t="s">
        <v>0</v>
      </c>
      <c r="DG246" s="53" t="str">
        <f>IF(BD246="","",IF(DI246="O",1,""))</f>
        <v/>
      </c>
      <c r="DH246" t="s">
        <v>0</v>
      </c>
      <c r="DI246" s="128" t="str">
        <f>IF(Q246="","",LEFT(INDEX(regKategorija_oznaka,MATCH(S246,regKategorija_id,0)),1))</f>
        <v>Ž</v>
      </c>
      <c r="DJ246" t="s">
        <v>0</v>
      </c>
      <c r="DK246" s="52" t="str">
        <f>IF(BD246="","",IF(M246&lt;&gt;"CRO","","INSERT INTO osoba (id,reg_broj,oib,spol_id,dat_rodjenja) VALUES ("&amp;BD246&amp;",(SELECT max(os.reg_broj)+1 FROM osoba AS os),Null,'"&amp;DI246&amp;"',Null); INSERT INTO osoba_log (id,reg_broj,oib,spol_id,dat_rodjenja,dnevnik_id) SELECT id,reg_broj,oib,spol_id,dat_rodjenja,"&amp;data_dnevnik_id&amp;" FROM osoba WHERE id = "&amp;BD246&amp;";"))</f>
        <v/>
      </c>
      <c r="DL246" s="66" t="str">
        <f>IF(BD246="","","INSERT INTO imeprezime (id,osoba_id,rbr,ime,prezime,klub_id,identitet_id,sintaksa_id,info,aktivno,dnevnik_id) VALUES ("&amp;BD246&amp;","&amp;IF(DK246="","Null",BD246)&amp;",1,'"&amp;IF(AV246&lt;&gt;"",AV246,AK246)&amp;"','"&amp;IF(AW246&lt;&gt;"",AW246,AL246)&amp;"',(SELECT id FROM klub WHERE naziv = '"&amp;CR246&amp;"'),Null,1,'',1,"&amp;data_dnevnik_id&amp;");")</f>
        <v/>
      </c>
      <c r="DM246" t="s">
        <v>0</v>
      </c>
      <c r="DN246" s="19" t="str">
        <f t="shared" si="238"/>
        <v/>
      </c>
      <c r="DO246" s="47" t="s">
        <v>0</v>
      </c>
      <c r="DP246" s="19" t="str">
        <f>IF(BA246="","","INSERT INTO imeprezime_alias(id,alias,imeprezime_id) VALUES ("&amp;BB246&amp;",'"&amp;BA246&amp;"',"&amp;IF(BC246="NEMA",BD246,BC246)&amp;");")</f>
        <v/>
      </c>
      <c r="DQ246" s="47" t="s">
        <v>0</v>
      </c>
      <c r="DR246" s="52" t="str">
        <f>IF(AL246="","",DU246 &amp; IF(Q246="",""," – " &amp; Q246))</f>
        <v>Paula – Pavlin – OK Vihor – Ž20</v>
      </c>
      <c r="DS246" s="53">
        <f t="shared" si="200"/>
        <v>845</v>
      </c>
      <c r="DT246" s="47" t="s">
        <v>0</v>
      </c>
      <c r="DU246" s="52" t="str">
        <f>IF(AL246="","",DX246 &amp; IF(CR246="",""," – " &amp; CR246))</f>
        <v>Paula – Pavlin – OK Vihor</v>
      </c>
      <c r="DV246" s="53">
        <f t="shared" si="201"/>
        <v>845</v>
      </c>
      <c r="DW246" s="47" t="s">
        <v>0</v>
      </c>
      <c r="DX246" s="52" t="str">
        <f>IF(BG246="","",BF246&amp;" – "&amp;BG246)</f>
        <v>Paula – Pavlin</v>
      </c>
      <c r="DY246" s="53">
        <f t="shared" si="202"/>
        <v>845</v>
      </c>
      <c r="DZ246" s="47" t="s">
        <v>0</v>
      </c>
      <c r="EA246" s="58">
        <f t="shared" si="231"/>
        <v>845</v>
      </c>
      <c r="EB246" s="53" cm="1">
        <f t="array" ref="EB246">IF(EA246&lt;&gt;"",INDEX(regNatjecatelj_id,EA246,0),IF(BD246&lt;&gt;"",BD246,""))</f>
        <v>1431</v>
      </c>
      <c r="EC246" s="47" t="s">
        <v>0</v>
      </c>
      <c r="ED246" s="58" t="str">
        <f>IF(AL246="","",IF(BD246&lt;&gt;"","novo",IF(AN246="","imepre","imepre(ali)")))</f>
        <v>imepre</v>
      </c>
      <c r="EE246" s="73" t="str">
        <f>IF(AL246="","",IF(BL246="",IF(IFERROR(INDEX(regNatjecatelj_klub,MATCH(EB246,regNatjecatelj_id,0)),"NEMA")="","klu",""),IF(OR(AND(BN246&lt;&gt;"",BN246&lt;&gt;"NEMA"),CD246&lt;&gt;""),"klu(ali)",IF(AND(BP246&lt;&gt;"",BP246&lt;&gt;BO246),"(raz-klu)","klu"))))</f>
        <v>klu</v>
      </c>
      <c r="EF246" s="73" t="str">
        <f>IF(AL246="","","kat"&amp;IF(AND(W246&lt;&gt;Q246,Q246&lt;&gt;"Open"),"(ali)",""))</f>
        <v>kat</v>
      </c>
      <c r="EG246" s="73" t="str">
        <f t="shared" si="203"/>
        <v/>
      </c>
      <c r="EH246" s="66" t="str">
        <f>IF(AL246="","",ED246&amp;IF(ED246="novo","","-"&amp;EE246&amp;"-"&amp;EF246)&amp;IF(EG246="","","-"&amp;EG246))</f>
        <v>imepre-klu-kat</v>
      </c>
      <c r="EI246" s="47" t="s">
        <v>0</v>
      </c>
      <c r="EJ246" s="58">
        <f>IF(AL246="","",MAX(EJ$12:EJ245)+1)</f>
        <v>401</v>
      </c>
      <c r="EK246" s="73">
        <f>IF(AO246="","",X246)</f>
        <v>38</v>
      </c>
      <c r="EL246" s="73">
        <f t="shared" si="232"/>
        <v>1431</v>
      </c>
      <c r="EM246" s="73">
        <f t="shared" si="204"/>
        <v>2854</v>
      </c>
      <c r="EN246" s="73">
        <f t="shared" si="205"/>
        <v>1</v>
      </c>
      <c r="EO246" s="73">
        <f t="shared" si="233"/>
        <v>1</v>
      </c>
      <c r="EP246" s="73">
        <f t="shared" si="234"/>
        <v>1</v>
      </c>
      <c r="EQ246" s="73" t="str">
        <f t="shared" si="206"/>
        <v>0</v>
      </c>
      <c r="ER246" s="73" t="str">
        <f>IF(OR(AN246="",AN246="NEMA"),BB246,AN246)</f>
        <v/>
      </c>
      <c r="ES246" s="73" t="str">
        <f>IF(AND(BN246&lt;&gt;"",BN246&lt;&gt;"NEMA"),BN246,IF(CG246&lt;&gt;"",CG246,IF(AND(CL246&lt;&gt;"",CL246&lt;&gt;"NEMA"),CL246,IF(CM246&lt;&gt;"",CM246,""))))</f>
        <v/>
      </c>
      <c r="ET246" s="53" t="str">
        <f>IF(INDEX(natKategorija_alias_Id,MATCH(S246,natKategorija_katRegId,0))="","",INDEX(natKategorija_alias_Id,MATCH(S246,natKategorija_katRegId,0)))</f>
        <v/>
      </c>
      <c r="EU246" s="47" t="s">
        <v>0</v>
      </c>
      <c r="EV246" s="19" t="str">
        <f t="shared" si="235"/>
        <v>INSERT INTO rezultat(id,stazakategorija_id,imeprezime_id,vrijeme_sec,status_id,registracija,uparivanje_id,originalstatus_id,imeprezimealias_id,klubalias_id,kategorijaalias_id) VALUES (401,38,1431,2854,1,1,1,0,Null,Null,Null);</v>
      </c>
      <c r="EW246" s="47" t="s">
        <v>0</v>
      </c>
      <c r="EX246" s="19" t="str">
        <f t="shared" si="236"/>
        <v>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Y246" s="47" t="s">
        <v>0</v>
      </c>
      <c r="EZ246" s="180" t="str">
        <f>AG246&amp;IF(CP246="","","
")&amp;CP246&amp;IF(CI246="","","
")&amp;CI246&amp;IF(DN246="","","
")&amp;DN246&amp;IF(DP246="","","
")&amp;DP246&amp;IF(EV246="","","
")&amp;EV246&amp;IF(EX246="","","
")&amp;EX246</f>
        <v xml:space="preserve">
INSERT INTO rezultat(id,stazakategorija_id,imeprezime_id,vrijeme_sec,status_id,registracija,uparivanje_id,originalstatus_id,imeprezimealias_id,klubalias_id,kategorijaalias_id) VALUES (401,38,1431,2854,1,1,1,0,Null,Null,Null);
UPDATE
	registar
SET
	potvrda = 1
WHERE
	imeprezime_id=1431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FA246" s="47" t="s">
        <v>0</v>
      </c>
    </row>
    <row r="247" spans="1:157" x14ac:dyDescent="0.25">
      <c r="A247" t="s">
        <v>0</v>
      </c>
      <c r="B247" s="52" t="str">
        <f>IF(csv!F237="","",csv!T237)</f>
        <v>Ž20</v>
      </c>
      <c r="C247" s="31" t="s">
        <v>0</v>
      </c>
      <c r="D247" s="31" t="str">
        <f>IF(csv!F237="","",csv!F237)</f>
        <v>Nina</v>
      </c>
      <c r="E247" s="31" t="str">
        <f>IF(csv!E237="","",csv!E237)</f>
        <v>Cvjetko</v>
      </c>
      <c r="F247" s="31" t="s">
        <v>0</v>
      </c>
      <c r="G247" s="73" t="str">
        <f>IF(csv!M237="","",csv!M237)</f>
        <v>89:16</v>
      </c>
      <c r="H247" s="73" t="str">
        <f>IF(csv!N237="","",csv!N237)</f>
        <v>0</v>
      </c>
      <c r="I247" s="31" t="s">
        <v>0</v>
      </c>
      <c r="J247" s="31" t="str">
        <f>IF(csv!P237="","",csv!P237)</f>
        <v>JAP</v>
      </c>
      <c r="K247" s="31" t="str">
        <f>IF(csv!Q237="","",csv!Q237)</f>
        <v>OK Japetic</v>
      </c>
      <c r="L247" s="31" t="s">
        <v>0</v>
      </c>
      <c r="M247" s="66" t="str">
        <f>IF(csv!R237="","",csv!R237)</f>
        <v>CRO</v>
      </c>
      <c r="N247" s="47" t="s">
        <v>0</v>
      </c>
      <c r="O247" s="243" t="str">
        <f t="shared" si="207"/>
        <v>ok</v>
      </c>
      <c r="P247" s="47"/>
      <c r="Q247" s="52" t="str">
        <f t="shared" si="208"/>
        <v>Ž20</v>
      </c>
      <c r="R247" s="73">
        <f>IF(Q247="","",IF(COUNTIF(Q$12:Q246,Q247)=0,R246+1,R246))</f>
        <v>16</v>
      </c>
      <c r="S247" s="73">
        <f t="shared" si="209"/>
        <v>119</v>
      </c>
      <c r="T247" s="73">
        <f t="shared" si="184"/>
        <v>28</v>
      </c>
      <c r="U247" s="66" t="str">
        <f t="shared" si="185"/>
        <v>Ž20</v>
      </c>
      <c r="V247" s="47" t="s">
        <v>0</v>
      </c>
      <c r="W247" s="222" t="str">
        <f t="shared" si="186"/>
        <v>Ž20</v>
      </c>
      <c r="X247" s="223">
        <f t="shared" si="187"/>
        <v>38</v>
      </c>
      <c r="Y247" s="47" t="s">
        <v>0</v>
      </c>
      <c r="Z247" s="52" t="str">
        <f t="shared" si="210"/>
        <v>CRO</v>
      </c>
      <c r="AA247" s="73">
        <f t="shared" si="188"/>
        <v>1</v>
      </c>
      <c r="AB247" s="31" t="str">
        <f t="shared" si="211"/>
        <v/>
      </c>
      <c r="AC247" s="66" t="str">
        <f>IF(AB247="","",MAX(AC$12:AC246)+1)</f>
        <v/>
      </c>
      <c r="AD247" s="47" t="s">
        <v>0</v>
      </c>
      <c r="AE247" s="125"/>
      <c r="AF247" s="47" t="s">
        <v>0</v>
      </c>
      <c r="AG247" s="19" t="str">
        <f t="shared" si="212"/>
        <v/>
      </c>
      <c r="AH247" s="47" t="s">
        <v>0</v>
      </c>
      <c r="AI247" s="143" t="str">
        <f t="shared" si="213"/>
        <v>CRO</v>
      </c>
      <c r="AJ247" s="47"/>
      <c r="AK247" s="52" t="str">
        <f t="shared" si="214"/>
        <v>Nina</v>
      </c>
      <c r="AL247" s="31" t="str">
        <f t="shared" si="215"/>
        <v>Cvjetko</v>
      </c>
      <c r="AM247" s="73">
        <f t="shared" si="216"/>
        <v>1863</v>
      </c>
      <c r="AN247" s="73" t="str">
        <f t="shared" si="217"/>
        <v/>
      </c>
      <c r="AO247" s="31" t="str">
        <f t="shared" si="189"/>
        <v>Nina</v>
      </c>
      <c r="AP247" s="66" t="str">
        <f t="shared" si="190"/>
        <v>Cvjetko</v>
      </c>
      <c r="AQ247" s="47" t="s">
        <v>0</v>
      </c>
      <c r="AR247" s="82" t="str">
        <f t="shared" si="218"/>
        <v/>
      </c>
      <c r="AS247" s="47" t="s">
        <v>0</v>
      </c>
      <c r="AT247" s="19" t="str">
        <f t="shared" si="219"/>
        <v/>
      </c>
      <c r="AU247" s="47" t="s">
        <v>0</v>
      </c>
      <c r="AV247" s="103"/>
      <c r="AW247" s="105"/>
      <c r="AX247" s="47" t="s">
        <v>0</v>
      </c>
      <c r="AY247" s="256" t="str">
        <f t="shared" si="237"/>
        <v/>
      </c>
      <c r="AZ247" s="47" t="s">
        <v>0</v>
      </c>
      <c r="BA247" s="52" t="str">
        <f t="shared" si="191"/>
        <v/>
      </c>
      <c r="BB247" s="73" t="str">
        <f>IF(AV247&amp;AW247="","",MAX(BB$12:BB246)+1)</f>
        <v/>
      </c>
      <c r="BC247" s="268" t="str">
        <f t="shared" si="192"/>
        <v/>
      </c>
      <c r="BD247" s="53" t="str">
        <f>IF(AND(AM247="NEMA",AN247="NEMA",OR(AV247&amp;AW247="",BC247="NEMA")),MAX(BD$12:BD246)+1,"")</f>
        <v/>
      </c>
      <c r="BE247" s="47" t="s">
        <v>0</v>
      </c>
      <c r="BF247" s="52" t="str">
        <f t="shared" si="193"/>
        <v>Nina</v>
      </c>
      <c r="BG247" s="31" t="str">
        <f t="shared" si="194"/>
        <v>Cvjetko</v>
      </c>
      <c r="BH247" s="73" t="str">
        <f t="shared" si="220"/>
        <v/>
      </c>
      <c r="BI247" s="53">
        <f t="shared" si="221"/>
        <v>1863</v>
      </c>
      <c r="BJ247" s="47" t="s">
        <v>0</v>
      </c>
      <c r="BK247" s="52" t="str">
        <f t="shared" si="195"/>
        <v>JAP</v>
      </c>
      <c r="BL247" s="31" t="str">
        <f t="shared" si="196"/>
        <v>OK Japetic</v>
      </c>
      <c r="BM247" s="73" t="str">
        <f t="shared" si="197"/>
        <v>NEMA</v>
      </c>
      <c r="BN247" s="73">
        <f t="shared" si="198"/>
        <v>1</v>
      </c>
      <c r="BO247" s="31" t="str" cm="1">
        <f t="array" ref="BO247">IF(BN247="",""&amp;BL247,IF(BN247="NEMA",BL247,INDEX(regKlub_naziv,MATCH(INDEX(regKlub_alias_klubId,BN247),regKlub_id,0))))</f>
        <v>OK Japetić</v>
      </c>
      <c r="BP247" s="31" t="str" cm="1">
        <f t="array" ref="BP247">IFERROR(""&amp;INDEX(regNatjecatelj_klub,DY247),"")</f>
        <v>OK Japetić</v>
      </c>
      <c r="BQ247" s="88" t="str">
        <f t="shared" si="222"/>
        <v/>
      </c>
      <c r="BR247" s="66" t="str">
        <f t="shared" si="223"/>
        <v>OK Japetić</v>
      </c>
      <c r="BS247" s="47" t="s">
        <v>0</v>
      </c>
      <c r="BT247" s="82" t="str">
        <f>IF(BN247&lt;&gt;"NEMA","",IF(IFERROR(MATCH(BL247,BL$12:BL246,0),0)&lt;&gt;0,"",BL247))</f>
        <v/>
      </c>
      <c r="BU247" s="47" t="s">
        <v>0</v>
      </c>
      <c r="BV247" s="125"/>
      <c r="BW247" s="47" t="s">
        <v>0</v>
      </c>
      <c r="BX247" s="58" t="str">
        <f t="shared" si="224"/>
        <v/>
      </c>
      <c r="BY247" s="31" t="str">
        <f t="shared" si="225"/>
        <v/>
      </c>
      <c r="BZ247" s="31" t="str">
        <f>IF(BY247="","",MAX(BZ$12:BZ246)+1)</f>
        <v/>
      </c>
      <c r="CA247" s="31" t="str">
        <f>IF(BY247="","",IF(AA247="","",IF(AA247="NEMA",AC247,AA247)))</f>
        <v/>
      </c>
      <c r="CB247" s="31" t="str">
        <f t="shared" si="226"/>
        <v/>
      </c>
      <c r="CC247" s="31" t="str">
        <f>IF(BV247="","",MAX(CC$12:CC246)+1)</f>
        <v/>
      </c>
      <c r="CD247" s="31" t="str">
        <f t="shared" si="227"/>
        <v/>
      </c>
      <c r="CE247" s="66" t="str">
        <f t="shared" si="228"/>
        <v/>
      </c>
      <c r="CF247" s="47" t="s">
        <v>0</v>
      </c>
      <c r="CG247" s="73" t="str">
        <f>IF(BN247="","",IF(BN247&lt;&gt;"NEMA","",IFERROR(INDEX(nat_klubAliasId,MATCH(BL247,nat_noviKluboviAliasi,0)),"")))</f>
        <v/>
      </c>
      <c r="CH247" s="47"/>
      <c r="CI247" s="19" t="str">
        <f t="shared" si="229"/>
        <v/>
      </c>
      <c r="CJ247" s="47" t="s">
        <v>0</v>
      </c>
      <c r="CK247" s="52" t="str">
        <f>IF(X247&lt;&gt;"NEMA","",IF(IFERROR(MATCH(W247,W$12:W246,0),0)&lt;&gt;0,"",W247))</f>
        <v/>
      </c>
      <c r="CL247" s="73" t="str">
        <f>IF(CK247="","",IFERROR(INDEX(regKlub_alias_id,MATCH(CK247,regKlub_alias_alias,0)),"NEMA"))</f>
        <v/>
      </c>
      <c r="CM247" s="31" t="str">
        <f>IF(OR(CL247="",CL247&lt;&gt;"NEMA"),"",MAX(CM$12:CM246)+1)</f>
        <v/>
      </c>
      <c r="CN247" s="66" t="str">
        <f>IF(OR(CL247="",CL247&lt;&gt;"NEMA"),"",INDEX(regKlub_id,MATCH(CK247,regKlub_naziv,0)))</f>
        <v/>
      </c>
      <c r="CO247" s="47" t="s">
        <v>0</v>
      </c>
      <c r="CP247" s="19" t="str">
        <f>IF(OR(CL247="",CL247&lt;&gt;"NEMA"),"","INSERT INTO klub_alias(id,alias,klub_id) VALUES ("&amp;CM247&amp;",'"&amp;CK247&amp;"',"&amp;CN247&amp;");")</f>
        <v/>
      </c>
      <c r="CQ247" s="47" t="s">
        <v>0</v>
      </c>
      <c r="CR247" s="143" t="str">
        <f>IF(BR247="","",IF(BV247="",IF(IFERROR(MATCH(BR247,nat_noviKluboviAliasi,0),0)&gt;0,INDEX(nat_kluboviAliasi,MATCH(BR247,nat_noviKluboviAliasi,0)),BR247),BV247))</f>
        <v>OK Japetić</v>
      </c>
      <c r="CS247" s="47" t="s">
        <v>0</v>
      </c>
      <c r="CT247" s="58" t="str">
        <f>IF(G247="","",G247)</f>
        <v>89:16</v>
      </c>
      <c r="CU247" s="73" t="str">
        <f>IF(H247="","",H247)</f>
        <v>0</v>
      </c>
      <c r="CV247" s="229" t="str">
        <f>IF(CT247="",IF(OR(AL247="",CU247&lt;&gt;"0"),"","GREŠKA"),IF(AND(65535&gt;=VALUE(LEFT(CT247,SEARCH(":",CT247)-1))*60+VALUE(RIGHT(CT247,2)),OR(CU247="0",CU247="1",CU247="2",CU247="3",CU247="4")),"","GREŠKA"))</f>
        <v/>
      </c>
      <c r="CW247" s="230">
        <f t="shared" si="183"/>
        <v>5356</v>
      </c>
      <c r="CX247" s="163">
        <f t="shared" si="199"/>
        <v>1</v>
      </c>
      <c r="CY247" s="47" t="s">
        <v>0</v>
      </c>
      <c r="CZ247" s="222" t="str">
        <f>IF(CV247&lt;&gt;"GREŠKA","",AK247&amp;" "&amp;AL247&amp;" – Molim u OEventu provjeriti i ispraviti rezultat – vrijeme ("&amp;IF(CT247="","nije upisano",CT247)&amp;") i classifier ("&amp;CU247&amp;").")&amp;IF(OR(CV247&lt;&gt;"GREŠKA",CX247&lt;&gt;5),"
","")&amp;IF(CX247&lt;&gt;5,"",AK247&amp;" "&amp;AL247&amp;" – Molim u provjeriti je li natjecatelj zaista diskvalificiran. Ako je koje je obrazloženje, ako nije molim u OEventu ispraviti rezultat")</f>
        <v xml:space="preserve">
</v>
      </c>
      <c r="DA247" s="223">
        <f t="shared" si="230"/>
        <v>6</v>
      </c>
      <c r="DB247" s="47" t="s">
        <v>0</v>
      </c>
      <c r="DC247" s="47"/>
      <c r="DD247" s="47"/>
      <c r="DE247" s="47"/>
      <c r="DF247" s="47" t="s">
        <v>0</v>
      </c>
      <c r="DG247" s="53" t="str">
        <f>IF(BD247="","",IF(DI247="O",1,""))</f>
        <v/>
      </c>
      <c r="DH247" t="s">
        <v>0</v>
      </c>
      <c r="DI247" s="128" t="str">
        <f>IF(Q247="","",LEFT(INDEX(regKategorija_oznaka,MATCH(S247,regKategorija_id,0)),1))</f>
        <v>Ž</v>
      </c>
      <c r="DJ247" t="s">
        <v>0</v>
      </c>
      <c r="DK247" s="52" t="str">
        <f>IF(BD247="","",IF(M247&lt;&gt;"CRO","","INSERT INTO osoba (id,reg_broj,oib,spol_id,dat_rodjenja) VALUES ("&amp;BD247&amp;",(SELECT max(os.reg_broj)+1 FROM osoba AS os),Null,'"&amp;DI247&amp;"',Null); INSERT INTO osoba_log (id,reg_broj,oib,spol_id,dat_rodjenja,dnevnik_id) SELECT id,reg_broj,oib,spol_id,dat_rodjenja,"&amp;data_dnevnik_id&amp;" FROM osoba WHERE id = "&amp;BD247&amp;";"))</f>
        <v/>
      </c>
      <c r="DL247" s="66" t="str">
        <f>IF(BD247="","","INSERT INTO imeprezime (id,osoba_id,rbr,ime,prezime,klub_id,identitet_id,sintaksa_id,info,aktivno,dnevnik_id) VALUES ("&amp;BD247&amp;","&amp;IF(DK247="","Null",BD247)&amp;",1,'"&amp;IF(AV247&lt;&gt;"",AV247,AK247)&amp;"','"&amp;IF(AW247&lt;&gt;"",AW247,AL247)&amp;"',(SELECT id FROM klub WHERE naziv = '"&amp;CR247&amp;"'),Null,1,'',1,"&amp;data_dnevnik_id&amp;");")</f>
        <v/>
      </c>
      <c r="DM247" t="s">
        <v>0</v>
      </c>
      <c r="DN247" s="19" t="str">
        <f t="shared" si="238"/>
        <v/>
      </c>
      <c r="DO247" s="47" t="s">
        <v>0</v>
      </c>
      <c r="DP247" s="19" t="str">
        <f>IF(BA247="","","INSERT INTO imeprezime_alias(id,alias,imeprezime_id) VALUES ("&amp;BB247&amp;",'"&amp;BA247&amp;"',"&amp;IF(BC247="NEMA",BD247,BC247)&amp;");")</f>
        <v/>
      </c>
      <c r="DQ247" s="47" t="s">
        <v>0</v>
      </c>
      <c r="DR247" s="52" t="str">
        <f>IF(AL247="","",DU247 &amp; IF(Q247="",""," – " &amp; Q247))</f>
        <v>Nina – Cvjetko – OK Japetić – Ž20</v>
      </c>
      <c r="DS247" s="53">
        <f t="shared" si="200"/>
        <v>84</v>
      </c>
      <c r="DT247" s="47" t="s">
        <v>0</v>
      </c>
      <c r="DU247" s="52" t="str">
        <f>IF(AL247="","",DX247 &amp; IF(CR247="",""," – " &amp; CR247))</f>
        <v>Nina – Cvjetko – OK Japetić</v>
      </c>
      <c r="DV247" s="53">
        <f t="shared" si="201"/>
        <v>84</v>
      </c>
      <c r="DW247" s="47" t="s">
        <v>0</v>
      </c>
      <c r="DX247" s="52" t="str">
        <f>IF(BG247="","",BF247&amp;" – "&amp;BG247)</f>
        <v>Nina – Cvjetko</v>
      </c>
      <c r="DY247" s="53">
        <f t="shared" si="202"/>
        <v>84</v>
      </c>
      <c r="DZ247" s="47" t="s">
        <v>0</v>
      </c>
      <c r="EA247" s="58">
        <f t="shared" si="231"/>
        <v>84</v>
      </c>
      <c r="EB247" s="53" cm="1">
        <f t="array" ref="EB247">IF(EA247&lt;&gt;"",INDEX(regNatjecatelj_id,EA247,0),IF(BD247&lt;&gt;"",BD247,""))</f>
        <v>1863</v>
      </c>
      <c r="EC247" s="47" t="s">
        <v>0</v>
      </c>
      <c r="ED247" s="58" t="str">
        <f>IF(AL247="","",IF(BD247&lt;&gt;"","novo",IF(AN247="","imepre","imepre(ali)")))</f>
        <v>imepre</v>
      </c>
      <c r="EE247" s="73" t="str">
        <f>IF(AL247="","",IF(BL247="",IF(IFERROR(INDEX(regNatjecatelj_klub,MATCH(EB247,regNatjecatelj_id,0)),"NEMA")="","klu",""),IF(OR(AND(BN247&lt;&gt;"",BN247&lt;&gt;"NEMA"),CD247&lt;&gt;""),"klu(ali)",IF(AND(BP247&lt;&gt;"",BP247&lt;&gt;BO247),"(raz-klu)","klu"))))</f>
        <v>klu(ali)</v>
      </c>
      <c r="EF247" s="73" t="str">
        <f>IF(AL247="","","kat"&amp;IF(AND(W247&lt;&gt;Q247,Q247&lt;&gt;"Open"),"(ali)",""))</f>
        <v>kat</v>
      </c>
      <c r="EG247" s="73" t="str">
        <f t="shared" si="203"/>
        <v/>
      </c>
      <c r="EH247" s="66" t="str">
        <f>IF(AL247="","",ED247&amp;IF(ED247="novo","","-"&amp;EE247&amp;"-"&amp;EF247)&amp;IF(EG247="","","-"&amp;EG247))</f>
        <v>imepre-klu(ali)-kat</v>
      </c>
      <c r="EI247" s="47" t="s">
        <v>0</v>
      </c>
      <c r="EJ247" s="58">
        <f>IF(AL247="","",MAX(EJ$12:EJ246)+1)</f>
        <v>402</v>
      </c>
      <c r="EK247" s="73">
        <f>IF(AO247="","",X247)</f>
        <v>38</v>
      </c>
      <c r="EL247" s="73">
        <f t="shared" si="232"/>
        <v>1863</v>
      </c>
      <c r="EM247" s="73">
        <f t="shared" si="204"/>
        <v>5356</v>
      </c>
      <c r="EN247" s="73">
        <f t="shared" si="205"/>
        <v>1</v>
      </c>
      <c r="EO247" s="73">
        <f t="shared" si="233"/>
        <v>1</v>
      </c>
      <c r="EP247" s="73">
        <f t="shared" si="234"/>
        <v>3</v>
      </c>
      <c r="EQ247" s="73" t="str">
        <f t="shared" si="206"/>
        <v>0</v>
      </c>
      <c r="ER247" s="73" t="str">
        <f>IF(OR(AN247="",AN247="NEMA"),BB247,AN247)</f>
        <v/>
      </c>
      <c r="ES247" s="73">
        <f>IF(AND(BN247&lt;&gt;"",BN247&lt;&gt;"NEMA"),BN247,IF(CG247&lt;&gt;"",CG247,IF(AND(CL247&lt;&gt;"",CL247&lt;&gt;"NEMA"),CL247,IF(CM247&lt;&gt;"",CM247,""))))</f>
        <v>1</v>
      </c>
      <c r="ET247" s="53" t="str">
        <f>IF(INDEX(natKategorija_alias_Id,MATCH(S247,natKategorija_katRegId,0))="","",INDEX(natKategorija_alias_Id,MATCH(S247,natKategorija_katRegId,0)))</f>
        <v/>
      </c>
      <c r="EU247" s="47" t="s">
        <v>0</v>
      </c>
      <c r="EV247" s="19" t="str">
        <f t="shared" si="235"/>
        <v>INSERT INTO rezultat(id,stazakategorija_id,imeprezime_id,vrijeme_sec,status_id,registracija,uparivanje_id,originalstatus_id,imeprezimealias_id,klubalias_id,kategorijaalias_id) VALUES (402,38,1863,5356,1,1,3,0,Null,1,Null);</v>
      </c>
      <c r="EW247" s="47" t="s">
        <v>0</v>
      </c>
      <c r="EX247" s="19" t="str">
        <f t="shared" si="236"/>
        <v>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Y247" s="47" t="s">
        <v>0</v>
      </c>
      <c r="EZ247" s="180" t="str">
        <f>AG247&amp;IF(CP247="","","
")&amp;CP247&amp;IF(CI247="","","
")&amp;CI247&amp;IF(DN247="","","
")&amp;DN247&amp;IF(DP247="","","
")&amp;DP247&amp;IF(EV247="","","
")&amp;EV247&amp;IF(EX247="","","
")&amp;EX247</f>
        <v xml:space="preserve">
INSERT INTO rezultat(id,stazakategorija_id,imeprezime_id,vrijeme_sec,status_id,registracija,uparivanje_id,originalstatus_id,imeprezimealias_id,klubalias_id,kategorijaalias_id) VALUES (402,38,1863,5356,1,1,3,0,Null,1,Null);
UPDATE
	registar
SET
	potvrda = 1
WHERE
	imeprezime_id=1863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FA247" s="47" t="s">
        <v>0</v>
      </c>
    </row>
    <row r="248" spans="1:157" x14ac:dyDescent="0.25">
      <c r="A248" t="s">
        <v>0</v>
      </c>
      <c r="B248" s="52" t="str">
        <f>IF(csv!F238="","",csv!T238)</f>
        <v>Ž20</v>
      </c>
      <c r="C248" s="31" t="s">
        <v>0</v>
      </c>
      <c r="D248" s="31" t="str">
        <f>IF(csv!F238="","",csv!F238)</f>
        <v>Jelena</v>
      </c>
      <c r="E248" s="31" t="str">
        <f>IF(csv!E238="","",csv!E238)</f>
        <v>Lesjak</v>
      </c>
      <c r="F248" s="31" t="s">
        <v>0</v>
      </c>
      <c r="G248" s="73" t="str">
        <f>IF(csv!M238="","",csv!M238)</f>
        <v>93:22</v>
      </c>
      <c r="H248" s="73" t="str">
        <f>IF(csv!N238="","",csv!N238)</f>
        <v>0</v>
      </c>
      <c r="I248" s="31" t="s">
        <v>0</v>
      </c>
      <c r="J248" s="31" t="str">
        <f>IF(csv!P238="","",csv!P238)</f>
        <v>JAP</v>
      </c>
      <c r="K248" s="31" t="str">
        <f>IF(csv!Q238="","",csv!Q238)</f>
        <v>OK Japetic</v>
      </c>
      <c r="L248" s="31" t="s">
        <v>0</v>
      </c>
      <c r="M248" s="66" t="str">
        <f>IF(csv!R238="","",csv!R238)</f>
        <v>CRO</v>
      </c>
      <c r="N248" s="47" t="s">
        <v>0</v>
      </c>
      <c r="O248" s="243" t="str">
        <f t="shared" si="207"/>
        <v>ok</v>
      </c>
      <c r="P248" s="47"/>
      <c r="Q248" s="52" t="str">
        <f t="shared" si="208"/>
        <v>Ž20</v>
      </c>
      <c r="R248" s="73">
        <f>IF(Q248="","",IF(COUNTIF(Q$12:Q247,Q248)=0,R247+1,R247))</f>
        <v>16</v>
      </c>
      <c r="S248" s="73">
        <f t="shared" si="209"/>
        <v>119</v>
      </c>
      <c r="T248" s="73">
        <f t="shared" si="184"/>
        <v>28</v>
      </c>
      <c r="U248" s="66" t="str">
        <f t="shared" si="185"/>
        <v>Ž20</v>
      </c>
      <c r="V248" s="47" t="s">
        <v>0</v>
      </c>
      <c r="W248" s="222" t="str">
        <f t="shared" si="186"/>
        <v>Ž20</v>
      </c>
      <c r="X248" s="223">
        <f t="shared" si="187"/>
        <v>38</v>
      </c>
      <c r="Y248" s="47" t="s">
        <v>0</v>
      </c>
      <c r="Z248" s="52" t="str">
        <f t="shared" si="210"/>
        <v>CRO</v>
      </c>
      <c r="AA248" s="73">
        <f t="shared" si="188"/>
        <v>1</v>
      </c>
      <c r="AB248" s="31" t="str">
        <f t="shared" si="211"/>
        <v/>
      </c>
      <c r="AC248" s="66" t="str">
        <f>IF(AB248="","",MAX(AC$12:AC247)+1)</f>
        <v/>
      </c>
      <c r="AD248" s="47" t="s">
        <v>0</v>
      </c>
      <c r="AE248" s="125"/>
      <c r="AF248" s="47" t="s">
        <v>0</v>
      </c>
      <c r="AG248" s="19" t="str">
        <f t="shared" si="212"/>
        <v/>
      </c>
      <c r="AH248" s="47" t="s">
        <v>0</v>
      </c>
      <c r="AI248" s="143" t="str">
        <f t="shared" si="213"/>
        <v>CRO</v>
      </c>
      <c r="AJ248" s="47"/>
      <c r="AK248" s="52" t="str">
        <f t="shared" si="214"/>
        <v>Jelena</v>
      </c>
      <c r="AL248" s="31" t="str">
        <f t="shared" si="215"/>
        <v>Lesjak</v>
      </c>
      <c r="AM248" s="73">
        <f t="shared" si="216"/>
        <v>1469</v>
      </c>
      <c r="AN248" s="73" t="str">
        <f t="shared" si="217"/>
        <v/>
      </c>
      <c r="AO248" s="31" t="str">
        <f t="shared" si="189"/>
        <v>Jelena</v>
      </c>
      <c r="AP248" s="66" t="str">
        <f t="shared" si="190"/>
        <v>Lesjak</v>
      </c>
      <c r="AQ248" s="47" t="s">
        <v>0</v>
      </c>
      <c r="AR248" s="82" t="str">
        <f t="shared" si="218"/>
        <v/>
      </c>
      <c r="AS248" s="47" t="s">
        <v>0</v>
      </c>
      <c r="AT248" s="19" t="str">
        <f t="shared" si="219"/>
        <v/>
      </c>
      <c r="AU248" s="47" t="s">
        <v>0</v>
      </c>
      <c r="AV248" s="103"/>
      <c r="AW248" s="105"/>
      <c r="AX248" s="47" t="s">
        <v>0</v>
      </c>
      <c r="AY248" s="256" t="str">
        <f t="shared" si="237"/>
        <v/>
      </c>
      <c r="AZ248" s="47" t="s">
        <v>0</v>
      </c>
      <c r="BA248" s="52" t="str">
        <f t="shared" si="191"/>
        <v/>
      </c>
      <c r="BB248" s="73" t="str">
        <f>IF(AV248&amp;AW248="","",MAX(BB$12:BB247)+1)</f>
        <v/>
      </c>
      <c r="BC248" s="268" t="str">
        <f t="shared" si="192"/>
        <v/>
      </c>
      <c r="BD248" s="53" t="str">
        <f>IF(AND(AM248="NEMA",AN248="NEMA",OR(AV248&amp;AW248="",BC248="NEMA")),MAX(BD$12:BD247)+1,"")</f>
        <v/>
      </c>
      <c r="BE248" s="47" t="s">
        <v>0</v>
      </c>
      <c r="BF248" s="52" t="str">
        <f t="shared" si="193"/>
        <v>Jelena</v>
      </c>
      <c r="BG248" s="31" t="str">
        <f t="shared" si="194"/>
        <v>Lesjak</v>
      </c>
      <c r="BH248" s="73" t="str">
        <f t="shared" si="220"/>
        <v/>
      </c>
      <c r="BI248" s="53">
        <f t="shared" si="221"/>
        <v>1469</v>
      </c>
      <c r="BJ248" s="47" t="s">
        <v>0</v>
      </c>
      <c r="BK248" s="52" t="str">
        <f t="shared" si="195"/>
        <v>JAP</v>
      </c>
      <c r="BL248" s="31" t="str">
        <f t="shared" si="196"/>
        <v>OK Japetic</v>
      </c>
      <c r="BM248" s="73" t="str">
        <f t="shared" si="197"/>
        <v>NEMA</v>
      </c>
      <c r="BN248" s="73">
        <f t="shared" si="198"/>
        <v>1</v>
      </c>
      <c r="BO248" s="31" t="str" cm="1">
        <f t="array" ref="BO248">IF(BN248="",""&amp;BL248,IF(BN248="NEMA",BL248,INDEX(regKlub_naziv,MATCH(INDEX(regKlub_alias_klubId,BN248),regKlub_id,0))))</f>
        <v>OK Japetić</v>
      </c>
      <c r="BP248" s="31" t="str" cm="1">
        <f t="array" ref="BP248">IFERROR(""&amp;INDEX(regNatjecatelj_klub,DY248),"")</f>
        <v>OK Japetić</v>
      </c>
      <c r="BQ248" s="88" t="str">
        <f t="shared" si="222"/>
        <v/>
      </c>
      <c r="BR248" s="66" t="str">
        <f t="shared" si="223"/>
        <v>OK Japetić</v>
      </c>
      <c r="BS248" s="47" t="s">
        <v>0</v>
      </c>
      <c r="BT248" s="82" t="str">
        <f>IF(BN248&lt;&gt;"NEMA","",IF(IFERROR(MATCH(BL248,BL$12:BL247,0),0)&lt;&gt;0,"",BL248))</f>
        <v/>
      </c>
      <c r="BU248" s="47" t="s">
        <v>0</v>
      </c>
      <c r="BV248" s="125"/>
      <c r="BW248" s="47" t="s">
        <v>0</v>
      </c>
      <c r="BX248" s="58" t="str">
        <f t="shared" si="224"/>
        <v/>
      </c>
      <c r="BY248" s="31" t="str">
        <f t="shared" si="225"/>
        <v/>
      </c>
      <c r="BZ248" s="31" t="str">
        <f>IF(BY248="","",MAX(BZ$12:BZ247)+1)</f>
        <v/>
      </c>
      <c r="CA248" s="31" t="str">
        <f>IF(BY248="","",IF(AA248="","",IF(AA248="NEMA",AC248,AA248)))</f>
        <v/>
      </c>
      <c r="CB248" s="31" t="str">
        <f t="shared" si="226"/>
        <v/>
      </c>
      <c r="CC248" s="31" t="str">
        <f>IF(BV248="","",MAX(CC$12:CC247)+1)</f>
        <v/>
      </c>
      <c r="CD248" s="31" t="str">
        <f t="shared" si="227"/>
        <v/>
      </c>
      <c r="CE248" s="66" t="str">
        <f t="shared" si="228"/>
        <v/>
      </c>
      <c r="CF248" s="47" t="s">
        <v>0</v>
      </c>
      <c r="CG248" s="73" t="str">
        <f>IF(BN248="","",IF(BN248&lt;&gt;"NEMA","",IFERROR(INDEX(nat_klubAliasId,MATCH(BL248,nat_noviKluboviAliasi,0)),"")))</f>
        <v/>
      </c>
      <c r="CH248" s="47"/>
      <c r="CI248" s="19" t="str">
        <f t="shared" si="229"/>
        <v/>
      </c>
      <c r="CJ248" s="47" t="s">
        <v>0</v>
      </c>
      <c r="CK248" s="52" t="str">
        <f>IF(X248&lt;&gt;"NEMA","",IF(IFERROR(MATCH(W248,W$12:W247,0),0)&lt;&gt;0,"",W248))</f>
        <v/>
      </c>
      <c r="CL248" s="73" t="str">
        <f>IF(CK248="","",IFERROR(INDEX(regKlub_alias_id,MATCH(CK248,regKlub_alias_alias,0)),"NEMA"))</f>
        <v/>
      </c>
      <c r="CM248" s="31" t="str">
        <f>IF(OR(CL248="",CL248&lt;&gt;"NEMA"),"",MAX(CM$12:CM247)+1)</f>
        <v/>
      </c>
      <c r="CN248" s="66" t="str">
        <f>IF(OR(CL248="",CL248&lt;&gt;"NEMA"),"",INDEX(regKlub_id,MATCH(CK248,regKlub_naziv,0)))</f>
        <v/>
      </c>
      <c r="CO248" s="47" t="s">
        <v>0</v>
      </c>
      <c r="CP248" s="19" t="str">
        <f>IF(OR(CL248="",CL248&lt;&gt;"NEMA"),"","INSERT INTO klub_alias(id,alias,klub_id) VALUES ("&amp;CM248&amp;",'"&amp;CK248&amp;"',"&amp;CN248&amp;");")</f>
        <v/>
      </c>
      <c r="CQ248" s="47" t="s">
        <v>0</v>
      </c>
      <c r="CR248" s="143" t="str">
        <f>IF(BR248="","",IF(BV248="",IF(IFERROR(MATCH(BR248,nat_noviKluboviAliasi,0),0)&gt;0,INDEX(nat_kluboviAliasi,MATCH(BR248,nat_noviKluboviAliasi,0)),BR248),BV248))</f>
        <v>OK Japetić</v>
      </c>
      <c r="CS248" s="47" t="s">
        <v>0</v>
      </c>
      <c r="CT248" s="58" t="str">
        <f>IF(G248="","",G248)</f>
        <v>93:22</v>
      </c>
      <c r="CU248" s="73" t="str">
        <f>IF(H248="","",H248)</f>
        <v>0</v>
      </c>
      <c r="CV248" s="229" t="str">
        <f>IF(CT248="",IF(OR(AL248="",CU248&lt;&gt;"0"),"","GREŠKA"),IF(AND(65535&gt;=VALUE(LEFT(CT248,SEARCH(":",CT248)-1))*60+VALUE(RIGHT(CT248,2)),OR(CU248="0",CU248="1",CU248="2",CU248="3",CU248="4")),"","GREŠKA"))</f>
        <v/>
      </c>
      <c r="CW248" s="230">
        <f t="shared" si="183"/>
        <v>5602</v>
      </c>
      <c r="CX248" s="163">
        <f t="shared" si="199"/>
        <v>1</v>
      </c>
      <c r="CY248" s="47" t="s">
        <v>0</v>
      </c>
      <c r="CZ248" s="222" t="str">
        <f>IF(CV248&lt;&gt;"GREŠKA","",AK248&amp;" "&amp;AL248&amp;" – Molim u OEventu provjeriti i ispraviti rezultat – vrijeme ("&amp;IF(CT248="","nije upisano",CT248)&amp;") i classifier ("&amp;CU248&amp;").")&amp;IF(OR(CV248&lt;&gt;"GREŠKA",CX248&lt;&gt;5),"
","")&amp;IF(CX248&lt;&gt;5,"",AK248&amp;" "&amp;AL248&amp;" – Molim u provjeriti je li natjecatelj zaista diskvalificiran. Ako je koje je obrazloženje, ako nije molim u OEventu ispraviti rezultat")</f>
        <v xml:space="preserve">
</v>
      </c>
      <c r="DA248" s="223">
        <f t="shared" si="230"/>
        <v>6</v>
      </c>
      <c r="DB248" s="47" t="s">
        <v>0</v>
      </c>
      <c r="DC248" s="47"/>
      <c r="DD248" s="47"/>
      <c r="DE248" s="47"/>
      <c r="DF248" s="47" t="s">
        <v>0</v>
      </c>
      <c r="DG248" s="53" t="str">
        <f>IF(BD248="","",IF(DI248="O",1,""))</f>
        <v/>
      </c>
      <c r="DH248" t="s">
        <v>0</v>
      </c>
      <c r="DI248" s="128" t="str">
        <f>IF(Q248="","",LEFT(INDEX(regKategorija_oznaka,MATCH(S248,regKategorija_id,0)),1))</f>
        <v>Ž</v>
      </c>
      <c r="DJ248" t="s">
        <v>0</v>
      </c>
      <c r="DK248" s="52" t="str">
        <f>IF(BD248="","",IF(M248&lt;&gt;"CRO","","INSERT INTO osoba (id,reg_broj,oib,spol_id,dat_rodjenja) VALUES ("&amp;BD248&amp;",(SELECT max(os.reg_broj)+1 FROM osoba AS os),Null,'"&amp;DI248&amp;"',Null); INSERT INTO osoba_log (id,reg_broj,oib,spol_id,dat_rodjenja,dnevnik_id) SELECT id,reg_broj,oib,spol_id,dat_rodjenja,"&amp;data_dnevnik_id&amp;" FROM osoba WHERE id = "&amp;BD248&amp;";"))</f>
        <v/>
      </c>
      <c r="DL248" s="66" t="str">
        <f>IF(BD248="","","INSERT INTO imeprezime (id,osoba_id,rbr,ime,prezime,klub_id,identitet_id,sintaksa_id,info,aktivno,dnevnik_id) VALUES ("&amp;BD248&amp;","&amp;IF(DK248="","Null",BD248)&amp;",1,'"&amp;IF(AV248&lt;&gt;"",AV248,AK248)&amp;"','"&amp;IF(AW248&lt;&gt;"",AW248,AL248)&amp;"',(SELECT id FROM klub WHERE naziv = '"&amp;CR248&amp;"'),Null,1,'',1,"&amp;data_dnevnik_id&amp;");")</f>
        <v/>
      </c>
      <c r="DM248" t="s">
        <v>0</v>
      </c>
      <c r="DN248" s="19" t="str">
        <f t="shared" si="238"/>
        <v/>
      </c>
      <c r="DO248" s="47" t="s">
        <v>0</v>
      </c>
      <c r="DP248" s="19" t="str">
        <f>IF(BA248="","","INSERT INTO imeprezime_alias(id,alias,imeprezime_id) VALUES ("&amp;BB248&amp;",'"&amp;BA248&amp;"',"&amp;IF(BC248="NEMA",BD248,BC248)&amp;");")</f>
        <v/>
      </c>
      <c r="DQ248" s="47" t="s">
        <v>0</v>
      </c>
      <c r="DR248" s="52" t="str">
        <f>IF(AL248="","",DU248 &amp; IF(Q248="",""," – " &amp; Q248))</f>
        <v>Jelena – Lesjak – OK Japetić – Ž20</v>
      </c>
      <c r="DS248" s="53">
        <f t="shared" si="200"/>
        <v>106</v>
      </c>
      <c r="DT248" s="47" t="s">
        <v>0</v>
      </c>
      <c r="DU248" s="52" t="str">
        <f>IF(AL248="","",DX248 &amp; IF(CR248="",""," – " &amp; CR248))</f>
        <v>Jelena – Lesjak – OK Japetić</v>
      </c>
      <c r="DV248" s="53">
        <f t="shared" si="201"/>
        <v>106</v>
      </c>
      <c r="DW248" s="47" t="s">
        <v>0</v>
      </c>
      <c r="DX248" s="52" t="str">
        <f>IF(BG248="","",BF248&amp;" – "&amp;BG248)</f>
        <v>Jelena – Lesjak</v>
      </c>
      <c r="DY248" s="53">
        <f t="shared" si="202"/>
        <v>106</v>
      </c>
      <c r="DZ248" s="47" t="s">
        <v>0</v>
      </c>
      <c r="EA248" s="58">
        <f t="shared" si="231"/>
        <v>106</v>
      </c>
      <c r="EB248" s="53" cm="1">
        <f t="array" ref="EB248">IF(EA248&lt;&gt;"",INDEX(regNatjecatelj_id,EA248,0),IF(BD248&lt;&gt;"",BD248,""))</f>
        <v>1469</v>
      </c>
      <c r="EC248" s="47" t="s">
        <v>0</v>
      </c>
      <c r="ED248" s="58" t="str">
        <f>IF(AL248="","",IF(BD248&lt;&gt;"","novo",IF(AN248="","imepre","imepre(ali)")))</f>
        <v>imepre</v>
      </c>
      <c r="EE248" s="73" t="str">
        <f>IF(AL248="","",IF(BL248="",IF(IFERROR(INDEX(regNatjecatelj_klub,MATCH(EB248,regNatjecatelj_id,0)),"NEMA")="","klu",""),IF(OR(AND(BN248&lt;&gt;"",BN248&lt;&gt;"NEMA"),CD248&lt;&gt;""),"klu(ali)",IF(AND(BP248&lt;&gt;"",BP248&lt;&gt;BO248),"(raz-klu)","klu"))))</f>
        <v>klu(ali)</v>
      </c>
      <c r="EF248" s="73" t="str">
        <f>IF(AL248="","","kat"&amp;IF(AND(W248&lt;&gt;Q248,Q248&lt;&gt;"Open"),"(ali)",""))</f>
        <v>kat</v>
      </c>
      <c r="EG248" s="73" t="str">
        <f t="shared" si="203"/>
        <v/>
      </c>
      <c r="EH248" s="66" t="str">
        <f>IF(AL248="","",ED248&amp;IF(ED248="novo","","-"&amp;EE248&amp;"-"&amp;EF248)&amp;IF(EG248="","","-"&amp;EG248))</f>
        <v>imepre-klu(ali)-kat</v>
      </c>
      <c r="EI248" s="47" t="s">
        <v>0</v>
      </c>
      <c r="EJ248" s="58">
        <f>IF(AL248="","",MAX(EJ$12:EJ247)+1)</f>
        <v>403</v>
      </c>
      <c r="EK248" s="73">
        <f>IF(AO248="","",X248)</f>
        <v>38</v>
      </c>
      <c r="EL248" s="73">
        <f t="shared" si="232"/>
        <v>1469</v>
      </c>
      <c r="EM248" s="73">
        <f t="shared" si="204"/>
        <v>5602</v>
      </c>
      <c r="EN248" s="73">
        <f t="shared" si="205"/>
        <v>1</v>
      </c>
      <c r="EO248" s="73">
        <f t="shared" si="233"/>
        <v>1</v>
      </c>
      <c r="EP248" s="73">
        <f t="shared" si="234"/>
        <v>3</v>
      </c>
      <c r="EQ248" s="73" t="str">
        <f t="shared" si="206"/>
        <v>0</v>
      </c>
      <c r="ER248" s="73" t="str">
        <f>IF(OR(AN248="",AN248="NEMA"),BB248,AN248)</f>
        <v/>
      </c>
      <c r="ES248" s="73">
        <f>IF(AND(BN248&lt;&gt;"",BN248&lt;&gt;"NEMA"),BN248,IF(CG248&lt;&gt;"",CG248,IF(AND(CL248&lt;&gt;"",CL248&lt;&gt;"NEMA"),CL248,IF(CM248&lt;&gt;"",CM248,""))))</f>
        <v>1</v>
      </c>
      <c r="ET248" s="53" t="str">
        <f>IF(INDEX(natKategorija_alias_Id,MATCH(S248,natKategorija_katRegId,0))="","",INDEX(natKategorija_alias_Id,MATCH(S248,natKategorija_katRegId,0)))</f>
        <v/>
      </c>
      <c r="EU248" s="47" t="s">
        <v>0</v>
      </c>
      <c r="EV248" s="19" t="str">
        <f t="shared" si="235"/>
        <v>INSERT INTO rezultat(id,stazakategorija_id,imeprezime_id,vrijeme_sec,status_id,registracija,uparivanje_id,originalstatus_id,imeprezimealias_id,klubalias_id,kategorijaalias_id) VALUES (403,38,1469,5602,1,1,3,0,Null,1,Null);</v>
      </c>
      <c r="EW248" s="47" t="s">
        <v>0</v>
      </c>
      <c r="EX248" s="19" t="str">
        <f t="shared" si="236"/>
        <v>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Y248" s="47" t="s">
        <v>0</v>
      </c>
      <c r="EZ248" s="180" t="str">
        <f>AG248&amp;IF(CP248="","","
")&amp;CP248&amp;IF(CI248="","","
")&amp;CI248&amp;IF(DN248="","","
")&amp;DN248&amp;IF(DP248="","","
")&amp;DP248&amp;IF(EV248="","","
")&amp;EV248&amp;IF(EX248="","","
")&amp;EX248</f>
        <v xml:space="preserve">
INSERT INTO rezultat(id,stazakategorija_id,imeprezime_id,vrijeme_sec,status_id,registracija,uparivanje_id,originalstatus_id,imeprezimealias_id,klubalias_id,kategorijaalias_id) VALUES (403,38,1469,5602,1,1,3,0,Null,1,Null);
UPDATE
	registar
SET
	potvrda = 1
WHERE
	imeprezime_id=1469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FA248" s="47" t="s">
        <v>0</v>
      </c>
    </row>
    <row r="249" spans="1:157" x14ac:dyDescent="0.25">
      <c r="A249" t="s">
        <v>0</v>
      </c>
      <c r="B249" s="52" t="str">
        <f>IF(csv!F239="","",csv!T239)</f>
        <v>Ž20</v>
      </c>
      <c r="C249" s="31" t="s">
        <v>0</v>
      </c>
      <c r="D249" s="31" t="str">
        <f>IF(csv!F239="","",csv!F239)</f>
        <v>Nika</v>
      </c>
      <c r="E249" s="31" t="str">
        <f>IF(csv!E239="","",csv!E239)</f>
        <v>Kolarek</v>
      </c>
      <c r="F249" s="31" t="s">
        <v>0</v>
      </c>
      <c r="G249" s="73" t="str">
        <f>IF(csv!M239="","",csv!M239)</f>
        <v>99:37</v>
      </c>
      <c r="H249" s="73" t="str">
        <f>IF(csv!N239="","",csv!N239)</f>
        <v>0</v>
      </c>
      <c r="I249" s="31" t="s">
        <v>0</v>
      </c>
      <c r="J249" s="31" t="str">
        <f>IF(csv!P239="","",csv!P239)</f>
        <v>Vihor</v>
      </c>
      <c r="K249" s="31" t="str">
        <f>IF(csv!Q239="","",csv!Q239)</f>
        <v>OK Vihor</v>
      </c>
      <c r="L249" s="31" t="s">
        <v>0</v>
      </c>
      <c r="M249" s="66" t="str">
        <f>IF(csv!R239="","",csv!R239)</f>
        <v>CRO</v>
      </c>
      <c r="N249" s="47" t="s">
        <v>0</v>
      </c>
      <c r="O249" s="243" t="str">
        <f t="shared" si="207"/>
        <v>ok</v>
      </c>
      <c r="P249" s="47"/>
      <c r="Q249" s="52" t="str">
        <f t="shared" si="208"/>
        <v>Ž20</v>
      </c>
      <c r="R249" s="73">
        <f>IF(Q249="","",IF(COUNTIF(Q$12:Q248,Q249)=0,R248+1,R248))</f>
        <v>16</v>
      </c>
      <c r="S249" s="73">
        <f t="shared" si="209"/>
        <v>119</v>
      </c>
      <c r="T249" s="73">
        <f t="shared" si="184"/>
        <v>28</v>
      </c>
      <c r="U249" s="66" t="str">
        <f t="shared" si="185"/>
        <v>Ž20</v>
      </c>
      <c r="V249" s="47" t="s">
        <v>0</v>
      </c>
      <c r="W249" s="222" t="str">
        <f t="shared" si="186"/>
        <v>Ž20</v>
      </c>
      <c r="X249" s="223">
        <f t="shared" si="187"/>
        <v>38</v>
      </c>
      <c r="Y249" s="47" t="s">
        <v>0</v>
      </c>
      <c r="Z249" s="52" t="str">
        <f t="shared" si="210"/>
        <v>CRO</v>
      </c>
      <c r="AA249" s="73">
        <f t="shared" si="188"/>
        <v>1</v>
      </c>
      <c r="AB249" s="31" t="str">
        <f t="shared" si="211"/>
        <v/>
      </c>
      <c r="AC249" s="66" t="str">
        <f>IF(AB249="","",MAX(AC$12:AC248)+1)</f>
        <v/>
      </c>
      <c r="AD249" s="47" t="s">
        <v>0</v>
      </c>
      <c r="AE249" s="125"/>
      <c r="AF249" s="47" t="s">
        <v>0</v>
      </c>
      <c r="AG249" s="19" t="str">
        <f t="shared" si="212"/>
        <v/>
      </c>
      <c r="AH249" s="47" t="s">
        <v>0</v>
      </c>
      <c r="AI249" s="143" t="str">
        <f t="shared" si="213"/>
        <v>CRO</v>
      </c>
      <c r="AJ249" s="47"/>
      <c r="AK249" s="52" t="str">
        <f t="shared" si="214"/>
        <v>Nika</v>
      </c>
      <c r="AL249" s="31" t="str">
        <f t="shared" si="215"/>
        <v>Kolarek</v>
      </c>
      <c r="AM249" s="73">
        <f t="shared" si="216"/>
        <v>1477</v>
      </c>
      <c r="AN249" s="73" t="str">
        <f t="shared" si="217"/>
        <v/>
      </c>
      <c r="AO249" s="31" t="str">
        <f t="shared" si="189"/>
        <v>Nika</v>
      </c>
      <c r="AP249" s="66" t="str">
        <f t="shared" si="190"/>
        <v>Kolarek</v>
      </c>
      <c r="AQ249" s="47" t="s">
        <v>0</v>
      </c>
      <c r="AR249" s="82" t="str">
        <f t="shared" si="218"/>
        <v/>
      </c>
      <c r="AS249" s="47" t="s">
        <v>0</v>
      </c>
      <c r="AT249" s="19" t="str">
        <f t="shared" si="219"/>
        <v/>
      </c>
      <c r="AU249" s="47" t="s">
        <v>0</v>
      </c>
      <c r="AV249" s="103"/>
      <c r="AW249" s="105"/>
      <c r="AX249" s="47" t="s">
        <v>0</v>
      </c>
      <c r="AY249" s="256" t="str">
        <f t="shared" si="237"/>
        <v/>
      </c>
      <c r="AZ249" s="47" t="s">
        <v>0</v>
      </c>
      <c r="BA249" s="52" t="str">
        <f t="shared" si="191"/>
        <v/>
      </c>
      <c r="BB249" s="73" t="str">
        <f>IF(AV249&amp;AW249="","",MAX(BB$12:BB248)+1)</f>
        <v/>
      </c>
      <c r="BC249" s="268" t="str">
        <f t="shared" si="192"/>
        <v/>
      </c>
      <c r="BD249" s="53" t="str">
        <f>IF(AND(AM249="NEMA",AN249="NEMA",OR(AV249&amp;AW249="",BC249="NEMA")),MAX(BD$12:BD248)+1,"")</f>
        <v/>
      </c>
      <c r="BE249" s="47" t="s">
        <v>0</v>
      </c>
      <c r="BF249" s="52" t="str">
        <f t="shared" si="193"/>
        <v>Nika</v>
      </c>
      <c r="BG249" s="31" t="str">
        <f t="shared" si="194"/>
        <v>Kolarek</v>
      </c>
      <c r="BH249" s="73" t="str">
        <f t="shared" si="220"/>
        <v/>
      </c>
      <c r="BI249" s="53">
        <f t="shared" si="221"/>
        <v>1477</v>
      </c>
      <c r="BJ249" s="47" t="s">
        <v>0</v>
      </c>
      <c r="BK249" s="52" t="str">
        <f t="shared" si="195"/>
        <v>Vihor</v>
      </c>
      <c r="BL249" s="31" t="str">
        <f t="shared" si="196"/>
        <v>OK Vihor</v>
      </c>
      <c r="BM249" s="73">
        <f t="shared" si="197"/>
        <v>12</v>
      </c>
      <c r="BN249" s="73" t="str">
        <f t="shared" si="198"/>
        <v/>
      </c>
      <c r="BO249" s="31" t="str" cm="1">
        <f t="array" ref="BO249">IF(BN249="",""&amp;BL249,IF(BN249="NEMA",BL249,INDEX(regKlub_naziv,MATCH(INDEX(regKlub_alias_klubId,BN249),regKlub_id,0))))</f>
        <v>OK Vihor</v>
      </c>
      <c r="BP249" s="31" t="str" cm="1">
        <f t="array" ref="BP249">IFERROR(""&amp;INDEX(regNatjecatelj_klub,DY249),"")</f>
        <v>OK Vihor</v>
      </c>
      <c r="BQ249" s="88" t="str">
        <f t="shared" si="222"/>
        <v/>
      </c>
      <c r="BR249" s="66" t="str">
        <f t="shared" si="223"/>
        <v>OK Vihor</v>
      </c>
      <c r="BS249" s="47" t="s">
        <v>0</v>
      </c>
      <c r="BT249" s="82" t="str">
        <f>IF(BN249&lt;&gt;"NEMA","",IF(IFERROR(MATCH(BL249,BL$12:BL248,0),0)&lt;&gt;0,"",BL249))</f>
        <v/>
      </c>
      <c r="BU249" s="47" t="s">
        <v>0</v>
      </c>
      <c r="BV249" s="125"/>
      <c r="BW249" s="47" t="s">
        <v>0</v>
      </c>
      <c r="BX249" s="58" t="str">
        <f t="shared" si="224"/>
        <v/>
      </c>
      <c r="BY249" s="31" t="str">
        <f t="shared" si="225"/>
        <v/>
      </c>
      <c r="BZ249" s="31" t="str">
        <f>IF(BY249="","",MAX(BZ$12:BZ248)+1)</f>
        <v/>
      </c>
      <c r="CA249" s="31" t="str">
        <f>IF(BY249="","",IF(AA249="","",IF(AA249="NEMA",AC249,AA249)))</f>
        <v/>
      </c>
      <c r="CB249" s="31" t="str">
        <f t="shared" si="226"/>
        <v/>
      </c>
      <c r="CC249" s="31" t="str">
        <f>IF(BV249="","",MAX(CC$12:CC248)+1)</f>
        <v/>
      </c>
      <c r="CD249" s="31" t="str">
        <f t="shared" si="227"/>
        <v/>
      </c>
      <c r="CE249" s="66" t="str">
        <f t="shared" si="228"/>
        <v/>
      </c>
      <c r="CF249" s="47" t="s">
        <v>0</v>
      </c>
      <c r="CG249" s="73" t="str">
        <f>IF(BN249="","",IF(BN249&lt;&gt;"NEMA","",IFERROR(INDEX(nat_klubAliasId,MATCH(BL249,nat_noviKluboviAliasi,0)),"")))</f>
        <v/>
      </c>
      <c r="CH249" s="47"/>
      <c r="CI249" s="19" t="str">
        <f t="shared" si="229"/>
        <v/>
      </c>
      <c r="CJ249" s="47" t="s">
        <v>0</v>
      </c>
      <c r="CK249" s="52" t="str">
        <f>IF(X249&lt;&gt;"NEMA","",IF(IFERROR(MATCH(W249,W$12:W248,0),0)&lt;&gt;0,"",W249))</f>
        <v/>
      </c>
      <c r="CL249" s="73" t="str">
        <f>IF(CK249="","",IFERROR(INDEX(regKlub_alias_id,MATCH(CK249,regKlub_alias_alias,0)),"NEMA"))</f>
        <v/>
      </c>
      <c r="CM249" s="31" t="str">
        <f>IF(OR(CL249="",CL249&lt;&gt;"NEMA"),"",MAX(CM$12:CM248)+1)</f>
        <v/>
      </c>
      <c r="CN249" s="66" t="str">
        <f>IF(OR(CL249="",CL249&lt;&gt;"NEMA"),"",INDEX(regKlub_id,MATCH(CK249,regKlub_naziv,0)))</f>
        <v/>
      </c>
      <c r="CO249" s="47" t="s">
        <v>0</v>
      </c>
      <c r="CP249" s="19" t="str">
        <f>IF(OR(CL249="",CL249&lt;&gt;"NEMA"),"","INSERT INTO klub_alias(id,alias,klub_id) VALUES ("&amp;CM249&amp;",'"&amp;CK249&amp;"',"&amp;CN249&amp;");")</f>
        <v/>
      </c>
      <c r="CQ249" s="47" t="s">
        <v>0</v>
      </c>
      <c r="CR249" s="143" t="str">
        <f>IF(BR249="","",IF(BV249="",IF(IFERROR(MATCH(BR249,nat_noviKluboviAliasi,0),0)&gt;0,INDEX(nat_kluboviAliasi,MATCH(BR249,nat_noviKluboviAliasi,0)),BR249),BV249))</f>
        <v>OK Vihor</v>
      </c>
      <c r="CS249" s="47" t="s">
        <v>0</v>
      </c>
      <c r="CT249" s="58" t="str">
        <f>IF(G249="","",G249)</f>
        <v>99:37</v>
      </c>
      <c r="CU249" s="73" t="str">
        <f>IF(H249="","",H249)</f>
        <v>0</v>
      </c>
      <c r="CV249" s="229" t="str">
        <f>IF(CT249="",IF(OR(AL249="",CU249&lt;&gt;"0"),"","GREŠKA"),IF(AND(65535&gt;=VALUE(LEFT(CT249,SEARCH(":",CT249)-1))*60+VALUE(RIGHT(CT249,2)),OR(CU249="0",CU249="1",CU249="2",CU249="3",CU249="4")),"","GREŠKA"))</f>
        <v/>
      </c>
      <c r="CW249" s="230">
        <f t="shared" si="183"/>
        <v>5977</v>
      </c>
      <c r="CX249" s="163">
        <f t="shared" si="199"/>
        <v>1</v>
      </c>
      <c r="CY249" s="47" t="s">
        <v>0</v>
      </c>
      <c r="CZ249" s="222" t="str">
        <f>IF(CV249&lt;&gt;"GREŠKA","",AK249&amp;" "&amp;AL249&amp;" – Molim u OEventu provjeriti i ispraviti rezultat – vrijeme ("&amp;IF(CT249="","nije upisano",CT249)&amp;") i classifier ("&amp;CU249&amp;").")&amp;IF(OR(CV249&lt;&gt;"GREŠKA",CX249&lt;&gt;5),"
","")&amp;IF(CX249&lt;&gt;5,"",AK249&amp;" "&amp;AL249&amp;" – Molim u provjeriti je li natjecatelj zaista diskvalificiran. Ako je koje je obrazloženje, ako nije molim u OEventu ispraviti rezultat")</f>
        <v xml:space="preserve">
</v>
      </c>
      <c r="DA249" s="223">
        <f t="shared" si="230"/>
        <v>6</v>
      </c>
      <c r="DB249" s="47" t="s">
        <v>0</v>
      </c>
      <c r="DC249" s="47"/>
      <c r="DD249" s="47"/>
      <c r="DE249" s="47"/>
      <c r="DF249" s="47" t="s">
        <v>0</v>
      </c>
      <c r="DG249" s="53" t="str">
        <f>IF(BD249="","",IF(DI249="O",1,""))</f>
        <v/>
      </c>
      <c r="DH249" t="s">
        <v>0</v>
      </c>
      <c r="DI249" s="128" t="str">
        <f>IF(Q249="","",LEFT(INDEX(regKategorija_oznaka,MATCH(S249,regKategorija_id,0)),1))</f>
        <v>Ž</v>
      </c>
      <c r="DJ249" t="s">
        <v>0</v>
      </c>
      <c r="DK249" s="52" t="str">
        <f>IF(BD249="","",IF(M249&lt;&gt;"CRO","","INSERT INTO osoba (id,reg_broj,oib,spol_id,dat_rodjenja) VALUES ("&amp;BD249&amp;",(SELECT max(os.reg_broj)+1 FROM osoba AS os),Null,'"&amp;DI249&amp;"',Null); INSERT INTO osoba_log (id,reg_broj,oib,spol_id,dat_rodjenja,dnevnik_id) SELECT id,reg_broj,oib,spol_id,dat_rodjenja,"&amp;data_dnevnik_id&amp;" FROM osoba WHERE id = "&amp;BD249&amp;";"))</f>
        <v/>
      </c>
      <c r="DL249" s="66" t="str">
        <f>IF(BD249="","","INSERT INTO imeprezime (id,osoba_id,rbr,ime,prezime,klub_id,identitet_id,sintaksa_id,info,aktivno,dnevnik_id) VALUES ("&amp;BD249&amp;","&amp;IF(DK249="","Null",BD249)&amp;",1,'"&amp;IF(AV249&lt;&gt;"",AV249,AK249)&amp;"','"&amp;IF(AW249&lt;&gt;"",AW249,AL249)&amp;"',(SELECT id FROM klub WHERE naziv = '"&amp;CR249&amp;"'),Null,1,'',1,"&amp;data_dnevnik_id&amp;");")</f>
        <v/>
      </c>
      <c r="DM249" t="s">
        <v>0</v>
      </c>
      <c r="DN249" s="19" t="str">
        <f t="shared" si="238"/>
        <v/>
      </c>
      <c r="DO249" s="47" t="s">
        <v>0</v>
      </c>
      <c r="DP249" s="19" t="str">
        <f>IF(BA249="","","INSERT INTO imeprezime_alias(id,alias,imeprezime_id) VALUES ("&amp;BB249&amp;",'"&amp;BA249&amp;"',"&amp;IF(BC249="NEMA",BD249,BC249)&amp;");")</f>
        <v/>
      </c>
      <c r="DQ249" s="47" t="s">
        <v>0</v>
      </c>
      <c r="DR249" s="52" t="str">
        <f>IF(AL249="","",DU249 &amp; IF(Q249="",""," – " &amp; Q249))</f>
        <v>Nika – Kolarek – OK Vihor – Ž20</v>
      </c>
      <c r="DS249" s="53">
        <f t="shared" si="200"/>
        <v>745</v>
      </c>
      <c r="DT249" s="47" t="s">
        <v>0</v>
      </c>
      <c r="DU249" s="52" t="str">
        <f>IF(AL249="","",DX249 &amp; IF(CR249="",""," – " &amp; CR249))</f>
        <v>Nika – Kolarek – OK Vihor</v>
      </c>
      <c r="DV249" s="53">
        <f t="shared" si="201"/>
        <v>745</v>
      </c>
      <c r="DW249" s="47" t="s">
        <v>0</v>
      </c>
      <c r="DX249" s="52" t="str">
        <f>IF(BG249="","",BF249&amp;" – "&amp;BG249)</f>
        <v>Nika – Kolarek</v>
      </c>
      <c r="DY249" s="53">
        <f t="shared" si="202"/>
        <v>745</v>
      </c>
      <c r="DZ249" s="47" t="s">
        <v>0</v>
      </c>
      <c r="EA249" s="58">
        <f t="shared" si="231"/>
        <v>745</v>
      </c>
      <c r="EB249" s="53" cm="1">
        <f t="array" ref="EB249">IF(EA249&lt;&gt;"",INDEX(regNatjecatelj_id,EA249,0),IF(BD249&lt;&gt;"",BD249,""))</f>
        <v>1477</v>
      </c>
      <c r="EC249" s="47" t="s">
        <v>0</v>
      </c>
      <c r="ED249" s="58" t="str">
        <f>IF(AL249="","",IF(BD249&lt;&gt;"","novo",IF(AN249="","imepre","imepre(ali)")))</f>
        <v>imepre</v>
      </c>
      <c r="EE249" s="73" t="str">
        <f>IF(AL249="","",IF(BL249="",IF(IFERROR(INDEX(regNatjecatelj_klub,MATCH(EB249,regNatjecatelj_id,0)),"NEMA")="","klu",""),IF(OR(AND(BN249&lt;&gt;"",BN249&lt;&gt;"NEMA"),CD249&lt;&gt;""),"klu(ali)",IF(AND(BP249&lt;&gt;"",BP249&lt;&gt;BO249),"(raz-klu)","klu"))))</f>
        <v>klu</v>
      </c>
      <c r="EF249" s="73" t="str">
        <f>IF(AL249="","","kat"&amp;IF(AND(W249&lt;&gt;Q249,Q249&lt;&gt;"Open"),"(ali)",""))</f>
        <v>kat</v>
      </c>
      <c r="EG249" s="73" t="str">
        <f t="shared" si="203"/>
        <v/>
      </c>
      <c r="EH249" s="66" t="str">
        <f>IF(AL249="","",ED249&amp;IF(ED249="novo","","-"&amp;EE249&amp;"-"&amp;EF249)&amp;IF(EG249="","","-"&amp;EG249))</f>
        <v>imepre-klu-kat</v>
      </c>
      <c r="EI249" s="47" t="s">
        <v>0</v>
      </c>
      <c r="EJ249" s="58">
        <f>IF(AL249="","",MAX(EJ$12:EJ248)+1)</f>
        <v>404</v>
      </c>
      <c r="EK249" s="73">
        <f>IF(AO249="","",X249)</f>
        <v>38</v>
      </c>
      <c r="EL249" s="73">
        <f t="shared" si="232"/>
        <v>1477</v>
      </c>
      <c r="EM249" s="73">
        <f t="shared" si="204"/>
        <v>5977</v>
      </c>
      <c r="EN249" s="73">
        <f t="shared" si="205"/>
        <v>1</v>
      </c>
      <c r="EO249" s="73">
        <f t="shared" si="233"/>
        <v>1</v>
      </c>
      <c r="EP249" s="73">
        <f t="shared" si="234"/>
        <v>1</v>
      </c>
      <c r="EQ249" s="73" t="str">
        <f t="shared" si="206"/>
        <v>0</v>
      </c>
      <c r="ER249" s="73" t="str">
        <f>IF(OR(AN249="",AN249="NEMA"),BB249,AN249)</f>
        <v/>
      </c>
      <c r="ES249" s="73" t="str">
        <f>IF(AND(BN249&lt;&gt;"",BN249&lt;&gt;"NEMA"),BN249,IF(CG249&lt;&gt;"",CG249,IF(AND(CL249&lt;&gt;"",CL249&lt;&gt;"NEMA"),CL249,IF(CM249&lt;&gt;"",CM249,""))))</f>
        <v/>
      </c>
      <c r="ET249" s="53" t="str">
        <f>IF(INDEX(natKategorija_alias_Id,MATCH(S249,natKategorija_katRegId,0))="","",INDEX(natKategorija_alias_Id,MATCH(S249,natKategorija_katRegId,0)))</f>
        <v/>
      </c>
      <c r="EU249" s="47" t="s">
        <v>0</v>
      </c>
      <c r="EV249" s="19" t="str">
        <f t="shared" si="235"/>
        <v>INSERT INTO rezultat(id,stazakategorija_id,imeprezime_id,vrijeme_sec,status_id,registracija,uparivanje_id,originalstatus_id,imeprezimealias_id,klubalias_id,kategorijaalias_id) VALUES (404,38,1477,5977,1,1,1,0,Null,Null,Null);</v>
      </c>
      <c r="EW249" s="47" t="s">
        <v>0</v>
      </c>
      <c r="EX249" s="19" t="str">
        <f t="shared" si="236"/>
        <v>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Y249" s="47" t="s">
        <v>0</v>
      </c>
      <c r="EZ249" s="180" t="str">
        <f>AG249&amp;IF(CP249="","","
")&amp;CP249&amp;IF(CI249="","","
")&amp;CI249&amp;IF(DN249="","","
")&amp;DN249&amp;IF(DP249="","","
")&amp;DP249&amp;IF(EV249="","","
")&amp;EV249&amp;IF(EX249="","","
")&amp;EX249</f>
        <v xml:space="preserve">
INSERT INTO rezultat(id,stazakategorija_id,imeprezime_id,vrijeme_sec,status_id,registracija,uparivanje_id,originalstatus_id,imeprezimealias_id,klubalias_id,kategorijaalias_id) VALUES (404,38,1477,5977,1,1,1,0,Null,Null,Null);
UPDATE
	registar
SET
	potvrda = 1
WHERE
	imeprezime_id=1477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FA249" s="47" t="s">
        <v>0</v>
      </c>
    </row>
    <row r="250" spans="1:157" x14ac:dyDescent="0.25">
      <c r="A250" t="s">
        <v>0</v>
      </c>
      <c r="B250" s="52" t="str">
        <f>IF(csv!F240="","",csv!T240)</f>
        <v>Ž20</v>
      </c>
      <c r="C250" s="31" t="s">
        <v>0</v>
      </c>
      <c r="D250" s="31" t="str">
        <f>IF(csv!F240="","",csv!F240)</f>
        <v>Ana</v>
      </c>
      <c r="E250" s="31" t="str">
        <f>IF(csv!E240="","",csv!E240)</f>
        <v>Srebačić</v>
      </c>
      <c r="F250" s="31" t="s">
        <v>0</v>
      </c>
      <c r="G250" s="73" t="str">
        <f>IF(csv!M240="","",csv!M240)</f>
        <v/>
      </c>
      <c r="H250" s="73" t="str">
        <f>IF(csv!N240="","",csv!N240)</f>
        <v>1</v>
      </c>
      <c r="I250" s="31" t="s">
        <v>0</v>
      </c>
      <c r="J250" s="31" t="str">
        <f>IF(csv!P240="","",csv!P240)</f>
        <v>OK Varaždin</v>
      </c>
      <c r="K250" s="31" t="str">
        <f>IF(csv!Q240="","",csv!Q240)</f>
        <v>OK Varaždin</v>
      </c>
      <c r="L250" s="31" t="s">
        <v>0</v>
      </c>
      <c r="M250" s="66" t="str">
        <f>IF(csv!R240="","",csv!R240)</f>
        <v>CRO</v>
      </c>
      <c r="N250" s="47" t="s">
        <v>0</v>
      </c>
      <c r="O250" s="243" t="str">
        <f t="shared" si="207"/>
        <v>ok</v>
      </c>
      <c r="P250" s="47"/>
      <c r="Q250" s="52" t="str">
        <f t="shared" si="208"/>
        <v>Ž20</v>
      </c>
      <c r="R250" s="73">
        <f>IF(Q250="","",IF(COUNTIF(Q$12:Q249,Q250)=0,R249+1,R249))</f>
        <v>16</v>
      </c>
      <c r="S250" s="73">
        <f t="shared" si="209"/>
        <v>119</v>
      </c>
      <c r="T250" s="73">
        <f t="shared" si="184"/>
        <v>28</v>
      </c>
      <c r="U250" s="66" t="str">
        <f t="shared" si="185"/>
        <v>Ž20</v>
      </c>
      <c r="V250" s="47" t="s">
        <v>0</v>
      </c>
      <c r="W250" s="222" t="str">
        <f t="shared" si="186"/>
        <v>Ž20</v>
      </c>
      <c r="X250" s="223">
        <f t="shared" si="187"/>
        <v>38</v>
      </c>
      <c r="Y250" s="47" t="s">
        <v>0</v>
      </c>
      <c r="Z250" s="52" t="str">
        <f t="shared" si="210"/>
        <v>CRO</v>
      </c>
      <c r="AA250" s="73">
        <f t="shared" si="188"/>
        <v>1</v>
      </c>
      <c r="AB250" s="31" t="str">
        <f t="shared" si="211"/>
        <v/>
      </c>
      <c r="AC250" s="66" t="str">
        <f>IF(AB250="","",MAX(AC$12:AC249)+1)</f>
        <v/>
      </c>
      <c r="AD250" s="47" t="s">
        <v>0</v>
      </c>
      <c r="AE250" s="125"/>
      <c r="AF250" s="47" t="s">
        <v>0</v>
      </c>
      <c r="AG250" s="19" t="str">
        <f t="shared" si="212"/>
        <v/>
      </c>
      <c r="AH250" s="47" t="s">
        <v>0</v>
      </c>
      <c r="AI250" s="143" t="str">
        <f t="shared" si="213"/>
        <v>CRO</v>
      </c>
      <c r="AJ250" s="47"/>
      <c r="AK250" s="52" t="str">
        <f t="shared" si="214"/>
        <v>Ana</v>
      </c>
      <c r="AL250" s="31" t="str">
        <f t="shared" si="215"/>
        <v>Srebačić</v>
      </c>
      <c r="AM250" s="73">
        <f t="shared" si="216"/>
        <v>1840</v>
      </c>
      <c r="AN250" s="73" t="str">
        <f t="shared" si="217"/>
        <v/>
      </c>
      <c r="AO250" s="31" t="str">
        <f t="shared" si="189"/>
        <v>Ana</v>
      </c>
      <c r="AP250" s="66" t="str">
        <f t="shared" si="190"/>
        <v>Srebačić</v>
      </c>
      <c r="AQ250" s="47" t="s">
        <v>0</v>
      </c>
      <c r="AR250" s="82" t="str">
        <f t="shared" si="218"/>
        <v/>
      </c>
      <c r="AS250" s="47" t="s">
        <v>0</v>
      </c>
      <c r="AT250" s="19" t="str">
        <f t="shared" si="219"/>
        <v/>
      </c>
      <c r="AU250" s="47" t="s">
        <v>0</v>
      </c>
      <c r="AV250" s="103"/>
      <c r="AW250" s="105"/>
      <c r="AX250" s="47" t="s">
        <v>0</v>
      </c>
      <c r="AY250" s="256" t="str">
        <f t="shared" si="237"/>
        <v/>
      </c>
      <c r="AZ250" s="47" t="s">
        <v>0</v>
      </c>
      <c r="BA250" s="52" t="str">
        <f t="shared" si="191"/>
        <v/>
      </c>
      <c r="BB250" s="73" t="str">
        <f>IF(AV250&amp;AW250="","",MAX(BB$12:BB249)+1)</f>
        <v/>
      </c>
      <c r="BC250" s="268" t="str">
        <f t="shared" si="192"/>
        <v/>
      </c>
      <c r="BD250" s="53" t="str">
        <f>IF(AND(AM250="NEMA",AN250="NEMA",OR(AV250&amp;AW250="",BC250="NEMA")),MAX(BD$12:BD249)+1,"")</f>
        <v/>
      </c>
      <c r="BE250" s="47" t="s">
        <v>0</v>
      </c>
      <c r="BF250" s="52" t="str">
        <f t="shared" si="193"/>
        <v>Ana</v>
      </c>
      <c r="BG250" s="31" t="str">
        <f t="shared" si="194"/>
        <v>Srebačić</v>
      </c>
      <c r="BH250" s="73" t="str">
        <f t="shared" si="220"/>
        <v/>
      </c>
      <c r="BI250" s="53">
        <f t="shared" si="221"/>
        <v>1840</v>
      </c>
      <c r="BJ250" s="47" t="s">
        <v>0</v>
      </c>
      <c r="BK250" s="52" t="str">
        <f t="shared" si="195"/>
        <v>OK Varaždin</v>
      </c>
      <c r="BL250" s="31" t="str">
        <f t="shared" si="196"/>
        <v>OK Varaždin</v>
      </c>
      <c r="BM250" s="73">
        <f t="shared" si="197"/>
        <v>11</v>
      </c>
      <c r="BN250" s="73" t="str">
        <f t="shared" si="198"/>
        <v/>
      </c>
      <c r="BO250" s="31" t="str" cm="1">
        <f t="array" ref="BO250">IF(BN250="",""&amp;BL250,IF(BN250="NEMA",BL250,INDEX(regKlub_naziv,MATCH(INDEX(regKlub_alias_klubId,BN250),regKlub_id,0))))</f>
        <v>OK Varaždin</v>
      </c>
      <c r="BP250" s="31" t="str" cm="1">
        <f t="array" ref="BP250">IFERROR(""&amp;INDEX(regNatjecatelj_klub,DY250),"")</f>
        <v>OK Varaždin</v>
      </c>
      <c r="BQ250" s="88" t="str">
        <f t="shared" si="222"/>
        <v/>
      </c>
      <c r="BR250" s="66" t="str">
        <f t="shared" si="223"/>
        <v>OK Varaždin</v>
      </c>
      <c r="BS250" s="47" t="s">
        <v>0</v>
      </c>
      <c r="BT250" s="82" t="str">
        <f>IF(BN250&lt;&gt;"NEMA","",IF(IFERROR(MATCH(BL250,BL$12:BL249,0),0)&lt;&gt;0,"",BL250))</f>
        <v/>
      </c>
      <c r="BU250" s="47" t="s">
        <v>0</v>
      </c>
      <c r="BV250" s="125"/>
      <c r="BW250" s="47" t="s">
        <v>0</v>
      </c>
      <c r="BX250" s="58" t="str">
        <f t="shared" si="224"/>
        <v/>
      </c>
      <c r="BY250" s="31" t="str">
        <f t="shared" si="225"/>
        <v/>
      </c>
      <c r="BZ250" s="31" t="str">
        <f>IF(BY250="","",MAX(BZ$12:BZ249)+1)</f>
        <v/>
      </c>
      <c r="CA250" s="31" t="str">
        <f>IF(BY250="","",IF(AA250="","",IF(AA250="NEMA",AC250,AA250)))</f>
        <v/>
      </c>
      <c r="CB250" s="31" t="str">
        <f t="shared" si="226"/>
        <v/>
      </c>
      <c r="CC250" s="31" t="str">
        <f>IF(BV250="","",MAX(CC$12:CC249)+1)</f>
        <v/>
      </c>
      <c r="CD250" s="31" t="str">
        <f t="shared" si="227"/>
        <v/>
      </c>
      <c r="CE250" s="66" t="str">
        <f t="shared" si="228"/>
        <v/>
      </c>
      <c r="CF250" s="47" t="s">
        <v>0</v>
      </c>
      <c r="CG250" s="73" t="str">
        <f>IF(BN250="","",IF(BN250&lt;&gt;"NEMA","",IFERROR(INDEX(nat_klubAliasId,MATCH(BL250,nat_noviKluboviAliasi,0)),"")))</f>
        <v/>
      </c>
      <c r="CH250" s="47"/>
      <c r="CI250" s="19" t="str">
        <f t="shared" si="229"/>
        <v/>
      </c>
      <c r="CJ250" s="47" t="s">
        <v>0</v>
      </c>
      <c r="CK250" s="52" t="str">
        <f>IF(X250&lt;&gt;"NEMA","",IF(IFERROR(MATCH(W250,W$12:W249,0),0)&lt;&gt;0,"",W250))</f>
        <v/>
      </c>
      <c r="CL250" s="73" t="str">
        <f>IF(CK250="","",IFERROR(INDEX(regKlub_alias_id,MATCH(CK250,regKlub_alias_alias,0)),"NEMA"))</f>
        <v/>
      </c>
      <c r="CM250" s="31" t="str">
        <f>IF(OR(CL250="",CL250&lt;&gt;"NEMA"),"",MAX(CM$12:CM249)+1)</f>
        <v/>
      </c>
      <c r="CN250" s="66" t="str">
        <f>IF(OR(CL250="",CL250&lt;&gt;"NEMA"),"",INDEX(regKlub_id,MATCH(CK250,regKlub_naziv,0)))</f>
        <v/>
      </c>
      <c r="CO250" s="47" t="s">
        <v>0</v>
      </c>
      <c r="CP250" s="19" t="str">
        <f>IF(OR(CL250="",CL250&lt;&gt;"NEMA"),"","INSERT INTO klub_alias(id,alias,klub_id) VALUES ("&amp;CM250&amp;",'"&amp;CK250&amp;"',"&amp;CN250&amp;");")</f>
        <v/>
      </c>
      <c r="CQ250" s="47" t="s">
        <v>0</v>
      </c>
      <c r="CR250" s="143" t="str">
        <f>IF(BR250="","",IF(BV250="",IF(IFERROR(MATCH(BR250,nat_noviKluboviAliasi,0),0)&gt;0,INDEX(nat_kluboviAliasi,MATCH(BR250,nat_noviKluboviAliasi,0)),BR250),BV250))</f>
        <v>OK Varaždin</v>
      </c>
      <c r="CS250" s="47" t="s">
        <v>0</v>
      </c>
      <c r="CT250" s="58" t="str">
        <f>IF(G250="","",G250)</f>
        <v/>
      </c>
      <c r="CU250" s="73" t="str">
        <f>IF(H250="","",H250)</f>
        <v>1</v>
      </c>
      <c r="CV250" s="229" t="str">
        <f>IF(CT250="",IF(OR(AL250="",CU250&lt;&gt;"0"),"","GREŠKA"),IF(AND(65535&gt;=VALUE(LEFT(CT250,SEARCH(":",CT250)-1))*60+VALUE(RIGHT(CT250,2)),OR(CU250="0",CU250="1",CU250="2",CU250="3",CU250="4")),"","GREŠKA"))</f>
        <v/>
      </c>
      <c r="CW250" s="230" t="str">
        <f t="shared" si="183"/>
        <v/>
      </c>
      <c r="CX250" s="163">
        <f t="shared" si="199"/>
        <v>6</v>
      </c>
      <c r="CY250" s="47" t="s">
        <v>0</v>
      </c>
      <c r="CZ250" s="222" t="str">
        <f>IF(CV250&lt;&gt;"GREŠKA","",AK250&amp;" "&amp;AL250&amp;" – Molim u OEventu provjeriti i ispraviti rezultat – vrijeme ("&amp;IF(CT250="","nije upisano",CT250)&amp;") i classifier ("&amp;CU250&amp;").")&amp;IF(OR(CV250&lt;&gt;"GREŠKA",CX250&lt;&gt;5),"
","")&amp;IF(CX250&lt;&gt;5,"",AK250&amp;" "&amp;AL250&amp;" – Molim u provjeriti je li natjecatelj zaista diskvalificiran. Ako je koje je obrazloženje, ako nije molim u OEventu ispraviti rezultat")</f>
        <v xml:space="preserve">
</v>
      </c>
      <c r="DA250" s="223" t="e">
        <f t="shared" si="230"/>
        <v>#N/A</v>
      </c>
      <c r="DB250" s="47" t="s">
        <v>0</v>
      </c>
      <c r="DC250" s="47"/>
      <c r="DD250" s="47"/>
      <c r="DE250" s="47"/>
      <c r="DF250" s="47" t="s">
        <v>0</v>
      </c>
      <c r="DG250" s="53" t="str">
        <f>IF(BD250="","",IF(DI250="O",1,""))</f>
        <v/>
      </c>
      <c r="DH250" t="s">
        <v>0</v>
      </c>
      <c r="DI250" s="128" t="str">
        <f>IF(Q250="","",LEFT(INDEX(regKategorija_oznaka,MATCH(S250,regKategorija_id,0)),1))</f>
        <v>Ž</v>
      </c>
      <c r="DJ250" t="s">
        <v>0</v>
      </c>
      <c r="DK250" s="52" t="str">
        <f>IF(BD250="","",IF(M250&lt;&gt;"CRO","","INSERT INTO osoba (id,reg_broj,oib,spol_id,dat_rodjenja) VALUES ("&amp;BD250&amp;",(SELECT max(os.reg_broj)+1 FROM osoba AS os),Null,'"&amp;DI250&amp;"',Null); INSERT INTO osoba_log (id,reg_broj,oib,spol_id,dat_rodjenja,dnevnik_id) SELECT id,reg_broj,oib,spol_id,dat_rodjenja,"&amp;data_dnevnik_id&amp;" FROM osoba WHERE id = "&amp;BD250&amp;";"))</f>
        <v/>
      </c>
      <c r="DL250" s="66" t="str">
        <f>IF(BD250="","","INSERT INTO imeprezime (id,osoba_id,rbr,ime,prezime,klub_id,identitet_id,sintaksa_id,info,aktivno,dnevnik_id) VALUES ("&amp;BD250&amp;","&amp;IF(DK250="","Null",BD250)&amp;",1,'"&amp;IF(AV250&lt;&gt;"",AV250,AK250)&amp;"','"&amp;IF(AW250&lt;&gt;"",AW250,AL250)&amp;"',(SELECT id FROM klub WHERE naziv = '"&amp;CR250&amp;"'),Null,1,'',1,"&amp;data_dnevnik_id&amp;");")</f>
        <v/>
      </c>
      <c r="DM250" t="s">
        <v>0</v>
      </c>
      <c r="DN250" s="19" t="str">
        <f t="shared" si="238"/>
        <v/>
      </c>
      <c r="DO250" s="47" t="s">
        <v>0</v>
      </c>
      <c r="DP250" s="19" t="str">
        <f>IF(BA250="","","INSERT INTO imeprezime_alias(id,alias,imeprezime_id) VALUES ("&amp;BB250&amp;",'"&amp;BA250&amp;"',"&amp;IF(BC250="NEMA",BD250,BC250)&amp;");")</f>
        <v/>
      </c>
      <c r="DQ250" s="47" t="s">
        <v>0</v>
      </c>
      <c r="DR250" s="52" t="str">
        <f>IF(AL250="","",DU250 &amp; IF(Q250="",""," – " &amp; Q250))</f>
        <v>Ana – Srebačić – OK Varaždin – Ž20</v>
      </c>
      <c r="DS250" s="53">
        <f t="shared" si="200"/>
        <v>592</v>
      </c>
      <c r="DT250" s="47" t="s">
        <v>0</v>
      </c>
      <c r="DU250" s="52" t="str">
        <f>IF(AL250="","",DX250 &amp; IF(CR250="",""," – " &amp; CR250))</f>
        <v>Ana – Srebačić – OK Varaždin</v>
      </c>
      <c r="DV250" s="53">
        <f t="shared" si="201"/>
        <v>592</v>
      </c>
      <c r="DW250" s="47" t="s">
        <v>0</v>
      </c>
      <c r="DX250" s="52" t="str">
        <f>IF(BG250="","",BF250&amp;" – "&amp;BG250)</f>
        <v>Ana – Srebačić</v>
      </c>
      <c r="DY250" s="53">
        <f t="shared" si="202"/>
        <v>592</v>
      </c>
      <c r="DZ250" s="47" t="s">
        <v>0</v>
      </c>
      <c r="EA250" s="58">
        <f t="shared" si="231"/>
        <v>592</v>
      </c>
      <c r="EB250" s="53" cm="1">
        <f t="array" ref="EB250">IF(EA250&lt;&gt;"",INDEX(regNatjecatelj_id,EA250,0),IF(BD250&lt;&gt;"",BD250,""))</f>
        <v>1840</v>
      </c>
      <c r="EC250" s="47" t="s">
        <v>0</v>
      </c>
      <c r="ED250" s="58" t="str">
        <f>IF(AL250="","",IF(BD250&lt;&gt;"","novo",IF(AN250="","imepre","imepre(ali)")))</f>
        <v>imepre</v>
      </c>
      <c r="EE250" s="73" t="str">
        <f>IF(AL250="","",IF(BL250="",IF(IFERROR(INDEX(regNatjecatelj_klub,MATCH(EB250,regNatjecatelj_id,0)),"NEMA")="","klu",""),IF(OR(AND(BN250&lt;&gt;"",BN250&lt;&gt;"NEMA"),CD250&lt;&gt;""),"klu(ali)",IF(AND(BP250&lt;&gt;"",BP250&lt;&gt;BO250),"(raz-klu)","klu"))))</f>
        <v>klu</v>
      </c>
      <c r="EF250" s="73" t="str">
        <f>IF(AL250="","","kat"&amp;IF(AND(W250&lt;&gt;Q250,Q250&lt;&gt;"Open"),"(ali)",""))</f>
        <v>kat</v>
      </c>
      <c r="EG250" s="73" t="str">
        <f t="shared" si="203"/>
        <v/>
      </c>
      <c r="EH250" s="66" t="str">
        <f>IF(AL250="","",ED250&amp;IF(ED250="novo","","-"&amp;EE250&amp;"-"&amp;EF250)&amp;IF(EG250="","","-"&amp;EG250))</f>
        <v>imepre-klu-kat</v>
      </c>
      <c r="EI250" s="47" t="s">
        <v>0</v>
      </c>
      <c r="EJ250" s="58">
        <f>IF(AL250="","",MAX(EJ$12:EJ249)+1)</f>
        <v>405</v>
      </c>
      <c r="EK250" s="73">
        <f>IF(AO250="","",X250)</f>
        <v>38</v>
      </c>
      <c r="EL250" s="73">
        <f t="shared" si="232"/>
        <v>1840</v>
      </c>
      <c r="EM250" s="73" t="str">
        <f t="shared" si="204"/>
        <v/>
      </c>
      <c r="EN250" s="73">
        <f t="shared" si="205"/>
        <v>6</v>
      </c>
      <c r="EO250" s="73">
        <f t="shared" si="233"/>
        <v>1</v>
      </c>
      <c r="EP250" s="73">
        <f t="shared" si="234"/>
        <v>1</v>
      </c>
      <c r="EQ250" s="73" t="str">
        <f t="shared" si="206"/>
        <v>1</v>
      </c>
      <c r="ER250" s="73" t="str">
        <f>IF(OR(AN250="",AN250="NEMA"),BB250,AN250)</f>
        <v/>
      </c>
      <c r="ES250" s="73" t="str">
        <f>IF(AND(BN250&lt;&gt;"",BN250&lt;&gt;"NEMA"),BN250,IF(CG250&lt;&gt;"",CG250,IF(AND(CL250&lt;&gt;"",CL250&lt;&gt;"NEMA"),CL250,IF(CM250&lt;&gt;"",CM250,""))))</f>
        <v/>
      </c>
      <c r="ET250" s="53" t="str">
        <f>IF(INDEX(natKategorija_alias_Id,MATCH(S250,natKategorija_katRegId,0))="","",INDEX(natKategorija_alias_Id,MATCH(S250,natKategorija_katRegId,0)))</f>
        <v/>
      </c>
      <c r="EU250" s="47" t="s">
        <v>0</v>
      </c>
      <c r="EV250" s="19" t="str">
        <f t="shared" si="235"/>
        <v>INSERT INTO rezultat(id,stazakategorija_id,imeprezime_id,vrijeme_sec,status_id,registracija,uparivanje_id,originalstatus_id,imeprezimealias_id,klubalias_id,kategorijaalias_id) VALUES (405,38,1840,Null,6,1,1,1,Null,Null,Null);</v>
      </c>
      <c r="EW250" s="47" t="s">
        <v>0</v>
      </c>
      <c r="EX250" s="19" t="str">
        <f t="shared" si="236"/>
        <v>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EY250" s="47" t="s">
        <v>0</v>
      </c>
      <c r="EZ250" s="180" t="str">
        <f>AG250&amp;IF(CP250="","","
")&amp;CP250&amp;IF(CI250="","","
")&amp;CI250&amp;IF(DN250="","","
")&amp;DN250&amp;IF(DP250="","","
")&amp;DP250&amp;IF(EV250="","","
")&amp;EV250&amp;IF(EX250="","","
")&amp;EX250</f>
        <v xml:space="preserve">
INSERT INTO rezultat(id,stazakategorija_id,imeprezime_id,vrijeme_sec,status_id,registracija,uparivanje_id,originalstatus_id,imeprezimealias_id,klubalias_id,kategorijaalias_id) VALUES (405,38,1840,Null,6,1,1,1,Null,Null,Null);
UPDATE
	registar
SET
	potvrda = 1
WHERE
	imeprezime_id=1840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38)
                         		AND
                         	kategorija_liga.liga_id = 101)
		AND
	datum_od &lt;= '2021-04-18'
    	AND
    datum_do is Null;</v>
      </c>
      <c r="FA250" s="47" t="s">
        <v>0</v>
      </c>
    </row>
    <row r="251" spans="1:157" x14ac:dyDescent="0.25">
      <c r="A251" t="s">
        <v>0</v>
      </c>
      <c r="B251" s="52" t="str">
        <f>IF(csv!F241="","",csv!T241)</f>
        <v>Ž20</v>
      </c>
      <c r="C251" s="31" t="s">
        <v>0</v>
      </c>
      <c r="D251" s="31" t="str">
        <f>IF(csv!F241="","",csv!F241)</f>
        <v>Vacant</v>
      </c>
      <c r="E251" s="31" t="str">
        <f>IF(csv!E241="","",csv!E241)</f>
        <v/>
      </c>
      <c r="F251" s="31" t="s">
        <v>0</v>
      </c>
      <c r="G251" s="73" t="str">
        <f>IF(csv!M241="","",csv!M241)</f>
        <v/>
      </c>
      <c r="H251" s="73" t="str">
        <f>IF(csv!N241="","",csv!N241)</f>
        <v>0</v>
      </c>
      <c r="I251" s="31" t="s">
        <v>0</v>
      </c>
      <c r="J251" s="31" t="str">
        <f>IF(csv!P241="","",csv!P241)</f>
        <v/>
      </c>
      <c r="K251" s="31" t="str">
        <f>IF(csv!Q241="","",csv!Q241)</f>
        <v/>
      </c>
      <c r="L251" s="31" t="s">
        <v>0</v>
      </c>
      <c r="M251" s="66" t="str">
        <f>IF(csv!R241="","",csv!R241)</f>
        <v/>
      </c>
      <c r="N251" s="47" t="s">
        <v>0</v>
      </c>
      <c r="O251" s="243" t="str">
        <f t="shared" si="207"/>
        <v/>
      </c>
      <c r="P251" s="47"/>
      <c r="Q251" s="52" t="str">
        <f t="shared" si="208"/>
        <v>Ž20</v>
      </c>
      <c r="R251" s="73">
        <f>IF(Q251="","",IF(COUNTIF(Q$12:Q250,Q251)=0,R250+1,R250))</f>
        <v>16</v>
      </c>
      <c r="S251" s="73">
        <f t="shared" si="209"/>
        <v>119</v>
      </c>
      <c r="T251" s="73">
        <f t="shared" si="184"/>
        <v>28</v>
      </c>
      <c r="U251" s="66" t="str">
        <f t="shared" si="185"/>
        <v>Ž20</v>
      </c>
      <c r="V251" s="47" t="s">
        <v>0</v>
      </c>
      <c r="W251" s="222" t="str">
        <f t="shared" si="186"/>
        <v/>
      </c>
      <c r="X251" s="223" t="str">
        <f t="shared" si="187"/>
        <v/>
      </c>
      <c r="Y251" s="47" t="s">
        <v>0</v>
      </c>
      <c r="Z251" s="52" t="str">
        <f t="shared" si="210"/>
        <v/>
      </c>
      <c r="AA251" s="73" t="str">
        <f t="shared" si="188"/>
        <v/>
      </c>
      <c r="AB251" s="31" t="str">
        <f t="shared" si="211"/>
        <v/>
      </c>
      <c r="AC251" s="66" t="str">
        <f>IF(AB251="","",MAX(AC$12:AC250)+1)</f>
        <v/>
      </c>
      <c r="AD251" s="47" t="s">
        <v>0</v>
      </c>
      <c r="AE251" s="125"/>
      <c r="AF251" s="47" t="s">
        <v>0</v>
      </c>
      <c r="AG251" s="19" t="str">
        <f t="shared" si="212"/>
        <v/>
      </c>
      <c r="AH251" s="47" t="s">
        <v>0</v>
      </c>
      <c r="AI251" s="143" t="str">
        <f t="shared" si="213"/>
        <v/>
      </c>
      <c r="AJ251" s="47"/>
      <c r="AK251" s="52" t="str">
        <f t="shared" si="214"/>
        <v/>
      </c>
      <c r="AL251" s="31" t="str">
        <f t="shared" si="215"/>
        <v/>
      </c>
      <c r="AM251" s="73" t="str">
        <f t="shared" si="216"/>
        <v/>
      </c>
      <c r="AN251" s="73" t="str">
        <f t="shared" si="217"/>
        <v/>
      </c>
      <c r="AO251" s="31" t="str">
        <f t="shared" si="189"/>
        <v/>
      </c>
      <c r="AP251" s="66" t="str">
        <f t="shared" si="190"/>
        <v/>
      </c>
      <c r="AQ251" s="47" t="s">
        <v>0</v>
      </c>
      <c r="AR251" s="82" t="str">
        <f t="shared" si="218"/>
        <v/>
      </c>
      <c r="AS251" s="47" t="s">
        <v>0</v>
      </c>
      <c r="AT251" s="19" t="str">
        <f t="shared" si="219"/>
        <v/>
      </c>
      <c r="AU251" s="47" t="s">
        <v>0</v>
      </c>
      <c r="AV251" s="103"/>
      <c r="AW251" s="105"/>
      <c r="AX251" s="47" t="s">
        <v>0</v>
      </c>
      <c r="AY251" s="256" t="str">
        <f t="shared" si="237"/>
        <v/>
      </c>
      <c r="AZ251" s="47" t="s">
        <v>0</v>
      </c>
      <c r="BA251" s="52" t="str">
        <f t="shared" si="191"/>
        <v/>
      </c>
      <c r="BB251" s="73" t="str">
        <f>IF(AV251&amp;AW251="","",MAX(BB$12:BB250)+1)</f>
        <v/>
      </c>
      <c r="BC251" s="268" t="str">
        <f t="shared" si="192"/>
        <v/>
      </c>
      <c r="BD251" s="53" t="str">
        <f>IF(AND(AM251="NEMA",AN251="NEMA",OR(AV251&amp;AW251="",BC251="NEMA")),MAX(BD$12:BD250)+1,"")</f>
        <v/>
      </c>
      <c r="BE251" s="47" t="s">
        <v>0</v>
      </c>
      <c r="BF251" s="52" t="str">
        <f t="shared" si="193"/>
        <v/>
      </c>
      <c r="BG251" s="31" t="str">
        <f t="shared" si="194"/>
        <v/>
      </c>
      <c r="BH251" s="73" t="str">
        <f t="shared" si="220"/>
        <v/>
      </c>
      <c r="BI251" s="53" t="str">
        <f t="shared" si="221"/>
        <v/>
      </c>
      <c r="BJ251" s="47" t="s">
        <v>0</v>
      </c>
      <c r="BK251" s="52" t="str">
        <f t="shared" si="195"/>
        <v/>
      </c>
      <c r="BL251" s="31" t="str">
        <f t="shared" si="196"/>
        <v/>
      </c>
      <c r="BM251" s="73" t="str">
        <f t="shared" si="197"/>
        <v/>
      </c>
      <c r="BN251" s="73" t="str">
        <f t="shared" si="198"/>
        <v/>
      </c>
      <c r="BO251" s="31" t="str" cm="1">
        <f t="array" ref="BO251">IF(BN251="",""&amp;BL251,IF(BN251="NEMA",BL251,INDEX(regKlub_naziv,MATCH(INDEX(regKlub_alias_klubId,BN251),regKlub_id,0))))</f>
        <v/>
      </c>
      <c r="BP251" s="31" t="str" cm="1">
        <f t="array" ref="BP251">IFERROR(""&amp;INDEX(regNatjecatelj_klub,DY251),"")</f>
        <v/>
      </c>
      <c r="BQ251" s="88" t="str">
        <f t="shared" si="222"/>
        <v/>
      </c>
      <c r="BR251" s="66" t="str">
        <f t="shared" si="223"/>
        <v/>
      </c>
      <c r="BS251" s="47" t="s">
        <v>0</v>
      </c>
      <c r="BT251" s="82" t="str">
        <f>IF(BN251&lt;&gt;"NEMA","",IF(IFERROR(MATCH(BL251,BL$12:BL250,0),0)&lt;&gt;0,"",BL251))</f>
        <v/>
      </c>
      <c r="BU251" s="47" t="s">
        <v>0</v>
      </c>
      <c r="BV251" s="125"/>
      <c r="BW251" s="47" t="s">
        <v>0</v>
      </c>
      <c r="BX251" s="58" t="str">
        <f t="shared" si="224"/>
        <v/>
      </c>
      <c r="BY251" s="31" t="str">
        <f t="shared" si="225"/>
        <v/>
      </c>
      <c r="BZ251" s="31" t="str">
        <f>IF(BY251="","",MAX(BZ$12:BZ250)+1)</f>
        <v/>
      </c>
      <c r="CA251" s="31" t="str">
        <f>IF(BY251="","",IF(AA251="","",IF(AA251="NEMA",AC251,AA251)))</f>
        <v/>
      </c>
      <c r="CB251" s="31" t="str">
        <f t="shared" si="226"/>
        <v/>
      </c>
      <c r="CC251" s="31" t="str">
        <f>IF(BV251="","",MAX(CC$12:CC250)+1)</f>
        <v/>
      </c>
      <c r="CD251" s="31" t="str">
        <f t="shared" si="227"/>
        <v/>
      </c>
      <c r="CE251" s="66" t="str">
        <f t="shared" si="228"/>
        <v/>
      </c>
      <c r="CF251" s="47" t="s">
        <v>0</v>
      </c>
      <c r="CG251" s="73" t="str">
        <f>IF(BN251="","",IF(BN251&lt;&gt;"NEMA","",IFERROR(INDEX(nat_klubAliasId,MATCH(BL251,nat_noviKluboviAliasi,0)),"")))</f>
        <v/>
      </c>
      <c r="CH251" s="47"/>
      <c r="CI251" s="19" t="str">
        <f t="shared" si="229"/>
        <v/>
      </c>
      <c r="CJ251" s="47" t="s">
        <v>0</v>
      </c>
      <c r="CK251" s="52" t="str">
        <f>IF(X251&lt;&gt;"NEMA","",IF(IFERROR(MATCH(W251,W$12:W250,0),0)&lt;&gt;0,"",W251))</f>
        <v/>
      </c>
      <c r="CL251" s="73" t="str">
        <f>IF(CK251="","",IFERROR(INDEX(regKlub_alias_id,MATCH(CK251,regKlub_alias_alias,0)),"NEMA"))</f>
        <v/>
      </c>
      <c r="CM251" s="31" t="str">
        <f>IF(OR(CL251="",CL251&lt;&gt;"NEMA"),"",MAX(CM$12:CM250)+1)</f>
        <v/>
      </c>
      <c r="CN251" s="66" t="str">
        <f>IF(OR(CL251="",CL251&lt;&gt;"NEMA"),"",INDEX(regKlub_id,MATCH(CK251,regKlub_naziv,0)))</f>
        <v/>
      </c>
      <c r="CO251" s="47" t="s">
        <v>0</v>
      </c>
      <c r="CP251" s="19" t="str">
        <f>IF(OR(CL251="",CL251&lt;&gt;"NEMA"),"","INSERT INTO klub_alias(id,alias,klub_id) VALUES ("&amp;CM251&amp;",'"&amp;CK251&amp;"',"&amp;CN251&amp;");")</f>
        <v/>
      </c>
      <c r="CQ251" s="47" t="s">
        <v>0</v>
      </c>
      <c r="CR251" s="143" t="str">
        <f>IF(BR251="","",IF(BV251="",IF(IFERROR(MATCH(BR251,nat_noviKluboviAliasi,0),0)&gt;0,INDEX(nat_kluboviAliasi,MATCH(BR251,nat_noviKluboviAliasi,0)),BR251),BV251))</f>
        <v/>
      </c>
      <c r="CS251" s="47" t="s">
        <v>0</v>
      </c>
      <c r="CT251" s="58" t="str">
        <f>IF(G251="","",G251)</f>
        <v/>
      </c>
      <c r="CU251" s="73" t="str">
        <f>IF(H251="","",H251)</f>
        <v>0</v>
      </c>
      <c r="CV251" s="229" t="str">
        <f>IF(CT251="",IF(OR(AL251="",CU251&lt;&gt;"0"),"","GREŠKA"),IF(AND(65535&gt;=VALUE(LEFT(CT251,SEARCH(":",CT251)-1))*60+VALUE(RIGHT(CT251,2)),OR(CU251="0",CU251="1",CU251="2",CU251="3",CU251="4")),"","GREŠKA"))</f>
        <v/>
      </c>
      <c r="CW251" s="230" t="str">
        <f t="shared" si="183"/>
        <v/>
      </c>
      <c r="CX251" s="163" t="str">
        <f t="shared" si="199"/>
        <v/>
      </c>
      <c r="CY251" s="47" t="s">
        <v>0</v>
      </c>
      <c r="CZ251" s="222" t="str">
        <f>IF(CV251&lt;&gt;"GREŠKA","",AK251&amp;" "&amp;AL251&amp;" – Molim u OEventu provjeriti i ispraviti rezultat – vrijeme ("&amp;IF(CT251="","nije upisano",CT251)&amp;") i classifier ("&amp;CU251&amp;").")&amp;IF(OR(CV251&lt;&gt;"GREŠKA",CX251&lt;&gt;5),"
","")&amp;IF(CX251&lt;&gt;5,"",AK251&amp;" "&amp;AL251&amp;" – Molim u provjeriti je li natjecatelj zaista diskvalificiran. Ako je koje je obrazloženje, ako nije molim u OEventu ispraviti rezultat")</f>
        <v xml:space="preserve">
</v>
      </c>
      <c r="DA251" s="223" t="str">
        <f t="shared" si="230"/>
        <v/>
      </c>
      <c r="DB251" s="47" t="s">
        <v>0</v>
      </c>
      <c r="DC251" s="47"/>
      <c r="DD251" s="47"/>
      <c r="DE251" s="47"/>
      <c r="DF251" s="47" t="s">
        <v>0</v>
      </c>
      <c r="DG251" s="53" t="str">
        <f>IF(BD251="","",IF(DI251="O",1,""))</f>
        <v/>
      </c>
      <c r="DH251" t="s">
        <v>0</v>
      </c>
      <c r="DI251" s="128" t="str">
        <f>IF(Q251="","",LEFT(INDEX(regKategorija_oznaka,MATCH(S251,regKategorija_id,0)),1))</f>
        <v>Ž</v>
      </c>
      <c r="DJ251" t="s">
        <v>0</v>
      </c>
      <c r="DK251" s="52" t="str">
        <f>IF(BD251="","",IF(M251&lt;&gt;"CRO","","INSERT INTO osoba (id,reg_broj,oib,spol_id,dat_rodjenja) VALUES ("&amp;BD251&amp;",(SELECT max(os.reg_broj)+1 FROM osoba AS os),Null,'"&amp;DI251&amp;"',Null); INSERT INTO osoba_log (id,reg_broj,oib,spol_id,dat_rodjenja,dnevnik_id) SELECT id,reg_broj,oib,spol_id,dat_rodjenja,"&amp;data_dnevnik_id&amp;" FROM osoba WHERE id = "&amp;BD251&amp;";"))</f>
        <v/>
      </c>
      <c r="DL251" s="66" t="str">
        <f>IF(BD251="","","INSERT INTO imeprezime (id,osoba_id,rbr,ime,prezime,klub_id,identitet_id,sintaksa_id,info,aktivno,dnevnik_id) VALUES ("&amp;BD251&amp;","&amp;IF(DK251="","Null",BD251)&amp;",1,'"&amp;IF(AV251&lt;&gt;"",AV251,AK251)&amp;"','"&amp;IF(AW251&lt;&gt;"",AW251,AL251)&amp;"',(SELECT id FROM klub WHERE naziv = '"&amp;CR251&amp;"'),Null,1,'',1,"&amp;data_dnevnik_id&amp;");")</f>
        <v/>
      </c>
      <c r="DM251" t="s">
        <v>0</v>
      </c>
      <c r="DN251" s="19" t="str">
        <f t="shared" si="238"/>
        <v/>
      </c>
      <c r="DO251" s="47" t="s">
        <v>0</v>
      </c>
      <c r="DP251" s="19" t="str">
        <f>IF(BA251="","","INSERT INTO imeprezime_alias(id,alias,imeprezime_id) VALUES ("&amp;BB251&amp;",'"&amp;BA251&amp;"',"&amp;IF(BC251="NEMA",BD251,BC251)&amp;");")</f>
        <v/>
      </c>
      <c r="DQ251" s="47" t="s">
        <v>0</v>
      </c>
      <c r="DR251" s="52" t="str">
        <f>IF(AL251="","",DU251 &amp; IF(Q251="",""," – " &amp; Q251))</f>
        <v/>
      </c>
      <c r="DS251" s="53" t="str">
        <f t="shared" si="200"/>
        <v/>
      </c>
      <c r="DT251" s="47" t="s">
        <v>0</v>
      </c>
      <c r="DU251" s="52" t="str">
        <f>IF(AL251="","",DX251 &amp; IF(CR251="",""," – " &amp; CR251))</f>
        <v/>
      </c>
      <c r="DV251" s="53" t="str">
        <f t="shared" si="201"/>
        <v/>
      </c>
      <c r="DW251" s="47" t="s">
        <v>0</v>
      </c>
      <c r="DX251" s="52" t="str">
        <f>IF(BG251="","",BF251&amp;" – "&amp;BG251)</f>
        <v/>
      </c>
      <c r="DY251" s="53" t="str">
        <f t="shared" si="202"/>
        <v/>
      </c>
      <c r="DZ251" s="47" t="s">
        <v>0</v>
      </c>
      <c r="EA251" s="58" t="str">
        <f t="shared" si="231"/>
        <v/>
      </c>
      <c r="EB251" s="53" t="str" cm="1">
        <f t="array" ref="EB251">IF(EA251&lt;&gt;"",INDEX(regNatjecatelj_id,EA251,0),IF(BD251&lt;&gt;"",BD251,""))</f>
        <v/>
      </c>
      <c r="EC251" s="47" t="s">
        <v>0</v>
      </c>
      <c r="ED251" s="58" t="str">
        <f>IF(AL251="","",IF(BD251&lt;&gt;"","novo",IF(AN251="","imepre","imepre(ali)")))</f>
        <v/>
      </c>
      <c r="EE251" s="73" t="str">
        <f>IF(AL251="","",IF(BL251="",IF(IFERROR(INDEX(regNatjecatelj_klub,MATCH(EB251,regNatjecatelj_id,0)),"NEMA")="","klu",""),IF(OR(AND(BN251&lt;&gt;"",BN251&lt;&gt;"NEMA"),CD251&lt;&gt;""),"klu(ali)",IF(AND(BP251&lt;&gt;"",BP251&lt;&gt;BO251),"(raz-klu)","klu"))))</f>
        <v/>
      </c>
      <c r="EF251" s="73" t="str">
        <f>IF(AL251="","","kat"&amp;IF(AND(W251&lt;&gt;Q251,Q251&lt;&gt;"Open"),"(ali)",""))</f>
        <v/>
      </c>
      <c r="EG251" s="73" t="str">
        <f t="shared" si="203"/>
        <v/>
      </c>
      <c r="EH251" s="66" t="str">
        <f>IF(AL251="","",ED251&amp;IF(ED251="novo","","-"&amp;EE251&amp;"-"&amp;EF251)&amp;IF(EG251="","","-"&amp;EG251))</f>
        <v/>
      </c>
      <c r="EI251" s="47" t="s">
        <v>0</v>
      </c>
      <c r="EJ251" s="58" t="str">
        <f>IF(AL251="","",MAX(EJ$12:EJ250)+1)</f>
        <v/>
      </c>
      <c r="EK251" s="73" t="str">
        <f>IF(AO251="","",X251)</f>
        <v/>
      </c>
      <c r="EL251" s="73" t="str">
        <f t="shared" si="232"/>
        <v/>
      </c>
      <c r="EM251" s="73" t="str">
        <f t="shared" si="204"/>
        <v/>
      </c>
      <c r="EN251" s="73" t="str">
        <f t="shared" si="205"/>
        <v/>
      </c>
      <c r="EO251" s="73" t="str">
        <f t="shared" si="233"/>
        <v/>
      </c>
      <c r="EP251" s="73" t="str">
        <f t="shared" si="234"/>
        <v/>
      </c>
      <c r="EQ251" s="73" t="str">
        <f t="shared" si="206"/>
        <v/>
      </c>
      <c r="ER251" s="73" t="str">
        <f>IF(OR(AN251="",AN251="NEMA"),BB251,AN251)</f>
        <v/>
      </c>
      <c r="ES251" s="73" t="str">
        <f>IF(AND(BN251&lt;&gt;"",BN251&lt;&gt;"NEMA"),BN251,IF(CG251&lt;&gt;"",CG251,IF(AND(CL251&lt;&gt;"",CL251&lt;&gt;"NEMA"),CL251,IF(CM251&lt;&gt;"",CM251,""))))</f>
        <v/>
      </c>
      <c r="ET251" s="53" t="str">
        <f>IF(INDEX(natKategorija_alias_Id,MATCH(S251,natKategorija_katRegId,0))="","",INDEX(natKategorija_alias_Id,MATCH(S251,natKategorija_katRegId,0)))</f>
        <v/>
      </c>
      <c r="EU251" s="47" t="s">
        <v>0</v>
      </c>
      <c r="EV251" s="19" t="str">
        <f t="shared" si="235"/>
        <v/>
      </c>
      <c r="EW251" s="47" t="s">
        <v>0</v>
      </c>
      <c r="EX251" s="19" t="str">
        <f t="shared" si="236"/>
        <v/>
      </c>
      <c r="EY251" s="47" t="s">
        <v>0</v>
      </c>
      <c r="EZ251" s="180" t="str">
        <f>AG251&amp;IF(CP251="","","
")&amp;CP251&amp;IF(CI251="","","
")&amp;CI251&amp;IF(DN251="","","
")&amp;DN251&amp;IF(DP251="","","
")&amp;DP251&amp;IF(EV251="","","
")&amp;EV251&amp;IF(EX251="","","
")&amp;EX251</f>
        <v/>
      </c>
      <c r="FA251" s="47" t="s">
        <v>0</v>
      </c>
    </row>
    <row r="252" spans="1:157" x14ac:dyDescent="0.25">
      <c r="A252" t="s">
        <v>0</v>
      </c>
      <c r="B252" s="52" t="str">
        <f>IF(csv!F242="","",csv!T242)</f>
        <v>Ž20</v>
      </c>
      <c r="C252" s="31" t="s">
        <v>0</v>
      </c>
      <c r="D252" s="31" t="str">
        <f>IF(csv!F242="","",csv!F242)</f>
        <v>Vacant</v>
      </c>
      <c r="E252" s="31" t="str">
        <f>IF(csv!E242="","",csv!E242)</f>
        <v/>
      </c>
      <c r="F252" s="31" t="s">
        <v>0</v>
      </c>
      <c r="G252" s="73" t="str">
        <f>IF(csv!M242="","",csv!M242)</f>
        <v/>
      </c>
      <c r="H252" s="73" t="str">
        <f>IF(csv!N242="","",csv!N242)</f>
        <v>0</v>
      </c>
      <c r="I252" s="31" t="s">
        <v>0</v>
      </c>
      <c r="J252" s="31" t="str">
        <f>IF(csv!P242="","",csv!P242)</f>
        <v/>
      </c>
      <c r="K252" s="31" t="str">
        <f>IF(csv!Q242="","",csv!Q242)</f>
        <v/>
      </c>
      <c r="L252" s="31" t="s">
        <v>0</v>
      </c>
      <c r="M252" s="66" t="str">
        <f>IF(csv!R242="","",csv!R242)</f>
        <v/>
      </c>
      <c r="N252" s="47" t="s">
        <v>0</v>
      </c>
      <c r="O252" s="243" t="str">
        <f t="shared" si="207"/>
        <v/>
      </c>
      <c r="P252" s="47"/>
      <c r="Q252" s="52" t="str">
        <f t="shared" si="208"/>
        <v>Ž20</v>
      </c>
      <c r="R252" s="73">
        <f>IF(Q252="","",IF(COUNTIF(Q$12:Q251,Q252)=0,R251+1,R251))</f>
        <v>16</v>
      </c>
      <c r="S252" s="73">
        <f t="shared" si="209"/>
        <v>119</v>
      </c>
      <c r="T252" s="73">
        <f t="shared" si="184"/>
        <v>28</v>
      </c>
      <c r="U252" s="66" t="str">
        <f t="shared" si="185"/>
        <v>Ž20</v>
      </c>
      <c r="V252" s="47" t="s">
        <v>0</v>
      </c>
      <c r="W252" s="222" t="str">
        <f t="shared" si="186"/>
        <v/>
      </c>
      <c r="X252" s="223" t="str">
        <f t="shared" si="187"/>
        <v/>
      </c>
      <c r="Y252" s="47" t="s">
        <v>0</v>
      </c>
      <c r="Z252" s="52" t="str">
        <f t="shared" si="210"/>
        <v/>
      </c>
      <c r="AA252" s="73" t="str">
        <f t="shared" si="188"/>
        <v/>
      </c>
      <c r="AB252" s="31" t="str">
        <f t="shared" si="211"/>
        <v/>
      </c>
      <c r="AC252" s="66" t="str">
        <f>IF(AB252="","",MAX(AC$12:AC251)+1)</f>
        <v/>
      </c>
      <c r="AD252" s="47" t="s">
        <v>0</v>
      </c>
      <c r="AE252" s="125"/>
      <c r="AF252" s="47" t="s">
        <v>0</v>
      </c>
      <c r="AG252" s="19" t="str">
        <f t="shared" si="212"/>
        <v/>
      </c>
      <c r="AH252" s="47" t="s">
        <v>0</v>
      </c>
      <c r="AI252" s="143" t="str">
        <f t="shared" si="213"/>
        <v/>
      </c>
      <c r="AJ252" s="47"/>
      <c r="AK252" s="52" t="str">
        <f t="shared" si="214"/>
        <v/>
      </c>
      <c r="AL252" s="31" t="str">
        <f t="shared" si="215"/>
        <v/>
      </c>
      <c r="AM252" s="73" t="str">
        <f t="shared" si="216"/>
        <v/>
      </c>
      <c r="AN252" s="73" t="str">
        <f t="shared" si="217"/>
        <v/>
      </c>
      <c r="AO252" s="31" t="str">
        <f t="shared" si="189"/>
        <v/>
      </c>
      <c r="AP252" s="66" t="str">
        <f t="shared" si="190"/>
        <v/>
      </c>
      <c r="AQ252" s="47" t="s">
        <v>0</v>
      </c>
      <c r="AR252" s="82" t="str">
        <f t="shared" si="218"/>
        <v/>
      </c>
      <c r="AS252" s="47" t="s">
        <v>0</v>
      </c>
      <c r="AT252" s="19" t="str">
        <f t="shared" si="219"/>
        <v/>
      </c>
      <c r="AU252" s="47" t="s">
        <v>0</v>
      </c>
      <c r="AV252" s="103"/>
      <c r="AW252" s="105"/>
      <c r="AX252" s="47" t="s">
        <v>0</v>
      </c>
      <c r="AY252" s="256" t="str">
        <f t="shared" si="237"/>
        <v/>
      </c>
      <c r="AZ252" s="47" t="s">
        <v>0</v>
      </c>
      <c r="BA252" s="52" t="str">
        <f t="shared" si="191"/>
        <v/>
      </c>
      <c r="BB252" s="73" t="str">
        <f>IF(AV252&amp;AW252="","",MAX(BB$12:BB251)+1)</f>
        <v/>
      </c>
      <c r="BC252" s="268" t="str">
        <f t="shared" si="192"/>
        <v/>
      </c>
      <c r="BD252" s="53" t="str">
        <f>IF(AND(AM252="NEMA",AN252="NEMA",OR(AV252&amp;AW252="",BC252="NEMA")),MAX(BD$12:BD251)+1,"")</f>
        <v/>
      </c>
      <c r="BE252" s="47" t="s">
        <v>0</v>
      </c>
      <c r="BF252" s="52" t="str">
        <f t="shared" si="193"/>
        <v/>
      </c>
      <c r="BG252" s="31" t="str">
        <f t="shared" si="194"/>
        <v/>
      </c>
      <c r="BH252" s="73" t="str">
        <f t="shared" si="220"/>
        <v/>
      </c>
      <c r="BI252" s="53" t="str">
        <f t="shared" si="221"/>
        <v/>
      </c>
      <c r="BJ252" s="47" t="s">
        <v>0</v>
      </c>
      <c r="BK252" s="52" t="str">
        <f t="shared" si="195"/>
        <v/>
      </c>
      <c r="BL252" s="31" t="str">
        <f t="shared" si="196"/>
        <v/>
      </c>
      <c r="BM252" s="73" t="str">
        <f t="shared" si="197"/>
        <v/>
      </c>
      <c r="BN252" s="73" t="str">
        <f t="shared" si="198"/>
        <v/>
      </c>
      <c r="BO252" s="31" t="str" cm="1">
        <f t="array" ref="BO252">IF(BN252="",""&amp;BL252,IF(BN252="NEMA",BL252,INDEX(regKlub_naziv,MATCH(INDEX(regKlub_alias_klubId,BN252),regKlub_id,0))))</f>
        <v/>
      </c>
      <c r="BP252" s="31" t="str" cm="1">
        <f t="array" ref="BP252">IFERROR(""&amp;INDEX(regNatjecatelj_klub,DY252),"")</f>
        <v/>
      </c>
      <c r="BQ252" s="88" t="str">
        <f t="shared" si="222"/>
        <v/>
      </c>
      <c r="BR252" s="66" t="str">
        <f t="shared" si="223"/>
        <v/>
      </c>
      <c r="BS252" s="47" t="s">
        <v>0</v>
      </c>
      <c r="BT252" s="82" t="str">
        <f>IF(BN252&lt;&gt;"NEMA","",IF(IFERROR(MATCH(BL252,BL$12:BL251,0),0)&lt;&gt;0,"",BL252))</f>
        <v/>
      </c>
      <c r="BU252" s="47" t="s">
        <v>0</v>
      </c>
      <c r="BV252" s="125"/>
      <c r="BW252" s="47" t="s">
        <v>0</v>
      </c>
      <c r="BX252" s="58" t="str">
        <f t="shared" si="224"/>
        <v/>
      </c>
      <c r="BY252" s="31" t="str">
        <f t="shared" si="225"/>
        <v/>
      </c>
      <c r="BZ252" s="31" t="str">
        <f>IF(BY252="","",MAX(BZ$12:BZ251)+1)</f>
        <v/>
      </c>
      <c r="CA252" s="31" t="str">
        <f>IF(BY252="","",IF(AA252="","",IF(AA252="NEMA",AC252,AA252)))</f>
        <v/>
      </c>
      <c r="CB252" s="31" t="str">
        <f t="shared" si="226"/>
        <v/>
      </c>
      <c r="CC252" s="31" t="str">
        <f>IF(BV252="","",MAX(CC$12:CC251)+1)</f>
        <v/>
      </c>
      <c r="CD252" s="31" t="str">
        <f t="shared" si="227"/>
        <v/>
      </c>
      <c r="CE252" s="66" t="str">
        <f t="shared" si="228"/>
        <v/>
      </c>
      <c r="CF252" s="47" t="s">
        <v>0</v>
      </c>
      <c r="CG252" s="73" t="str">
        <f>IF(BN252="","",IF(BN252&lt;&gt;"NEMA","",IFERROR(INDEX(nat_klubAliasId,MATCH(BL252,nat_noviKluboviAliasi,0)),"")))</f>
        <v/>
      </c>
      <c r="CH252" s="47"/>
      <c r="CI252" s="19" t="str">
        <f t="shared" si="229"/>
        <v/>
      </c>
      <c r="CJ252" s="47" t="s">
        <v>0</v>
      </c>
      <c r="CK252" s="52" t="str">
        <f>IF(X252&lt;&gt;"NEMA","",IF(IFERROR(MATCH(W252,W$12:W251,0),0)&lt;&gt;0,"",W252))</f>
        <v/>
      </c>
      <c r="CL252" s="73" t="str">
        <f>IF(CK252="","",IFERROR(INDEX(regKlub_alias_id,MATCH(CK252,regKlub_alias_alias,0)),"NEMA"))</f>
        <v/>
      </c>
      <c r="CM252" s="31" t="str">
        <f>IF(OR(CL252="",CL252&lt;&gt;"NEMA"),"",MAX(CM$12:CM251)+1)</f>
        <v/>
      </c>
      <c r="CN252" s="66" t="str">
        <f>IF(OR(CL252="",CL252&lt;&gt;"NEMA"),"",INDEX(regKlub_id,MATCH(CK252,regKlub_naziv,0)))</f>
        <v/>
      </c>
      <c r="CO252" s="47" t="s">
        <v>0</v>
      </c>
      <c r="CP252" s="19" t="str">
        <f>IF(OR(CL252="",CL252&lt;&gt;"NEMA"),"","INSERT INTO klub_alias(id,alias,klub_id) VALUES ("&amp;CM252&amp;",'"&amp;CK252&amp;"',"&amp;CN252&amp;");")</f>
        <v/>
      </c>
      <c r="CQ252" s="47" t="s">
        <v>0</v>
      </c>
      <c r="CR252" s="143" t="str">
        <f>IF(BR252="","",IF(BV252="",IF(IFERROR(MATCH(BR252,nat_noviKluboviAliasi,0),0)&gt;0,INDEX(nat_kluboviAliasi,MATCH(BR252,nat_noviKluboviAliasi,0)),BR252),BV252))</f>
        <v/>
      </c>
      <c r="CS252" s="47" t="s">
        <v>0</v>
      </c>
      <c r="CT252" s="58" t="str">
        <f>IF(G252="","",G252)</f>
        <v/>
      </c>
      <c r="CU252" s="73" t="str">
        <f>IF(H252="","",H252)</f>
        <v>0</v>
      </c>
      <c r="CV252" s="229" t="str">
        <f>IF(CT252="",IF(OR(AL252="",CU252&lt;&gt;"0"),"","GREŠKA"),IF(AND(65535&gt;=VALUE(LEFT(CT252,SEARCH(":",CT252)-1))*60+VALUE(RIGHT(CT252,2)),OR(CU252="0",CU252="1",CU252="2",CU252="3",CU252="4")),"","GREŠKA"))</f>
        <v/>
      </c>
      <c r="CW252" s="230" t="str">
        <f t="shared" si="183"/>
        <v/>
      </c>
      <c r="CX252" s="163" t="str">
        <f t="shared" si="199"/>
        <v/>
      </c>
      <c r="CY252" s="47" t="s">
        <v>0</v>
      </c>
      <c r="CZ252" s="222" t="str">
        <f>IF(CV252&lt;&gt;"GREŠKA","",AK252&amp;" "&amp;AL252&amp;" – Molim u OEventu provjeriti i ispraviti rezultat – vrijeme ("&amp;IF(CT252="","nije upisano",CT252)&amp;") i classifier ("&amp;CU252&amp;").")&amp;IF(OR(CV252&lt;&gt;"GREŠKA",CX252&lt;&gt;5),"
","")&amp;IF(CX252&lt;&gt;5,"",AK252&amp;" "&amp;AL252&amp;" – Molim u provjeriti je li natjecatelj zaista diskvalificiran. Ako je koje je obrazloženje, ako nije molim u OEventu ispraviti rezultat")</f>
        <v xml:space="preserve">
</v>
      </c>
      <c r="DA252" s="223" t="str">
        <f t="shared" si="230"/>
        <v/>
      </c>
      <c r="DB252" s="47" t="s">
        <v>0</v>
      </c>
      <c r="DC252" s="47"/>
      <c r="DD252" s="47"/>
      <c r="DE252" s="47"/>
      <c r="DF252" s="47" t="s">
        <v>0</v>
      </c>
      <c r="DG252" s="53" t="str">
        <f>IF(BD252="","",IF(DI252="O",1,""))</f>
        <v/>
      </c>
      <c r="DH252" t="s">
        <v>0</v>
      </c>
      <c r="DI252" s="128" t="str">
        <f>IF(Q252="","",LEFT(INDEX(regKategorija_oznaka,MATCH(S252,regKategorija_id,0)),1))</f>
        <v>Ž</v>
      </c>
      <c r="DJ252" t="s">
        <v>0</v>
      </c>
      <c r="DK252" s="52" t="str">
        <f>IF(BD252="","",IF(M252&lt;&gt;"CRO","","INSERT INTO osoba (id,reg_broj,oib,spol_id,dat_rodjenja) VALUES ("&amp;BD252&amp;",(SELECT max(os.reg_broj)+1 FROM osoba AS os),Null,'"&amp;DI252&amp;"',Null); INSERT INTO osoba_log (id,reg_broj,oib,spol_id,dat_rodjenja,dnevnik_id) SELECT id,reg_broj,oib,spol_id,dat_rodjenja,"&amp;data_dnevnik_id&amp;" FROM osoba WHERE id = "&amp;BD252&amp;";"))</f>
        <v/>
      </c>
      <c r="DL252" s="66" t="str">
        <f>IF(BD252="","","INSERT INTO imeprezime (id,osoba_id,rbr,ime,prezime,klub_id,identitet_id,sintaksa_id,info,aktivno,dnevnik_id) VALUES ("&amp;BD252&amp;","&amp;IF(DK252="","Null",BD252)&amp;",1,'"&amp;IF(AV252&lt;&gt;"",AV252,AK252)&amp;"','"&amp;IF(AW252&lt;&gt;"",AW252,AL252)&amp;"',(SELECT id FROM klub WHERE naziv = '"&amp;CR252&amp;"'),Null,1,'',1,"&amp;data_dnevnik_id&amp;");")</f>
        <v/>
      </c>
      <c r="DM252" t="s">
        <v>0</v>
      </c>
      <c r="DN252" s="19" t="str">
        <f t="shared" si="238"/>
        <v/>
      </c>
      <c r="DO252" s="47" t="s">
        <v>0</v>
      </c>
      <c r="DP252" s="19" t="str">
        <f>IF(BA252="","","INSERT INTO imeprezime_alias(id,alias,imeprezime_id) VALUES ("&amp;BB252&amp;",'"&amp;BA252&amp;"',"&amp;IF(BC252="NEMA",BD252,BC252)&amp;");")</f>
        <v/>
      </c>
      <c r="DQ252" s="47" t="s">
        <v>0</v>
      </c>
      <c r="DR252" s="52" t="str">
        <f>IF(AL252="","",DU252 &amp; IF(Q252="",""," – " &amp; Q252))</f>
        <v/>
      </c>
      <c r="DS252" s="53" t="str">
        <f t="shared" si="200"/>
        <v/>
      </c>
      <c r="DT252" s="47" t="s">
        <v>0</v>
      </c>
      <c r="DU252" s="52" t="str">
        <f>IF(AL252="","",DX252 &amp; IF(CR252="",""," – " &amp; CR252))</f>
        <v/>
      </c>
      <c r="DV252" s="53" t="str">
        <f t="shared" si="201"/>
        <v/>
      </c>
      <c r="DW252" s="47" t="s">
        <v>0</v>
      </c>
      <c r="DX252" s="52" t="str">
        <f>IF(BG252="","",BF252&amp;" – "&amp;BG252)</f>
        <v/>
      </c>
      <c r="DY252" s="53" t="str">
        <f t="shared" si="202"/>
        <v/>
      </c>
      <c r="DZ252" s="47" t="s">
        <v>0</v>
      </c>
      <c r="EA252" s="58" t="str">
        <f t="shared" si="231"/>
        <v/>
      </c>
      <c r="EB252" s="53" t="str" cm="1">
        <f t="array" ref="EB252">IF(EA252&lt;&gt;"",INDEX(regNatjecatelj_id,EA252,0),IF(BD252&lt;&gt;"",BD252,""))</f>
        <v/>
      </c>
      <c r="EC252" s="47" t="s">
        <v>0</v>
      </c>
      <c r="ED252" s="58" t="str">
        <f>IF(AL252="","",IF(BD252&lt;&gt;"","novo",IF(AN252="","imepre","imepre(ali)")))</f>
        <v/>
      </c>
      <c r="EE252" s="73" t="str">
        <f>IF(AL252="","",IF(BL252="",IF(IFERROR(INDEX(regNatjecatelj_klub,MATCH(EB252,regNatjecatelj_id,0)),"NEMA")="","klu",""),IF(OR(AND(BN252&lt;&gt;"",BN252&lt;&gt;"NEMA"),CD252&lt;&gt;""),"klu(ali)",IF(AND(BP252&lt;&gt;"",BP252&lt;&gt;BO252),"(raz-klu)","klu"))))</f>
        <v/>
      </c>
      <c r="EF252" s="73" t="str">
        <f>IF(AL252="","","kat"&amp;IF(AND(W252&lt;&gt;Q252,Q252&lt;&gt;"Open"),"(ali)",""))</f>
        <v/>
      </c>
      <c r="EG252" s="73" t="str">
        <f t="shared" si="203"/>
        <v/>
      </c>
      <c r="EH252" s="66" t="str">
        <f>IF(AL252="","",ED252&amp;IF(ED252="novo","","-"&amp;EE252&amp;"-"&amp;EF252)&amp;IF(EG252="","","-"&amp;EG252))</f>
        <v/>
      </c>
      <c r="EI252" s="47" t="s">
        <v>0</v>
      </c>
      <c r="EJ252" s="58" t="str">
        <f>IF(AL252="","",MAX(EJ$12:EJ251)+1)</f>
        <v/>
      </c>
      <c r="EK252" s="73" t="str">
        <f>IF(AO252="","",X252)</f>
        <v/>
      </c>
      <c r="EL252" s="73" t="str">
        <f t="shared" si="232"/>
        <v/>
      </c>
      <c r="EM252" s="73" t="str">
        <f t="shared" si="204"/>
        <v/>
      </c>
      <c r="EN252" s="73" t="str">
        <f t="shared" si="205"/>
        <v/>
      </c>
      <c r="EO252" s="73" t="str">
        <f t="shared" si="233"/>
        <v/>
      </c>
      <c r="EP252" s="73" t="str">
        <f t="shared" si="234"/>
        <v/>
      </c>
      <c r="EQ252" s="73" t="str">
        <f t="shared" si="206"/>
        <v/>
      </c>
      <c r="ER252" s="73" t="str">
        <f>IF(OR(AN252="",AN252="NEMA"),BB252,AN252)</f>
        <v/>
      </c>
      <c r="ES252" s="73" t="str">
        <f>IF(AND(BN252&lt;&gt;"",BN252&lt;&gt;"NEMA"),BN252,IF(CG252&lt;&gt;"",CG252,IF(AND(CL252&lt;&gt;"",CL252&lt;&gt;"NEMA"),CL252,IF(CM252&lt;&gt;"",CM252,""))))</f>
        <v/>
      </c>
      <c r="ET252" s="53" t="str">
        <f>IF(INDEX(natKategorija_alias_Id,MATCH(S252,natKategorija_katRegId,0))="","",INDEX(natKategorija_alias_Id,MATCH(S252,natKategorija_katRegId,0)))</f>
        <v/>
      </c>
      <c r="EU252" s="47" t="s">
        <v>0</v>
      </c>
      <c r="EV252" s="19" t="str">
        <f t="shared" si="235"/>
        <v/>
      </c>
      <c r="EW252" s="47" t="s">
        <v>0</v>
      </c>
      <c r="EX252" s="19" t="str">
        <f t="shared" si="236"/>
        <v/>
      </c>
      <c r="EY252" s="47" t="s">
        <v>0</v>
      </c>
      <c r="EZ252" s="180" t="str">
        <f>AG252&amp;IF(CP252="","","
")&amp;CP252&amp;IF(CI252="","","
")&amp;CI252&amp;IF(DN252="","","
")&amp;DN252&amp;IF(DP252="","","
")&amp;DP252&amp;IF(EV252="","","
")&amp;EV252&amp;IF(EX252="","","
")&amp;EX252</f>
        <v/>
      </c>
      <c r="FA252" s="47" t="s">
        <v>0</v>
      </c>
    </row>
    <row r="253" spans="1:157" x14ac:dyDescent="0.25">
      <c r="A253" t="s">
        <v>0</v>
      </c>
      <c r="B253" s="52" t="str">
        <f>IF(csv!F243="","",csv!T243)</f>
        <v>Ž21A</v>
      </c>
      <c r="C253" s="31" t="s">
        <v>0</v>
      </c>
      <c r="D253" s="31" t="str">
        <f>IF(csv!F243="","",csv!F243)</f>
        <v>Mirja</v>
      </c>
      <c r="E253" s="31" t="str">
        <f>IF(csv!E243="","",csv!E243)</f>
        <v>Pavić</v>
      </c>
      <c r="F253" s="31" t="s">
        <v>0</v>
      </c>
      <c r="G253" s="73" t="str">
        <f>IF(csv!M243="","",csv!M243)</f>
        <v>55:35</v>
      </c>
      <c r="H253" s="73" t="str">
        <f>IF(csv!N243="","",csv!N243)</f>
        <v>0</v>
      </c>
      <c r="I253" s="31" t="s">
        <v>0</v>
      </c>
      <c r="J253" s="31" t="str">
        <f>IF(csv!P243="","",csv!P243)</f>
        <v>JAP</v>
      </c>
      <c r="K253" s="31" t="str">
        <f>IF(csv!Q243="","",csv!Q243)</f>
        <v>OK Japetic</v>
      </c>
      <c r="L253" s="31" t="s">
        <v>0</v>
      </c>
      <c r="M253" s="66" t="str">
        <f>IF(csv!R243="","",csv!R243)</f>
        <v>CRO</v>
      </c>
      <c r="N253" s="47" t="s">
        <v>0</v>
      </c>
      <c r="O253" s="243" t="str">
        <f t="shared" si="207"/>
        <v>ok</v>
      </c>
      <c r="P253" s="47"/>
      <c r="Q253" s="52" t="str">
        <f t="shared" si="208"/>
        <v>Ž21A</v>
      </c>
      <c r="R253" s="73">
        <f>IF(Q253="","",IF(COUNTIF(Q$12:Q252,Q253)=0,R252+1,R252))</f>
        <v>17</v>
      </c>
      <c r="S253" s="73">
        <f t="shared" si="209"/>
        <v>102</v>
      </c>
      <c r="T253" s="73">
        <f t="shared" si="184"/>
        <v>14</v>
      </c>
      <c r="U253" s="66" t="str">
        <f t="shared" si="185"/>
        <v>Ž21A</v>
      </c>
      <c r="V253" s="47" t="s">
        <v>0</v>
      </c>
      <c r="W253" s="222" t="str">
        <f t="shared" si="186"/>
        <v>Ž21A</v>
      </c>
      <c r="X253" s="223">
        <f t="shared" si="187"/>
        <v>39</v>
      </c>
      <c r="Y253" s="47" t="s">
        <v>0</v>
      </c>
      <c r="Z253" s="52" t="str">
        <f t="shared" si="210"/>
        <v>CRO</v>
      </c>
      <c r="AA253" s="73">
        <f t="shared" si="188"/>
        <v>1</v>
      </c>
      <c r="AB253" s="31" t="str">
        <f t="shared" si="211"/>
        <v/>
      </c>
      <c r="AC253" s="66" t="str">
        <f>IF(AB253="","",MAX(AC$12:AC252)+1)</f>
        <v/>
      </c>
      <c r="AD253" s="47" t="s">
        <v>0</v>
      </c>
      <c r="AE253" s="125"/>
      <c r="AF253" s="47" t="s">
        <v>0</v>
      </c>
      <c r="AG253" s="19" t="str">
        <f t="shared" si="212"/>
        <v/>
      </c>
      <c r="AH253" s="47" t="s">
        <v>0</v>
      </c>
      <c r="AI253" s="143" t="str">
        <f t="shared" si="213"/>
        <v>CRO</v>
      </c>
      <c r="AJ253" s="47"/>
      <c r="AK253" s="52" t="str">
        <f t="shared" si="214"/>
        <v>Mirja</v>
      </c>
      <c r="AL253" s="31" t="str">
        <f t="shared" si="215"/>
        <v>Pavić</v>
      </c>
      <c r="AM253" s="73">
        <f t="shared" si="216"/>
        <v>1039</v>
      </c>
      <c r="AN253" s="73" t="str">
        <f t="shared" si="217"/>
        <v/>
      </c>
      <c r="AO253" s="31" t="str">
        <f t="shared" si="189"/>
        <v>Mirja</v>
      </c>
      <c r="AP253" s="66" t="str">
        <f t="shared" si="190"/>
        <v>Pavić</v>
      </c>
      <c r="AQ253" s="47" t="s">
        <v>0</v>
      </c>
      <c r="AR253" s="82" t="str">
        <f t="shared" si="218"/>
        <v/>
      </c>
      <c r="AS253" s="47" t="s">
        <v>0</v>
      </c>
      <c r="AT253" s="19" t="str">
        <f t="shared" si="219"/>
        <v/>
      </c>
      <c r="AU253" s="47" t="s">
        <v>0</v>
      </c>
      <c r="AV253" s="103"/>
      <c r="AW253" s="105"/>
      <c r="AX253" s="47" t="s">
        <v>0</v>
      </c>
      <c r="AY253" s="256" t="str">
        <f t="shared" si="237"/>
        <v/>
      </c>
      <c r="AZ253" s="47" t="s">
        <v>0</v>
      </c>
      <c r="BA253" s="52" t="str">
        <f t="shared" si="191"/>
        <v/>
      </c>
      <c r="BB253" s="73" t="str">
        <f>IF(AV253&amp;AW253="","",MAX(BB$12:BB252)+1)</f>
        <v/>
      </c>
      <c r="BC253" s="268" t="str">
        <f t="shared" si="192"/>
        <v/>
      </c>
      <c r="BD253" s="53" t="str">
        <f>IF(AND(AM253="NEMA",AN253="NEMA",OR(AV253&amp;AW253="",BC253="NEMA")),MAX(BD$12:BD252)+1,"")</f>
        <v/>
      </c>
      <c r="BE253" s="47" t="s">
        <v>0</v>
      </c>
      <c r="BF253" s="52" t="str">
        <f t="shared" si="193"/>
        <v>Mirja</v>
      </c>
      <c r="BG253" s="31" t="str">
        <f t="shared" si="194"/>
        <v>Pavić</v>
      </c>
      <c r="BH253" s="73" t="str">
        <f t="shared" si="220"/>
        <v/>
      </c>
      <c r="BI253" s="53">
        <f t="shared" si="221"/>
        <v>1039</v>
      </c>
      <c r="BJ253" s="47" t="s">
        <v>0</v>
      </c>
      <c r="BK253" s="52" t="str">
        <f t="shared" si="195"/>
        <v>JAP</v>
      </c>
      <c r="BL253" s="31" t="str">
        <f t="shared" si="196"/>
        <v>OK Japetic</v>
      </c>
      <c r="BM253" s="73" t="str">
        <f t="shared" si="197"/>
        <v>NEMA</v>
      </c>
      <c r="BN253" s="73">
        <f t="shared" si="198"/>
        <v>1</v>
      </c>
      <c r="BO253" s="31" t="str" cm="1">
        <f t="array" ref="BO253">IF(BN253="",""&amp;BL253,IF(BN253="NEMA",BL253,INDEX(regKlub_naziv,MATCH(INDEX(regKlub_alias_klubId,BN253),regKlub_id,0))))</f>
        <v>OK Japetić</v>
      </c>
      <c r="BP253" s="31" t="str" cm="1">
        <f t="array" ref="BP253">IFERROR(""&amp;INDEX(regNatjecatelj_klub,DY253),"")</f>
        <v>OK Japetić</v>
      </c>
      <c r="BQ253" s="88" t="str">
        <f t="shared" si="222"/>
        <v/>
      </c>
      <c r="BR253" s="66" t="str">
        <f t="shared" si="223"/>
        <v>OK Japetić</v>
      </c>
      <c r="BS253" s="47" t="s">
        <v>0</v>
      </c>
      <c r="BT253" s="82" t="str">
        <f>IF(BN253&lt;&gt;"NEMA","",IF(IFERROR(MATCH(BL253,BL$12:BL252,0),0)&lt;&gt;0,"",BL253))</f>
        <v/>
      </c>
      <c r="BU253" s="47" t="s">
        <v>0</v>
      </c>
      <c r="BV253" s="125"/>
      <c r="BW253" s="47" t="s">
        <v>0</v>
      </c>
      <c r="BX253" s="58" t="str">
        <f t="shared" si="224"/>
        <v/>
      </c>
      <c r="BY253" s="31" t="str">
        <f t="shared" si="225"/>
        <v/>
      </c>
      <c r="BZ253" s="31" t="str">
        <f>IF(BY253="","",MAX(BZ$12:BZ252)+1)</f>
        <v/>
      </c>
      <c r="CA253" s="31" t="str">
        <f>IF(BY253="","",IF(AA253="","",IF(AA253="NEMA",AC253,AA253)))</f>
        <v/>
      </c>
      <c r="CB253" s="31" t="str">
        <f t="shared" si="226"/>
        <v/>
      </c>
      <c r="CC253" s="31" t="str">
        <f>IF(BV253="","",MAX(CC$12:CC252)+1)</f>
        <v/>
      </c>
      <c r="CD253" s="31" t="str">
        <f t="shared" si="227"/>
        <v/>
      </c>
      <c r="CE253" s="66" t="str">
        <f t="shared" si="228"/>
        <v/>
      </c>
      <c r="CF253" s="47" t="s">
        <v>0</v>
      </c>
      <c r="CG253" s="73" t="str">
        <f>IF(BN253="","",IF(BN253&lt;&gt;"NEMA","",IFERROR(INDEX(nat_klubAliasId,MATCH(BL253,nat_noviKluboviAliasi,0)),"")))</f>
        <v/>
      </c>
      <c r="CH253" s="47"/>
      <c r="CI253" s="19" t="str">
        <f t="shared" si="229"/>
        <v/>
      </c>
      <c r="CJ253" s="47" t="s">
        <v>0</v>
      </c>
      <c r="CK253" s="52" t="str">
        <f>IF(X253&lt;&gt;"NEMA","",IF(IFERROR(MATCH(W253,W$12:W252,0),0)&lt;&gt;0,"",W253))</f>
        <v/>
      </c>
      <c r="CL253" s="73" t="str">
        <f>IF(CK253="","",IFERROR(INDEX(regKlub_alias_id,MATCH(CK253,regKlub_alias_alias,0)),"NEMA"))</f>
        <v/>
      </c>
      <c r="CM253" s="31" t="str">
        <f>IF(OR(CL253="",CL253&lt;&gt;"NEMA"),"",MAX(CM$12:CM252)+1)</f>
        <v/>
      </c>
      <c r="CN253" s="66" t="str">
        <f>IF(OR(CL253="",CL253&lt;&gt;"NEMA"),"",INDEX(regKlub_id,MATCH(CK253,regKlub_naziv,0)))</f>
        <v/>
      </c>
      <c r="CO253" s="47" t="s">
        <v>0</v>
      </c>
      <c r="CP253" s="19" t="str">
        <f>IF(OR(CL253="",CL253&lt;&gt;"NEMA"),"","INSERT INTO klub_alias(id,alias,klub_id) VALUES ("&amp;CM253&amp;",'"&amp;CK253&amp;"',"&amp;CN253&amp;");")</f>
        <v/>
      </c>
      <c r="CQ253" s="47" t="s">
        <v>0</v>
      </c>
      <c r="CR253" s="143" t="str">
        <f>IF(BR253="","",IF(BV253="",IF(IFERROR(MATCH(BR253,nat_noviKluboviAliasi,0),0)&gt;0,INDEX(nat_kluboviAliasi,MATCH(BR253,nat_noviKluboviAliasi,0)),BR253),BV253))</f>
        <v>OK Japetić</v>
      </c>
      <c r="CS253" s="47" t="s">
        <v>0</v>
      </c>
      <c r="CT253" s="58" t="str">
        <f>IF(G253="","",G253)</f>
        <v>55:35</v>
      </c>
      <c r="CU253" s="73" t="str">
        <f>IF(H253="","",H253)</f>
        <v>0</v>
      </c>
      <c r="CV253" s="229" t="str">
        <f>IF(CT253="",IF(OR(AL253="",CU253&lt;&gt;"0"),"","GREŠKA"),IF(AND(65535&gt;=VALUE(LEFT(CT253,SEARCH(":",CT253)-1))*60+VALUE(RIGHT(CT253,2)),OR(CU253="0",CU253="1",CU253="2",CU253="3",CU253="4")),"","GREŠKA"))</f>
        <v/>
      </c>
      <c r="CW253" s="230">
        <f t="shared" ref="CW253:CW316" si="239">IF(CT253="","",VALUE(LEFT(CT253,SEARCH(":",CT253)-1))*60+VALUE(RIGHT(CT253,2)))</f>
        <v>3335</v>
      </c>
      <c r="CX253" s="163">
        <f t="shared" si="199"/>
        <v>1</v>
      </c>
      <c r="CY253" s="47" t="s">
        <v>0</v>
      </c>
      <c r="CZ253" s="222" t="str">
        <f>IF(CV253&lt;&gt;"GREŠKA","",AK253&amp;" "&amp;AL253&amp;" – Molim u OEventu provjeriti i ispraviti rezultat – vrijeme ("&amp;IF(CT253="","nije upisano",CT253)&amp;") i classifier ("&amp;CU253&amp;").")&amp;IF(OR(CV253&lt;&gt;"GREŠKA",CX253&lt;&gt;5),"
","")&amp;IF(CX253&lt;&gt;5,"",AK253&amp;" "&amp;AL253&amp;" – Molim u provjeriti je li natjecatelj zaista diskvalificiran. Ako je koje je obrazloženje, ako nije molim u OEventu ispraviti rezultat")</f>
        <v xml:space="preserve">
</v>
      </c>
      <c r="DA253" s="223">
        <f t="shared" si="230"/>
        <v>6</v>
      </c>
      <c r="DB253" s="47" t="s">
        <v>0</v>
      </c>
      <c r="DC253" s="47"/>
      <c r="DD253" s="47"/>
      <c r="DE253" s="47"/>
      <c r="DF253" s="47" t="s">
        <v>0</v>
      </c>
      <c r="DG253" s="53" t="str">
        <f>IF(BD253="","",IF(DI253="O",1,""))</f>
        <v/>
      </c>
      <c r="DH253" t="s">
        <v>0</v>
      </c>
      <c r="DI253" s="128" t="str">
        <f>IF(Q253="","",LEFT(INDEX(regKategorija_oznaka,MATCH(S253,regKategorija_id,0)),1))</f>
        <v>Ž</v>
      </c>
      <c r="DJ253" t="s">
        <v>0</v>
      </c>
      <c r="DK253" s="52" t="str">
        <f>IF(BD253="","",IF(M253&lt;&gt;"CRO","","INSERT INTO osoba (id,reg_broj,oib,spol_id,dat_rodjenja) VALUES ("&amp;BD253&amp;",(SELECT max(os.reg_broj)+1 FROM osoba AS os),Null,'"&amp;DI253&amp;"',Null); INSERT INTO osoba_log (id,reg_broj,oib,spol_id,dat_rodjenja,dnevnik_id) SELECT id,reg_broj,oib,spol_id,dat_rodjenja,"&amp;data_dnevnik_id&amp;" FROM osoba WHERE id = "&amp;BD253&amp;";"))</f>
        <v/>
      </c>
      <c r="DL253" s="66" t="str">
        <f>IF(BD253="","","INSERT INTO imeprezime (id,osoba_id,rbr,ime,prezime,klub_id,identitet_id,sintaksa_id,info,aktivno,dnevnik_id) VALUES ("&amp;BD253&amp;","&amp;IF(DK253="","Null",BD253)&amp;",1,'"&amp;IF(AV253&lt;&gt;"",AV253,AK253)&amp;"','"&amp;IF(AW253&lt;&gt;"",AW253,AL253)&amp;"',(SELECT id FROM klub WHERE naziv = '"&amp;CR253&amp;"'),Null,1,'',1,"&amp;data_dnevnik_id&amp;");")</f>
        <v/>
      </c>
      <c r="DM253" t="s">
        <v>0</v>
      </c>
      <c r="DN253" s="19" t="str">
        <f t="shared" si="238"/>
        <v/>
      </c>
      <c r="DO253" s="47" t="s">
        <v>0</v>
      </c>
      <c r="DP253" s="19" t="str">
        <f>IF(BA253="","","INSERT INTO imeprezime_alias(id,alias,imeprezime_id) VALUES ("&amp;BB253&amp;",'"&amp;BA253&amp;"',"&amp;IF(BC253="NEMA",BD253,BC253)&amp;");")</f>
        <v/>
      </c>
      <c r="DQ253" s="47" t="s">
        <v>0</v>
      </c>
      <c r="DR253" s="52" t="str">
        <f>IF(AL253="","",DU253 &amp; IF(Q253="",""," – " &amp; Q253))</f>
        <v>Mirja – Pavić – OK Japetić – Ž21A</v>
      </c>
      <c r="DS253" s="53">
        <f t="shared" si="200"/>
        <v>125</v>
      </c>
      <c r="DT253" s="47" t="s">
        <v>0</v>
      </c>
      <c r="DU253" s="52" t="str">
        <f>IF(AL253="","",DX253 &amp; IF(CR253="",""," – " &amp; CR253))</f>
        <v>Mirja – Pavić – OK Japetić</v>
      </c>
      <c r="DV253" s="53">
        <f t="shared" si="201"/>
        <v>125</v>
      </c>
      <c r="DW253" s="47" t="s">
        <v>0</v>
      </c>
      <c r="DX253" s="52" t="str">
        <f>IF(BG253="","",BF253&amp;" – "&amp;BG253)</f>
        <v>Mirja – Pavić</v>
      </c>
      <c r="DY253" s="53">
        <f t="shared" si="202"/>
        <v>125</v>
      </c>
      <c r="DZ253" s="47" t="s">
        <v>0</v>
      </c>
      <c r="EA253" s="58">
        <f t="shared" si="231"/>
        <v>125</v>
      </c>
      <c r="EB253" s="53" cm="1">
        <f t="array" ref="EB253">IF(EA253&lt;&gt;"",INDEX(regNatjecatelj_id,EA253,0),IF(BD253&lt;&gt;"",BD253,""))</f>
        <v>1039</v>
      </c>
      <c r="EC253" s="47" t="s">
        <v>0</v>
      </c>
      <c r="ED253" s="58" t="str">
        <f>IF(AL253="","",IF(BD253&lt;&gt;"","novo",IF(AN253="","imepre","imepre(ali)")))</f>
        <v>imepre</v>
      </c>
      <c r="EE253" s="73" t="str">
        <f>IF(AL253="","",IF(BL253="",IF(IFERROR(INDEX(regNatjecatelj_klub,MATCH(EB253,regNatjecatelj_id,0)),"NEMA")="","klu",""),IF(OR(AND(BN253&lt;&gt;"",BN253&lt;&gt;"NEMA"),CD253&lt;&gt;""),"klu(ali)",IF(AND(BP253&lt;&gt;"",BP253&lt;&gt;BO253),"(raz-klu)","klu"))))</f>
        <v>klu(ali)</v>
      </c>
      <c r="EF253" s="73" t="str">
        <f>IF(AL253="","","kat"&amp;IF(AND(W253&lt;&gt;Q253,Q253&lt;&gt;"Open"),"(ali)",""))</f>
        <v>kat</v>
      </c>
      <c r="EG253" s="73" t="str">
        <f t="shared" si="203"/>
        <v/>
      </c>
      <c r="EH253" s="66" t="str">
        <f>IF(AL253="","",ED253&amp;IF(ED253="novo","","-"&amp;EE253&amp;"-"&amp;EF253)&amp;IF(EG253="","","-"&amp;EG253))</f>
        <v>imepre-klu(ali)-kat</v>
      </c>
      <c r="EI253" s="47" t="s">
        <v>0</v>
      </c>
      <c r="EJ253" s="58">
        <f>IF(AL253="","",MAX(EJ$12:EJ252)+1)</f>
        <v>406</v>
      </c>
      <c r="EK253" s="73">
        <f>IF(AO253="","",X253)</f>
        <v>39</v>
      </c>
      <c r="EL253" s="73">
        <f t="shared" si="232"/>
        <v>1039</v>
      </c>
      <c r="EM253" s="73">
        <f t="shared" si="204"/>
        <v>3335</v>
      </c>
      <c r="EN253" s="73">
        <f t="shared" si="205"/>
        <v>1</v>
      </c>
      <c r="EO253" s="73">
        <f t="shared" si="233"/>
        <v>1</v>
      </c>
      <c r="EP253" s="73">
        <f t="shared" si="234"/>
        <v>3</v>
      </c>
      <c r="EQ253" s="73" t="str">
        <f t="shared" si="206"/>
        <v>0</v>
      </c>
      <c r="ER253" s="73" t="str">
        <f>IF(OR(AN253="",AN253="NEMA"),BB253,AN253)</f>
        <v/>
      </c>
      <c r="ES253" s="73">
        <f>IF(AND(BN253&lt;&gt;"",BN253&lt;&gt;"NEMA"),BN253,IF(CG253&lt;&gt;"",CG253,IF(AND(CL253&lt;&gt;"",CL253&lt;&gt;"NEMA"),CL253,IF(CM253&lt;&gt;"",CM253,""))))</f>
        <v>1</v>
      </c>
      <c r="ET253" s="53" t="str">
        <f>IF(INDEX(natKategorija_alias_Id,MATCH(S253,natKategorija_katRegId,0))="","",INDEX(natKategorija_alias_Id,MATCH(S253,natKategorija_katRegId,0)))</f>
        <v/>
      </c>
      <c r="EU253" s="47" t="s">
        <v>0</v>
      </c>
      <c r="EV253" s="19" t="str">
        <f t="shared" si="235"/>
        <v>INSERT INTO rezultat(id,stazakategorija_id,imeprezime_id,vrijeme_sec,status_id,registracija,uparivanje_id,originalstatus_id,imeprezimealias_id,klubalias_id,kategorijaalias_id) VALUES (406,39,1039,3335,1,1,3,0,Null,1,Null);</v>
      </c>
      <c r="EW253" s="47" t="s">
        <v>0</v>
      </c>
      <c r="EX253" s="19" t="str">
        <f t="shared" si="236"/>
        <v>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53" s="47" t="s">
        <v>0</v>
      </c>
      <c r="EZ253" s="180" t="str">
        <f>AG253&amp;IF(CP253="","","
")&amp;CP253&amp;IF(CI253="","","
")&amp;CI253&amp;IF(DN253="","","
")&amp;DN253&amp;IF(DP253="","","
")&amp;DP253&amp;IF(EV253="","","
")&amp;EV253&amp;IF(EX253="","","
")&amp;EX253</f>
        <v xml:space="preserve">
INSERT INTO rezultat(id,stazakategorija_id,imeprezime_id,vrijeme_sec,status_id,registracija,uparivanje_id,originalstatus_id,imeprezimealias_id,klubalias_id,kategorijaalias_id) VALUES (406,39,1039,3335,1,1,3,0,Null,1,Null);
UPDATE
	registar
SET
	potvrda = 1
WHERE
	imeprezime_id=1039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53" s="47" t="s">
        <v>0</v>
      </c>
    </row>
    <row r="254" spans="1:157" x14ac:dyDescent="0.25">
      <c r="A254" t="s">
        <v>0</v>
      </c>
      <c r="B254" s="52" t="str">
        <f>IF(csv!F244="","",csv!T244)</f>
        <v>Ž21A</v>
      </c>
      <c r="C254" s="31" t="s">
        <v>0</v>
      </c>
      <c r="D254" s="31" t="str">
        <f>IF(csv!F244="","",csv!F244)</f>
        <v>Vinka</v>
      </c>
      <c r="E254" s="31" t="str">
        <f>IF(csv!E244="","",csv!E244)</f>
        <v>Vukmanović</v>
      </c>
      <c r="F254" s="31" t="s">
        <v>0</v>
      </c>
      <c r="G254" s="73" t="str">
        <f>IF(csv!M244="","",csv!M244)</f>
        <v>57:44</v>
      </c>
      <c r="H254" s="73" t="str">
        <f>IF(csv!N244="","",csv!N244)</f>
        <v>0</v>
      </c>
      <c r="I254" s="31" t="s">
        <v>0</v>
      </c>
      <c r="J254" s="31" t="str">
        <f>IF(csv!P244="","",csv!P244)</f>
        <v>KAP</v>
      </c>
      <c r="K254" s="31" t="str">
        <f>IF(csv!Q244="","",csv!Q244)</f>
        <v>OK Kapela</v>
      </c>
      <c r="L254" s="31" t="s">
        <v>0</v>
      </c>
      <c r="M254" s="66" t="str">
        <f>IF(csv!R244="","",csv!R244)</f>
        <v>CRO</v>
      </c>
      <c r="N254" s="47" t="s">
        <v>0</v>
      </c>
      <c r="O254" s="243" t="str">
        <f t="shared" si="207"/>
        <v>ok</v>
      </c>
      <c r="P254" s="47"/>
      <c r="Q254" s="52" t="str">
        <f t="shared" si="208"/>
        <v>Ž21A</v>
      </c>
      <c r="R254" s="73">
        <f>IF(Q254="","",IF(COUNTIF(Q$12:Q253,Q254)=0,R253+1,R253))</f>
        <v>17</v>
      </c>
      <c r="S254" s="73">
        <f t="shared" si="209"/>
        <v>102</v>
      </c>
      <c r="T254" s="73">
        <f t="shared" si="184"/>
        <v>14</v>
      </c>
      <c r="U254" s="66" t="str">
        <f t="shared" si="185"/>
        <v>Ž21A</v>
      </c>
      <c r="V254" s="47" t="s">
        <v>0</v>
      </c>
      <c r="W254" s="222" t="str">
        <f t="shared" si="186"/>
        <v>Ž21A</v>
      </c>
      <c r="X254" s="223">
        <f t="shared" si="187"/>
        <v>39</v>
      </c>
      <c r="Y254" s="47" t="s">
        <v>0</v>
      </c>
      <c r="Z254" s="52" t="str">
        <f t="shared" si="210"/>
        <v>CRO</v>
      </c>
      <c r="AA254" s="73">
        <f t="shared" si="188"/>
        <v>1</v>
      </c>
      <c r="AB254" s="31" t="str">
        <f t="shared" si="211"/>
        <v/>
      </c>
      <c r="AC254" s="66" t="str">
        <f>IF(AB254="","",MAX(AC$12:AC253)+1)</f>
        <v/>
      </c>
      <c r="AD254" s="47" t="s">
        <v>0</v>
      </c>
      <c r="AE254" s="125"/>
      <c r="AF254" s="47" t="s">
        <v>0</v>
      </c>
      <c r="AG254" s="19" t="str">
        <f t="shared" si="212"/>
        <v/>
      </c>
      <c r="AH254" s="47" t="s">
        <v>0</v>
      </c>
      <c r="AI254" s="143" t="str">
        <f t="shared" si="213"/>
        <v>CRO</v>
      </c>
      <c r="AJ254" s="47"/>
      <c r="AK254" s="52" t="str">
        <f t="shared" si="214"/>
        <v>Vinka</v>
      </c>
      <c r="AL254" s="31" t="str">
        <f t="shared" si="215"/>
        <v>Vukmanović</v>
      </c>
      <c r="AM254" s="73">
        <f t="shared" si="216"/>
        <v>1094</v>
      </c>
      <c r="AN254" s="73" t="str">
        <f t="shared" si="217"/>
        <v/>
      </c>
      <c r="AO254" s="31" t="str">
        <f t="shared" si="189"/>
        <v>Vinka</v>
      </c>
      <c r="AP254" s="66" t="str">
        <f t="shared" si="190"/>
        <v>Vukmanović</v>
      </c>
      <c r="AQ254" s="47" t="s">
        <v>0</v>
      </c>
      <c r="AR254" s="82" t="str">
        <f t="shared" si="218"/>
        <v/>
      </c>
      <c r="AS254" s="47" t="s">
        <v>0</v>
      </c>
      <c r="AT254" s="19" t="str">
        <f t="shared" si="219"/>
        <v/>
      </c>
      <c r="AU254" s="47" t="s">
        <v>0</v>
      </c>
      <c r="AV254" s="103"/>
      <c r="AW254" s="105"/>
      <c r="AX254" s="47" t="s">
        <v>0</v>
      </c>
      <c r="AY254" s="256" t="str">
        <f t="shared" si="237"/>
        <v/>
      </c>
      <c r="AZ254" s="47" t="s">
        <v>0</v>
      </c>
      <c r="BA254" s="52" t="str">
        <f t="shared" si="191"/>
        <v/>
      </c>
      <c r="BB254" s="73" t="str">
        <f>IF(AV254&amp;AW254="","",MAX(BB$12:BB253)+1)</f>
        <v/>
      </c>
      <c r="BC254" s="268" t="str">
        <f t="shared" si="192"/>
        <v/>
      </c>
      <c r="BD254" s="53" t="str">
        <f>IF(AND(AM254="NEMA",AN254="NEMA",OR(AV254&amp;AW254="",BC254="NEMA")),MAX(BD$12:BD253)+1,"")</f>
        <v/>
      </c>
      <c r="BE254" s="47" t="s">
        <v>0</v>
      </c>
      <c r="BF254" s="52" t="str">
        <f t="shared" si="193"/>
        <v>Vinka</v>
      </c>
      <c r="BG254" s="31" t="str">
        <f t="shared" si="194"/>
        <v>Vukmanović</v>
      </c>
      <c r="BH254" s="73" t="str">
        <f t="shared" si="220"/>
        <v/>
      </c>
      <c r="BI254" s="53">
        <f t="shared" si="221"/>
        <v>1094</v>
      </c>
      <c r="BJ254" s="47" t="s">
        <v>0</v>
      </c>
      <c r="BK254" s="52" t="str">
        <f t="shared" si="195"/>
        <v>KAP</v>
      </c>
      <c r="BL254" s="31" t="str">
        <f t="shared" si="196"/>
        <v>OK Kapela</v>
      </c>
      <c r="BM254" s="73">
        <f t="shared" si="197"/>
        <v>5</v>
      </c>
      <c r="BN254" s="73" t="str">
        <f t="shared" si="198"/>
        <v/>
      </c>
      <c r="BO254" s="31" t="str" cm="1">
        <f t="array" ref="BO254">IF(BN254="",""&amp;BL254,IF(BN254="NEMA",BL254,INDEX(regKlub_naziv,MATCH(INDEX(regKlub_alias_klubId,BN254),regKlub_id,0))))</f>
        <v>OK Kapela</v>
      </c>
      <c r="BP254" s="31" t="str" cm="1">
        <f t="array" ref="BP254">IFERROR(""&amp;INDEX(regNatjecatelj_klub,DY254),"")</f>
        <v>OK Kapela</v>
      </c>
      <c r="BQ254" s="88" t="str">
        <f t="shared" si="222"/>
        <v/>
      </c>
      <c r="BR254" s="66" t="str">
        <f t="shared" si="223"/>
        <v>OK Kapela</v>
      </c>
      <c r="BS254" s="47" t="s">
        <v>0</v>
      </c>
      <c r="BT254" s="82" t="str">
        <f>IF(BN254&lt;&gt;"NEMA","",IF(IFERROR(MATCH(BL254,BL$12:BL253,0),0)&lt;&gt;0,"",BL254))</f>
        <v/>
      </c>
      <c r="BU254" s="47" t="s">
        <v>0</v>
      </c>
      <c r="BV254" s="125"/>
      <c r="BW254" s="47" t="s">
        <v>0</v>
      </c>
      <c r="BX254" s="58" t="str">
        <f t="shared" si="224"/>
        <v/>
      </c>
      <c r="BY254" s="31" t="str">
        <f t="shared" si="225"/>
        <v/>
      </c>
      <c r="BZ254" s="31" t="str">
        <f>IF(BY254="","",MAX(BZ$12:BZ253)+1)</f>
        <v/>
      </c>
      <c r="CA254" s="31" t="str">
        <f>IF(BY254="","",IF(AA254="","",IF(AA254="NEMA",AC254,AA254)))</f>
        <v/>
      </c>
      <c r="CB254" s="31" t="str">
        <f t="shared" si="226"/>
        <v/>
      </c>
      <c r="CC254" s="31" t="str">
        <f>IF(BV254="","",MAX(CC$12:CC253)+1)</f>
        <v/>
      </c>
      <c r="CD254" s="31" t="str">
        <f t="shared" si="227"/>
        <v/>
      </c>
      <c r="CE254" s="66" t="str">
        <f t="shared" si="228"/>
        <v/>
      </c>
      <c r="CF254" s="47" t="s">
        <v>0</v>
      </c>
      <c r="CG254" s="73" t="str">
        <f>IF(BN254="","",IF(BN254&lt;&gt;"NEMA","",IFERROR(INDEX(nat_klubAliasId,MATCH(BL254,nat_noviKluboviAliasi,0)),"")))</f>
        <v/>
      </c>
      <c r="CH254" s="47"/>
      <c r="CI254" s="19" t="str">
        <f t="shared" si="229"/>
        <v/>
      </c>
      <c r="CJ254" s="47" t="s">
        <v>0</v>
      </c>
      <c r="CK254" s="52" t="str">
        <f>IF(X254&lt;&gt;"NEMA","",IF(IFERROR(MATCH(W254,W$12:W253,0),0)&lt;&gt;0,"",W254))</f>
        <v/>
      </c>
      <c r="CL254" s="73" t="str">
        <f>IF(CK254="","",IFERROR(INDEX(regKlub_alias_id,MATCH(CK254,regKlub_alias_alias,0)),"NEMA"))</f>
        <v/>
      </c>
      <c r="CM254" s="31" t="str">
        <f>IF(OR(CL254="",CL254&lt;&gt;"NEMA"),"",MAX(CM$12:CM253)+1)</f>
        <v/>
      </c>
      <c r="CN254" s="66" t="str">
        <f>IF(OR(CL254="",CL254&lt;&gt;"NEMA"),"",INDEX(regKlub_id,MATCH(CK254,regKlub_naziv,0)))</f>
        <v/>
      </c>
      <c r="CO254" s="47" t="s">
        <v>0</v>
      </c>
      <c r="CP254" s="19" t="str">
        <f>IF(OR(CL254="",CL254&lt;&gt;"NEMA"),"","INSERT INTO klub_alias(id,alias,klub_id) VALUES ("&amp;CM254&amp;",'"&amp;CK254&amp;"',"&amp;CN254&amp;");")</f>
        <v/>
      </c>
      <c r="CQ254" s="47" t="s">
        <v>0</v>
      </c>
      <c r="CR254" s="143" t="str">
        <f>IF(BR254="","",IF(BV254="",IF(IFERROR(MATCH(BR254,nat_noviKluboviAliasi,0),0)&gt;0,INDEX(nat_kluboviAliasi,MATCH(BR254,nat_noviKluboviAliasi,0)),BR254),BV254))</f>
        <v>OK Kapela</v>
      </c>
      <c r="CS254" s="47" t="s">
        <v>0</v>
      </c>
      <c r="CT254" s="58" t="str">
        <f>IF(G254="","",G254)</f>
        <v>57:44</v>
      </c>
      <c r="CU254" s="73" t="str">
        <f>IF(H254="","",H254)</f>
        <v>0</v>
      </c>
      <c r="CV254" s="229" t="str">
        <f>IF(CT254="",IF(OR(AL254="",CU254&lt;&gt;"0"),"","GREŠKA"),IF(AND(65535&gt;=VALUE(LEFT(CT254,SEARCH(":",CT254)-1))*60+VALUE(RIGHT(CT254,2)),OR(CU254="0",CU254="1",CU254="2",CU254="3",CU254="4")),"","GREŠKA"))</f>
        <v/>
      </c>
      <c r="CW254" s="230">
        <f t="shared" si="239"/>
        <v>3464</v>
      </c>
      <c r="CX254" s="163">
        <f t="shared" si="199"/>
        <v>1</v>
      </c>
      <c r="CY254" s="47" t="s">
        <v>0</v>
      </c>
      <c r="CZ254" s="222" t="str">
        <f>IF(CV254&lt;&gt;"GREŠKA","",AK254&amp;" "&amp;AL254&amp;" – Molim u OEventu provjeriti i ispraviti rezultat – vrijeme ("&amp;IF(CT254="","nije upisano",CT254)&amp;") i classifier ("&amp;CU254&amp;").")&amp;IF(OR(CV254&lt;&gt;"GREŠKA",CX254&lt;&gt;5),"
","")&amp;IF(CX254&lt;&gt;5,"",AK254&amp;" "&amp;AL254&amp;" – Molim u provjeriti je li natjecatelj zaista diskvalificiran. Ako je koje je obrazloženje, ako nije molim u OEventu ispraviti rezultat")</f>
        <v xml:space="preserve">
</v>
      </c>
      <c r="DA254" s="223">
        <f t="shared" si="230"/>
        <v>6</v>
      </c>
      <c r="DB254" s="47" t="s">
        <v>0</v>
      </c>
      <c r="DC254" s="47"/>
      <c r="DD254" s="47"/>
      <c r="DE254" s="47"/>
      <c r="DF254" s="47" t="s">
        <v>0</v>
      </c>
      <c r="DG254" s="53" t="str">
        <f>IF(BD254="","",IF(DI254="O",1,""))</f>
        <v/>
      </c>
      <c r="DH254" t="s">
        <v>0</v>
      </c>
      <c r="DI254" s="128" t="str">
        <f>IF(Q254="","",LEFT(INDEX(regKategorija_oznaka,MATCH(S254,regKategorija_id,0)),1))</f>
        <v>Ž</v>
      </c>
      <c r="DJ254" t="s">
        <v>0</v>
      </c>
      <c r="DK254" s="52" t="str">
        <f>IF(BD254="","",IF(M254&lt;&gt;"CRO","","INSERT INTO osoba (id,reg_broj,oib,spol_id,dat_rodjenja) VALUES ("&amp;BD254&amp;",(SELECT max(os.reg_broj)+1 FROM osoba AS os),Null,'"&amp;DI254&amp;"',Null); INSERT INTO osoba_log (id,reg_broj,oib,spol_id,dat_rodjenja,dnevnik_id) SELECT id,reg_broj,oib,spol_id,dat_rodjenja,"&amp;data_dnevnik_id&amp;" FROM osoba WHERE id = "&amp;BD254&amp;";"))</f>
        <v/>
      </c>
      <c r="DL254" s="66" t="str">
        <f>IF(BD254="","","INSERT INTO imeprezime (id,osoba_id,rbr,ime,prezime,klub_id,identitet_id,sintaksa_id,info,aktivno,dnevnik_id) VALUES ("&amp;BD254&amp;","&amp;IF(DK254="","Null",BD254)&amp;",1,'"&amp;IF(AV254&lt;&gt;"",AV254,AK254)&amp;"','"&amp;IF(AW254&lt;&gt;"",AW254,AL254)&amp;"',(SELECT id FROM klub WHERE naziv = '"&amp;CR254&amp;"'),Null,1,'',1,"&amp;data_dnevnik_id&amp;");")</f>
        <v/>
      </c>
      <c r="DM254" t="s">
        <v>0</v>
      </c>
      <c r="DN254" s="19" t="str">
        <f t="shared" si="238"/>
        <v/>
      </c>
      <c r="DO254" s="47" t="s">
        <v>0</v>
      </c>
      <c r="DP254" s="19" t="str">
        <f>IF(BA254="","","INSERT INTO imeprezime_alias(id,alias,imeprezime_id) VALUES ("&amp;BB254&amp;",'"&amp;BA254&amp;"',"&amp;IF(BC254="NEMA",BD254,BC254)&amp;");")</f>
        <v/>
      </c>
      <c r="DQ254" s="47" t="s">
        <v>0</v>
      </c>
      <c r="DR254" s="52" t="str">
        <f>IF(AL254="","",DU254 &amp; IF(Q254="",""," – " &amp; Q254))</f>
        <v>Vinka – Vukmanović – OK Kapela – Ž21A</v>
      </c>
      <c r="DS254" s="53">
        <f t="shared" si="200"/>
        <v>332</v>
      </c>
      <c r="DT254" s="47" t="s">
        <v>0</v>
      </c>
      <c r="DU254" s="52" t="str">
        <f>IF(AL254="","",DX254 &amp; IF(CR254="",""," – " &amp; CR254))</f>
        <v>Vinka – Vukmanović – OK Kapela</v>
      </c>
      <c r="DV254" s="53">
        <f t="shared" si="201"/>
        <v>332</v>
      </c>
      <c r="DW254" s="47" t="s">
        <v>0</v>
      </c>
      <c r="DX254" s="52" t="str">
        <f>IF(BG254="","",BF254&amp;" – "&amp;BG254)</f>
        <v>Vinka – Vukmanović</v>
      </c>
      <c r="DY254" s="53">
        <f t="shared" si="202"/>
        <v>332</v>
      </c>
      <c r="DZ254" s="47" t="s">
        <v>0</v>
      </c>
      <c r="EA254" s="58">
        <f t="shared" si="231"/>
        <v>332</v>
      </c>
      <c r="EB254" s="53" cm="1">
        <f t="array" ref="EB254">IF(EA254&lt;&gt;"",INDEX(regNatjecatelj_id,EA254,0),IF(BD254&lt;&gt;"",BD254,""))</f>
        <v>1094</v>
      </c>
      <c r="EC254" s="47" t="s">
        <v>0</v>
      </c>
      <c r="ED254" s="58" t="str">
        <f>IF(AL254="","",IF(BD254&lt;&gt;"","novo",IF(AN254="","imepre","imepre(ali)")))</f>
        <v>imepre</v>
      </c>
      <c r="EE254" s="73" t="str">
        <f>IF(AL254="","",IF(BL254="",IF(IFERROR(INDEX(regNatjecatelj_klub,MATCH(EB254,regNatjecatelj_id,0)),"NEMA")="","klu",""),IF(OR(AND(BN254&lt;&gt;"",BN254&lt;&gt;"NEMA"),CD254&lt;&gt;""),"klu(ali)",IF(AND(BP254&lt;&gt;"",BP254&lt;&gt;BO254),"(raz-klu)","klu"))))</f>
        <v>klu</v>
      </c>
      <c r="EF254" s="73" t="str">
        <f>IF(AL254="","","kat"&amp;IF(AND(W254&lt;&gt;Q254,Q254&lt;&gt;"Open"),"(ali)",""))</f>
        <v>kat</v>
      </c>
      <c r="EG254" s="73" t="str">
        <f t="shared" si="203"/>
        <v/>
      </c>
      <c r="EH254" s="66" t="str">
        <f>IF(AL254="","",ED254&amp;IF(ED254="novo","","-"&amp;EE254&amp;"-"&amp;EF254)&amp;IF(EG254="","","-"&amp;EG254))</f>
        <v>imepre-klu-kat</v>
      </c>
      <c r="EI254" s="47" t="s">
        <v>0</v>
      </c>
      <c r="EJ254" s="58">
        <f>IF(AL254="","",MAX(EJ$12:EJ253)+1)</f>
        <v>407</v>
      </c>
      <c r="EK254" s="73">
        <f>IF(AO254="","",X254)</f>
        <v>39</v>
      </c>
      <c r="EL254" s="73">
        <f t="shared" si="232"/>
        <v>1094</v>
      </c>
      <c r="EM254" s="73">
        <f t="shared" si="204"/>
        <v>3464</v>
      </c>
      <c r="EN254" s="73">
        <f t="shared" si="205"/>
        <v>1</v>
      </c>
      <c r="EO254" s="73">
        <f t="shared" si="233"/>
        <v>1</v>
      </c>
      <c r="EP254" s="73">
        <f t="shared" si="234"/>
        <v>1</v>
      </c>
      <c r="EQ254" s="73" t="str">
        <f t="shared" si="206"/>
        <v>0</v>
      </c>
      <c r="ER254" s="73" t="str">
        <f>IF(OR(AN254="",AN254="NEMA"),BB254,AN254)</f>
        <v/>
      </c>
      <c r="ES254" s="73" t="str">
        <f>IF(AND(BN254&lt;&gt;"",BN254&lt;&gt;"NEMA"),BN254,IF(CG254&lt;&gt;"",CG254,IF(AND(CL254&lt;&gt;"",CL254&lt;&gt;"NEMA"),CL254,IF(CM254&lt;&gt;"",CM254,""))))</f>
        <v/>
      </c>
      <c r="ET254" s="53" t="str">
        <f>IF(INDEX(natKategorija_alias_Id,MATCH(S254,natKategorija_katRegId,0))="","",INDEX(natKategorija_alias_Id,MATCH(S254,natKategorija_katRegId,0)))</f>
        <v/>
      </c>
      <c r="EU254" s="47" t="s">
        <v>0</v>
      </c>
      <c r="EV254" s="19" t="str">
        <f t="shared" si="235"/>
        <v>INSERT INTO rezultat(id,stazakategorija_id,imeprezime_id,vrijeme_sec,status_id,registracija,uparivanje_id,originalstatus_id,imeprezimealias_id,klubalias_id,kategorijaalias_id) VALUES (407,39,1094,3464,1,1,1,0,Null,Null,Null);</v>
      </c>
      <c r="EW254" s="47" t="s">
        <v>0</v>
      </c>
      <c r="EX254" s="19" t="str">
        <f t="shared" si="236"/>
        <v>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54" s="47" t="s">
        <v>0</v>
      </c>
      <c r="EZ254" s="180" t="str">
        <f>AG254&amp;IF(CP254="","","
")&amp;CP254&amp;IF(CI254="","","
")&amp;CI254&amp;IF(DN254="","","
")&amp;DN254&amp;IF(DP254="","","
")&amp;DP254&amp;IF(EV254="","","
")&amp;EV254&amp;IF(EX254="","","
")&amp;EX254</f>
        <v xml:space="preserve">
INSERT INTO rezultat(id,stazakategorija_id,imeprezime_id,vrijeme_sec,status_id,registracija,uparivanje_id,originalstatus_id,imeprezimealias_id,klubalias_id,kategorijaalias_id) VALUES (407,39,1094,3464,1,1,1,0,Null,Null,Null);
UPDATE
	registar
SET
	potvrda = 1
WHERE
	imeprezime_id=1094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54" s="47" t="s">
        <v>0</v>
      </c>
    </row>
    <row r="255" spans="1:157" x14ac:dyDescent="0.25">
      <c r="A255" t="s">
        <v>0</v>
      </c>
      <c r="B255" s="52" t="str">
        <f>IF(csv!F245="","",csv!T245)</f>
        <v>Ž21A</v>
      </c>
      <c r="C255" s="31" t="s">
        <v>0</v>
      </c>
      <c r="D255" s="31" t="str">
        <f>IF(csv!F245="","",csv!F245)</f>
        <v>Olga</v>
      </c>
      <c r="E255" s="31" t="str">
        <f>IF(csv!E245="","",csv!E245)</f>
        <v>Jerković Perić</v>
      </c>
      <c r="F255" s="31" t="s">
        <v>0</v>
      </c>
      <c r="G255" s="73" t="str">
        <f>IF(csv!M245="","",csv!M245)</f>
        <v>58:34</v>
      </c>
      <c r="H255" s="73" t="str">
        <f>IF(csv!N245="","",csv!N245)</f>
        <v>0</v>
      </c>
      <c r="I255" s="31" t="s">
        <v>0</v>
      </c>
      <c r="J255" s="31" t="str">
        <f>IF(csv!P245="","",csv!P245)</f>
        <v>KAP</v>
      </c>
      <c r="K255" s="31" t="str">
        <f>IF(csv!Q245="","",csv!Q245)</f>
        <v>OK Kapela</v>
      </c>
      <c r="L255" s="31" t="s">
        <v>0</v>
      </c>
      <c r="M255" s="66" t="str">
        <f>IF(csv!R245="","",csv!R245)</f>
        <v>CRO</v>
      </c>
      <c r="N255" s="47" t="s">
        <v>0</v>
      </c>
      <c r="O255" s="243" t="str">
        <f t="shared" si="207"/>
        <v>ok</v>
      </c>
      <c r="P255" s="47"/>
      <c r="Q255" s="52" t="str">
        <f t="shared" si="208"/>
        <v>Ž21A</v>
      </c>
      <c r="R255" s="73">
        <f>IF(Q255="","",IF(COUNTIF(Q$12:Q254,Q255)=0,R254+1,R254))</f>
        <v>17</v>
      </c>
      <c r="S255" s="73">
        <f t="shared" si="209"/>
        <v>102</v>
      </c>
      <c r="T255" s="73">
        <f t="shared" si="184"/>
        <v>14</v>
      </c>
      <c r="U255" s="66" t="str">
        <f t="shared" si="185"/>
        <v>Ž21A</v>
      </c>
      <c r="V255" s="47" t="s">
        <v>0</v>
      </c>
      <c r="W255" s="222" t="str">
        <f t="shared" si="186"/>
        <v>Ž21A</v>
      </c>
      <c r="X255" s="223">
        <f t="shared" si="187"/>
        <v>39</v>
      </c>
      <c r="Y255" s="47" t="s">
        <v>0</v>
      </c>
      <c r="Z255" s="52" t="str">
        <f t="shared" si="210"/>
        <v>CRO</v>
      </c>
      <c r="AA255" s="73">
        <f t="shared" si="188"/>
        <v>1</v>
      </c>
      <c r="AB255" s="31" t="str">
        <f t="shared" si="211"/>
        <v/>
      </c>
      <c r="AC255" s="66" t="str">
        <f>IF(AB255="","",MAX(AC$12:AC254)+1)</f>
        <v/>
      </c>
      <c r="AD255" s="47" t="s">
        <v>0</v>
      </c>
      <c r="AE255" s="125"/>
      <c r="AF255" s="47" t="s">
        <v>0</v>
      </c>
      <c r="AG255" s="19" t="str">
        <f t="shared" si="212"/>
        <v/>
      </c>
      <c r="AH255" s="47" t="s">
        <v>0</v>
      </c>
      <c r="AI255" s="143" t="str">
        <f t="shared" si="213"/>
        <v>CRO</v>
      </c>
      <c r="AJ255" s="47"/>
      <c r="AK255" s="52" t="str">
        <f t="shared" si="214"/>
        <v>Olga</v>
      </c>
      <c r="AL255" s="31" t="str">
        <f t="shared" si="215"/>
        <v>Jerković Perić</v>
      </c>
      <c r="AM255" s="73">
        <f t="shared" si="216"/>
        <v>1465</v>
      </c>
      <c r="AN255" s="73" t="str">
        <f t="shared" si="217"/>
        <v/>
      </c>
      <c r="AO255" s="31" t="str">
        <f t="shared" si="189"/>
        <v>Olga</v>
      </c>
      <c r="AP255" s="66" t="str">
        <f t="shared" si="190"/>
        <v>Jerković Perić</v>
      </c>
      <c r="AQ255" s="47" t="s">
        <v>0</v>
      </c>
      <c r="AR255" s="82" t="str">
        <f t="shared" si="218"/>
        <v/>
      </c>
      <c r="AS255" s="47" t="s">
        <v>0</v>
      </c>
      <c r="AT255" s="19" t="str">
        <f t="shared" si="219"/>
        <v/>
      </c>
      <c r="AU255" s="47" t="s">
        <v>0</v>
      </c>
      <c r="AV255" s="103"/>
      <c r="AW255" s="105"/>
      <c r="AX255" s="47" t="s">
        <v>0</v>
      </c>
      <c r="AY255" s="256" t="str">
        <f t="shared" si="237"/>
        <v/>
      </c>
      <c r="AZ255" s="47" t="s">
        <v>0</v>
      </c>
      <c r="BA255" s="52" t="str">
        <f t="shared" si="191"/>
        <v/>
      </c>
      <c r="BB255" s="73" t="str">
        <f>IF(AV255&amp;AW255="","",MAX(BB$12:BB254)+1)</f>
        <v/>
      </c>
      <c r="BC255" s="268" t="str">
        <f t="shared" si="192"/>
        <v/>
      </c>
      <c r="BD255" s="53" t="str">
        <f>IF(AND(AM255="NEMA",AN255="NEMA",OR(AV255&amp;AW255="",BC255="NEMA")),MAX(BD$12:BD254)+1,"")</f>
        <v/>
      </c>
      <c r="BE255" s="47" t="s">
        <v>0</v>
      </c>
      <c r="BF255" s="52" t="str">
        <f t="shared" si="193"/>
        <v>Olga</v>
      </c>
      <c r="BG255" s="31" t="str">
        <f t="shared" si="194"/>
        <v>Jerković Perić</v>
      </c>
      <c r="BH255" s="73" t="str">
        <f t="shared" si="220"/>
        <v/>
      </c>
      <c r="BI255" s="53">
        <f t="shared" si="221"/>
        <v>1465</v>
      </c>
      <c r="BJ255" s="47" t="s">
        <v>0</v>
      </c>
      <c r="BK255" s="52" t="str">
        <f t="shared" si="195"/>
        <v>KAP</v>
      </c>
      <c r="BL255" s="31" t="str">
        <f t="shared" si="196"/>
        <v>OK Kapela</v>
      </c>
      <c r="BM255" s="73">
        <f t="shared" si="197"/>
        <v>5</v>
      </c>
      <c r="BN255" s="73" t="str">
        <f t="shared" si="198"/>
        <v/>
      </c>
      <c r="BO255" s="31" t="str" cm="1">
        <f t="array" ref="BO255">IF(BN255="",""&amp;BL255,IF(BN255="NEMA",BL255,INDEX(regKlub_naziv,MATCH(INDEX(regKlub_alias_klubId,BN255),regKlub_id,0))))</f>
        <v>OK Kapela</v>
      </c>
      <c r="BP255" s="31" t="str" cm="1">
        <f t="array" ref="BP255">IFERROR(""&amp;INDEX(regNatjecatelj_klub,DY255),"")</f>
        <v>OK Kapela</v>
      </c>
      <c r="BQ255" s="88" t="str">
        <f t="shared" si="222"/>
        <v/>
      </c>
      <c r="BR255" s="66" t="str">
        <f t="shared" si="223"/>
        <v>OK Kapela</v>
      </c>
      <c r="BS255" s="47" t="s">
        <v>0</v>
      </c>
      <c r="BT255" s="82" t="str">
        <f>IF(BN255&lt;&gt;"NEMA","",IF(IFERROR(MATCH(BL255,BL$12:BL254,0),0)&lt;&gt;0,"",BL255))</f>
        <v/>
      </c>
      <c r="BU255" s="47" t="s">
        <v>0</v>
      </c>
      <c r="BV255" s="125"/>
      <c r="BW255" s="47" t="s">
        <v>0</v>
      </c>
      <c r="BX255" s="58" t="str">
        <f t="shared" si="224"/>
        <v/>
      </c>
      <c r="BY255" s="31" t="str">
        <f t="shared" si="225"/>
        <v/>
      </c>
      <c r="BZ255" s="31" t="str">
        <f>IF(BY255="","",MAX(BZ$12:BZ254)+1)</f>
        <v/>
      </c>
      <c r="CA255" s="31" t="str">
        <f>IF(BY255="","",IF(AA255="","",IF(AA255="NEMA",AC255,AA255)))</f>
        <v/>
      </c>
      <c r="CB255" s="31" t="str">
        <f t="shared" si="226"/>
        <v/>
      </c>
      <c r="CC255" s="31" t="str">
        <f>IF(BV255="","",MAX(CC$12:CC254)+1)</f>
        <v/>
      </c>
      <c r="CD255" s="31" t="str">
        <f t="shared" si="227"/>
        <v/>
      </c>
      <c r="CE255" s="66" t="str">
        <f t="shared" si="228"/>
        <v/>
      </c>
      <c r="CF255" s="47" t="s">
        <v>0</v>
      </c>
      <c r="CG255" s="73" t="str">
        <f>IF(BN255="","",IF(BN255&lt;&gt;"NEMA","",IFERROR(INDEX(nat_klubAliasId,MATCH(BL255,nat_noviKluboviAliasi,0)),"")))</f>
        <v/>
      </c>
      <c r="CH255" s="47"/>
      <c r="CI255" s="19" t="str">
        <f t="shared" si="229"/>
        <v/>
      </c>
      <c r="CJ255" s="47" t="s">
        <v>0</v>
      </c>
      <c r="CK255" s="52" t="str">
        <f>IF(X255&lt;&gt;"NEMA","",IF(IFERROR(MATCH(W255,W$12:W254,0),0)&lt;&gt;0,"",W255))</f>
        <v/>
      </c>
      <c r="CL255" s="73" t="str">
        <f>IF(CK255="","",IFERROR(INDEX(regKlub_alias_id,MATCH(CK255,regKlub_alias_alias,0)),"NEMA"))</f>
        <v/>
      </c>
      <c r="CM255" s="31" t="str">
        <f>IF(OR(CL255="",CL255&lt;&gt;"NEMA"),"",MAX(CM$12:CM254)+1)</f>
        <v/>
      </c>
      <c r="CN255" s="66" t="str">
        <f>IF(OR(CL255="",CL255&lt;&gt;"NEMA"),"",INDEX(regKlub_id,MATCH(CK255,regKlub_naziv,0)))</f>
        <v/>
      </c>
      <c r="CO255" s="47" t="s">
        <v>0</v>
      </c>
      <c r="CP255" s="19" t="str">
        <f>IF(OR(CL255="",CL255&lt;&gt;"NEMA"),"","INSERT INTO klub_alias(id,alias,klub_id) VALUES ("&amp;CM255&amp;",'"&amp;CK255&amp;"',"&amp;CN255&amp;");")</f>
        <v/>
      </c>
      <c r="CQ255" s="47" t="s">
        <v>0</v>
      </c>
      <c r="CR255" s="143" t="str">
        <f>IF(BR255="","",IF(BV255="",IF(IFERROR(MATCH(BR255,nat_noviKluboviAliasi,0),0)&gt;0,INDEX(nat_kluboviAliasi,MATCH(BR255,nat_noviKluboviAliasi,0)),BR255),BV255))</f>
        <v>OK Kapela</v>
      </c>
      <c r="CS255" s="47" t="s">
        <v>0</v>
      </c>
      <c r="CT255" s="58" t="str">
        <f>IF(G255="","",G255)</f>
        <v>58:34</v>
      </c>
      <c r="CU255" s="73" t="str">
        <f>IF(H255="","",H255)</f>
        <v>0</v>
      </c>
      <c r="CV255" s="229" t="str">
        <f>IF(CT255="",IF(OR(AL255="",CU255&lt;&gt;"0"),"","GREŠKA"),IF(AND(65535&gt;=VALUE(LEFT(CT255,SEARCH(":",CT255)-1))*60+VALUE(RIGHT(CT255,2)),OR(CU255="0",CU255="1",CU255="2",CU255="3",CU255="4")),"","GREŠKA"))</f>
        <v/>
      </c>
      <c r="CW255" s="230">
        <f t="shared" si="239"/>
        <v>3514</v>
      </c>
      <c r="CX255" s="163">
        <f t="shared" si="199"/>
        <v>1</v>
      </c>
      <c r="CY255" s="47" t="s">
        <v>0</v>
      </c>
      <c r="CZ255" s="222" t="str">
        <f>IF(CV255&lt;&gt;"GREŠKA","",AK255&amp;" "&amp;AL255&amp;" – Molim u OEventu provjeriti i ispraviti rezultat – vrijeme ("&amp;IF(CT255="","nije upisano",CT255)&amp;") i classifier ("&amp;CU255&amp;").")&amp;IF(OR(CV255&lt;&gt;"GREŠKA",CX255&lt;&gt;5),"
","")&amp;IF(CX255&lt;&gt;5,"",AK255&amp;" "&amp;AL255&amp;" – Molim u provjeriti je li natjecatelj zaista diskvalificiran. Ako je koje je obrazloženje, ako nije molim u OEventu ispraviti rezultat")</f>
        <v xml:space="preserve">
</v>
      </c>
      <c r="DA255" s="223">
        <f t="shared" si="230"/>
        <v>6</v>
      </c>
      <c r="DB255" s="47" t="s">
        <v>0</v>
      </c>
      <c r="DC255" s="47"/>
      <c r="DD255" s="47"/>
      <c r="DE255" s="47"/>
      <c r="DF255" s="47" t="s">
        <v>0</v>
      </c>
      <c r="DG255" s="53" t="str">
        <f>IF(BD255="","",IF(DI255="O",1,""))</f>
        <v/>
      </c>
      <c r="DH255" t="s">
        <v>0</v>
      </c>
      <c r="DI255" s="128" t="str">
        <f>IF(Q255="","",LEFT(INDEX(regKategorija_oznaka,MATCH(S255,regKategorija_id,0)),1))</f>
        <v>Ž</v>
      </c>
      <c r="DJ255" t="s">
        <v>0</v>
      </c>
      <c r="DK255" s="52" t="str">
        <f>IF(BD255="","",IF(M255&lt;&gt;"CRO","","INSERT INTO osoba (id,reg_broj,oib,spol_id,dat_rodjenja) VALUES ("&amp;BD255&amp;",(SELECT max(os.reg_broj)+1 FROM osoba AS os),Null,'"&amp;DI255&amp;"',Null); INSERT INTO osoba_log (id,reg_broj,oib,spol_id,dat_rodjenja,dnevnik_id) SELECT id,reg_broj,oib,spol_id,dat_rodjenja,"&amp;data_dnevnik_id&amp;" FROM osoba WHERE id = "&amp;BD255&amp;";"))</f>
        <v/>
      </c>
      <c r="DL255" s="66" t="str">
        <f>IF(BD255="","","INSERT INTO imeprezime (id,osoba_id,rbr,ime,prezime,klub_id,identitet_id,sintaksa_id,info,aktivno,dnevnik_id) VALUES ("&amp;BD255&amp;","&amp;IF(DK255="","Null",BD255)&amp;",1,'"&amp;IF(AV255&lt;&gt;"",AV255,AK255)&amp;"','"&amp;IF(AW255&lt;&gt;"",AW255,AL255)&amp;"',(SELECT id FROM klub WHERE naziv = '"&amp;CR255&amp;"'),Null,1,'',1,"&amp;data_dnevnik_id&amp;");")</f>
        <v/>
      </c>
      <c r="DM255" t="s">
        <v>0</v>
      </c>
      <c r="DN255" s="19" t="str">
        <f t="shared" si="238"/>
        <v/>
      </c>
      <c r="DO255" s="47" t="s">
        <v>0</v>
      </c>
      <c r="DP255" s="19" t="str">
        <f>IF(BA255="","","INSERT INTO imeprezime_alias(id,alias,imeprezime_id) VALUES ("&amp;BB255&amp;",'"&amp;BA255&amp;"',"&amp;IF(BC255="NEMA",BD255,BC255)&amp;");")</f>
        <v/>
      </c>
      <c r="DQ255" s="47" t="s">
        <v>0</v>
      </c>
      <c r="DR255" s="52" t="str">
        <f>IF(AL255="","",DU255 &amp; IF(Q255="",""," – " &amp; Q255))</f>
        <v>Olga – Jerković Perić – OK Kapela – Ž21A</v>
      </c>
      <c r="DS255" s="53">
        <f t="shared" si="200"/>
        <v>261</v>
      </c>
      <c r="DT255" s="47" t="s">
        <v>0</v>
      </c>
      <c r="DU255" s="52" t="str">
        <f>IF(AL255="","",DX255 &amp; IF(CR255="",""," – " &amp; CR255))</f>
        <v>Olga – Jerković Perić – OK Kapela</v>
      </c>
      <c r="DV255" s="53">
        <f t="shared" si="201"/>
        <v>261</v>
      </c>
      <c r="DW255" s="47" t="s">
        <v>0</v>
      </c>
      <c r="DX255" s="52" t="str">
        <f>IF(BG255="","",BF255&amp;" – "&amp;BG255)</f>
        <v>Olga – Jerković Perić</v>
      </c>
      <c r="DY255" s="53">
        <f t="shared" si="202"/>
        <v>261</v>
      </c>
      <c r="DZ255" s="47" t="s">
        <v>0</v>
      </c>
      <c r="EA255" s="58">
        <f t="shared" si="231"/>
        <v>261</v>
      </c>
      <c r="EB255" s="53" cm="1">
        <f t="array" ref="EB255">IF(EA255&lt;&gt;"",INDEX(regNatjecatelj_id,EA255,0),IF(BD255&lt;&gt;"",BD255,""))</f>
        <v>1465</v>
      </c>
      <c r="EC255" s="47" t="s">
        <v>0</v>
      </c>
      <c r="ED255" s="58" t="str">
        <f>IF(AL255="","",IF(BD255&lt;&gt;"","novo",IF(AN255="","imepre","imepre(ali)")))</f>
        <v>imepre</v>
      </c>
      <c r="EE255" s="73" t="str">
        <f>IF(AL255="","",IF(BL255="",IF(IFERROR(INDEX(regNatjecatelj_klub,MATCH(EB255,regNatjecatelj_id,0)),"NEMA")="","klu",""),IF(OR(AND(BN255&lt;&gt;"",BN255&lt;&gt;"NEMA"),CD255&lt;&gt;""),"klu(ali)",IF(AND(BP255&lt;&gt;"",BP255&lt;&gt;BO255),"(raz-klu)","klu"))))</f>
        <v>klu</v>
      </c>
      <c r="EF255" s="73" t="str">
        <f>IF(AL255="","","kat"&amp;IF(AND(W255&lt;&gt;Q255,Q255&lt;&gt;"Open"),"(ali)",""))</f>
        <v>kat</v>
      </c>
      <c r="EG255" s="73" t="str">
        <f t="shared" si="203"/>
        <v/>
      </c>
      <c r="EH255" s="66" t="str">
        <f>IF(AL255="","",ED255&amp;IF(ED255="novo","","-"&amp;EE255&amp;"-"&amp;EF255)&amp;IF(EG255="","","-"&amp;EG255))</f>
        <v>imepre-klu-kat</v>
      </c>
      <c r="EI255" s="47" t="s">
        <v>0</v>
      </c>
      <c r="EJ255" s="58">
        <f>IF(AL255="","",MAX(EJ$12:EJ254)+1)</f>
        <v>408</v>
      </c>
      <c r="EK255" s="73">
        <f>IF(AO255="","",X255)</f>
        <v>39</v>
      </c>
      <c r="EL255" s="73">
        <f t="shared" si="232"/>
        <v>1465</v>
      </c>
      <c r="EM255" s="73">
        <f t="shared" si="204"/>
        <v>3514</v>
      </c>
      <c r="EN255" s="73">
        <f t="shared" si="205"/>
        <v>1</v>
      </c>
      <c r="EO255" s="73">
        <f t="shared" si="233"/>
        <v>1</v>
      </c>
      <c r="EP255" s="73">
        <f t="shared" si="234"/>
        <v>1</v>
      </c>
      <c r="EQ255" s="73" t="str">
        <f t="shared" si="206"/>
        <v>0</v>
      </c>
      <c r="ER255" s="73" t="str">
        <f>IF(OR(AN255="",AN255="NEMA"),BB255,AN255)</f>
        <v/>
      </c>
      <c r="ES255" s="73" t="str">
        <f>IF(AND(BN255&lt;&gt;"",BN255&lt;&gt;"NEMA"),BN255,IF(CG255&lt;&gt;"",CG255,IF(AND(CL255&lt;&gt;"",CL255&lt;&gt;"NEMA"),CL255,IF(CM255&lt;&gt;"",CM255,""))))</f>
        <v/>
      </c>
      <c r="ET255" s="53" t="str">
        <f>IF(INDEX(natKategorija_alias_Id,MATCH(S255,natKategorija_katRegId,0))="","",INDEX(natKategorija_alias_Id,MATCH(S255,natKategorija_katRegId,0)))</f>
        <v/>
      </c>
      <c r="EU255" s="47" t="s">
        <v>0</v>
      </c>
      <c r="EV255" s="19" t="str">
        <f t="shared" si="235"/>
        <v>INSERT INTO rezultat(id,stazakategorija_id,imeprezime_id,vrijeme_sec,status_id,registracija,uparivanje_id,originalstatus_id,imeprezimealias_id,klubalias_id,kategorijaalias_id) VALUES (408,39,1465,3514,1,1,1,0,Null,Null,Null);</v>
      </c>
      <c r="EW255" s="47" t="s">
        <v>0</v>
      </c>
      <c r="EX255" s="19" t="str">
        <f t="shared" si="236"/>
        <v>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55" s="47" t="s">
        <v>0</v>
      </c>
      <c r="EZ255" s="180" t="str">
        <f>AG255&amp;IF(CP255="","","
")&amp;CP255&amp;IF(CI255="","","
")&amp;CI255&amp;IF(DN255="","","
")&amp;DN255&amp;IF(DP255="","","
")&amp;DP255&amp;IF(EV255="","","
")&amp;EV255&amp;IF(EX255="","","
")&amp;EX255</f>
        <v xml:space="preserve">
INSERT INTO rezultat(id,stazakategorija_id,imeprezime_id,vrijeme_sec,status_id,registracija,uparivanje_id,originalstatus_id,imeprezimealias_id,klubalias_id,kategorijaalias_id) VALUES (408,39,1465,3514,1,1,1,0,Null,Null,Null);
UPDATE
	registar
SET
	potvrda = 1
WHERE
	imeprezime_id=1465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55" s="47" t="s">
        <v>0</v>
      </c>
    </row>
    <row r="256" spans="1:157" x14ac:dyDescent="0.25">
      <c r="A256" t="s">
        <v>0</v>
      </c>
      <c r="B256" s="52" t="str">
        <f>IF(csv!F246="","",csv!T246)</f>
        <v>Ž21A</v>
      </c>
      <c r="C256" s="31" t="s">
        <v>0</v>
      </c>
      <c r="D256" s="31" t="str">
        <f>IF(csv!F246="","",csv!F246)</f>
        <v>Iva</v>
      </c>
      <c r="E256" s="31" t="str">
        <f>IF(csv!E246="","",csv!E246)</f>
        <v>Štambuk</v>
      </c>
      <c r="F256" s="31" t="s">
        <v>0</v>
      </c>
      <c r="G256" s="73" t="str">
        <f>IF(csv!M246="","",csv!M246)</f>
        <v>63:28</v>
      </c>
      <c r="H256" s="73" t="str">
        <f>IF(csv!N246="","",csv!N246)</f>
        <v>0</v>
      </c>
      <c r="I256" s="31" t="s">
        <v>0</v>
      </c>
      <c r="J256" s="31" t="str">
        <f>IF(csv!P246="","",csv!P246)</f>
        <v>Maksimir</v>
      </c>
      <c r="K256" s="31" t="str">
        <f>IF(csv!Q246="","",csv!Q246)</f>
        <v>OK Maksimir</v>
      </c>
      <c r="L256" s="31" t="s">
        <v>0</v>
      </c>
      <c r="M256" s="66" t="str">
        <f>IF(csv!R246="","",csv!R246)</f>
        <v>CRO</v>
      </c>
      <c r="N256" s="47" t="s">
        <v>0</v>
      </c>
      <c r="O256" s="243" t="str">
        <f t="shared" si="207"/>
        <v>ok</v>
      </c>
      <c r="P256" s="47"/>
      <c r="Q256" s="52" t="str">
        <f t="shared" si="208"/>
        <v>Ž21A</v>
      </c>
      <c r="R256" s="73">
        <f>IF(Q256="","",IF(COUNTIF(Q$12:Q255,Q256)=0,R255+1,R255))</f>
        <v>17</v>
      </c>
      <c r="S256" s="73">
        <f t="shared" si="209"/>
        <v>102</v>
      </c>
      <c r="T256" s="73">
        <f t="shared" si="184"/>
        <v>14</v>
      </c>
      <c r="U256" s="66" t="str">
        <f t="shared" si="185"/>
        <v>Ž21A</v>
      </c>
      <c r="V256" s="47" t="s">
        <v>0</v>
      </c>
      <c r="W256" s="222" t="str">
        <f t="shared" si="186"/>
        <v>Ž21A</v>
      </c>
      <c r="X256" s="223">
        <f t="shared" si="187"/>
        <v>39</v>
      </c>
      <c r="Y256" s="47" t="s">
        <v>0</v>
      </c>
      <c r="Z256" s="52" t="str">
        <f t="shared" si="210"/>
        <v>CRO</v>
      </c>
      <c r="AA256" s="73">
        <f t="shared" si="188"/>
        <v>1</v>
      </c>
      <c r="AB256" s="31" t="str">
        <f t="shared" si="211"/>
        <v/>
      </c>
      <c r="AC256" s="66" t="str">
        <f>IF(AB256="","",MAX(AC$12:AC255)+1)</f>
        <v/>
      </c>
      <c r="AD256" s="47" t="s">
        <v>0</v>
      </c>
      <c r="AE256" s="125"/>
      <c r="AF256" s="47" t="s">
        <v>0</v>
      </c>
      <c r="AG256" s="19" t="str">
        <f t="shared" si="212"/>
        <v/>
      </c>
      <c r="AH256" s="47" t="s">
        <v>0</v>
      </c>
      <c r="AI256" s="143" t="str">
        <f t="shared" si="213"/>
        <v>CRO</v>
      </c>
      <c r="AJ256" s="47"/>
      <c r="AK256" s="52" t="str">
        <f t="shared" si="214"/>
        <v>Iva</v>
      </c>
      <c r="AL256" s="31" t="str">
        <f t="shared" si="215"/>
        <v>Štambuk</v>
      </c>
      <c r="AM256" s="73">
        <f t="shared" si="216"/>
        <v>1158</v>
      </c>
      <c r="AN256" s="73" t="str">
        <f t="shared" si="217"/>
        <v/>
      </c>
      <c r="AO256" s="31" t="str">
        <f t="shared" si="189"/>
        <v>Iva</v>
      </c>
      <c r="AP256" s="66" t="str">
        <f t="shared" si="190"/>
        <v>Štambuk</v>
      </c>
      <c r="AQ256" s="47" t="s">
        <v>0</v>
      </c>
      <c r="AR256" s="82" t="str">
        <f t="shared" si="218"/>
        <v/>
      </c>
      <c r="AS256" s="47" t="s">
        <v>0</v>
      </c>
      <c r="AT256" s="19" t="str">
        <f t="shared" si="219"/>
        <v/>
      </c>
      <c r="AU256" s="47" t="s">
        <v>0</v>
      </c>
      <c r="AV256" s="103"/>
      <c r="AW256" s="105"/>
      <c r="AX256" s="47" t="s">
        <v>0</v>
      </c>
      <c r="AY256" s="256" t="str">
        <f t="shared" si="237"/>
        <v/>
      </c>
      <c r="AZ256" s="47" t="s">
        <v>0</v>
      </c>
      <c r="BA256" s="52" t="str">
        <f t="shared" si="191"/>
        <v/>
      </c>
      <c r="BB256" s="73" t="str">
        <f>IF(AV256&amp;AW256="","",MAX(BB$12:BB255)+1)</f>
        <v/>
      </c>
      <c r="BC256" s="268" t="str">
        <f t="shared" si="192"/>
        <v/>
      </c>
      <c r="BD256" s="53" t="str">
        <f>IF(AND(AM256="NEMA",AN256="NEMA",OR(AV256&amp;AW256="",BC256="NEMA")),MAX(BD$12:BD255)+1,"")</f>
        <v/>
      </c>
      <c r="BE256" s="47" t="s">
        <v>0</v>
      </c>
      <c r="BF256" s="52" t="str">
        <f t="shared" si="193"/>
        <v>Iva</v>
      </c>
      <c r="BG256" s="31" t="str">
        <f t="shared" si="194"/>
        <v>Štambuk</v>
      </c>
      <c r="BH256" s="73" t="str">
        <f t="shared" si="220"/>
        <v/>
      </c>
      <c r="BI256" s="53">
        <f t="shared" si="221"/>
        <v>1158</v>
      </c>
      <c r="BJ256" s="47" t="s">
        <v>0</v>
      </c>
      <c r="BK256" s="52" t="str">
        <f t="shared" si="195"/>
        <v>Maksimir</v>
      </c>
      <c r="BL256" s="31" t="str">
        <f t="shared" si="196"/>
        <v>OK Maksimir</v>
      </c>
      <c r="BM256" s="73">
        <f t="shared" si="197"/>
        <v>6</v>
      </c>
      <c r="BN256" s="73" t="str">
        <f t="shared" si="198"/>
        <v/>
      </c>
      <c r="BO256" s="31" t="str" cm="1">
        <f t="array" ref="BO256">IF(BN256="",""&amp;BL256,IF(BN256="NEMA",BL256,INDEX(regKlub_naziv,MATCH(INDEX(regKlub_alias_klubId,BN256),regKlub_id,0))))</f>
        <v>OK Maksimir</v>
      </c>
      <c r="BP256" s="31" t="str" cm="1">
        <f t="array" ref="BP256">IFERROR(""&amp;INDEX(regNatjecatelj_klub,DY256),"")</f>
        <v>OK Maksimir</v>
      </c>
      <c r="BQ256" s="88" t="str">
        <f t="shared" si="222"/>
        <v/>
      </c>
      <c r="BR256" s="66" t="str">
        <f t="shared" si="223"/>
        <v>OK Maksimir</v>
      </c>
      <c r="BS256" s="47" t="s">
        <v>0</v>
      </c>
      <c r="BT256" s="82" t="str">
        <f>IF(BN256&lt;&gt;"NEMA","",IF(IFERROR(MATCH(BL256,BL$12:BL255,0),0)&lt;&gt;0,"",BL256))</f>
        <v/>
      </c>
      <c r="BU256" s="47" t="s">
        <v>0</v>
      </c>
      <c r="BV256" s="125"/>
      <c r="BW256" s="47" t="s">
        <v>0</v>
      </c>
      <c r="BX256" s="58" t="str">
        <f t="shared" si="224"/>
        <v/>
      </c>
      <c r="BY256" s="31" t="str">
        <f t="shared" si="225"/>
        <v/>
      </c>
      <c r="BZ256" s="31" t="str">
        <f>IF(BY256="","",MAX(BZ$12:BZ255)+1)</f>
        <v/>
      </c>
      <c r="CA256" s="31" t="str">
        <f>IF(BY256="","",IF(AA256="","",IF(AA256="NEMA",AC256,AA256)))</f>
        <v/>
      </c>
      <c r="CB256" s="31" t="str">
        <f t="shared" si="226"/>
        <v/>
      </c>
      <c r="CC256" s="31" t="str">
        <f>IF(BV256="","",MAX(CC$12:CC255)+1)</f>
        <v/>
      </c>
      <c r="CD256" s="31" t="str">
        <f t="shared" si="227"/>
        <v/>
      </c>
      <c r="CE256" s="66" t="str">
        <f t="shared" si="228"/>
        <v/>
      </c>
      <c r="CF256" s="47" t="s">
        <v>0</v>
      </c>
      <c r="CG256" s="73" t="str">
        <f>IF(BN256="","",IF(BN256&lt;&gt;"NEMA","",IFERROR(INDEX(nat_klubAliasId,MATCH(BL256,nat_noviKluboviAliasi,0)),"")))</f>
        <v/>
      </c>
      <c r="CH256" s="47"/>
      <c r="CI256" s="19" t="str">
        <f t="shared" si="229"/>
        <v/>
      </c>
      <c r="CJ256" s="47" t="s">
        <v>0</v>
      </c>
      <c r="CK256" s="52" t="str">
        <f>IF(X256&lt;&gt;"NEMA","",IF(IFERROR(MATCH(W256,W$12:W255,0),0)&lt;&gt;0,"",W256))</f>
        <v/>
      </c>
      <c r="CL256" s="73" t="str">
        <f>IF(CK256="","",IFERROR(INDEX(regKlub_alias_id,MATCH(CK256,regKlub_alias_alias,0)),"NEMA"))</f>
        <v/>
      </c>
      <c r="CM256" s="31" t="str">
        <f>IF(OR(CL256="",CL256&lt;&gt;"NEMA"),"",MAX(CM$12:CM255)+1)</f>
        <v/>
      </c>
      <c r="CN256" s="66" t="str">
        <f>IF(OR(CL256="",CL256&lt;&gt;"NEMA"),"",INDEX(regKlub_id,MATCH(CK256,regKlub_naziv,0)))</f>
        <v/>
      </c>
      <c r="CO256" s="47" t="s">
        <v>0</v>
      </c>
      <c r="CP256" s="19" t="str">
        <f>IF(OR(CL256="",CL256&lt;&gt;"NEMA"),"","INSERT INTO klub_alias(id,alias,klub_id) VALUES ("&amp;CM256&amp;",'"&amp;CK256&amp;"',"&amp;CN256&amp;");")</f>
        <v/>
      </c>
      <c r="CQ256" s="47" t="s">
        <v>0</v>
      </c>
      <c r="CR256" s="143" t="str">
        <f>IF(BR256="","",IF(BV256="",IF(IFERROR(MATCH(BR256,nat_noviKluboviAliasi,0),0)&gt;0,INDEX(nat_kluboviAliasi,MATCH(BR256,nat_noviKluboviAliasi,0)),BR256),BV256))</f>
        <v>OK Maksimir</v>
      </c>
      <c r="CS256" s="47" t="s">
        <v>0</v>
      </c>
      <c r="CT256" s="58" t="str">
        <f>IF(G256="","",G256)</f>
        <v>63:28</v>
      </c>
      <c r="CU256" s="73" t="str">
        <f>IF(H256="","",H256)</f>
        <v>0</v>
      </c>
      <c r="CV256" s="229" t="str">
        <f>IF(CT256="",IF(OR(AL256="",CU256&lt;&gt;"0"),"","GREŠKA"),IF(AND(65535&gt;=VALUE(LEFT(CT256,SEARCH(":",CT256)-1))*60+VALUE(RIGHT(CT256,2)),OR(CU256="0",CU256="1",CU256="2",CU256="3",CU256="4")),"","GREŠKA"))</f>
        <v/>
      </c>
      <c r="CW256" s="230">
        <f t="shared" si="239"/>
        <v>3808</v>
      </c>
      <c r="CX256" s="163">
        <f t="shared" si="199"/>
        <v>1</v>
      </c>
      <c r="CY256" s="47" t="s">
        <v>0</v>
      </c>
      <c r="CZ256" s="222" t="str">
        <f>IF(CV256&lt;&gt;"GREŠKA","",AK256&amp;" "&amp;AL256&amp;" – Molim u OEventu provjeriti i ispraviti rezultat – vrijeme ("&amp;IF(CT256="","nije upisano",CT256)&amp;") i classifier ("&amp;CU256&amp;").")&amp;IF(OR(CV256&lt;&gt;"GREŠKA",CX256&lt;&gt;5),"
","")&amp;IF(CX256&lt;&gt;5,"",AK256&amp;" "&amp;AL256&amp;" – Molim u provjeriti je li natjecatelj zaista diskvalificiran. Ako je koje je obrazloženje, ako nije molim u OEventu ispraviti rezultat")</f>
        <v xml:space="preserve">
</v>
      </c>
      <c r="DA256" s="223">
        <f t="shared" si="230"/>
        <v>6</v>
      </c>
      <c r="DB256" s="47" t="s">
        <v>0</v>
      </c>
      <c r="DC256" s="47"/>
      <c r="DD256" s="47"/>
      <c r="DE256" s="47"/>
      <c r="DF256" s="47" t="s">
        <v>0</v>
      </c>
      <c r="DG256" s="53" t="str">
        <f>IF(BD256="","",IF(DI256="O",1,""))</f>
        <v/>
      </c>
      <c r="DH256" t="s">
        <v>0</v>
      </c>
      <c r="DI256" s="128" t="str">
        <f>IF(Q256="","",LEFT(INDEX(regKategorija_oznaka,MATCH(S256,regKategorija_id,0)),1))</f>
        <v>Ž</v>
      </c>
      <c r="DJ256" t="s">
        <v>0</v>
      </c>
      <c r="DK256" s="52" t="str">
        <f>IF(BD256="","",IF(M256&lt;&gt;"CRO","","INSERT INTO osoba (id,reg_broj,oib,spol_id,dat_rodjenja) VALUES ("&amp;BD256&amp;",(SELECT max(os.reg_broj)+1 FROM osoba AS os),Null,'"&amp;DI256&amp;"',Null); INSERT INTO osoba_log (id,reg_broj,oib,spol_id,dat_rodjenja,dnevnik_id) SELECT id,reg_broj,oib,spol_id,dat_rodjenja,"&amp;data_dnevnik_id&amp;" FROM osoba WHERE id = "&amp;BD256&amp;";"))</f>
        <v/>
      </c>
      <c r="DL256" s="66" t="str">
        <f>IF(BD256="","","INSERT INTO imeprezime (id,osoba_id,rbr,ime,prezime,klub_id,identitet_id,sintaksa_id,info,aktivno,dnevnik_id) VALUES ("&amp;BD256&amp;","&amp;IF(DK256="","Null",BD256)&amp;",1,'"&amp;IF(AV256&lt;&gt;"",AV256,AK256)&amp;"','"&amp;IF(AW256&lt;&gt;"",AW256,AL256)&amp;"',(SELECT id FROM klub WHERE naziv = '"&amp;CR256&amp;"'),Null,1,'',1,"&amp;data_dnevnik_id&amp;");")</f>
        <v/>
      </c>
      <c r="DM256" t="s">
        <v>0</v>
      </c>
      <c r="DN256" s="19" t="str">
        <f t="shared" si="238"/>
        <v/>
      </c>
      <c r="DO256" s="47" t="s">
        <v>0</v>
      </c>
      <c r="DP256" s="19" t="str">
        <f>IF(BA256="","","INSERT INTO imeprezime_alias(id,alias,imeprezime_id) VALUES ("&amp;BB256&amp;",'"&amp;BA256&amp;"',"&amp;IF(BC256="NEMA",BD256,BC256)&amp;");")</f>
        <v/>
      </c>
      <c r="DQ256" s="47" t="s">
        <v>0</v>
      </c>
      <c r="DR256" s="52" t="str">
        <f>IF(AL256="","",DU256 &amp; IF(Q256="",""," – " &amp; Q256))</f>
        <v>Iva – Štambuk – OK Maksimir – Ž21A</v>
      </c>
      <c r="DS256" s="53">
        <f t="shared" si="200"/>
        <v>381</v>
      </c>
      <c r="DT256" s="47" t="s">
        <v>0</v>
      </c>
      <c r="DU256" s="52" t="str">
        <f>IF(AL256="","",DX256 &amp; IF(CR256="",""," – " &amp; CR256))</f>
        <v>Iva – Štambuk – OK Maksimir</v>
      </c>
      <c r="DV256" s="53">
        <f t="shared" si="201"/>
        <v>381</v>
      </c>
      <c r="DW256" s="47" t="s">
        <v>0</v>
      </c>
      <c r="DX256" s="52" t="str">
        <f>IF(BG256="","",BF256&amp;" – "&amp;BG256)</f>
        <v>Iva – Štambuk</v>
      </c>
      <c r="DY256" s="53">
        <f t="shared" si="202"/>
        <v>381</v>
      </c>
      <c r="DZ256" s="47" t="s">
        <v>0</v>
      </c>
      <c r="EA256" s="58">
        <f t="shared" si="231"/>
        <v>381</v>
      </c>
      <c r="EB256" s="53" cm="1">
        <f t="array" ref="EB256">IF(EA256&lt;&gt;"",INDEX(regNatjecatelj_id,EA256,0),IF(BD256&lt;&gt;"",BD256,""))</f>
        <v>1158</v>
      </c>
      <c r="EC256" s="47" t="s">
        <v>0</v>
      </c>
      <c r="ED256" s="58" t="str">
        <f>IF(AL256="","",IF(BD256&lt;&gt;"","novo",IF(AN256="","imepre","imepre(ali)")))</f>
        <v>imepre</v>
      </c>
      <c r="EE256" s="73" t="str">
        <f>IF(AL256="","",IF(BL256="",IF(IFERROR(INDEX(regNatjecatelj_klub,MATCH(EB256,regNatjecatelj_id,0)),"NEMA")="","klu",""),IF(OR(AND(BN256&lt;&gt;"",BN256&lt;&gt;"NEMA"),CD256&lt;&gt;""),"klu(ali)",IF(AND(BP256&lt;&gt;"",BP256&lt;&gt;BO256),"(raz-klu)","klu"))))</f>
        <v>klu</v>
      </c>
      <c r="EF256" s="73" t="str">
        <f>IF(AL256="","","kat"&amp;IF(AND(W256&lt;&gt;Q256,Q256&lt;&gt;"Open"),"(ali)",""))</f>
        <v>kat</v>
      </c>
      <c r="EG256" s="73" t="str">
        <f t="shared" si="203"/>
        <v/>
      </c>
      <c r="EH256" s="66" t="str">
        <f>IF(AL256="","",ED256&amp;IF(ED256="novo","","-"&amp;EE256&amp;"-"&amp;EF256)&amp;IF(EG256="","","-"&amp;EG256))</f>
        <v>imepre-klu-kat</v>
      </c>
      <c r="EI256" s="47" t="s">
        <v>0</v>
      </c>
      <c r="EJ256" s="58">
        <f>IF(AL256="","",MAX(EJ$12:EJ255)+1)</f>
        <v>409</v>
      </c>
      <c r="EK256" s="73">
        <f>IF(AO256="","",X256)</f>
        <v>39</v>
      </c>
      <c r="EL256" s="73">
        <f t="shared" si="232"/>
        <v>1158</v>
      </c>
      <c r="EM256" s="73">
        <f t="shared" si="204"/>
        <v>3808</v>
      </c>
      <c r="EN256" s="73">
        <f t="shared" si="205"/>
        <v>1</v>
      </c>
      <c r="EO256" s="73">
        <f t="shared" si="233"/>
        <v>1</v>
      </c>
      <c r="EP256" s="73">
        <f t="shared" si="234"/>
        <v>1</v>
      </c>
      <c r="EQ256" s="73" t="str">
        <f t="shared" si="206"/>
        <v>0</v>
      </c>
      <c r="ER256" s="73" t="str">
        <f>IF(OR(AN256="",AN256="NEMA"),BB256,AN256)</f>
        <v/>
      </c>
      <c r="ES256" s="73" t="str">
        <f>IF(AND(BN256&lt;&gt;"",BN256&lt;&gt;"NEMA"),BN256,IF(CG256&lt;&gt;"",CG256,IF(AND(CL256&lt;&gt;"",CL256&lt;&gt;"NEMA"),CL256,IF(CM256&lt;&gt;"",CM256,""))))</f>
        <v/>
      </c>
      <c r="ET256" s="53" t="str">
        <f>IF(INDEX(natKategorija_alias_Id,MATCH(S256,natKategorija_katRegId,0))="","",INDEX(natKategorija_alias_Id,MATCH(S256,natKategorija_katRegId,0)))</f>
        <v/>
      </c>
      <c r="EU256" s="47" t="s">
        <v>0</v>
      </c>
      <c r="EV256" s="19" t="str">
        <f t="shared" si="235"/>
        <v>INSERT INTO rezultat(id,stazakategorija_id,imeprezime_id,vrijeme_sec,status_id,registracija,uparivanje_id,originalstatus_id,imeprezimealias_id,klubalias_id,kategorijaalias_id) VALUES (409,39,1158,3808,1,1,1,0,Null,Null,Null);</v>
      </c>
      <c r="EW256" s="47" t="s">
        <v>0</v>
      </c>
      <c r="EX256" s="19" t="str">
        <f t="shared" si="236"/>
        <v>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56" s="47" t="s">
        <v>0</v>
      </c>
      <c r="EZ256" s="180" t="str">
        <f>AG256&amp;IF(CP256="","","
")&amp;CP256&amp;IF(CI256="","","
")&amp;CI256&amp;IF(DN256="","","
")&amp;DN256&amp;IF(DP256="","","
")&amp;DP256&amp;IF(EV256="","","
")&amp;EV256&amp;IF(EX256="","","
")&amp;EX256</f>
        <v xml:space="preserve">
INSERT INTO rezultat(id,stazakategorija_id,imeprezime_id,vrijeme_sec,status_id,registracija,uparivanje_id,originalstatus_id,imeprezimealias_id,klubalias_id,kategorijaalias_id) VALUES (409,39,1158,3808,1,1,1,0,Null,Null,Null);
UPDATE
	registar
SET
	potvrda = 1
WHERE
	imeprezime_id=1158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56" s="47" t="s">
        <v>0</v>
      </c>
    </row>
    <row r="257" spans="1:157" x14ac:dyDescent="0.25">
      <c r="A257" t="s">
        <v>0</v>
      </c>
      <c r="B257" s="52" t="str">
        <f>IF(csv!F247="","",csv!T247)</f>
        <v>Ž21A</v>
      </c>
      <c r="C257" s="31" t="s">
        <v>0</v>
      </c>
      <c r="D257" s="31" t="str">
        <f>IF(csv!F247="","",csv!F247)</f>
        <v>Antonija</v>
      </c>
      <c r="E257" s="31" t="str">
        <f>IF(csv!E247="","",csv!E247)</f>
        <v>Orlić</v>
      </c>
      <c r="F257" s="31" t="s">
        <v>0</v>
      </c>
      <c r="G257" s="73" t="str">
        <f>IF(csv!M247="","",csv!M247)</f>
        <v>68:18</v>
      </c>
      <c r="H257" s="73" t="str">
        <f>IF(csv!N247="","",csv!N247)</f>
        <v>0</v>
      </c>
      <c r="I257" s="31" t="s">
        <v>0</v>
      </c>
      <c r="J257" s="31" t="str">
        <f>IF(csv!P247="","",csv!P247)</f>
        <v>BJE</v>
      </c>
      <c r="K257" s="31" t="str">
        <f>IF(csv!Q247="","",csv!Q247)</f>
        <v>OK Bjelovar</v>
      </c>
      <c r="L257" s="31" t="s">
        <v>0</v>
      </c>
      <c r="M257" s="66" t="str">
        <f>IF(csv!R247="","",csv!R247)</f>
        <v>CRO</v>
      </c>
      <c r="N257" s="47" t="s">
        <v>0</v>
      </c>
      <c r="O257" s="243" t="str">
        <f t="shared" si="207"/>
        <v>ok</v>
      </c>
      <c r="P257" s="47"/>
      <c r="Q257" s="52" t="str">
        <f t="shared" si="208"/>
        <v>Ž21A</v>
      </c>
      <c r="R257" s="73">
        <f>IF(Q257="","",IF(COUNTIF(Q$12:Q256,Q257)=0,R256+1,R256))</f>
        <v>17</v>
      </c>
      <c r="S257" s="73">
        <f t="shared" si="209"/>
        <v>102</v>
      </c>
      <c r="T257" s="73">
        <f t="shared" si="184"/>
        <v>14</v>
      </c>
      <c r="U257" s="66" t="str">
        <f t="shared" si="185"/>
        <v>Ž21A</v>
      </c>
      <c r="V257" s="47" t="s">
        <v>0</v>
      </c>
      <c r="W257" s="222" t="str">
        <f t="shared" si="186"/>
        <v>Ž21A</v>
      </c>
      <c r="X257" s="223">
        <f t="shared" si="187"/>
        <v>39</v>
      </c>
      <c r="Y257" s="47" t="s">
        <v>0</v>
      </c>
      <c r="Z257" s="52" t="str">
        <f t="shared" si="210"/>
        <v>CRO</v>
      </c>
      <c r="AA257" s="73">
        <f t="shared" si="188"/>
        <v>1</v>
      </c>
      <c r="AB257" s="31" t="str">
        <f t="shared" si="211"/>
        <v/>
      </c>
      <c r="AC257" s="66" t="str">
        <f>IF(AB257="","",MAX(AC$12:AC256)+1)</f>
        <v/>
      </c>
      <c r="AD257" s="47" t="s">
        <v>0</v>
      </c>
      <c r="AE257" s="125"/>
      <c r="AF257" s="47" t="s">
        <v>0</v>
      </c>
      <c r="AG257" s="19" t="str">
        <f t="shared" si="212"/>
        <v/>
      </c>
      <c r="AH257" s="47" t="s">
        <v>0</v>
      </c>
      <c r="AI257" s="143" t="str">
        <f t="shared" si="213"/>
        <v>CRO</v>
      </c>
      <c r="AJ257" s="47"/>
      <c r="AK257" s="52" t="str">
        <f t="shared" si="214"/>
        <v>Antonija</v>
      </c>
      <c r="AL257" s="31" t="str">
        <f t="shared" si="215"/>
        <v>Orlić</v>
      </c>
      <c r="AM257" s="73">
        <f t="shared" si="216"/>
        <v>1269</v>
      </c>
      <c r="AN257" s="73" t="str">
        <f t="shared" si="217"/>
        <v/>
      </c>
      <c r="AO257" s="31" t="str">
        <f t="shared" si="189"/>
        <v>Antonija</v>
      </c>
      <c r="AP257" s="66" t="str">
        <f t="shared" si="190"/>
        <v>Orlić</v>
      </c>
      <c r="AQ257" s="47" t="s">
        <v>0</v>
      </c>
      <c r="AR257" s="82" t="str">
        <f t="shared" si="218"/>
        <v/>
      </c>
      <c r="AS257" s="47" t="s">
        <v>0</v>
      </c>
      <c r="AT257" s="19" t="str">
        <f t="shared" si="219"/>
        <v/>
      </c>
      <c r="AU257" s="47" t="s">
        <v>0</v>
      </c>
      <c r="AV257" s="103"/>
      <c r="AW257" s="105"/>
      <c r="AX257" s="47" t="s">
        <v>0</v>
      </c>
      <c r="AY257" s="256" t="str">
        <f t="shared" si="237"/>
        <v/>
      </c>
      <c r="AZ257" s="47" t="s">
        <v>0</v>
      </c>
      <c r="BA257" s="52" t="str">
        <f t="shared" si="191"/>
        <v/>
      </c>
      <c r="BB257" s="73" t="str">
        <f>IF(AV257&amp;AW257="","",MAX(BB$12:BB256)+1)</f>
        <v/>
      </c>
      <c r="BC257" s="268" t="str">
        <f t="shared" si="192"/>
        <v/>
      </c>
      <c r="BD257" s="53" t="str">
        <f>IF(AND(AM257="NEMA",AN257="NEMA",OR(AV257&amp;AW257="",BC257="NEMA")),MAX(BD$12:BD256)+1,"")</f>
        <v/>
      </c>
      <c r="BE257" s="47" t="s">
        <v>0</v>
      </c>
      <c r="BF257" s="52" t="str">
        <f t="shared" si="193"/>
        <v>Antonija</v>
      </c>
      <c r="BG257" s="31" t="str">
        <f t="shared" si="194"/>
        <v>Orlić</v>
      </c>
      <c r="BH257" s="73" t="str">
        <f t="shared" si="220"/>
        <v/>
      </c>
      <c r="BI257" s="53">
        <f t="shared" si="221"/>
        <v>1269</v>
      </c>
      <c r="BJ257" s="47" t="s">
        <v>0</v>
      </c>
      <c r="BK257" s="52" t="str">
        <f t="shared" si="195"/>
        <v>BJE</v>
      </c>
      <c r="BL257" s="31" t="str">
        <f t="shared" si="196"/>
        <v>OK Bjelovar</v>
      </c>
      <c r="BM257" s="73">
        <f t="shared" si="197"/>
        <v>1</v>
      </c>
      <c r="BN257" s="73" t="str">
        <f t="shared" si="198"/>
        <v/>
      </c>
      <c r="BO257" s="31" t="str" cm="1">
        <f t="array" ref="BO257">IF(BN257="",""&amp;BL257,IF(BN257="NEMA",BL257,INDEX(regKlub_naziv,MATCH(INDEX(regKlub_alias_klubId,BN257),regKlub_id,0))))</f>
        <v>OK Bjelovar</v>
      </c>
      <c r="BP257" s="31" t="str" cm="1">
        <f t="array" ref="BP257">IFERROR(""&amp;INDEX(regNatjecatelj_klub,DY257),"")</f>
        <v>OK Bjelovar</v>
      </c>
      <c r="BQ257" s="88" t="str">
        <f t="shared" si="222"/>
        <v/>
      </c>
      <c r="BR257" s="66" t="str">
        <f t="shared" si="223"/>
        <v>OK Bjelovar</v>
      </c>
      <c r="BS257" s="47" t="s">
        <v>0</v>
      </c>
      <c r="BT257" s="82" t="str">
        <f>IF(BN257&lt;&gt;"NEMA","",IF(IFERROR(MATCH(BL257,BL$12:BL256,0),0)&lt;&gt;0,"",BL257))</f>
        <v/>
      </c>
      <c r="BU257" s="47" t="s">
        <v>0</v>
      </c>
      <c r="BV257" s="125"/>
      <c r="BW257" s="47" t="s">
        <v>0</v>
      </c>
      <c r="BX257" s="58" t="str">
        <f t="shared" si="224"/>
        <v/>
      </c>
      <c r="BY257" s="31" t="str">
        <f t="shared" si="225"/>
        <v/>
      </c>
      <c r="BZ257" s="31" t="str">
        <f>IF(BY257="","",MAX(BZ$12:BZ256)+1)</f>
        <v/>
      </c>
      <c r="CA257" s="31" t="str">
        <f>IF(BY257="","",IF(AA257="","",IF(AA257="NEMA",AC257,AA257)))</f>
        <v/>
      </c>
      <c r="CB257" s="31" t="str">
        <f t="shared" si="226"/>
        <v/>
      </c>
      <c r="CC257" s="31" t="str">
        <f>IF(BV257="","",MAX(CC$12:CC256)+1)</f>
        <v/>
      </c>
      <c r="CD257" s="31" t="str">
        <f t="shared" si="227"/>
        <v/>
      </c>
      <c r="CE257" s="66" t="str">
        <f t="shared" si="228"/>
        <v/>
      </c>
      <c r="CF257" s="47" t="s">
        <v>0</v>
      </c>
      <c r="CG257" s="73" t="str">
        <f>IF(BN257="","",IF(BN257&lt;&gt;"NEMA","",IFERROR(INDEX(nat_klubAliasId,MATCH(BL257,nat_noviKluboviAliasi,0)),"")))</f>
        <v/>
      </c>
      <c r="CH257" s="47"/>
      <c r="CI257" s="19" t="str">
        <f t="shared" si="229"/>
        <v/>
      </c>
      <c r="CJ257" s="47" t="s">
        <v>0</v>
      </c>
      <c r="CK257" s="52" t="str">
        <f>IF(X257&lt;&gt;"NEMA","",IF(IFERROR(MATCH(W257,W$12:W256,0),0)&lt;&gt;0,"",W257))</f>
        <v/>
      </c>
      <c r="CL257" s="73" t="str">
        <f>IF(CK257="","",IFERROR(INDEX(regKlub_alias_id,MATCH(CK257,regKlub_alias_alias,0)),"NEMA"))</f>
        <v/>
      </c>
      <c r="CM257" s="31" t="str">
        <f>IF(OR(CL257="",CL257&lt;&gt;"NEMA"),"",MAX(CM$12:CM256)+1)</f>
        <v/>
      </c>
      <c r="CN257" s="66" t="str">
        <f>IF(OR(CL257="",CL257&lt;&gt;"NEMA"),"",INDEX(regKlub_id,MATCH(CK257,regKlub_naziv,0)))</f>
        <v/>
      </c>
      <c r="CO257" s="47" t="s">
        <v>0</v>
      </c>
      <c r="CP257" s="19" t="str">
        <f>IF(OR(CL257="",CL257&lt;&gt;"NEMA"),"","INSERT INTO klub_alias(id,alias,klub_id) VALUES ("&amp;CM257&amp;",'"&amp;CK257&amp;"',"&amp;CN257&amp;");")</f>
        <v/>
      </c>
      <c r="CQ257" s="47" t="s">
        <v>0</v>
      </c>
      <c r="CR257" s="143" t="str">
        <f>IF(BR257="","",IF(BV257="",IF(IFERROR(MATCH(BR257,nat_noviKluboviAliasi,0),0)&gt;0,INDEX(nat_kluboviAliasi,MATCH(BR257,nat_noviKluboviAliasi,0)),BR257),BV257))</f>
        <v>OK Bjelovar</v>
      </c>
      <c r="CS257" s="47" t="s">
        <v>0</v>
      </c>
      <c r="CT257" s="58" t="str">
        <f>IF(G257="","",G257)</f>
        <v>68:18</v>
      </c>
      <c r="CU257" s="73" t="str">
        <f>IF(H257="","",H257)</f>
        <v>0</v>
      </c>
      <c r="CV257" s="229" t="str">
        <f>IF(CT257="",IF(OR(AL257="",CU257&lt;&gt;"0"),"","GREŠKA"),IF(AND(65535&gt;=VALUE(LEFT(CT257,SEARCH(":",CT257)-1))*60+VALUE(RIGHT(CT257,2)),OR(CU257="0",CU257="1",CU257="2",CU257="3",CU257="4")),"","GREŠKA"))</f>
        <v/>
      </c>
      <c r="CW257" s="230">
        <f t="shared" si="239"/>
        <v>4098</v>
      </c>
      <c r="CX257" s="163">
        <f t="shared" si="199"/>
        <v>1</v>
      </c>
      <c r="CY257" s="47" t="s">
        <v>0</v>
      </c>
      <c r="CZ257" s="222" t="str">
        <f>IF(CV257&lt;&gt;"GREŠKA","",AK257&amp;" "&amp;AL257&amp;" – Molim u OEventu provjeriti i ispraviti rezultat – vrijeme ("&amp;IF(CT257="","nije upisano",CT257)&amp;") i classifier ("&amp;CU257&amp;").")&amp;IF(OR(CV257&lt;&gt;"GREŠKA",CX257&lt;&gt;5),"
","")&amp;IF(CX257&lt;&gt;5,"",AK257&amp;" "&amp;AL257&amp;" – Molim u provjeriti je li natjecatelj zaista diskvalificiran. Ako je koje je obrazloženje, ako nije molim u OEventu ispraviti rezultat")</f>
        <v xml:space="preserve">
</v>
      </c>
      <c r="DA257" s="223">
        <f t="shared" si="230"/>
        <v>6</v>
      </c>
      <c r="DB257" s="47" t="s">
        <v>0</v>
      </c>
      <c r="DC257" s="47"/>
      <c r="DD257" s="47"/>
      <c r="DE257" s="47"/>
      <c r="DF257" s="47" t="s">
        <v>0</v>
      </c>
      <c r="DG257" s="53" t="str">
        <f>IF(BD257="","",IF(DI257="O",1,""))</f>
        <v/>
      </c>
      <c r="DH257" t="s">
        <v>0</v>
      </c>
      <c r="DI257" s="128" t="str">
        <f>IF(Q257="","",LEFT(INDEX(regKategorija_oznaka,MATCH(S257,regKategorija_id,0)),1))</f>
        <v>Ž</v>
      </c>
      <c r="DJ257" t="s">
        <v>0</v>
      </c>
      <c r="DK257" s="52" t="str">
        <f>IF(BD257="","",IF(M257&lt;&gt;"CRO","","INSERT INTO osoba (id,reg_broj,oib,spol_id,dat_rodjenja) VALUES ("&amp;BD257&amp;",(SELECT max(os.reg_broj)+1 FROM osoba AS os),Null,'"&amp;DI257&amp;"',Null); INSERT INTO osoba_log (id,reg_broj,oib,spol_id,dat_rodjenja,dnevnik_id) SELECT id,reg_broj,oib,spol_id,dat_rodjenja,"&amp;data_dnevnik_id&amp;" FROM osoba WHERE id = "&amp;BD257&amp;";"))</f>
        <v/>
      </c>
      <c r="DL257" s="66" t="str">
        <f>IF(BD257="","","INSERT INTO imeprezime (id,osoba_id,rbr,ime,prezime,klub_id,identitet_id,sintaksa_id,info,aktivno,dnevnik_id) VALUES ("&amp;BD257&amp;","&amp;IF(DK257="","Null",BD257)&amp;",1,'"&amp;IF(AV257&lt;&gt;"",AV257,AK257)&amp;"','"&amp;IF(AW257&lt;&gt;"",AW257,AL257)&amp;"',(SELECT id FROM klub WHERE naziv = '"&amp;CR257&amp;"'),Null,1,'',1,"&amp;data_dnevnik_id&amp;");")</f>
        <v/>
      </c>
      <c r="DM257" t="s">
        <v>0</v>
      </c>
      <c r="DN257" s="19" t="str">
        <f t="shared" si="238"/>
        <v/>
      </c>
      <c r="DO257" s="47" t="s">
        <v>0</v>
      </c>
      <c r="DP257" s="19" t="str">
        <f>IF(BA257="","","INSERT INTO imeprezime_alias(id,alias,imeprezime_id) VALUES ("&amp;BB257&amp;",'"&amp;BA257&amp;"',"&amp;IF(BC257="NEMA",BD257,BC257)&amp;");")</f>
        <v/>
      </c>
      <c r="DQ257" s="47" t="s">
        <v>0</v>
      </c>
      <c r="DR257" s="52" t="str">
        <f>IF(AL257="","",DU257 &amp; IF(Q257="",""," – " &amp; Q257))</f>
        <v>Antonija – Orlić – OK Bjelovar – Ž21A</v>
      </c>
      <c r="DS257" s="53">
        <f t="shared" si="200"/>
        <v>16</v>
      </c>
      <c r="DT257" s="47" t="s">
        <v>0</v>
      </c>
      <c r="DU257" s="52" t="str">
        <f>IF(AL257="","",DX257 &amp; IF(CR257="",""," – " &amp; CR257))</f>
        <v>Antonija – Orlić – OK Bjelovar</v>
      </c>
      <c r="DV257" s="53">
        <f t="shared" si="201"/>
        <v>16</v>
      </c>
      <c r="DW257" s="47" t="s">
        <v>0</v>
      </c>
      <c r="DX257" s="52" t="str">
        <f>IF(BG257="","",BF257&amp;" – "&amp;BG257)</f>
        <v>Antonija – Orlić</v>
      </c>
      <c r="DY257" s="53">
        <f t="shared" si="202"/>
        <v>16</v>
      </c>
      <c r="DZ257" s="47" t="s">
        <v>0</v>
      </c>
      <c r="EA257" s="58">
        <f t="shared" si="231"/>
        <v>16</v>
      </c>
      <c r="EB257" s="53" cm="1">
        <f t="array" ref="EB257">IF(EA257&lt;&gt;"",INDEX(regNatjecatelj_id,EA257,0),IF(BD257&lt;&gt;"",BD257,""))</f>
        <v>1269</v>
      </c>
      <c r="EC257" s="47" t="s">
        <v>0</v>
      </c>
      <c r="ED257" s="58" t="str">
        <f>IF(AL257="","",IF(BD257&lt;&gt;"","novo",IF(AN257="","imepre","imepre(ali)")))</f>
        <v>imepre</v>
      </c>
      <c r="EE257" s="73" t="str">
        <f>IF(AL257="","",IF(BL257="",IF(IFERROR(INDEX(regNatjecatelj_klub,MATCH(EB257,regNatjecatelj_id,0)),"NEMA")="","klu",""),IF(OR(AND(BN257&lt;&gt;"",BN257&lt;&gt;"NEMA"),CD257&lt;&gt;""),"klu(ali)",IF(AND(BP257&lt;&gt;"",BP257&lt;&gt;BO257),"(raz-klu)","klu"))))</f>
        <v>klu</v>
      </c>
      <c r="EF257" s="73" t="str">
        <f>IF(AL257="","","kat"&amp;IF(AND(W257&lt;&gt;Q257,Q257&lt;&gt;"Open"),"(ali)",""))</f>
        <v>kat</v>
      </c>
      <c r="EG257" s="73" t="str">
        <f t="shared" si="203"/>
        <v/>
      </c>
      <c r="EH257" s="66" t="str">
        <f>IF(AL257="","",ED257&amp;IF(ED257="novo","","-"&amp;EE257&amp;"-"&amp;EF257)&amp;IF(EG257="","","-"&amp;EG257))</f>
        <v>imepre-klu-kat</v>
      </c>
      <c r="EI257" s="47" t="s">
        <v>0</v>
      </c>
      <c r="EJ257" s="58">
        <f>IF(AL257="","",MAX(EJ$12:EJ256)+1)</f>
        <v>410</v>
      </c>
      <c r="EK257" s="73">
        <f>IF(AO257="","",X257)</f>
        <v>39</v>
      </c>
      <c r="EL257" s="73">
        <f t="shared" si="232"/>
        <v>1269</v>
      </c>
      <c r="EM257" s="73">
        <f t="shared" si="204"/>
        <v>4098</v>
      </c>
      <c r="EN257" s="73">
        <f t="shared" si="205"/>
        <v>1</v>
      </c>
      <c r="EO257" s="73">
        <f t="shared" si="233"/>
        <v>1</v>
      </c>
      <c r="EP257" s="73">
        <f t="shared" si="234"/>
        <v>1</v>
      </c>
      <c r="EQ257" s="73" t="str">
        <f t="shared" si="206"/>
        <v>0</v>
      </c>
      <c r="ER257" s="73" t="str">
        <f>IF(OR(AN257="",AN257="NEMA"),BB257,AN257)</f>
        <v/>
      </c>
      <c r="ES257" s="73" t="str">
        <f>IF(AND(BN257&lt;&gt;"",BN257&lt;&gt;"NEMA"),BN257,IF(CG257&lt;&gt;"",CG257,IF(AND(CL257&lt;&gt;"",CL257&lt;&gt;"NEMA"),CL257,IF(CM257&lt;&gt;"",CM257,""))))</f>
        <v/>
      </c>
      <c r="ET257" s="53" t="str">
        <f>IF(INDEX(natKategorija_alias_Id,MATCH(S257,natKategorija_katRegId,0))="","",INDEX(natKategorija_alias_Id,MATCH(S257,natKategorija_katRegId,0)))</f>
        <v/>
      </c>
      <c r="EU257" s="47" t="s">
        <v>0</v>
      </c>
      <c r="EV257" s="19" t="str">
        <f t="shared" si="235"/>
        <v>INSERT INTO rezultat(id,stazakategorija_id,imeprezime_id,vrijeme_sec,status_id,registracija,uparivanje_id,originalstatus_id,imeprezimealias_id,klubalias_id,kategorijaalias_id) VALUES (410,39,1269,4098,1,1,1,0,Null,Null,Null);</v>
      </c>
      <c r="EW257" s="47" t="s">
        <v>0</v>
      </c>
      <c r="EX257" s="19" t="str">
        <f t="shared" si="236"/>
        <v>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57" s="47" t="s">
        <v>0</v>
      </c>
      <c r="EZ257" s="180" t="str">
        <f>AG257&amp;IF(CP257="","","
")&amp;CP257&amp;IF(CI257="","","
")&amp;CI257&amp;IF(DN257="","","
")&amp;DN257&amp;IF(DP257="","","
")&amp;DP257&amp;IF(EV257="","","
")&amp;EV257&amp;IF(EX257="","","
")&amp;EX257</f>
        <v xml:space="preserve">
INSERT INTO rezultat(id,stazakategorija_id,imeprezime_id,vrijeme_sec,status_id,registracija,uparivanje_id,originalstatus_id,imeprezimealias_id,klubalias_id,kategorijaalias_id) VALUES (410,39,1269,4098,1,1,1,0,Null,Null,Null);
UPDATE
	registar
SET
	potvrda = 1
WHERE
	imeprezime_id=1269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57" s="47" t="s">
        <v>0</v>
      </c>
    </row>
    <row r="258" spans="1:157" x14ac:dyDescent="0.25">
      <c r="A258" t="s">
        <v>0</v>
      </c>
      <c r="B258" s="52" t="str">
        <f>IF(csv!F248="","",csv!T248)</f>
        <v>Ž21A</v>
      </c>
      <c r="C258" s="31" t="s">
        <v>0</v>
      </c>
      <c r="D258" s="31" t="str">
        <f>IF(csv!F248="","",csv!F248)</f>
        <v>Ines</v>
      </c>
      <c r="E258" s="31" t="str">
        <f>IF(csv!E248="","",csv!E248)</f>
        <v>Kos</v>
      </c>
      <c r="F258" s="31" t="s">
        <v>0</v>
      </c>
      <c r="G258" s="73" t="str">
        <f>IF(csv!M248="","",csv!M248)</f>
        <v>79:04</v>
      </c>
      <c r="H258" s="73" t="str">
        <f>IF(csv!N248="","",csv!N248)</f>
        <v>0</v>
      </c>
      <c r="I258" s="31" t="s">
        <v>0</v>
      </c>
      <c r="J258" s="31" t="str">
        <f>IF(csv!P248="","",csv!P248)</f>
        <v>KAP</v>
      </c>
      <c r="K258" s="31" t="str">
        <f>IF(csv!Q248="","",csv!Q248)</f>
        <v>OK Kapela</v>
      </c>
      <c r="L258" s="31" t="s">
        <v>0</v>
      </c>
      <c r="M258" s="66" t="str">
        <f>IF(csv!R248="","",csv!R248)</f>
        <v>CRO</v>
      </c>
      <c r="N258" s="47" t="s">
        <v>0</v>
      </c>
      <c r="O258" s="243" t="str">
        <f t="shared" si="207"/>
        <v>ok</v>
      </c>
      <c r="P258" s="47"/>
      <c r="Q258" s="52" t="str">
        <f t="shared" si="208"/>
        <v>Ž21A</v>
      </c>
      <c r="R258" s="73">
        <f>IF(Q258="","",IF(COUNTIF(Q$12:Q257,Q258)=0,R257+1,R257))</f>
        <v>17</v>
      </c>
      <c r="S258" s="73">
        <f t="shared" si="209"/>
        <v>102</v>
      </c>
      <c r="T258" s="73">
        <f t="shared" si="184"/>
        <v>14</v>
      </c>
      <c r="U258" s="66" t="str">
        <f t="shared" si="185"/>
        <v>Ž21A</v>
      </c>
      <c r="V258" s="47" t="s">
        <v>0</v>
      </c>
      <c r="W258" s="222" t="str">
        <f t="shared" si="186"/>
        <v>Ž21A</v>
      </c>
      <c r="X258" s="223">
        <f t="shared" si="187"/>
        <v>39</v>
      </c>
      <c r="Y258" s="47" t="s">
        <v>0</v>
      </c>
      <c r="Z258" s="52" t="str">
        <f t="shared" si="210"/>
        <v>CRO</v>
      </c>
      <c r="AA258" s="73">
        <f t="shared" si="188"/>
        <v>1</v>
      </c>
      <c r="AB258" s="31" t="str">
        <f t="shared" si="211"/>
        <v/>
      </c>
      <c r="AC258" s="66" t="str">
        <f>IF(AB258="","",MAX(AC$12:AC257)+1)</f>
        <v/>
      </c>
      <c r="AD258" s="47" t="s">
        <v>0</v>
      </c>
      <c r="AE258" s="125"/>
      <c r="AF258" s="47" t="s">
        <v>0</v>
      </c>
      <c r="AG258" s="19" t="str">
        <f t="shared" si="212"/>
        <v/>
      </c>
      <c r="AH258" s="47" t="s">
        <v>0</v>
      </c>
      <c r="AI258" s="143" t="str">
        <f t="shared" si="213"/>
        <v>CRO</v>
      </c>
      <c r="AJ258" s="47"/>
      <c r="AK258" s="52" t="str">
        <f t="shared" si="214"/>
        <v>Ines</v>
      </c>
      <c r="AL258" s="31" t="str">
        <f t="shared" si="215"/>
        <v>Kos</v>
      </c>
      <c r="AM258" s="73">
        <f t="shared" si="216"/>
        <v>1483</v>
      </c>
      <c r="AN258" s="73" t="str">
        <f t="shared" si="217"/>
        <v/>
      </c>
      <c r="AO258" s="31" t="str">
        <f t="shared" si="189"/>
        <v>Ines</v>
      </c>
      <c r="AP258" s="66" t="str">
        <f t="shared" si="190"/>
        <v>Kos</v>
      </c>
      <c r="AQ258" s="47" t="s">
        <v>0</v>
      </c>
      <c r="AR258" s="82" t="str">
        <f t="shared" si="218"/>
        <v/>
      </c>
      <c r="AS258" s="47" t="s">
        <v>0</v>
      </c>
      <c r="AT258" s="19" t="str">
        <f t="shared" si="219"/>
        <v/>
      </c>
      <c r="AU258" s="47" t="s">
        <v>0</v>
      </c>
      <c r="AV258" s="103"/>
      <c r="AW258" s="105"/>
      <c r="AX258" s="47" t="s">
        <v>0</v>
      </c>
      <c r="AY258" s="256" t="str">
        <f t="shared" si="237"/>
        <v/>
      </c>
      <c r="AZ258" s="47" t="s">
        <v>0</v>
      </c>
      <c r="BA258" s="52" t="str">
        <f t="shared" si="191"/>
        <v/>
      </c>
      <c r="BB258" s="73" t="str">
        <f>IF(AV258&amp;AW258="","",MAX(BB$12:BB257)+1)</f>
        <v/>
      </c>
      <c r="BC258" s="268" t="str">
        <f t="shared" si="192"/>
        <v/>
      </c>
      <c r="BD258" s="53" t="str">
        <f>IF(AND(AM258="NEMA",AN258="NEMA",OR(AV258&amp;AW258="",BC258="NEMA")),MAX(BD$12:BD257)+1,"")</f>
        <v/>
      </c>
      <c r="BE258" s="47" t="s">
        <v>0</v>
      </c>
      <c r="BF258" s="52" t="str">
        <f t="shared" si="193"/>
        <v>Ines</v>
      </c>
      <c r="BG258" s="31" t="str">
        <f t="shared" si="194"/>
        <v>Kos</v>
      </c>
      <c r="BH258" s="73" t="str">
        <f t="shared" si="220"/>
        <v/>
      </c>
      <c r="BI258" s="53">
        <f t="shared" si="221"/>
        <v>1483</v>
      </c>
      <c r="BJ258" s="47" t="s">
        <v>0</v>
      </c>
      <c r="BK258" s="52" t="str">
        <f t="shared" si="195"/>
        <v>KAP</v>
      </c>
      <c r="BL258" s="31" t="str">
        <f t="shared" si="196"/>
        <v>OK Kapela</v>
      </c>
      <c r="BM258" s="73">
        <f t="shared" si="197"/>
        <v>5</v>
      </c>
      <c r="BN258" s="73" t="str">
        <f t="shared" si="198"/>
        <v/>
      </c>
      <c r="BO258" s="31" t="str" cm="1">
        <f t="array" ref="BO258">IF(BN258="",""&amp;BL258,IF(BN258="NEMA",BL258,INDEX(regKlub_naziv,MATCH(INDEX(regKlub_alias_klubId,BN258),regKlub_id,0))))</f>
        <v>OK Kapela</v>
      </c>
      <c r="BP258" s="31" t="str" cm="1">
        <f t="array" ref="BP258">IFERROR(""&amp;INDEX(regNatjecatelj_klub,DY258),"")</f>
        <v>OK Kapela</v>
      </c>
      <c r="BQ258" s="88" t="str">
        <f t="shared" si="222"/>
        <v/>
      </c>
      <c r="BR258" s="66" t="str">
        <f t="shared" si="223"/>
        <v>OK Kapela</v>
      </c>
      <c r="BS258" s="47" t="s">
        <v>0</v>
      </c>
      <c r="BT258" s="82" t="str">
        <f>IF(BN258&lt;&gt;"NEMA","",IF(IFERROR(MATCH(BL258,BL$12:BL257,0),0)&lt;&gt;0,"",BL258))</f>
        <v/>
      </c>
      <c r="BU258" s="47" t="s">
        <v>0</v>
      </c>
      <c r="BV258" s="125"/>
      <c r="BW258" s="47" t="s">
        <v>0</v>
      </c>
      <c r="BX258" s="58" t="str">
        <f t="shared" si="224"/>
        <v/>
      </c>
      <c r="BY258" s="31" t="str">
        <f t="shared" si="225"/>
        <v/>
      </c>
      <c r="BZ258" s="31" t="str">
        <f>IF(BY258="","",MAX(BZ$12:BZ257)+1)</f>
        <v/>
      </c>
      <c r="CA258" s="31" t="str">
        <f>IF(BY258="","",IF(AA258="","",IF(AA258="NEMA",AC258,AA258)))</f>
        <v/>
      </c>
      <c r="CB258" s="31" t="str">
        <f t="shared" si="226"/>
        <v/>
      </c>
      <c r="CC258" s="31" t="str">
        <f>IF(BV258="","",MAX(CC$12:CC257)+1)</f>
        <v/>
      </c>
      <c r="CD258" s="31" t="str">
        <f t="shared" si="227"/>
        <v/>
      </c>
      <c r="CE258" s="66" t="str">
        <f t="shared" si="228"/>
        <v/>
      </c>
      <c r="CF258" s="47" t="s">
        <v>0</v>
      </c>
      <c r="CG258" s="73" t="str">
        <f>IF(BN258="","",IF(BN258&lt;&gt;"NEMA","",IFERROR(INDEX(nat_klubAliasId,MATCH(BL258,nat_noviKluboviAliasi,0)),"")))</f>
        <v/>
      </c>
      <c r="CH258" s="47"/>
      <c r="CI258" s="19" t="str">
        <f t="shared" si="229"/>
        <v/>
      </c>
      <c r="CJ258" s="47" t="s">
        <v>0</v>
      </c>
      <c r="CK258" s="52" t="str">
        <f>IF(X258&lt;&gt;"NEMA","",IF(IFERROR(MATCH(W258,W$12:W257,0),0)&lt;&gt;0,"",W258))</f>
        <v/>
      </c>
      <c r="CL258" s="73" t="str">
        <f>IF(CK258="","",IFERROR(INDEX(regKlub_alias_id,MATCH(CK258,regKlub_alias_alias,0)),"NEMA"))</f>
        <v/>
      </c>
      <c r="CM258" s="31" t="str">
        <f>IF(OR(CL258="",CL258&lt;&gt;"NEMA"),"",MAX(CM$12:CM257)+1)</f>
        <v/>
      </c>
      <c r="CN258" s="66" t="str">
        <f>IF(OR(CL258="",CL258&lt;&gt;"NEMA"),"",INDEX(regKlub_id,MATCH(CK258,regKlub_naziv,0)))</f>
        <v/>
      </c>
      <c r="CO258" s="47" t="s">
        <v>0</v>
      </c>
      <c r="CP258" s="19" t="str">
        <f>IF(OR(CL258="",CL258&lt;&gt;"NEMA"),"","INSERT INTO klub_alias(id,alias,klub_id) VALUES ("&amp;CM258&amp;",'"&amp;CK258&amp;"',"&amp;CN258&amp;");")</f>
        <v/>
      </c>
      <c r="CQ258" s="47" t="s">
        <v>0</v>
      </c>
      <c r="CR258" s="143" t="str">
        <f>IF(BR258="","",IF(BV258="",IF(IFERROR(MATCH(BR258,nat_noviKluboviAliasi,0),0)&gt;0,INDEX(nat_kluboviAliasi,MATCH(BR258,nat_noviKluboviAliasi,0)),BR258),BV258))</f>
        <v>OK Kapela</v>
      </c>
      <c r="CS258" s="47" t="s">
        <v>0</v>
      </c>
      <c r="CT258" s="58" t="str">
        <f>IF(G258="","",G258)</f>
        <v>79:04</v>
      </c>
      <c r="CU258" s="73" t="str">
        <f>IF(H258="","",H258)</f>
        <v>0</v>
      </c>
      <c r="CV258" s="229" t="str">
        <f>IF(CT258="",IF(OR(AL258="",CU258&lt;&gt;"0"),"","GREŠKA"),IF(AND(65535&gt;=VALUE(LEFT(CT258,SEARCH(":",CT258)-1))*60+VALUE(RIGHT(CT258,2)),OR(CU258="0",CU258="1",CU258="2",CU258="3",CU258="4")),"","GREŠKA"))</f>
        <v/>
      </c>
      <c r="CW258" s="230">
        <f t="shared" si="239"/>
        <v>4744</v>
      </c>
      <c r="CX258" s="163">
        <f t="shared" si="199"/>
        <v>1</v>
      </c>
      <c r="CY258" s="47" t="s">
        <v>0</v>
      </c>
      <c r="CZ258" s="222" t="str">
        <f>IF(CV258&lt;&gt;"GREŠKA","",AK258&amp;" "&amp;AL258&amp;" – Molim u OEventu provjeriti i ispraviti rezultat – vrijeme ("&amp;IF(CT258="","nije upisano",CT258)&amp;") i classifier ("&amp;CU258&amp;").")&amp;IF(OR(CV258&lt;&gt;"GREŠKA",CX258&lt;&gt;5),"
","")&amp;IF(CX258&lt;&gt;5,"",AK258&amp;" "&amp;AL258&amp;" – Molim u provjeriti je li natjecatelj zaista diskvalificiran. Ako je koje je obrazloženje, ako nije molim u OEventu ispraviti rezultat")</f>
        <v xml:space="preserve">
</v>
      </c>
      <c r="DA258" s="223">
        <f t="shared" si="230"/>
        <v>6</v>
      </c>
      <c r="DB258" s="47" t="s">
        <v>0</v>
      </c>
      <c r="DC258" s="47"/>
      <c r="DD258" s="47"/>
      <c r="DE258" s="47"/>
      <c r="DF258" s="47" t="s">
        <v>0</v>
      </c>
      <c r="DG258" s="53" t="str">
        <f>IF(BD258="","",IF(DI258="O",1,""))</f>
        <v/>
      </c>
      <c r="DH258" t="s">
        <v>0</v>
      </c>
      <c r="DI258" s="128" t="str">
        <f>IF(Q258="","",LEFT(INDEX(regKategorija_oznaka,MATCH(S258,regKategorija_id,0)),1))</f>
        <v>Ž</v>
      </c>
      <c r="DJ258" t="s">
        <v>0</v>
      </c>
      <c r="DK258" s="52" t="str">
        <f>IF(BD258="","",IF(M258&lt;&gt;"CRO","","INSERT INTO osoba (id,reg_broj,oib,spol_id,dat_rodjenja) VALUES ("&amp;BD258&amp;",(SELECT max(os.reg_broj)+1 FROM osoba AS os),Null,'"&amp;DI258&amp;"',Null); INSERT INTO osoba_log (id,reg_broj,oib,spol_id,dat_rodjenja,dnevnik_id) SELECT id,reg_broj,oib,spol_id,dat_rodjenja,"&amp;data_dnevnik_id&amp;" FROM osoba WHERE id = "&amp;BD258&amp;";"))</f>
        <v/>
      </c>
      <c r="DL258" s="66" t="str">
        <f>IF(BD258="","","INSERT INTO imeprezime (id,osoba_id,rbr,ime,prezime,klub_id,identitet_id,sintaksa_id,info,aktivno,dnevnik_id) VALUES ("&amp;BD258&amp;","&amp;IF(DK258="","Null",BD258)&amp;",1,'"&amp;IF(AV258&lt;&gt;"",AV258,AK258)&amp;"','"&amp;IF(AW258&lt;&gt;"",AW258,AL258)&amp;"',(SELECT id FROM klub WHERE naziv = '"&amp;CR258&amp;"'),Null,1,'',1,"&amp;data_dnevnik_id&amp;");")</f>
        <v/>
      </c>
      <c r="DM258" t="s">
        <v>0</v>
      </c>
      <c r="DN258" s="19" t="str">
        <f t="shared" si="238"/>
        <v/>
      </c>
      <c r="DO258" s="47" t="s">
        <v>0</v>
      </c>
      <c r="DP258" s="19" t="str">
        <f>IF(BA258="","","INSERT INTO imeprezime_alias(id,alias,imeprezime_id) VALUES ("&amp;BB258&amp;",'"&amp;BA258&amp;"',"&amp;IF(BC258="NEMA",BD258,BC258)&amp;");")</f>
        <v/>
      </c>
      <c r="DQ258" s="47" t="s">
        <v>0</v>
      </c>
      <c r="DR258" s="52" t="str">
        <f>IF(AL258="","",DU258 &amp; IF(Q258="",""," – " &amp; Q258))</f>
        <v>Ines – Kos – OK Kapela – Ž21A</v>
      </c>
      <c r="DS258" s="53">
        <f t="shared" si="200"/>
        <v>267</v>
      </c>
      <c r="DT258" s="47" t="s">
        <v>0</v>
      </c>
      <c r="DU258" s="52" t="str">
        <f>IF(AL258="","",DX258 &amp; IF(CR258="",""," – " &amp; CR258))</f>
        <v>Ines – Kos – OK Kapela</v>
      </c>
      <c r="DV258" s="53">
        <f t="shared" si="201"/>
        <v>267</v>
      </c>
      <c r="DW258" s="47" t="s">
        <v>0</v>
      </c>
      <c r="DX258" s="52" t="str">
        <f>IF(BG258="","",BF258&amp;" – "&amp;BG258)</f>
        <v>Ines – Kos</v>
      </c>
      <c r="DY258" s="53">
        <f t="shared" si="202"/>
        <v>267</v>
      </c>
      <c r="DZ258" s="47" t="s">
        <v>0</v>
      </c>
      <c r="EA258" s="58">
        <f t="shared" si="231"/>
        <v>267</v>
      </c>
      <c r="EB258" s="53" cm="1">
        <f t="array" ref="EB258">IF(EA258&lt;&gt;"",INDEX(regNatjecatelj_id,EA258,0),IF(BD258&lt;&gt;"",BD258,""))</f>
        <v>1483</v>
      </c>
      <c r="EC258" s="47" t="s">
        <v>0</v>
      </c>
      <c r="ED258" s="58" t="str">
        <f>IF(AL258="","",IF(BD258&lt;&gt;"","novo",IF(AN258="","imepre","imepre(ali)")))</f>
        <v>imepre</v>
      </c>
      <c r="EE258" s="73" t="str">
        <f>IF(AL258="","",IF(BL258="",IF(IFERROR(INDEX(regNatjecatelj_klub,MATCH(EB258,regNatjecatelj_id,0)),"NEMA")="","klu",""),IF(OR(AND(BN258&lt;&gt;"",BN258&lt;&gt;"NEMA"),CD258&lt;&gt;""),"klu(ali)",IF(AND(BP258&lt;&gt;"",BP258&lt;&gt;BO258),"(raz-klu)","klu"))))</f>
        <v>klu</v>
      </c>
      <c r="EF258" s="73" t="str">
        <f>IF(AL258="","","kat"&amp;IF(AND(W258&lt;&gt;Q258,Q258&lt;&gt;"Open"),"(ali)",""))</f>
        <v>kat</v>
      </c>
      <c r="EG258" s="73" t="str">
        <f t="shared" si="203"/>
        <v/>
      </c>
      <c r="EH258" s="66" t="str">
        <f>IF(AL258="","",ED258&amp;IF(ED258="novo","","-"&amp;EE258&amp;"-"&amp;EF258)&amp;IF(EG258="","","-"&amp;EG258))</f>
        <v>imepre-klu-kat</v>
      </c>
      <c r="EI258" s="47" t="s">
        <v>0</v>
      </c>
      <c r="EJ258" s="58">
        <f>IF(AL258="","",MAX(EJ$12:EJ257)+1)</f>
        <v>411</v>
      </c>
      <c r="EK258" s="73">
        <f>IF(AO258="","",X258)</f>
        <v>39</v>
      </c>
      <c r="EL258" s="73">
        <f t="shared" si="232"/>
        <v>1483</v>
      </c>
      <c r="EM258" s="73">
        <f t="shared" si="204"/>
        <v>4744</v>
      </c>
      <c r="EN258" s="73">
        <f t="shared" si="205"/>
        <v>1</v>
      </c>
      <c r="EO258" s="73">
        <f t="shared" si="233"/>
        <v>1</v>
      </c>
      <c r="EP258" s="73">
        <f t="shared" si="234"/>
        <v>1</v>
      </c>
      <c r="EQ258" s="73" t="str">
        <f t="shared" si="206"/>
        <v>0</v>
      </c>
      <c r="ER258" s="73" t="str">
        <f>IF(OR(AN258="",AN258="NEMA"),BB258,AN258)</f>
        <v/>
      </c>
      <c r="ES258" s="73" t="str">
        <f>IF(AND(BN258&lt;&gt;"",BN258&lt;&gt;"NEMA"),BN258,IF(CG258&lt;&gt;"",CG258,IF(AND(CL258&lt;&gt;"",CL258&lt;&gt;"NEMA"),CL258,IF(CM258&lt;&gt;"",CM258,""))))</f>
        <v/>
      </c>
      <c r="ET258" s="53" t="str">
        <f>IF(INDEX(natKategorija_alias_Id,MATCH(S258,natKategorija_katRegId,0))="","",INDEX(natKategorija_alias_Id,MATCH(S258,natKategorija_katRegId,0)))</f>
        <v/>
      </c>
      <c r="EU258" s="47" t="s">
        <v>0</v>
      </c>
      <c r="EV258" s="19" t="str">
        <f t="shared" si="235"/>
        <v>INSERT INTO rezultat(id,stazakategorija_id,imeprezime_id,vrijeme_sec,status_id,registracija,uparivanje_id,originalstatus_id,imeprezimealias_id,klubalias_id,kategorijaalias_id) VALUES (411,39,1483,4744,1,1,1,0,Null,Null,Null);</v>
      </c>
      <c r="EW258" s="47" t="s">
        <v>0</v>
      </c>
      <c r="EX258" s="19" t="str">
        <f t="shared" si="236"/>
        <v>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58" s="47" t="s">
        <v>0</v>
      </c>
      <c r="EZ258" s="180" t="str">
        <f>AG258&amp;IF(CP258="","","
")&amp;CP258&amp;IF(CI258="","","
")&amp;CI258&amp;IF(DN258="","","
")&amp;DN258&amp;IF(DP258="","","
")&amp;DP258&amp;IF(EV258="","","
")&amp;EV258&amp;IF(EX258="","","
")&amp;EX258</f>
        <v xml:space="preserve">
INSERT INTO rezultat(id,stazakategorija_id,imeprezime_id,vrijeme_sec,status_id,registracija,uparivanje_id,originalstatus_id,imeprezimealias_id,klubalias_id,kategorijaalias_id) VALUES (411,39,1483,4744,1,1,1,0,Null,Null,Null);
UPDATE
	registar
SET
	potvrda = 1
WHERE
	imeprezime_id=1483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58" s="47" t="s">
        <v>0</v>
      </c>
    </row>
    <row r="259" spans="1:157" x14ac:dyDescent="0.25">
      <c r="A259" t="s">
        <v>0</v>
      </c>
      <c r="B259" s="52" t="str">
        <f>IF(csv!F249="","",csv!T249)</f>
        <v>Ž21A</v>
      </c>
      <c r="C259" s="31" t="s">
        <v>0</v>
      </c>
      <c r="D259" s="31" t="str">
        <f>IF(csv!F249="","",csv!F249)</f>
        <v>Lea Katarina</v>
      </c>
      <c r="E259" s="31" t="str">
        <f>IF(csv!E249="","",csv!E249)</f>
        <v>Gobec</v>
      </c>
      <c r="F259" s="31" t="s">
        <v>0</v>
      </c>
      <c r="G259" s="73" t="str">
        <f>IF(csv!M249="","",csv!M249)</f>
        <v>98:34</v>
      </c>
      <c r="H259" s="73" t="str">
        <f>IF(csv!N249="","",csv!N249)</f>
        <v>0</v>
      </c>
      <c r="I259" s="31" t="s">
        <v>0</v>
      </c>
      <c r="J259" s="31" t="str">
        <f>IF(csv!P249="","",csv!P249)</f>
        <v>Vihor</v>
      </c>
      <c r="K259" s="31" t="str">
        <f>IF(csv!Q249="","",csv!Q249)</f>
        <v>OK Vihor</v>
      </c>
      <c r="L259" s="31" t="s">
        <v>0</v>
      </c>
      <c r="M259" s="66" t="str">
        <f>IF(csv!R249="","",csv!R249)</f>
        <v>CRO</v>
      </c>
      <c r="N259" s="47" t="s">
        <v>0</v>
      </c>
      <c r="O259" s="243" t="str">
        <f t="shared" si="207"/>
        <v>ok</v>
      </c>
      <c r="P259" s="47"/>
      <c r="Q259" s="52" t="str">
        <f t="shared" si="208"/>
        <v>Ž21A</v>
      </c>
      <c r="R259" s="73">
        <f>IF(Q259="","",IF(COUNTIF(Q$12:Q258,Q259)=0,R258+1,R258))</f>
        <v>17</v>
      </c>
      <c r="S259" s="73">
        <f t="shared" si="209"/>
        <v>102</v>
      </c>
      <c r="T259" s="73">
        <f t="shared" si="184"/>
        <v>14</v>
      </c>
      <c r="U259" s="66" t="str">
        <f t="shared" si="185"/>
        <v>Ž21A</v>
      </c>
      <c r="V259" s="47" t="s">
        <v>0</v>
      </c>
      <c r="W259" s="222" t="str">
        <f t="shared" si="186"/>
        <v>Ž21A</v>
      </c>
      <c r="X259" s="223">
        <f t="shared" si="187"/>
        <v>39</v>
      </c>
      <c r="Y259" s="47" t="s">
        <v>0</v>
      </c>
      <c r="Z259" s="52" t="str">
        <f t="shared" si="210"/>
        <v>CRO</v>
      </c>
      <c r="AA259" s="73">
        <f t="shared" si="188"/>
        <v>1</v>
      </c>
      <c r="AB259" s="31" t="str">
        <f t="shared" si="211"/>
        <v/>
      </c>
      <c r="AC259" s="66" t="str">
        <f>IF(AB259="","",MAX(AC$12:AC258)+1)</f>
        <v/>
      </c>
      <c r="AD259" s="47" t="s">
        <v>0</v>
      </c>
      <c r="AE259" s="125"/>
      <c r="AF259" s="47" t="s">
        <v>0</v>
      </c>
      <c r="AG259" s="19" t="str">
        <f t="shared" si="212"/>
        <v/>
      </c>
      <c r="AH259" s="47" t="s">
        <v>0</v>
      </c>
      <c r="AI259" s="143" t="str">
        <f t="shared" si="213"/>
        <v>CRO</v>
      </c>
      <c r="AJ259" s="47"/>
      <c r="AK259" s="52" t="str">
        <f t="shared" si="214"/>
        <v>Lea Katarina</v>
      </c>
      <c r="AL259" s="31" t="str">
        <f t="shared" si="215"/>
        <v>Gobec</v>
      </c>
      <c r="AM259" s="73">
        <f t="shared" si="216"/>
        <v>1203</v>
      </c>
      <c r="AN259" s="73" t="str">
        <f t="shared" si="217"/>
        <v/>
      </c>
      <c r="AO259" s="31" t="str">
        <f t="shared" si="189"/>
        <v>Lea Katarina</v>
      </c>
      <c r="AP259" s="66" t="str">
        <f t="shared" si="190"/>
        <v>Gobec</v>
      </c>
      <c r="AQ259" s="47" t="s">
        <v>0</v>
      </c>
      <c r="AR259" s="82" t="str">
        <f t="shared" si="218"/>
        <v/>
      </c>
      <c r="AS259" s="47" t="s">
        <v>0</v>
      </c>
      <c r="AT259" s="19" t="str">
        <f t="shared" si="219"/>
        <v/>
      </c>
      <c r="AU259" s="47" t="s">
        <v>0</v>
      </c>
      <c r="AV259" s="103"/>
      <c r="AW259" s="105"/>
      <c r="AX259" s="47" t="s">
        <v>0</v>
      </c>
      <c r="AY259" s="256" t="str">
        <f t="shared" si="237"/>
        <v/>
      </c>
      <c r="AZ259" s="47" t="s">
        <v>0</v>
      </c>
      <c r="BA259" s="52" t="str">
        <f t="shared" si="191"/>
        <v/>
      </c>
      <c r="BB259" s="73" t="str">
        <f>IF(AV259&amp;AW259="","",MAX(BB$12:BB258)+1)</f>
        <v/>
      </c>
      <c r="BC259" s="268" t="str">
        <f t="shared" si="192"/>
        <v/>
      </c>
      <c r="BD259" s="53" t="str">
        <f>IF(AND(AM259="NEMA",AN259="NEMA",OR(AV259&amp;AW259="",BC259="NEMA")),MAX(BD$12:BD258)+1,"")</f>
        <v/>
      </c>
      <c r="BE259" s="47" t="s">
        <v>0</v>
      </c>
      <c r="BF259" s="52" t="str">
        <f t="shared" si="193"/>
        <v>Lea Katarina</v>
      </c>
      <c r="BG259" s="31" t="str">
        <f t="shared" si="194"/>
        <v>Gobec</v>
      </c>
      <c r="BH259" s="73" t="str">
        <f t="shared" si="220"/>
        <v/>
      </c>
      <c r="BI259" s="53">
        <f t="shared" si="221"/>
        <v>1203</v>
      </c>
      <c r="BJ259" s="47" t="s">
        <v>0</v>
      </c>
      <c r="BK259" s="52" t="str">
        <f t="shared" si="195"/>
        <v>Vihor</v>
      </c>
      <c r="BL259" s="31" t="str">
        <f t="shared" si="196"/>
        <v>OK Vihor</v>
      </c>
      <c r="BM259" s="73">
        <f t="shared" si="197"/>
        <v>12</v>
      </c>
      <c r="BN259" s="73" t="str">
        <f t="shared" si="198"/>
        <v/>
      </c>
      <c r="BO259" s="31" t="str" cm="1">
        <f t="array" ref="BO259">IF(BN259="",""&amp;BL259,IF(BN259="NEMA",BL259,INDEX(regKlub_naziv,MATCH(INDEX(regKlub_alias_klubId,BN259),regKlub_id,0))))</f>
        <v>OK Vihor</v>
      </c>
      <c r="BP259" s="31" t="str" cm="1">
        <f t="array" ref="BP259">IFERROR(""&amp;INDEX(regNatjecatelj_klub,DY259),"")</f>
        <v>OK Vihor</v>
      </c>
      <c r="BQ259" s="88" t="str">
        <f t="shared" si="222"/>
        <v/>
      </c>
      <c r="BR259" s="66" t="str">
        <f t="shared" si="223"/>
        <v>OK Vihor</v>
      </c>
      <c r="BS259" s="47" t="s">
        <v>0</v>
      </c>
      <c r="BT259" s="82" t="str">
        <f>IF(BN259&lt;&gt;"NEMA","",IF(IFERROR(MATCH(BL259,BL$12:BL258,0),0)&lt;&gt;0,"",BL259))</f>
        <v/>
      </c>
      <c r="BU259" s="47" t="s">
        <v>0</v>
      </c>
      <c r="BV259" s="125"/>
      <c r="BW259" s="47" t="s">
        <v>0</v>
      </c>
      <c r="BX259" s="58" t="str">
        <f t="shared" si="224"/>
        <v/>
      </c>
      <c r="BY259" s="31" t="str">
        <f t="shared" si="225"/>
        <v/>
      </c>
      <c r="BZ259" s="31" t="str">
        <f>IF(BY259="","",MAX(BZ$12:BZ258)+1)</f>
        <v/>
      </c>
      <c r="CA259" s="31" t="str">
        <f>IF(BY259="","",IF(AA259="","",IF(AA259="NEMA",AC259,AA259)))</f>
        <v/>
      </c>
      <c r="CB259" s="31" t="str">
        <f t="shared" si="226"/>
        <v/>
      </c>
      <c r="CC259" s="31" t="str">
        <f>IF(BV259="","",MAX(CC$12:CC258)+1)</f>
        <v/>
      </c>
      <c r="CD259" s="31" t="str">
        <f t="shared" si="227"/>
        <v/>
      </c>
      <c r="CE259" s="66" t="str">
        <f t="shared" si="228"/>
        <v/>
      </c>
      <c r="CF259" s="47" t="s">
        <v>0</v>
      </c>
      <c r="CG259" s="73" t="str">
        <f>IF(BN259="","",IF(BN259&lt;&gt;"NEMA","",IFERROR(INDEX(nat_klubAliasId,MATCH(BL259,nat_noviKluboviAliasi,0)),"")))</f>
        <v/>
      </c>
      <c r="CH259" s="47"/>
      <c r="CI259" s="19" t="str">
        <f t="shared" si="229"/>
        <v/>
      </c>
      <c r="CJ259" s="47" t="s">
        <v>0</v>
      </c>
      <c r="CK259" s="52" t="str">
        <f>IF(X259&lt;&gt;"NEMA","",IF(IFERROR(MATCH(W259,W$12:W258,0),0)&lt;&gt;0,"",W259))</f>
        <v/>
      </c>
      <c r="CL259" s="73" t="str">
        <f>IF(CK259="","",IFERROR(INDEX(regKlub_alias_id,MATCH(CK259,regKlub_alias_alias,0)),"NEMA"))</f>
        <v/>
      </c>
      <c r="CM259" s="31" t="str">
        <f>IF(OR(CL259="",CL259&lt;&gt;"NEMA"),"",MAX(CM$12:CM258)+1)</f>
        <v/>
      </c>
      <c r="CN259" s="66" t="str">
        <f>IF(OR(CL259="",CL259&lt;&gt;"NEMA"),"",INDEX(regKlub_id,MATCH(CK259,regKlub_naziv,0)))</f>
        <v/>
      </c>
      <c r="CO259" s="47" t="s">
        <v>0</v>
      </c>
      <c r="CP259" s="19" t="str">
        <f>IF(OR(CL259="",CL259&lt;&gt;"NEMA"),"","INSERT INTO klub_alias(id,alias,klub_id) VALUES ("&amp;CM259&amp;",'"&amp;CK259&amp;"',"&amp;CN259&amp;");")</f>
        <v/>
      </c>
      <c r="CQ259" s="47" t="s">
        <v>0</v>
      </c>
      <c r="CR259" s="143" t="str">
        <f>IF(BR259="","",IF(BV259="",IF(IFERROR(MATCH(BR259,nat_noviKluboviAliasi,0),0)&gt;0,INDEX(nat_kluboviAliasi,MATCH(BR259,nat_noviKluboviAliasi,0)),BR259),BV259))</f>
        <v>OK Vihor</v>
      </c>
      <c r="CS259" s="47" t="s">
        <v>0</v>
      </c>
      <c r="CT259" s="58" t="str">
        <f>IF(G259="","",G259)</f>
        <v>98:34</v>
      </c>
      <c r="CU259" s="73" t="str">
        <f>IF(H259="","",H259)</f>
        <v>0</v>
      </c>
      <c r="CV259" s="229" t="str">
        <f>IF(CT259="",IF(OR(AL259="",CU259&lt;&gt;"0"),"","GREŠKA"),IF(AND(65535&gt;=VALUE(LEFT(CT259,SEARCH(":",CT259)-1))*60+VALUE(RIGHT(CT259,2)),OR(CU259="0",CU259="1",CU259="2",CU259="3",CU259="4")),"","GREŠKA"))</f>
        <v/>
      </c>
      <c r="CW259" s="230">
        <f t="shared" si="239"/>
        <v>5914</v>
      </c>
      <c r="CX259" s="163">
        <f t="shared" si="199"/>
        <v>1</v>
      </c>
      <c r="CY259" s="47" t="s">
        <v>0</v>
      </c>
      <c r="CZ259" s="222" t="str">
        <f>IF(CV259&lt;&gt;"GREŠKA","",AK259&amp;" "&amp;AL259&amp;" – Molim u OEventu provjeriti i ispraviti rezultat – vrijeme ("&amp;IF(CT259="","nije upisano",CT259)&amp;") i classifier ("&amp;CU259&amp;").")&amp;IF(OR(CV259&lt;&gt;"GREŠKA",CX259&lt;&gt;5),"
","")&amp;IF(CX259&lt;&gt;5,"",AK259&amp;" "&amp;AL259&amp;" – Molim u provjeriti je li natjecatelj zaista diskvalificiran. Ako je koje je obrazloženje, ako nije molim u OEventu ispraviti rezultat")</f>
        <v xml:space="preserve">
</v>
      </c>
      <c r="DA259" s="223">
        <f t="shared" si="230"/>
        <v>6</v>
      </c>
      <c r="DB259" s="47" t="s">
        <v>0</v>
      </c>
      <c r="DC259" s="47"/>
      <c r="DD259" s="47"/>
      <c r="DE259" s="47"/>
      <c r="DF259" s="47" t="s">
        <v>0</v>
      </c>
      <c r="DG259" s="53" t="str">
        <f>IF(BD259="","",IF(DI259="O",1,""))</f>
        <v/>
      </c>
      <c r="DH259" t="s">
        <v>0</v>
      </c>
      <c r="DI259" s="128" t="str">
        <f>IF(Q259="","",LEFT(INDEX(regKategorija_oznaka,MATCH(S259,regKategorija_id,0)),1))</f>
        <v>Ž</v>
      </c>
      <c r="DJ259" t="s">
        <v>0</v>
      </c>
      <c r="DK259" s="52" t="str">
        <f>IF(BD259="","",IF(M259&lt;&gt;"CRO","","INSERT INTO osoba (id,reg_broj,oib,spol_id,dat_rodjenja) VALUES ("&amp;BD259&amp;",(SELECT max(os.reg_broj)+1 FROM osoba AS os),Null,'"&amp;DI259&amp;"',Null); INSERT INTO osoba_log (id,reg_broj,oib,spol_id,dat_rodjenja,dnevnik_id) SELECT id,reg_broj,oib,spol_id,dat_rodjenja,"&amp;data_dnevnik_id&amp;" FROM osoba WHERE id = "&amp;BD259&amp;";"))</f>
        <v/>
      </c>
      <c r="DL259" s="66" t="str">
        <f>IF(BD259="","","INSERT INTO imeprezime (id,osoba_id,rbr,ime,prezime,klub_id,identitet_id,sintaksa_id,info,aktivno,dnevnik_id) VALUES ("&amp;BD259&amp;","&amp;IF(DK259="","Null",BD259)&amp;",1,'"&amp;IF(AV259&lt;&gt;"",AV259,AK259)&amp;"','"&amp;IF(AW259&lt;&gt;"",AW259,AL259)&amp;"',(SELECT id FROM klub WHERE naziv = '"&amp;CR259&amp;"'),Null,1,'',1,"&amp;data_dnevnik_id&amp;");")</f>
        <v/>
      </c>
      <c r="DM259" t="s">
        <v>0</v>
      </c>
      <c r="DN259" s="19" t="str">
        <f t="shared" si="238"/>
        <v/>
      </c>
      <c r="DO259" s="47" t="s">
        <v>0</v>
      </c>
      <c r="DP259" s="19" t="str">
        <f>IF(BA259="","","INSERT INTO imeprezime_alias(id,alias,imeprezime_id) VALUES ("&amp;BB259&amp;",'"&amp;BA259&amp;"',"&amp;IF(BC259="NEMA",BD259,BC259)&amp;");")</f>
        <v/>
      </c>
      <c r="DQ259" s="47" t="s">
        <v>0</v>
      </c>
      <c r="DR259" s="52" t="str">
        <f>IF(AL259="","",DU259 &amp; IF(Q259="",""," – " &amp; Q259))</f>
        <v>Lea Katarina – Gobec – OK Vihor – Ž21A</v>
      </c>
      <c r="DS259" s="53">
        <f t="shared" si="200"/>
        <v>677</v>
      </c>
      <c r="DT259" s="47" t="s">
        <v>0</v>
      </c>
      <c r="DU259" s="52" t="str">
        <f>IF(AL259="","",DX259 &amp; IF(CR259="",""," – " &amp; CR259))</f>
        <v>Lea Katarina – Gobec – OK Vihor</v>
      </c>
      <c r="DV259" s="53">
        <f t="shared" si="201"/>
        <v>677</v>
      </c>
      <c r="DW259" s="47" t="s">
        <v>0</v>
      </c>
      <c r="DX259" s="52" t="str">
        <f>IF(BG259="","",BF259&amp;" – "&amp;BG259)</f>
        <v>Lea Katarina – Gobec</v>
      </c>
      <c r="DY259" s="53">
        <f t="shared" si="202"/>
        <v>677</v>
      </c>
      <c r="DZ259" s="47" t="s">
        <v>0</v>
      </c>
      <c r="EA259" s="58">
        <f t="shared" si="231"/>
        <v>677</v>
      </c>
      <c r="EB259" s="53" cm="1">
        <f t="array" ref="EB259">IF(EA259&lt;&gt;"",INDEX(regNatjecatelj_id,EA259,0),IF(BD259&lt;&gt;"",BD259,""))</f>
        <v>1203</v>
      </c>
      <c r="EC259" s="47" t="s">
        <v>0</v>
      </c>
      <c r="ED259" s="58" t="str">
        <f>IF(AL259="","",IF(BD259&lt;&gt;"","novo",IF(AN259="","imepre","imepre(ali)")))</f>
        <v>imepre</v>
      </c>
      <c r="EE259" s="73" t="str">
        <f>IF(AL259="","",IF(BL259="",IF(IFERROR(INDEX(regNatjecatelj_klub,MATCH(EB259,regNatjecatelj_id,0)),"NEMA")="","klu",""),IF(OR(AND(BN259&lt;&gt;"",BN259&lt;&gt;"NEMA"),CD259&lt;&gt;""),"klu(ali)",IF(AND(BP259&lt;&gt;"",BP259&lt;&gt;BO259),"(raz-klu)","klu"))))</f>
        <v>klu</v>
      </c>
      <c r="EF259" s="73" t="str">
        <f>IF(AL259="","","kat"&amp;IF(AND(W259&lt;&gt;Q259,Q259&lt;&gt;"Open"),"(ali)",""))</f>
        <v>kat</v>
      </c>
      <c r="EG259" s="73" t="str">
        <f t="shared" si="203"/>
        <v/>
      </c>
      <c r="EH259" s="66" t="str">
        <f>IF(AL259="","",ED259&amp;IF(ED259="novo","","-"&amp;EE259&amp;"-"&amp;EF259)&amp;IF(EG259="","","-"&amp;EG259))</f>
        <v>imepre-klu-kat</v>
      </c>
      <c r="EI259" s="47" t="s">
        <v>0</v>
      </c>
      <c r="EJ259" s="58">
        <f>IF(AL259="","",MAX(EJ$12:EJ258)+1)</f>
        <v>412</v>
      </c>
      <c r="EK259" s="73">
        <f>IF(AO259="","",X259)</f>
        <v>39</v>
      </c>
      <c r="EL259" s="73">
        <f t="shared" si="232"/>
        <v>1203</v>
      </c>
      <c r="EM259" s="73">
        <f t="shared" si="204"/>
        <v>5914</v>
      </c>
      <c r="EN259" s="73">
        <f t="shared" si="205"/>
        <v>1</v>
      </c>
      <c r="EO259" s="73">
        <f t="shared" si="233"/>
        <v>1</v>
      </c>
      <c r="EP259" s="73">
        <f t="shared" si="234"/>
        <v>1</v>
      </c>
      <c r="EQ259" s="73" t="str">
        <f t="shared" si="206"/>
        <v>0</v>
      </c>
      <c r="ER259" s="73" t="str">
        <f>IF(OR(AN259="",AN259="NEMA"),BB259,AN259)</f>
        <v/>
      </c>
      <c r="ES259" s="73" t="str">
        <f>IF(AND(BN259&lt;&gt;"",BN259&lt;&gt;"NEMA"),BN259,IF(CG259&lt;&gt;"",CG259,IF(AND(CL259&lt;&gt;"",CL259&lt;&gt;"NEMA"),CL259,IF(CM259&lt;&gt;"",CM259,""))))</f>
        <v/>
      </c>
      <c r="ET259" s="53" t="str">
        <f>IF(INDEX(natKategorija_alias_Id,MATCH(S259,natKategorija_katRegId,0))="","",INDEX(natKategorija_alias_Id,MATCH(S259,natKategorija_katRegId,0)))</f>
        <v/>
      </c>
      <c r="EU259" s="47" t="s">
        <v>0</v>
      </c>
      <c r="EV259" s="19" t="str">
        <f t="shared" si="235"/>
        <v>INSERT INTO rezultat(id,stazakategorija_id,imeprezime_id,vrijeme_sec,status_id,registracija,uparivanje_id,originalstatus_id,imeprezimealias_id,klubalias_id,kategorijaalias_id) VALUES (412,39,1203,5914,1,1,1,0,Null,Null,Null);</v>
      </c>
      <c r="EW259" s="47" t="s">
        <v>0</v>
      </c>
      <c r="EX259" s="19" t="str">
        <f t="shared" si="236"/>
        <v>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59" s="47" t="s">
        <v>0</v>
      </c>
      <c r="EZ259" s="180" t="str">
        <f>AG259&amp;IF(CP259="","","
")&amp;CP259&amp;IF(CI259="","","
")&amp;CI259&amp;IF(DN259="","","
")&amp;DN259&amp;IF(DP259="","","
")&amp;DP259&amp;IF(EV259="","","
")&amp;EV259&amp;IF(EX259="","","
")&amp;EX259</f>
        <v xml:space="preserve">
INSERT INTO rezultat(id,stazakategorija_id,imeprezime_id,vrijeme_sec,status_id,registracija,uparivanje_id,originalstatus_id,imeprezimealias_id,klubalias_id,kategorijaalias_id) VALUES (412,39,1203,5914,1,1,1,0,Null,Null,Null);
UPDATE
	registar
SET
	potvrda = 1
WHERE
	imeprezime_id=1203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59" s="47" t="s">
        <v>0</v>
      </c>
    </row>
    <row r="260" spans="1:157" x14ac:dyDescent="0.25">
      <c r="A260" t="s">
        <v>0</v>
      </c>
      <c r="B260" s="52" t="str">
        <f>IF(csv!F250="","",csv!T250)</f>
        <v>Ž21A</v>
      </c>
      <c r="C260" s="31" t="s">
        <v>0</v>
      </c>
      <c r="D260" s="31" t="str">
        <f>IF(csv!F250="","",csv!F250)</f>
        <v>Ana</v>
      </c>
      <c r="E260" s="31" t="str">
        <f>IF(csv!E250="","",csv!E250)</f>
        <v>Beblek</v>
      </c>
      <c r="F260" s="31" t="s">
        <v>0</v>
      </c>
      <c r="G260" s="73" t="str">
        <f>IF(csv!M250="","",csv!M250)</f>
        <v/>
      </c>
      <c r="H260" s="73" t="str">
        <f>IF(csv!N250="","",csv!N250)</f>
        <v>1</v>
      </c>
      <c r="I260" s="31" t="s">
        <v>0</v>
      </c>
      <c r="J260" s="31" t="str">
        <f>IF(csv!P250="","",csv!P250)</f>
        <v>OK Jelen</v>
      </c>
      <c r="K260" s="31" t="str">
        <f>IF(csv!Q250="","",csv!Q250)</f>
        <v>OK Jelen</v>
      </c>
      <c r="L260" s="31" t="s">
        <v>0</v>
      </c>
      <c r="M260" s="66" t="str">
        <f>IF(csv!R250="","",csv!R250)</f>
        <v>CRO</v>
      </c>
      <c r="N260" s="47" t="s">
        <v>0</v>
      </c>
      <c r="O260" s="243" t="str">
        <f t="shared" si="207"/>
        <v>ok</v>
      </c>
      <c r="P260" s="47"/>
      <c r="Q260" s="52" t="str">
        <f t="shared" si="208"/>
        <v>Ž21A</v>
      </c>
      <c r="R260" s="73">
        <f>IF(Q260="","",IF(COUNTIF(Q$12:Q259,Q260)=0,R259+1,R259))</f>
        <v>17</v>
      </c>
      <c r="S260" s="73">
        <f t="shared" si="209"/>
        <v>102</v>
      </c>
      <c r="T260" s="73">
        <f t="shared" si="184"/>
        <v>14</v>
      </c>
      <c r="U260" s="66" t="str">
        <f t="shared" si="185"/>
        <v>Ž21A</v>
      </c>
      <c r="V260" s="47" t="s">
        <v>0</v>
      </c>
      <c r="W260" s="222" t="str">
        <f t="shared" si="186"/>
        <v>Ž21A</v>
      </c>
      <c r="X260" s="223">
        <f t="shared" si="187"/>
        <v>39</v>
      </c>
      <c r="Y260" s="47" t="s">
        <v>0</v>
      </c>
      <c r="Z260" s="52" t="str">
        <f t="shared" si="210"/>
        <v>CRO</v>
      </c>
      <c r="AA260" s="73">
        <f t="shared" si="188"/>
        <v>1</v>
      </c>
      <c r="AB260" s="31" t="str">
        <f t="shared" si="211"/>
        <v/>
      </c>
      <c r="AC260" s="66" t="str">
        <f>IF(AB260="","",MAX(AC$12:AC259)+1)</f>
        <v/>
      </c>
      <c r="AD260" s="47" t="s">
        <v>0</v>
      </c>
      <c r="AE260" s="125"/>
      <c r="AF260" s="47" t="s">
        <v>0</v>
      </c>
      <c r="AG260" s="19" t="str">
        <f t="shared" si="212"/>
        <v/>
      </c>
      <c r="AH260" s="47" t="s">
        <v>0</v>
      </c>
      <c r="AI260" s="143" t="str">
        <f t="shared" si="213"/>
        <v>CRO</v>
      </c>
      <c r="AJ260" s="47"/>
      <c r="AK260" s="52" t="str">
        <f t="shared" si="214"/>
        <v>Ana</v>
      </c>
      <c r="AL260" s="31" t="str">
        <f t="shared" si="215"/>
        <v>Beblek</v>
      </c>
      <c r="AM260" s="73">
        <f t="shared" si="216"/>
        <v>1472</v>
      </c>
      <c r="AN260" s="73" t="str">
        <f t="shared" si="217"/>
        <v/>
      </c>
      <c r="AO260" s="31" t="str">
        <f t="shared" si="189"/>
        <v>Ana</v>
      </c>
      <c r="AP260" s="66" t="str">
        <f t="shared" si="190"/>
        <v>Beblek</v>
      </c>
      <c r="AQ260" s="47" t="s">
        <v>0</v>
      </c>
      <c r="AR260" s="82" t="str">
        <f t="shared" si="218"/>
        <v/>
      </c>
      <c r="AS260" s="47" t="s">
        <v>0</v>
      </c>
      <c r="AT260" s="19" t="str">
        <f t="shared" si="219"/>
        <v/>
      </c>
      <c r="AU260" s="47" t="s">
        <v>0</v>
      </c>
      <c r="AV260" s="103"/>
      <c r="AW260" s="105"/>
      <c r="AX260" s="47" t="s">
        <v>0</v>
      </c>
      <c r="AY260" s="256" t="str">
        <f t="shared" si="237"/>
        <v/>
      </c>
      <c r="AZ260" s="47" t="s">
        <v>0</v>
      </c>
      <c r="BA260" s="52" t="str">
        <f t="shared" si="191"/>
        <v/>
      </c>
      <c r="BB260" s="73" t="str">
        <f>IF(AV260&amp;AW260="","",MAX(BB$12:BB259)+1)</f>
        <v/>
      </c>
      <c r="BC260" s="268" t="str">
        <f t="shared" si="192"/>
        <v/>
      </c>
      <c r="BD260" s="53" t="str">
        <f>IF(AND(AM260="NEMA",AN260="NEMA",OR(AV260&amp;AW260="",BC260="NEMA")),MAX(BD$12:BD259)+1,"")</f>
        <v/>
      </c>
      <c r="BE260" s="47" t="s">
        <v>0</v>
      </c>
      <c r="BF260" s="52" t="str">
        <f t="shared" si="193"/>
        <v>Ana</v>
      </c>
      <c r="BG260" s="31" t="str">
        <f t="shared" si="194"/>
        <v>Beblek</v>
      </c>
      <c r="BH260" s="73" t="str">
        <f t="shared" si="220"/>
        <v/>
      </c>
      <c r="BI260" s="53">
        <f t="shared" si="221"/>
        <v>1472</v>
      </c>
      <c r="BJ260" s="47" t="s">
        <v>0</v>
      </c>
      <c r="BK260" s="52" t="str">
        <f t="shared" si="195"/>
        <v>OK Jelen</v>
      </c>
      <c r="BL260" s="31" t="str">
        <f t="shared" si="196"/>
        <v>OK Jelen</v>
      </c>
      <c r="BM260" s="73">
        <f t="shared" si="197"/>
        <v>4</v>
      </c>
      <c r="BN260" s="73" t="str">
        <f t="shared" si="198"/>
        <v/>
      </c>
      <c r="BO260" s="31" t="str" cm="1">
        <f t="array" ref="BO260">IF(BN260="",""&amp;BL260,IF(BN260="NEMA",BL260,INDEX(regKlub_naziv,MATCH(INDEX(regKlub_alias_klubId,BN260),regKlub_id,0))))</f>
        <v>OK Jelen</v>
      </c>
      <c r="BP260" s="31" t="str" cm="1">
        <f t="array" ref="BP260">IFERROR(""&amp;INDEX(regNatjecatelj_klub,DY260),"")</f>
        <v>OK Jelen</v>
      </c>
      <c r="BQ260" s="88" t="str">
        <f t="shared" si="222"/>
        <v/>
      </c>
      <c r="BR260" s="66" t="str">
        <f t="shared" si="223"/>
        <v>OK Jelen</v>
      </c>
      <c r="BS260" s="47" t="s">
        <v>0</v>
      </c>
      <c r="BT260" s="82" t="str">
        <f>IF(BN260&lt;&gt;"NEMA","",IF(IFERROR(MATCH(BL260,BL$12:BL259,0),0)&lt;&gt;0,"",BL260))</f>
        <v/>
      </c>
      <c r="BU260" s="47" t="s">
        <v>0</v>
      </c>
      <c r="BV260" s="125"/>
      <c r="BW260" s="47" t="s">
        <v>0</v>
      </c>
      <c r="BX260" s="58" t="str">
        <f t="shared" si="224"/>
        <v/>
      </c>
      <c r="BY260" s="31" t="str">
        <f t="shared" si="225"/>
        <v/>
      </c>
      <c r="BZ260" s="31" t="str">
        <f>IF(BY260="","",MAX(BZ$12:BZ259)+1)</f>
        <v/>
      </c>
      <c r="CA260" s="31" t="str">
        <f>IF(BY260="","",IF(AA260="","",IF(AA260="NEMA",AC260,AA260)))</f>
        <v/>
      </c>
      <c r="CB260" s="31" t="str">
        <f t="shared" si="226"/>
        <v/>
      </c>
      <c r="CC260" s="31" t="str">
        <f>IF(BV260="","",MAX(CC$12:CC259)+1)</f>
        <v/>
      </c>
      <c r="CD260" s="31" t="str">
        <f t="shared" si="227"/>
        <v/>
      </c>
      <c r="CE260" s="66" t="str">
        <f t="shared" si="228"/>
        <v/>
      </c>
      <c r="CF260" s="47" t="s">
        <v>0</v>
      </c>
      <c r="CG260" s="73" t="str">
        <f>IF(BN260="","",IF(BN260&lt;&gt;"NEMA","",IFERROR(INDEX(nat_klubAliasId,MATCH(BL260,nat_noviKluboviAliasi,0)),"")))</f>
        <v/>
      </c>
      <c r="CH260" s="47"/>
      <c r="CI260" s="19" t="str">
        <f t="shared" si="229"/>
        <v/>
      </c>
      <c r="CJ260" s="47" t="s">
        <v>0</v>
      </c>
      <c r="CK260" s="52" t="str">
        <f>IF(X260&lt;&gt;"NEMA","",IF(IFERROR(MATCH(W260,W$12:W259,0),0)&lt;&gt;0,"",W260))</f>
        <v/>
      </c>
      <c r="CL260" s="73" t="str">
        <f>IF(CK260="","",IFERROR(INDEX(regKlub_alias_id,MATCH(CK260,regKlub_alias_alias,0)),"NEMA"))</f>
        <v/>
      </c>
      <c r="CM260" s="31" t="str">
        <f>IF(OR(CL260="",CL260&lt;&gt;"NEMA"),"",MAX(CM$12:CM259)+1)</f>
        <v/>
      </c>
      <c r="CN260" s="66" t="str">
        <f>IF(OR(CL260="",CL260&lt;&gt;"NEMA"),"",INDEX(regKlub_id,MATCH(CK260,regKlub_naziv,0)))</f>
        <v/>
      </c>
      <c r="CO260" s="47" t="s">
        <v>0</v>
      </c>
      <c r="CP260" s="19" t="str">
        <f>IF(OR(CL260="",CL260&lt;&gt;"NEMA"),"","INSERT INTO klub_alias(id,alias,klub_id) VALUES ("&amp;CM260&amp;",'"&amp;CK260&amp;"',"&amp;CN260&amp;");")</f>
        <v/>
      </c>
      <c r="CQ260" s="47" t="s">
        <v>0</v>
      </c>
      <c r="CR260" s="143" t="str">
        <f>IF(BR260="","",IF(BV260="",IF(IFERROR(MATCH(BR260,nat_noviKluboviAliasi,0),0)&gt;0,INDEX(nat_kluboviAliasi,MATCH(BR260,nat_noviKluboviAliasi,0)),BR260),BV260))</f>
        <v>OK Jelen</v>
      </c>
      <c r="CS260" s="47" t="s">
        <v>0</v>
      </c>
      <c r="CT260" s="58" t="str">
        <f>IF(G260="","",G260)</f>
        <v/>
      </c>
      <c r="CU260" s="73" t="str">
        <f>IF(H260="","",H260)</f>
        <v>1</v>
      </c>
      <c r="CV260" s="229" t="str">
        <f>IF(CT260="",IF(OR(AL260="",CU260&lt;&gt;"0"),"","GREŠKA"),IF(AND(65535&gt;=VALUE(LEFT(CT260,SEARCH(":",CT260)-1))*60+VALUE(RIGHT(CT260,2)),OR(CU260="0",CU260="1",CU260="2",CU260="3",CU260="4")),"","GREŠKA"))</f>
        <v/>
      </c>
      <c r="CW260" s="230" t="str">
        <f t="shared" si="239"/>
        <v/>
      </c>
      <c r="CX260" s="163">
        <f t="shared" si="199"/>
        <v>6</v>
      </c>
      <c r="CY260" s="47" t="s">
        <v>0</v>
      </c>
      <c r="CZ260" s="222" t="str">
        <f>IF(CV260&lt;&gt;"GREŠKA","",AK260&amp;" "&amp;AL260&amp;" – Molim u OEventu provjeriti i ispraviti rezultat – vrijeme ("&amp;IF(CT260="","nije upisano",CT260)&amp;") i classifier ("&amp;CU260&amp;").")&amp;IF(OR(CV260&lt;&gt;"GREŠKA",CX260&lt;&gt;5),"
","")&amp;IF(CX260&lt;&gt;5,"",AK260&amp;" "&amp;AL260&amp;" – Molim u provjeriti je li natjecatelj zaista diskvalificiran. Ako je koje je obrazloženje, ako nije molim u OEventu ispraviti rezultat")</f>
        <v xml:space="preserve">
</v>
      </c>
      <c r="DA260" s="223" t="e">
        <f t="shared" si="230"/>
        <v>#N/A</v>
      </c>
      <c r="DB260" s="47" t="s">
        <v>0</v>
      </c>
      <c r="DC260" s="47"/>
      <c r="DD260" s="47"/>
      <c r="DE260" s="47"/>
      <c r="DF260" s="47" t="s">
        <v>0</v>
      </c>
      <c r="DG260" s="53" t="str">
        <f>IF(BD260="","",IF(DI260="O",1,""))</f>
        <v/>
      </c>
      <c r="DH260" t="s">
        <v>0</v>
      </c>
      <c r="DI260" s="128" t="str">
        <f>IF(Q260="","",LEFT(INDEX(regKategorija_oznaka,MATCH(S260,regKategorija_id,0)),1))</f>
        <v>Ž</v>
      </c>
      <c r="DJ260" t="s">
        <v>0</v>
      </c>
      <c r="DK260" s="52" t="str">
        <f>IF(BD260="","",IF(M260&lt;&gt;"CRO","","INSERT INTO osoba (id,reg_broj,oib,spol_id,dat_rodjenja) VALUES ("&amp;BD260&amp;",(SELECT max(os.reg_broj)+1 FROM osoba AS os),Null,'"&amp;DI260&amp;"',Null); INSERT INTO osoba_log (id,reg_broj,oib,spol_id,dat_rodjenja,dnevnik_id) SELECT id,reg_broj,oib,spol_id,dat_rodjenja,"&amp;data_dnevnik_id&amp;" FROM osoba WHERE id = "&amp;BD260&amp;";"))</f>
        <v/>
      </c>
      <c r="DL260" s="66" t="str">
        <f>IF(BD260="","","INSERT INTO imeprezime (id,osoba_id,rbr,ime,prezime,klub_id,identitet_id,sintaksa_id,info,aktivno,dnevnik_id) VALUES ("&amp;BD260&amp;","&amp;IF(DK260="","Null",BD260)&amp;",1,'"&amp;IF(AV260&lt;&gt;"",AV260,AK260)&amp;"','"&amp;IF(AW260&lt;&gt;"",AW260,AL260)&amp;"',(SELECT id FROM klub WHERE naziv = '"&amp;CR260&amp;"'),Null,1,'',1,"&amp;data_dnevnik_id&amp;");")</f>
        <v/>
      </c>
      <c r="DM260" t="s">
        <v>0</v>
      </c>
      <c r="DN260" s="19" t="str">
        <f t="shared" si="238"/>
        <v/>
      </c>
      <c r="DO260" s="47" t="s">
        <v>0</v>
      </c>
      <c r="DP260" s="19" t="str">
        <f>IF(BA260="","","INSERT INTO imeprezime_alias(id,alias,imeprezime_id) VALUES ("&amp;BB260&amp;",'"&amp;BA260&amp;"',"&amp;IF(BC260="NEMA",BD260,BC260)&amp;");")</f>
        <v/>
      </c>
      <c r="DQ260" s="47" t="s">
        <v>0</v>
      </c>
      <c r="DR260" s="52" t="str">
        <f>IF(AL260="","",DU260 &amp; IF(Q260="",""," – " &amp; Q260))</f>
        <v>Ana – Beblek – OK Jelen – Ž21A</v>
      </c>
      <c r="DS260" s="53">
        <f t="shared" si="200"/>
        <v>149</v>
      </c>
      <c r="DT260" s="47" t="s">
        <v>0</v>
      </c>
      <c r="DU260" s="52" t="str">
        <f>IF(AL260="","",DX260 &amp; IF(CR260="",""," – " &amp; CR260))</f>
        <v>Ana – Beblek – OK Jelen</v>
      </c>
      <c r="DV260" s="53">
        <f t="shared" si="201"/>
        <v>149</v>
      </c>
      <c r="DW260" s="47" t="s">
        <v>0</v>
      </c>
      <c r="DX260" s="52" t="str">
        <f>IF(BG260="","",BF260&amp;" – "&amp;BG260)</f>
        <v>Ana – Beblek</v>
      </c>
      <c r="DY260" s="53">
        <f t="shared" si="202"/>
        <v>149</v>
      </c>
      <c r="DZ260" s="47" t="s">
        <v>0</v>
      </c>
      <c r="EA260" s="58">
        <f t="shared" si="231"/>
        <v>149</v>
      </c>
      <c r="EB260" s="53" cm="1">
        <f t="array" ref="EB260">IF(EA260&lt;&gt;"",INDEX(regNatjecatelj_id,EA260,0),IF(BD260&lt;&gt;"",BD260,""))</f>
        <v>1472</v>
      </c>
      <c r="EC260" s="47" t="s">
        <v>0</v>
      </c>
      <c r="ED260" s="58" t="str">
        <f>IF(AL260="","",IF(BD260&lt;&gt;"","novo",IF(AN260="","imepre","imepre(ali)")))</f>
        <v>imepre</v>
      </c>
      <c r="EE260" s="73" t="str">
        <f>IF(AL260="","",IF(BL260="",IF(IFERROR(INDEX(regNatjecatelj_klub,MATCH(EB260,regNatjecatelj_id,0)),"NEMA")="","klu",""),IF(OR(AND(BN260&lt;&gt;"",BN260&lt;&gt;"NEMA"),CD260&lt;&gt;""),"klu(ali)",IF(AND(BP260&lt;&gt;"",BP260&lt;&gt;BO260),"(raz-klu)","klu"))))</f>
        <v>klu</v>
      </c>
      <c r="EF260" s="73" t="str">
        <f>IF(AL260="","","kat"&amp;IF(AND(W260&lt;&gt;Q260,Q260&lt;&gt;"Open"),"(ali)",""))</f>
        <v>kat</v>
      </c>
      <c r="EG260" s="73" t="str">
        <f t="shared" si="203"/>
        <v/>
      </c>
      <c r="EH260" s="66" t="str">
        <f>IF(AL260="","",ED260&amp;IF(ED260="novo","","-"&amp;EE260&amp;"-"&amp;EF260)&amp;IF(EG260="","","-"&amp;EG260))</f>
        <v>imepre-klu-kat</v>
      </c>
      <c r="EI260" s="47" t="s">
        <v>0</v>
      </c>
      <c r="EJ260" s="58">
        <f>IF(AL260="","",MAX(EJ$12:EJ259)+1)</f>
        <v>413</v>
      </c>
      <c r="EK260" s="73">
        <f>IF(AO260="","",X260)</f>
        <v>39</v>
      </c>
      <c r="EL260" s="73">
        <f t="shared" si="232"/>
        <v>1472</v>
      </c>
      <c r="EM260" s="73" t="str">
        <f t="shared" si="204"/>
        <v/>
      </c>
      <c r="EN260" s="73">
        <f t="shared" si="205"/>
        <v>6</v>
      </c>
      <c r="EO260" s="73">
        <f t="shared" si="233"/>
        <v>1</v>
      </c>
      <c r="EP260" s="73">
        <f t="shared" si="234"/>
        <v>1</v>
      </c>
      <c r="EQ260" s="73" t="str">
        <f t="shared" si="206"/>
        <v>1</v>
      </c>
      <c r="ER260" s="73" t="str">
        <f>IF(OR(AN260="",AN260="NEMA"),BB260,AN260)</f>
        <v/>
      </c>
      <c r="ES260" s="73" t="str">
        <f>IF(AND(BN260&lt;&gt;"",BN260&lt;&gt;"NEMA"),BN260,IF(CG260&lt;&gt;"",CG260,IF(AND(CL260&lt;&gt;"",CL260&lt;&gt;"NEMA"),CL260,IF(CM260&lt;&gt;"",CM260,""))))</f>
        <v/>
      </c>
      <c r="ET260" s="53" t="str">
        <f>IF(INDEX(natKategorija_alias_Id,MATCH(S260,natKategorija_katRegId,0))="","",INDEX(natKategorija_alias_Id,MATCH(S260,natKategorija_katRegId,0)))</f>
        <v/>
      </c>
      <c r="EU260" s="47" t="s">
        <v>0</v>
      </c>
      <c r="EV260" s="19" t="str">
        <f t="shared" si="235"/>
        <v>INSERT INTO rezultat(id,stazakategorija_id,imeprezime_id,vrijeme_sec,status_id,registracija,uparivanje_id,originalstatus_id,imeprezimealias_id,klubalias_id,kategorijaalias_id) VALUES (413,39,1472,Null,6,1,1,1,Null,Null,Null);</v>
      </c>
      <c r="EW260" s="47" t="s">
        <v>0</v>
      </c>
      <c r="EX260" s="19" t="str">
        <f t="shared" si="236"/>
        <v>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60" s="47" t="s">
        <v>0</v>
      </c>
      <c r="EZ260" s="180" t="str">
        <f>AG260&amp;IF(CP260="","","
")&amp;CP260&amp;IF(CI260="","","
")&amp;CI260&amp;IF(DN260="","","
")&amp;DN260&amp;IF(DP260="","","
")&amp;DP260&amp;IF(EV260="","","
")&amp;EV260&amp;IF(EX260="","","
")&amp;EX260</f>
        <v xml:space="preserve">
INSERT INTO rezultat(id,stazakategorija_id,imeprezime_id,vrijeme_sec,status_id,registracija,uparivanje_id,originalstatus_id,imeprezimealias_id,klubalias_id,kategorijaalias_id) VALUES (413,39,1472,Null,6,1,1,1,Null,Null,Null);
UPDATE
	registar
SET
	potvrda = 1
WHERE
	imeprezime_id=1472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60" s="47" t="s">
        <v>0</v>
      </c>
    </row>
    <row r="261" spans="1:157" x14ac:dyDescent="0.25">
      <c r="A261" t="s">
        <v>0</v>
      </c>
      <c r="B261" s="52" t="str">
        <f>IF(csv!F251="","",csv!T251)</f>
        <v>Ž21A</v>
      </c>
      <c r="C261" s="31" t="s">
        <v>0</v>
      </c>
      <c r="D261" s="31" t="str">
        <f>IF(csv!F251="","",csv!F251)</f>
        <v>Vacant</v>
      </c>
      <c r="E261" s="31" t="str">
        <f>IF(csv!E251="","",csv!E251)</f>
        <v/>
      </c>
      <c r="F261" s="31" t="s">
        <v>0</v>
      </c>
      <c r="G261" s="73" t="str">
        <f>IF(csv!M251="","",csv!M251)</f>
        <v/>
      </c>
      <c r="H261" s="73" t="str">
        <f>IF(csv!N251="","",csv!N251)</f>
        <v>0</v>
      </c>
      <c r="I261" s="31" t="s">
        <v>0</v>
      </c>
      <c r="J261" s="31" t="str">
        <f>IF(csv!P251="","",csv!P251)</f>
        <v/>
      </c>
      <c r="K261" s="31" t="str">
        <f>IF(csv!Q251="","",csv!Q251)</f>
        <v/>
      </c>
      <c r="L261" s="31" t="s">
        <v>0</v>
      </c>
      <c r="M261" s="66" t="str">
        <f>IF(csv!R251="","",csv!R251)</f>
        <v/>
      </c>
      <c r="N261" s="47" t="s">
        <v>0</v>
      </c>
      <c r="O261" s="243" t="str">
        <f t="shared" si="207"/>
        <v/>
      </c>
      <c r="P261" s="47"/>
      <c r="Q261" s="52" t="str">
        <f t="shared" si="208"/>
        <v>Ž21A</v>
      </c>
      <c r="R261" s="73">
        <f>IF(Q261="","",IF(COUNTIF(Q$12:Q260,Q261)=0,R260+1,R260))</f>
        <v>17</v>
      </c>
      <c r="S261" s="73">
        <f t="shared" si="209"/>
        <v>102</v>
      </c>
      <c r="T261" s="73">
        <f t="shared" si="184"/>
        <v>14</v>
      </c>
      <c r="U261" s="66" t="str">
        <f t="shared" si="185"/>
        <v>Ž21A</v>
      </c>
      <c r="V261" s="47" t="s">
        <v>0</v>
      </c>
      <c r="W261" s="222" t="str">
        <f t="shared" si="186"/>
        <v/>
      </c>
      <c r="X261" s="223" t="str">
        <f t="shared" si="187"/>
        <v/>
      </c>
      <c r="Y261" s="47" t="s">
        <v>0</v>
      </c>
      <c r="Z261" s="52" t="str">
        <f t="shared" si="210"/>
        <v/>
      </c>
      <c r="AA261" s="73" t="str">
        <f t="shared" si="188"/>
        <v/>
      </c>
      <c r="AB261" s="31" t="str">
        <f t="shared" si="211"/>
        <v/>
      </c>
      <c r="AC261" s="66" t="str">
        <f>IF(AB261="","",MAX(AC$12:AC260)+1)</f>
        <v/>
      </c>
      <c r="AD261" s="47" t="s">
        <v>0</v>
      </c>
      <c r="AE261" s="125"/>
      <c r="AF261" s="47" t="s">
        <v>0</v>
      </c>
      <c r="AG261" s="19" t="str">
        <f t="shared" si="212"/>
        <v/>
      </c>
      <c r="AH261" s="47" t="s">
        <v>0</v>
      </c>
      <c r="AI261" s="143" t="str">
        <f t="shared" si="213"/>
        <v/>
      </c>
      <c r="AJ261" s="47"/>
      <c r="AK261" s="52" t="str">
        <f t="shared" si="214"/>
        <v/>
      </c>
      <c r="AL261" s="31" t="str">
        <f t="shared" si="215"/>
        <v/>
      </c>
      <c r="AM261" s="73" t="str">
        <f t="shared" si="216"/>
        <v/>
      </c>
      <c r="AN261" s="73" t="str">
        <f t="shared" si="217"/>
        <v/>
      </c>
      <c r="AO261" s="31" t="str">
        <f t="shared" si="189"/>
        <v/>
      </c>
      <c r="AP261" s="66" t="str">
        <f t="shared" si="190"/>
        <v/>
      </c>
      <c r="AQ261" s="47" t="s">
        <v>0</v>
      </c>
      <c r="AR261" s="82" t="str">
        <f t="shared" si="218"/>
        <v/>
      </c>
      <c r="AS261" s="47" t="s">
        <v>0</v>
      </c>
      <c r="AT261" s="19" t="str">
        <f t="shared" si="219"/>
        <v/>
      </c>
      <c r="AU261" s="47" t="s">
        <v>0</v>
      </c>
      <c r="AV261" s="103"/>
      <c r="AW261" s="105"/>
      <c r="AX261" s="47" t="s">
        <v>0</v>
      </c>
      <c r="AY261" s="256" t="str">
        <f t="shared" si="237"/>
        <v/>
      </c>
      <c r="AZ261" s="47" t="s">
        <v>0</v>
      </c>
      <c r="BA261" s="52" t="str">
        <f t="shared" si="191"/>
        <v/>
      </c>
      <c r="BB261" s="73" t="str">
        <f>IF(AV261&amp;AW261="","",MAX(BB$12:BB260)+1)</f>
        <v/>
      </c>
      <c r="BC261" s="268" t="str">
        <f t="shared" si="192"/>
        <v/>
      </c>
      <c r="BD261" s="53" t="str">
        <f>IF(AND(AM261="NEMA",AN261="NEMA",OR(AV261&amp;AW261="",BC261="NEMA")),MAX(BD$12:BD260)+1,"")</f>
        <v/>
      </c>
      <c r="BE261" s="47" t="s">
        <v>0</v>
      </c>
      <c r="BF261" s="52" t="str">
        <f t="shared" si="193"/>
        <v/>
      </c>
      <c r="BG261" s="31" t="str">
        <f t="shared" si="194"/>
        <v/>
      </c>
      <c r="BH261" s="73" t="str">
        <f t="shared" si="220"/>
        <v/>
      </c>
      <c r="BI261" s="53" t="str">
        <f t="shared" si="221"/>
        <v/>
      </c>
      <c r="BJ261" s="47" t="s">
        <v>0</v>
      </c>
      <c r="BK261" s="52" t="str">
        <f t="shared" si="195"/>
        <v/>
      </c>
      <c r="BL261" s="31" t="str">
        <f t="shared" si="196"/>
        <v/>
      </c>
      <c r="BM261" s="73" t="str">
        <f t="shared" si="197"/>
        <v/>
      </c>
      <c r="BN261" s="73" t="str">
        <f t="shared" si="198"/>
        <v/>
      </c>
      <c r="BO261" s="31" t="str" cm="1">
        <f t="array" ref="BO261">IF(BN261="",""&amp;BL261,IF(BN261="NEMA",BL261,INDEX(regKlub_naziv,MATCH(INDEX(regKlub_alias_klubId,BN261),regKlub_id,0))))</f>
        <v/>
      </c>
      <c r="BP261" s="31" t="str" cm="1">
        <f t="array" ref="BP261">IFERROR(""&amp;INDEX(regNatjecatelj_klub,DY261),"")</f>
        <v/>
      </c>
      <c r="BQ261" s="88" t="str">
        <f t="shared" si="222"/>
        <v/>
      </c>
      <c r="BR261" s="66" t="str">
        <f t="shared" si="223"/>
        <v/>
      </c>
      <c r="BS261" s="47" t="s">
        <v>0</v>
      </c>
      <c r="BT261" s="82" t="str">
        <f>IF(BN261&lt;&gt;"NEMA","",IF(IFERROR(MATCH(BL261,BL$12:BL260,0),0)&lt;&gt;0,"",BL261))</f>
        <v/>
      </c>
      <c r="BU261" s="47" t="s">
        <v>0</v>
      </c>
      <c r="BV261" s="125"/>
      <c r="BW261" s="47" t="s">
        <v>0</v>
      </c>
      <c r="BX261" s="58" t="str">
        <f t="shared" si="224"/>
        <v/>
      </c>
      <c r="BY261" s="31" t="str">
        <f t="shared" si="225"/>
        <v/>
      </c>
      <c r="BZ261" s="31" t="str">
        <f>IF(BY261="","",MAX(BZ$12:BZ260)+1)</f>
        <v/>
      </c>
      <c r="CA261" s="31" t="str">
        <f>IF(BY261="","",IF(AA261="","",IF(AA261="NEMA",AC261,AA261)))</f>
        <v/>
      </c>
      <c r="CB261" s="31" t="str">
        <f t="shared" si="226"/>
        <v/>
      </c>
      <c r="CC261" s="31" t="str">
        <f>IF(BV261="","",MAX(CC$12:CC260)+1)</f>
        <v/>
      </c>
      <c r="CD261" s="31" t="str">
        <f t="shared" si="227"/>
        <v/>
      </c>
      <c r="CE261" s="66" t="str">
        <f t="shared" si="228"/>
        <v/>
      </c>
      <c r="CF261" s="47" t="s">
        <v>0</v>
      </c>
      <c r="CG261" s="73" t="str">
        <f>IF(BN261="","",IF(BN261&lt;&gt;"NEMA","",IFERROR(INDEX(nat_klubAliasId,MATCH(BL261,nat_noviKluboviAliasi,0)),"")))</f>
        <v/>
      </c>
      <c r="CH261" s="47"/>
      <c r="CI261" s="19" t="str">
        <f t="shared" si="229"/>
        <v/>
      </c>
      <c r="CJ261" s="47" t="s">
        <v>0</v>
      </c>
      <c r="CK261" s="52" t="str">
        <f>IF(X261&lt;&gt;"NEMA","",IF(IFERROR(MATCH(W261,W$12:W260,0),0)&lt;&gt;0,"",W261))</f>
        <v/>
      </c>
      <c r="CL261" s="73" t="str">
        <f>IF(CK261="","",IFERROR(INDEX(regKlub_alias_id,MATCH(CK261,regKlub_alias_alias,0)),"NEMA"))</f>
        <v/>
      </c>
      <c r="CM261" s="31" t="str">
        <f>IF(OR(CL261="",CL261&lt;&gt;"NEMA"),"",MAX(CM$12:CM260)+1)</f>
        <v/>
      </c>
      <c r="CN261" s="66" t="str">
        <f>IF(OR(CL261="",CL261&lt;&gt;"NEMA"),"",INDEX(regKlub_id,MATCH(CK261,regKlub_naziv,0)))</f>
        <v/>
      </c>
      <c r="CO261" s="47" t="s">
        <v>0</v>
      </c>
      <c r="CP261" s="19" t="str">
        <f>IF(OR(CL261="",CL261&lt;&gt;"NEMA"),"","INSERT INTO klub_alias(id,alias,klub_id) VALUES ("&amp;CM261&amp;",'"&amp;CK261&amp;"',"&amp;CN261&amp;");")</f>
        <v/>
      </c>
      <c r="CQ261" s="47" t="s">
        <v>0</v>
      </c>
      <c r="CR261" s="143" t="str">
        <f>IF(BR261="","",IF(BV261="",IF(IFERROR(MATCH(BR261,nat_noviKluboviAliasi,0),0)&gt;0,INDEX(nat_kluboviAliasi,MATCH(BR261,nat_noviKluboviAliasi,0)),BR261),BV261))</f>
        <v/>
      </c>
      <c r="CS261" s="47" t="s">
        <v>0</v>
      </c>
      <c r="CT261" s="58" t="str">
        <f>IF(G261="","",G261)</f>
        <v/>
      </c>
      <c r="CU261" s="73" t="str">
        <f>IF(H261="","",H261)</f>
        <v>0</v>
      </c>
      <c r="CV261" s="229" t="str">
        <f>IF(CT261="",IF(OR(AL261="",CU261&lt;&gt;"0"),"","GREŠKA"),IF(AND(65535&gt;=VALUE(LEFT(CT261,SEARCH(":",CT261)-1))*60+VALUE(RIGHT(CT261,2)),OR(CU261="0",CU261="1",CU261="2",CU261="3",CU261="4")),"","GREŠKA"))</f>
        <v/>
      </c>
      <c r="CW261" s="230" t="str">
        <f t="shared" si="239"/>
        <v/>
      </c>
      <c r="CX261" s="163" t="str">
        <f t="shared" si="199"/>
        <v/>
      </c>
      <c r="CY261" s="47" t="s">
        <v>0</v>
      </c>
      <c r="CZ261" s="222" t="str">
        <f>IF(CV261&lt;&gt;"GREŠKA","",AK261&amp;" "&amp;AL261&amp;" – Molim u OEventu provjeriti i ispraviti rezultat – vrijeme ("&amp;IF(CT261="","nije upisano",CT261)&amp;") i classifier ("&amp;CU261&amp;").")&amp;IF(OR(CV261&lt;&gt;"GREŠKA",CX261&lt;&gt;5),"
","")&amp;IF(CX261&lt;&gt;5,"",AK261&amp;" "&amp;AL261&amp;" – Molim u provjeriti je li natjecatelj zaista diskvalificiran. Ako je koje je obrazloženje, ako nije molim u OEventu ispraviti rezultat")</f>
        <v xml:space="preserve">
</v>
      </c>
      <c r="DA261" s="223" t="str">
        <f t="shared" si="230"/>
        <v/>
      </c>
      <c r="DB261" s="47" t="s">
        <v>0</v>
      </c>
      <c r="DC261" s="47"/>
      <c r="DD261" s="47"/>
      <c r="DE261" s="47"/>
      <c r="DF261" s="47" t="s">
        <v>0</v>
      </c>
      <c r="DG261" s="53" t="str">
        <f>IF(BD261="","",IF(DI261="O",1,""))</f>
        <v/>
      </c>
      <c r="DH261" t="s">
        <v>0</v>
      </c>
      <c r="DI261" s="128" t="str">
        <f>IF(Q261="","",LEFT(INDEX(regKategorija_oznaka,MATCH(S261,regKategorija_id,0)),1))</f>
        <v>Ž</v>
      </c>
      <c r="DJ261" t="s">
        <v>0</v>
      </c>
      <c r="DK261" s="52" t="str">
        <f>IF(BD261="","",IF(M261&lt;&gt;"CRO","","INSERT INTO osoba (id,reg_broj,oib,spol_id,dat_rodjenja) VALUES ("&amp;BD261&amp;",(SELECT max(os.reg_broj)+1 FROM osoba AS os),Null,'"&amp;DI261&amp;"',Null); INSERT INTO osoba_log (id,reg_broj,oib,spol_id,dat_rodjenja,dnevnik_id) SELECT id,reg_broj,oib,spol_id,dat_rodjenja,"&amp;data_dnevnik_id&amp;" FROM osoba WHERE id = "&amp;BD261&amp;";"))</f>
        <v/>
      </c>
      <c r="DL261" s="66" t="str">
        <f>IF(BD261="","","INSERT INTO imeprezime (id,osoba_id,rbr,ime,prezime,klub_id,identitet_id,sintaksa_id,info,aktivno,dnevnik_id) VALUES ("&amp;BD261&amp;","&amp;IF(DK261="","Null",BD261)&amp;",1,'"&amp;IF(AV261&lt;&gt;"",AV261,AK261)&amp;"','"&amp;IF(AW261&lt;&gt;"",AW261,AL261)&amp;"',(SELECT id FROM klub WHERE naziv = '"&amp;CR261&amp;"'),Null,1,'',1,"&amp;data_dnevnik_id&amp;");")</f>
        <v/>
      </c>
      <c r="DM261" t="s">
        <v>0</v>
      </c>
      <c r="DN261" s="19" t="str">
        <f t="shared" si="238"/>
        <v/>
      </c>
      <c r="DO261" s="47" t="s">
        <v>0</v>
      </c>
      <c r="DP261" s="19" t="str">
        <f>IF(BA261="","","INSERT INTO imeprezime_alias(id,alias,imeprezime_id) VALUES ("&amp;BB261&amp;",'"&amp;BA261&amp;"',"&amp;IF(BC261="NEMA",BD261,BC261)&amp;");")</f>
        <v/>
      </c>
      <c r="DQ261" s="47" t="s">
        <v>0</v>
      </c>
      <c r="DR261" s="52" t="str">
        <f>IF(AL261="","",DU261 &amp; IF(Q261="",""," – " &amp; Q261))</f>
        <v/>
      </c>
      <c r="DS261" s="53" t="str">
        <f t="shared" si="200"/>
        <v/>
      </c>
      <c r="DT261" s="47" t="s">
        <v>0</v>
      </c>
      <c r="DU261" s="52" t="str">
        <f>IF(AL261="","",DX261 &amp; IF(CR261="",""," – " &amp; CR261))</f>
        <v/>
      </c>
      <c r="DV261" s="53" t="str">
        <f t="shared" si="201"/>
        <v/>
      </c>
      <c r="DW261" s="47" t="s">
        <v>0</v>
      </c>
      <c r="DX261" s="52" t="str">
        <f>IF(BG261="","",BF261&amp;" – "&amp;BG261)</f>
        <v/>
      </c>
      <c r="DY261" s="53" t="str">
        <f t="shared" si="202"/>
        <v/>
      </c>
      <c r="DZ261" s="47" t="s">
        <v>0</v>
      </c>
      <c r="EA261" s="58" t="str">
        <f t="shared" si="231"/>
        <v/>
      </c>
      <c r="EB261" s="53" t="str" cm="1">
        <f t="array" ref="EB261">IF(EA261&lt;&gt;"",INDEX(regNatjecatelj_id,EA261,0),IF(BD261&lt;&gt;"",BD261,""))</f>
        <v/>
      </c>
      <c r="EC261" s="47" t="s">
        <v>0</v>
      </c>
      <c r="ED261" s="58" t="str">
        <f>IF(AL261="","",IF(BD261&lt;&gt;"","novo",IF(AN261="","imepre","imepre(ali)")))</f>
        <v/>
      </c>
      <c r="EE261" s="73" t="str">
        <f>IF(AL261="","",IF(BL261="",IF(IFERROR(INDEX(regNatjecatelj_klub,MATCH(EB261,regNatjecatelj_id,0)),"NEMA")="","klu",""),IF(OR(AND(BN261&lt;&gt;"",BN261&lt;&gt;"NEMA"),CD261&lt;&gt;""),"klu(ali)",IF(AND(BP261&lt;&gt;"",BP261&lt;&gt;BO261),"(raz-klu)","klu"))))</f>
        <v/>
      </c>
      <c r="EF261" s="73" t="str">
        <f>IF(AL261="","","kat"&amp;IF(AND(W261&lt;&gt;Q261,Q261&lt;&gt;"Open"),"(ali)",""))</f>
        <v/>
      </c>
      <c r="EG261" s="73" t="str">
        <f t="shared" si="203"/>
        <v/>
      </c>
      <c r="EH261" s="66" t="str">
        <f>IF(AL261="","",ED261&amp;IF(ED261="novo","","-"&amp;EE261&amp;"-"&amp;EF261)&amp;IF(EG261="","","-"&amp;EG261))</f>
        <v/>
      </c>
      <c r="EI261" s="47" t="s">
        <v>0</v>
      </c>
      <c r="EJ261" s="58" t="str">
        <f>IF(AL261="","",MAX(EJ$12:EJ260)+1)</f>
        <v/>
      </c>
      <c r="EK261" s="73" t="str">
        <f>IF(AO261="","",X261)</f>
        <v/>
      </c>
      <c r="EL261" s="73" t="str">
        <f t="shared" si="232"/>
        <v/>
      </c>
      <c r="EM261" s="73" t="str">
        <f t="shared" si="204"/>
        <v/>
      </c>
      <c r="EN261" s="73" t="str">
        <f t="shared" si="205"/>
        <v/>
      </c>
      <c r="EO261" s="73" t="str">
        <f t="shared" si="233"/>
        <v/>
      </c>
      <c r="EP261" s="73" t="str">
        <f t="shared" si="234"/>
        <v/>
      </c>
      <c r="EQ261" s="73" t="str">
        <f t="shared" si="206"/>
        <v/>
      </c>
      <c r="ER261" s="73" t="str">
        <f>IF(OR(AN261="",AN261="NEMA"),BB261,AN261)</f>
        <v/>
      </c>
      <c r="ES261" s="73" t="str">
        <f>IF(AND(BN261&lt;&gt;"",BN261&lt;&gt;"NEMA"),BN261,IF(CG261&lt;&gt;"",CG261,IF(AND(CL261&lt;&gt;"",CL261&lt;&gt;"NEMA"),CL261,IF(CM261&lt;&gt;"",CM261,""))))</f>
        <v/>
      </c>
      <c r="ET261" s="53" t="str">
        <f>IF(INDEX(natKategorija_alias_Id,MATCH(S261,natKategorija_katRegId,0))="","",INDEX(natKategorija_alias_Id,MATCH(S261,natKategorija_katRegId,0)))</f>
        <v/>
      </c>
      <c r="EU261" s="47" t="s">
        <v>0</v>
      </c>
      <c r="EV261" s="19" t="str">
        <f t="shared" si="235"/>
        <v/>
      </c>
      <c r="EW261" s="47" t="s">
        <v>0</v>
      </c>
      <c r="EX261" s="19" t="str">
        <f t="shared" si="236"/>
        <v/>
      </c>
      <c r="EY261" s="47" t="s">
        <v>0</v>
      </c>
      <c r="EZ261" s="180" t="str">
        <f>AG261&amp;IF(CP261="","","
")&amp;CP261&amp;IF(CI261="","","
")&amp;CI261&amp;IF(DN261="","","
")&amp;DN261&amp;IF(DP261="","","
")&amp;DP261&amp;IF(EV261="","","
")&amp;EV261&amp;IF(EX261="","","
")&amp;EX261</f>
        <v/>
      </c>
      <c r="FA261" s="47" t="s">
        <v>0</v>
      </c>
    </row>
    <row r="262" spans="1:157" x14ac:dyDescent="0.25">
      <c r="A262" t="s">
        <v>0</v>
      </c>
      <c r="B262" s="52" t="str">
        <f>IF(csv!F252="","",csv!T252)</f>
        <v>Ž21A</v>
      </c>
      <c r="C262" s="31" t="s">
        <v>0</v>
      </c>
      <c r="D262" s="31" t="str">
        <f>IF(csv!F252="","",csv!F252)</f>
        <v>Vacant</v>
      </c>
      <c r="E262" s="31" t="str">
        <f>IF(csv!E252="","",csv!E252)</f>
        <v/>
      </c>
      <c r="F262" s="31" t="s">
        <v>0</v>
      </c>
      <c r="G262" s="73" t="str">
        <f>IF(csv!M252="","",csv!M252)</f>
        <v/>
      </c>
      <c r="H262" s="73" t="str">
        <f>IF(csv!N252="","",csv!N252)</f>
        <v>0</v>
      </c>
      <c r="I262" s="31" t="s">
        <v>0</v>
      </c>
      <c r="J262" s="31" t="str">
        <f>IF(csv!P252="","",csv!P252)</f>
        <v/>
      </c>
      <c r="K262" s="31" t="str">
        <f>IF(csv!Q252="","",csv!Q252)</f>
        <v/>
      </c>
      <c r="L262" s="31" t="s">
        <v>0</v>
      </c>
      <c r="M262" s="66" t="str">
        <f>IF(csv!R252="","",csv!R252)</f>
        <v/>
      </c>
      <c r="N262" s="47" t="s">
        <v>0</v>
      </c>
      <c r="O262" s="243" t="str">
        <f t="shared" si="207"/>
        <v/>
      </c>
      <c r="P262" s="47"/>
      <c r="Q262" s="52" t="str">
        <f t="shared" si="208"/>
        <v>Ž21A</v>
      </c>
      <c r="R262" s="73">
        <f>IF(Q262="","",IF(COUNTIF(Q$12:Q261,Q262)=0,R261+1,R261))</f>
        <v>17</v>
      </c>
      <c r="S262" s="73">
        <f t="shared" si="209"/>
        <v>102</v>
      </c>
      <c r="T262" s="73">
        <f t="shared" si="184"/>
        <v>14</v>
      </c>
      <c r="U262" s="66" t="str">
        <f t="shared" si="185"/>
        <v>Ž21A</v>
      </c>
      <c r="V262" s="47" t="s">
        <v>0</v>
      </c>
      <c r="W262" s="222" t="str">
        <f t="shared" si="186"/>
        <v/>
      </c>
      <c r="X262" s="223" t="str">
        <f t="shared" si="187"/>
        <v/>
      </c>
      <c r="Y262" s="47" t="s">
        <v>0</v>
      </c>
      <c r="Z262" s="52" t="str">
        <f t="shared" si="210"/>
        <v/>
      </c>
      <c r="AA262" s="73" t="str">
        <f t="shared" si="188"/>
        <v/>
      </c>
      <c r="AB262" s="31" t="str">
        <f t="shared" si="211"/>
        <v/>
      </c>
      <c r="AC262" s="66" t="str">
        <f>IF(AB262="","",MAX(AC$12:AC261)+1)</f>
        <v/>
      </c>
      <c r="AD262" s="47" t="s">
        <v>0</v>
      </c>
      <c r="AE262" s="125"/>
      <c r="AF262" s="47" t="s">
        <v>0</v>
      </c>
      <c r="AG262" s="19" t="str">
        <f t="shared" si="212"/>
        <v/>
      </c>
      <c r="AH262" s="47" t="s">
        <v>0</v>
      </c>
      <c r="AI262" s="143" t="str">
        <f t="shared" si="213"/>
        <v/>
      </c>
      <c r="AJ262" s="47"/>
      <c r="AK262" s="52" t="str">
        <f t="shared" si="214"/>
        <v/>
      </c>
      <c r="AL262" s="31" t="str">
        <f t="shared" si="215"/>
        <v/>
      </c>
      <c r="AM262" s="73" t="str">
        <f t="shared" si="216"/>
        <v/>
      </c>
      <c r="AN262" s="73" t="str">
        <f t="shared" si="217"/>
        <v/>
      </c>
      <c r="AO262" s="31" t="str">
        <f t="shared" si="189"/>
        <v/>
      </c>
      <c r="AP262" s="66" t="str">
        <f t="shared" si="190"/>
        <v/>
      </c>
      <c r="AQ262" s="47" t="s">
        <v>0</v>
      </c>
      <c r="AR262" s="82" t="str">
        <f t="shared" si="218"/>
        <v/>
      </c>
      <c r="AS262" s="47" t="s">
        <v>0</v>
      </c>
      <c r="AT262" s="19" t="str">
        <f t="shared" si="219"/>
        <v/>
      </c>
      <c r="AU262" s="47" t="s">
        <v>0</v>
      </c>
      <c r="AV262" s="103"/>
      <c r="AW262" s="105"/>
      <c r="AX262" s="47" t="s">
        <v>0</v>
      </c>
      <c r="AY262" s="256" t="str">
        <f t="shared" si="237"/>
        <v/>
      </c>
      <c r="AZ262" s="47" t="s">
        <v>0</v>
      </c>
      <c r="BA262" s="52" t="str">
        <f t="shared" si="191"/>
        <v/>
      </c>
      <c r="BB262" s="73" t="str">
        <f>IF(AV262&amp;AW262="","",MAX(BB$12:BB261)+1)</f>
        <v/>
      </c>
      <c r="BC262" s="268" t="str">
        <f t="shared" si="192"/>
        <v/>
      </c>
      <c r="BD262" s="53" t="str">
        <f>IF(AND(AM262="NEMA",AN262="NEMA",OR(AV262&amp;AW262="",BC262="NEMA")),MAX(BD$12:BD261)+1,"")</f>
        <v/>
      </c>
      <c r="BE262" s="47" t="s">
        <v>0</v>
      </c>
      <c r="BF262" s="52" t="str">
        <f t="shared" si="193"/>
        <v/>
      </c>
      <c r="BG262" s="31" t="str">
        <f t="shared" si="194"/>
        <v/>
      </c>
      <c r="BH262" s="73" t="str">
        <f t="shared" si="220"/>
        <v/>
      </c>
      <c r="BI262" s="53" t="str">
        <f t="shared" si="221"/>
        <v/>
      </c>
      <c r="BJ262" s="47" t="s">
        <v>0</v>
      </c>
      <c r="BK262" s="52" t="str">
        <f t="shared" si="195"/>
        <v/>
      </c>
      <c r="BL262" s="31" t="str">
        <f t="shared" si="196"/>
        <v/>
      </c>
      <c r="BM262" s="73" t="str">
        <f t="shared" si="197"/>
        <v/>
      </c>
      <c r="BN262" s="73" t="str">
        <f t="shared" si="198"/>
        <v/>
      </c>
      <c r="BO262" s="31" t="str" cm="1">
        <f t="array" ref="BO262">IF(BN262="",""&amp;BL262,IF(BN262="NEMA",BL262,INDEX(regKlub_naziv,MATCH(INDEX(regKlub_alias_klubId,BN262),regKlub_id,0))))</f>
        <v/>
      </c>
      <c r="BP262" s="31" t="str" cm="1">
        <f t="array" ref="BP262">IFERROR(""&amp;INDEX(regNatjecatelj_klub,DY262),"")</f>
        <v/>
      </c>
      <c r="BQ262" s="88" t="str">
        <f t="shared" si="222"/>
        <v/>
      </c>
      <c r="BR262" s="66" t="str">
        <f t="shared" si="223"/>
        <v/>
      </c>
      <c r="BS262" s="47" t="s">
        <v>0</v>
      </c>
      <c r="BT262" s="82" t="str">
        <f>IF(BN262&lt;&gt;"NEMA","",IF(IFERROR(MATCH(BL262,BL$12:BL261,0),0)&lt;&gt;0,"",BL262))</f>
        <v/>
      </c>
      <c r="BU262" s="47" t="s">
        <v>0</v>
      </c>
      <c r="BV262" s="125"/>
      <c r="BW262" s="47" t="s">
        <v>0</v>
      </c>
      <c r="BX262" s="58" t="str">
        <f t="shared" si="224"/>
        <v/>
      </c>
      <c r="BY262" s="31" t="str">
        <f t="shared" si="225"/>
        <v/>
      </c>
      <c r="BZ262" s="31" t="str">
        <f>IF(BY262="","",MAX(BZ$12:BZ261)+1)</f>
        <v/>
      </c>
      <c r="CA262" s="31" t="str">
        <f>IF(BY262="","",IF(AA262="","",IF(AA262="NEMA",AC262,AA262)))</f>
        <v/>
      </c>
      <c r="CB262" s="31" t="str">
        <f t="shared" si="226"/>
        <v/>
      </c>
      <c r="CC262" s="31" t="str">
        <f>IF(BV262="","",MAX(CC$12:CC261)+1)</f>
        <v/>
      </c>
      <c r="CD262" s="31" t="str">
        <f t="shared" si="227"/>
        <v/>
      </c>
      <c r="CE262" s="66" t="str">
        <f t="shared" si="228"/>
        <v/>
      </c>
      <c r="CF262" s="47" t="s">
        <v>0</v>
      </c>
      <c r="CG262" s="73" t="str">
        <f>IF(BN262="","",IF(BN262&lt;&gt;"NEMA","",IFERROR(INDEX(nat_klubAliasId,MATCH(BL262,nat_noviKluboviAliasi,0)),"")))</f>
        <v/>
      </c>
      <c r="CH262" s="47"/>
      <c r="CI262" s="19" t="str">
        <f t="shared" si="229"/>
        <v/>
      </c>
      <c r="CJ262" s="47" t="s">
        <v>0</v>
      </c>
      <c r="CK262" s="52" t="str">
        <f>IF(X262&lt;&gt;"NEMA","",IF(IFERROR(MATCH(W262,W$12:W261,0),0)&lt;&gt;0,"",W262))</f>
        <v/>
      </c>
      <c r="CL262" s="73" t="str">
        <f>IF(CK262="","",IFERROR(INDEX(regKlub_alias_id,MATCH(CK262,regKlub_alias_alias,0)),"NEMA"))</f>
        <v/>
      </c>
      <c r="CM262" s="31" t="str">
        <f>IF(OR(CL262="",CL262&lt;&gt;"NEMA"),"",MAX(CM$12:CM261)+1)</f>
        <v/>
      </c>
      <c r="CN262" s="66" t="str">
        <f>IF(OR(CL262="",CL262&lt;&gt;"NEMA"),"",INDEX(regKlub_id,MATCH(CK262,regKlub_naziv,0)))</f>
        <v/>
      </c>
      <c r="CO262" s="47" t="s">
        <v>0</v>
      </c>
      <c r="CP262" s="19" t="str">
        <f>IF(OR(CL262="",CL262&lt;&gt;"NEMA"),"","INSERT INTO klub_alias(id,alias,klub_id) VALUES ("&amp;CM262&amp;",'"&amp;CK262&amp;"',"&amp;CN262&amp;");")</f>
        <v/>
      </c>
      <c r="CQ262" s="47" t="s">
        <v>0</v>
      </c>
      <c r="CR262" s="143" t="str">
        <f>IF(BR262="","",IF(BV262="",IF(IFERROR(MATCH(BR262,nat_noviKluboviAliasi,0),0)&gt;0,INDEX(nat_kluboviAliasi,MATCH(BR262,nat_noviKluboviAliasi,0)),BR262),BV262))</f>
        <v/>
      </c>
      <c r="CS262" s="47" t="s">
        <v>0</v>
      </c>
      <c r="CT262" s="58" t="str">
        <f>IF(G262="","",G262)</f>
        <v/>
      </c>
      <c r="CU262" s="73" t="str">
        <f>IF(H262="","",H262)</f>
        <v>0</v>
      </c>
      <c r="CV262" s="229" t="str">
        <f>IF(CT262="",IF(OR(AL262="",CU262&lt;&gt;"0"),"","GREŠKA"),IF(AND(65535&gt;=VALUE(LEFT(CT262,SEARCH(":",CT262)-1))*60+VALUE(RIGHT(CT262,2)),OR(CU262="0",CU262="1",CU262="2",CU262="3",CU262="4")),"","GREŠKA"))</f>
        <v/>
      </c>
      <c r="CW262" s="230" t="str">
        <f t="shared" si="239"/>
        <v/>
      </c>
      <c r="CX262" s="163" t="str">
        <f t="shared" si="199"/>
        <v/>
      </c>
      <c r="CY262" s="47" t="s">
        <v>0</v>
      </c>
      <c r="CZ262" s="222" t="str">
        <f>IF(CV262&lt;&gt;"GREŠKA","",AK262&amp;" "&amp;AL262&amp;" – Molim u OEventu provjeriti i ispraviti rezultat – vrijeme ("&amp;IF(CT262="","nije upisano",CT262)&amp;") i classifier ("&amp;CU262&amp;").")&amp;IF(OR(CV262&lt;&gt;"GREŠKA",CX262&lt;&gt;5),"
","")&amp;IF(CX262&lt;&gt;5,"",AK262&amp;" "&amp;AL262&amp;" – Molim u provjeriti je li natjecatelj zaista diskvalificiran. Ako je koje je obrazloženje, ako nije molim u OEventu ispraviti rezultat")</f>
        <v xml:space="preserve">
</v>
      </c>
      <c r="DA262" s="223" t="str">
        <f t="shared" si="230"/>
        <v/>
      </c>
      <c r="DB262" s="47" t="s">
        <v>0</v>
      </c>
      <c r="DC262" s="47"/>
      <c r="DD262" s="47"/>
      <c r="DE262" s="47"/>
      <c r="DF262" s="47" t="s">
        <v>0</v>
      </c>
      <c r="DG262" s="53" t="str">
        <f>IF(BD262="","",IF(DI262="O",1,""))</f>
        <v/>
      </c>
      <c r="DH262" t="s">
        <v>0</v>
      </c>
      <c r="DI262" s="128" t="str">
        <f>IF(Q262="","",LEFT(INDEX(regKategorija_oznaka,MATCH(S262,regKategorija_id,0)),1))</f>
        <v>Ž</v>
      </c>
      <c r="DJ262" t="s">
        <v>0</v>
      </c>
      <c r="DK262" s="52" t="str">
        <f>IF(BD262="","",IF(M262&lt;&gt;"CRO","","INSERT INTO osoba (id,reg_broj,oib,spol_id,dat_rodjenja) VALUES ("&amp;BD262&amp;",(SELECT max(os.reg_broj)+1 FROM osoba AS os),Null,'"&amp;DI262&amp;"',Null); INSERT INTO osoba_log (id,reg_broj,oib,spol_id,dat_rodjenja,dnevnik_id) SELECT id,reg_broj,oib,spol_id,dat_rodjenja,"&amp;data_dnevnik_id&amp;" FROM osoba WHERE id = "&amp;BD262&amp;";"))</f>
        <v/>
      </c>
      <c r="DL262" s="66" t="str">
        <f>IF(BD262="","","INSERT INTO imeprezime (id,osoba_id,rbr,ime,prezime,klub_id,identitet_id,sintaksa_id,info,aktivno,dnevnik_id) VALUES ("&amp;BD262&amp;","&amp;IF(DK262="","Null",BD262)&amp;",1,'"&amp;IF(AV262&lt;&gt;"",AV262,AK262)&amp;"','"&amp;IF(AW262&lt;&gt;"",AW262,AL262)&amp;"',(SELECT id FROM klub WHERE naziv = '"&amp;CR262&amp;"'),Null,1,'',1,"&amp;data_dnevnik_id&amp;");")</f>
        <v/>
      </c>
      <c r="DM262" t="s">
        <v>0</v>
      </c>
      <c r="DN262" s="19" t="str">
        <f t="shared" si="238"/>
        <v/>
      </c>
      <c r="DO262" s="47" t="s">
        <v>0</v>
      </c>
      <c r="DP262" s="19" t="str">
        <f>IF(BA262="","","INSERT INTO imeprezime_alias(id,alias,imeprezime_id) VALUES ("&amp;BB262&amp;",'"&amp;BA262&amp;"',"&amp;IF(BC262="NEMA",BD262,BC262)&amp;");")</f>
        <v/>
      </c>
      <c r="DQ262" s="47" t="s">
        <v>0</v>
      </c>
      <c r="DR262" s="52" t="str">
        <f>IF(AL262="","",DU262 &amp; IF(Q262="",""," – " &amp; Q262))</f>
        <v/>
      </c>
      <c r="DS262" s="53" t="str">
        <f t="shared" si="200"/>
        <v/>
      </c>
      <c r="DT262" s="47" t="s">
        <v>0</v>
      </c>
      <c r="DU262" s="52" t="str">
        <f>IF(AL262="","",DX262 &amp; IF(CR262="",""," – " &amp; CR262))</f>
        <v/>
      </c>
      <c r="DV262" s="53" t="str">
        <f t="shared" si="201"/>
        <v/>
      </c>
      <c r="DW262" s="47" t="s">
        <v>0</v>
      </c>
      <c r="DX262" s="52" t="str">
        <f>IF(BG262="","",BF262&amp;" – "&amp;BG262)</f>
        <v/>
      </c>
      <c r="DY262" s="53" t="str">
        <f t="shared" si="202"/>
        <v/>
      </c>
      <c r="DZ262" s="47" t="s">
        <v>0</v>
      </c>
      <c r="EA262" s="58" t="str">
        <f t="shared" si="231"/>
        <v/>
      </c>
      <c r="EB262" s="53" t="str" cm="1">
        <f t="array" ref="EB262">IF(EA262&lt;&gt;"",INDEX(regNatjecatelj_id,EA262,0),IF(BD262&lt;&gt;"",BD262,""))</f>
        <v/>
      </c>
      <c r="EC262" s="47" t="s">
        <v>0</v>
      </c>
      <c r="ED262" s="58" t="str">
        <f>IF(AL262="","",IF(BD262&lt;&gt;"","novo",IF(AN262="","imepre","imepre(ali)")))</f>
        <v/>
      </c>
      <c r="EE262" s="73" t="str">
        <f>IF(AL262="","",IF(BL262="",IF(IFERROR(INDEX(regNatjecatelj_klub,MATCH(EB262,regNatjecatelj_id,0)),"NEMA")="","klu",""),IF(OR(AND(BN262&lt;&gt;"",BN262&lt;&gt;"NEMA"),CD262&lt;&gt;""),"klu(ali)",IF(AND(BP262&lt;&gt;"",BP262&lt;&gt;BO262),"(raz-klu)","klu"))))</f>
        <v/>
      </c>
      <c r="EF262" s="73" t="str">
        <f>IF(AL262="","","kat"&amp;IF(AND(W262&lt;&gt;Q262,Q262&lt;&gt;"Open"),"(ali)",""))</f>
        <v/>
      </c>
      <c r="EG262" s="73" t="str">
        <f t="shared" si="203"/>
        <v/>
      </c>
      <c r="EH262" s="66" t="str">
        <f>IF(AL262="","",ED262&amp;IF(ED262="novo","","-"&amp;EE262&amp;"-"&amp;EF262)&amp;IF(EG262="","","-"&amp;EG262))</f>
        <v/>
      </c>
      <c r="EI262" s="47" t="s">
        <v>0</v>
      </c>
      <c r="EJ262" s="58" t="str">
        <f>IF(AL262="","",MAX(EJ$12:EJ261)+1)</f>
        <v/>
      </c>
      <c r="EK262" s="73" t="str">
        <f>IF(AO262="","",X262)</f>
        <v/>
      </c>
      <c r="EL262" s="73" t="str">
        <f t="shared" si="232"/>
        <v/>
      </c>
      <c r="EM262" s="73" t="str">
        <f t="shared" si="204"/>
        <v/>
      </c>
      <c r="EN262" s="73" t="str">
        <f t="shared" si="205"/>
        <v/>
      </c>
      <c r="EO262" s="73" t="str">
        <f t="shared" si="233"/>
        <v/>
      </c>
      <c r="EP262" s="73" t="str">
        <f t="shared" si="234"/>
        <v/>
      </c>
      <c r="EQ262" s="73" t="str">
        <f t="shared" si="206"/>
        <v/>
      </c>
      <c r="ER262" s="73" t="str">
        <f>IF(OR(AN262="",AN262="NEMA"),BB262,AN262)</f>
        <v/>
      </c>
      <c r="ES262" s="73" t="str">
        <f>IF(AND(BN262&lt;&gt;"",BN262&lt;&gt;"NEMA"),BN262,IF(CG262&lt;&gt;"",CG262,IF(AND(CL262&lt;&gt;"",CL262&lt;&gt;"NEMA"),CL262,IF(CM262&lt;&gt;"",CM262,""))))</f>
        <v/>
      </c>
      <c r="ET262" s="53" t="str">
        <f>IF(INDEX(natKategorija_alias_Id,MATCH(S262,natKategorija_katRegId,0))="","",INDEX(natKategorija_alias_Id,MATCH(S262,natKategorija_katRegId,0)))</f>
        <v/>
      </c>
      <c r="EU262" s="47" t="s">
        <v>0</v>
      </c>
      <c r="EV262" s="19" t="str">
        <f t="shared" si="235"/>
        <v/>
      </c>
      <c r="EW262" s="47" t="s">
        <v>0</v>
      </c>
      <c r="EX262" s="19" t="str">
        <f t="shared" si="236"/>
        <v/>
      </c>
      <c r="EY262" s="47" t="s">
        <v>0</v>
      </c>
      <c r="EZ262" s="180" t="str">
        <f>AG262&amp;IF(CP262="","","
")&amp;CP262&amp;IF(CI262="","","
")&amp;CI262&amp;IF(DN262="","","
")&amp;DN262&amp;IF(DP262="","","
")&amp;DP262&amp;IF(EV262="","","
")&amp;EV262&amp;IF(EX262="","","
")&amp;EX262</f>
        <v/>
      </c>
      <c r="FA262" s="47" t="s">
        <v>0</v>
      </c>
    </row>
    <row r="263" spans="1:157" x14ac:dyDescent="0.25">
      <c r="A263" t="s">
        <v>0</v>
      </c>
      <c r="B263" s="52" t="str">
        <f>IF(csv!F253="","",csv!T253)</f>
        <v>Ž21A</v>
      </c>
      <c r="C263" s="31" t="s">
        <v>0</v>
      </c>
      <c r="D263" s="31" t="str">
        <f>IF(csv!F253="","",csv!F253)</f>
        <v>Nevija</v>
      </c>
      <c r="E263" s="31" t="str">
        <f>IF(csv!E253="","",csv!E253)</f>
        <v>Frajzman</v>
      </c>
      <c r="F263" s="31" t="s">
        <v>0</v>
      </c>
      <c r="G263" s="73" t="str">
        <f>IF(csv!M253="","",csv!M253)</f>
        <v/>
      </c>
      <c r="H263" s="73" t="str">
        <f>IF(csv!N253="","",csv!N253)</f>
        <v>1</v>
      </c>
      <c r="I263" s="31" t="s">
        <v>0</v>
      </c>
      <c r="J263" s="31" t="str">
        <f>IF(csv!P253="","",csv!P253)</f>
        <v>OK Jelen</v>
      </c>
      <c r="K263" s="31" t="str">
        <f>IF(csv!Q253="","",csv!Q253)</f>
        <v>OK Jelen</v>
      </c>
      <c r="L263" s="31" t="s">
        <v>0</v>
      </c>
      <c r="M263" s="66" t="str">
        <f>IF(csv!R253="","",csv!R253)</f>
        <v>CRO</v>
      </c>
      <c r="N263" s="47" t="s">
        <v>0</v>
      </c>
      <c r="O263" s="243" t="str">
        <f t="shared" si="207"/>
        <v>ok</v>
      </c>
      <c r="P263" s="47"/>
      <c r="Q263" s="52" t="str">
        <f t="shared" si="208"/>
        <v>Ž21A</v>
      </c>
      <c r="R263" s="73">
        <f>IF(Q263="","",IF(COUNTIF(Q$12:Q262,Q263)=0,R262+1,R262))</f>
        <v>17</v>
      </c>
      <c r="S263" s="73">
        <f t="shared" si="209"/>
        <v>102</v>
      </c>
      <c r="T263" s="73">
        <f t="shared" si="184"/>
        <v>14</v>
      </c>
      <c r="U263" s="66" t="str">
        <f t="shared" si="185"/>
        <v>Ž21A</v>
      </c>
      <c r="V263" s="47" t="s">
        <v>0</v>
      </c>
      <c r="W263" s="222" t="str">
        <f t="shared" si="186"/>
        <v>Ž21A</v>
      </c>
      <c r="X263" s="223">
        <f t="shared" si="187"/>
        <v>39</v>
      </c>
      <c r="Y263" s="47" t="s">
        <v>0</v>
      </c>
      <c r="Z263" s="52" t="str">
        <f t="shared" si="210"/>
        <v>CRO</v>
      </c>
      <c r="AA263" s="73">
        <f t="shared" si="188"/>
        <v>1</v>
      </c>
      <c r="AB263" s="31" t="str">
        <f t="shared" si="211"/>
        <v/>
      </c>
      <c r="AC263" s="66" t="str">
        <f>IF(AB263="","",MAX(AC$12:AC262)+1)</f>
        <v/>
      </c>
      <c r="AD263" s="47" t="s">
        <v>0</v>
      </c>
      <c r="AE263" s="125"/>
      <c r="AF263" s="47" t="s">
        <v>0</v>
      </c>
      <c r="AG263" s="19" t="str">
        <f t="shared" si="212"/>
        <v/>
      </c>
      <c r="AH263" s="47" t="s">
        <v>0</v>
      </c>
      <c r="AI263" s="143" t="str">
        <f t="shared" si="213"/>
        <v>CRO</v>
      </c>
      <c r="AJ263" s="47"/>
      <c r="AK263" s="52" t="str">
        <f t="shared" si="214"/>
        <v>Nevija</v>
      </c>
      <c r="AL263" s="31" t="str">
        <f t="shared" si="215"/>
        <v>Frajzman</v>
      </c>
      <c r="AM263" s="73">
        <f t="shared" si="216"/>
        <v>1181</v>
      </c>
      <c r="AN263" s="73" t="str">
        <f t="shared" si="217"/>
        <v/>
      </c>
      <c r="AO263" s="31" t="str">
        <f t="shared" si="189"/>
        <v>Nevija</v>
      </c>
      <c r="AP263" s="66" t="str">
        <f t="shared" si="190"/>
        <v>Frajzman</v>
      </c>
      <c r="AQ263" s="47" t="s">
        <v>0</v>
      </c>
      <c r="AR263" s="82" t="str">
        <f t="shared" si="218"/>
        <v/>
      </c>
      <c r="AS263" s="47" t="s">
        <v>0</v>
      </c>
      <c r="AT263" s="19" t="str">
        <f t="shared" si="219"/>
        <v/>
      </c>
      <c r="AU263" s="47" t="s">
        <v>0</v>
      </c>
      <c r="AV263" s="103"/>
      <c r="AW263" s="105"/>
      <c r="AX263" s="47" t="s">
        <v>0</v>
      </c>
      <c r="AY263" s="256" t="str">
        <f t="shared" si="237"/>
        <v/>
      </c>
      <c r="AZ263" s="47" t="s">
        <v>0</v>
      </c>
      <c r="BA263" s="52" t="str">
        <f t="shared" si="191"/>
        <v/>
      </c>
      <c r="BB263" s="73" t="str">
        <f>IF(AV263&amp;AW263="","",MAX(BB$12:BB262)+1)</f>
        <v/>
      </c>
      <c r="BC263" s="268" t="str">
        <f t="shared" si="192"/>
        <v/>
      </c>
      <c r="BD263" s="53" t="str">
        <f>IF(AND(AM263="NEMA",AN263="NEMA",OR(AV263&amp;AW263="",BC263="NEMA")),MAX(BD$12:BD262)+1,"")</f>
        <v/>
      </c>
      <c r="BE263" s="47" t="s">
        <v>0</v>
      </c>
      <c r="BF263" s="52" t="str">
        <f t="shared" si="193"/>
        <v>Nevija</v>
      </c>
      <c r="BG263" s="31" t="str">
        <f t="shared" si="194"/>
        <v>Frajzman</v>
      </c>
      <c r="BH263" s="73" t="str">
        <f t="shared" si="220"/>
        <v/>
      </c>
      <c r="BI263" s="53">
        <f t="shared" si="221"/>
        <v>1181</v>
      </c>
      <c r="BJ263" s="47" t="s">
        <v>0</v>
      </c>
      <c r="BK263" s="52" t="str">
        <f t="shared" si="195"/>
        <v>OK Jelen</v>
      </c>
      <c r="BL263" s="31" t="str">
        <f t="shared" si="196"/>
        <v>OK Jelen</v>
      </c>
      <c r="BM263" s="73">
        <f t="shared" si="197"/>
        <v>4</v>
      </c>
      <c r="BN263" s="73" t="str">
        <f t="shared" si="198"/>
        <v/>
      </c>
      <c r="BO263" s="31" t="str" cm="1">
        <f t="array" ref="BO263">IF(BN263="",""&amp;BL263,IF(BN263="NEMA",BL263,INDEX(regKlub_naziv,MATCH(INDEX(regKlub_alias_klubId,BN263),regKlub_id,0))))</f>
        <v>OK Jelen</v>
      </c>
      <c r="BP263" s="31" t="str" cm="1">
        <f t="array" ref="BP263">IFERROR(""&amp;INDEX(regNatjecatelj_klub,DY263),"")</f>
        <v>OK Jelen</v>
      </c>
      <c r="BQ263" s="88" t="str">
        <f t="shared" si="222"/>
        <v/>
      </c>
      <c r="BR263" s="66" t="str">
        <f t="shared" si="223"/>
        <v>OK Jelen</v>
      </c>
      <c r="BS263" s="47" t="s">
        <v>0</v>
      </c>
      <c r="BT263" s="82" t="str">
        <f>IF(BN263&lt;&gt;"NEMA","",IF(IFERROR(MATCH(BL263,BL$12:BL262,0),0)&lt;&gt;0,"",BL263))</f>
        <v/>
      </c>
      <c r="BU263" s="47" t="s">
        <v>0</v>
      </c>
      <c r="BV263" s="125"/>
      <c r="BW263" s="47" t="s">
        <v>0</v>
      </c>
      <c r="BX263" s="58" t="str">
        <f t="shared" si="224"/>
        <v/>
      </c>
      <c r="BY263" s="31" t="str">
        <f t="shared" si="225"/>
        <v/>
      </c>
      <c r="BZ263" s="31" t="str">
        <f>IF(BY263="","",MAX(BZ$12:BZ262)+1)</f>
        <v/>
      </c>
      <c r="CA263" s="31" t="str">
        <f>IF(BY263="","",IF(AA263="","",IF(AA263="NEMA",AC263,AA263)))</f>
        <v/>
      </c>
      <c r="CB263" s="31" t="str">
        <f t="shared" si="226"/>
        <v/>
      </c>
      <c r="CC263" s="31" t="str">
        <f>IF(BV263="","",MAX(CC$12:CC262)+1)</f>
        <v/>
      </c>
      <c r="CD263" s="31" t="str">
        <f t="shared" si="227"/>
        <v/>
      </c>
      <c r="CE263" s="66" t="str">
        <f t="shared" si="228"/>
        <v/>
      </c>
      <c r="CF263" s="47" t="s">
        <v>0</v>
      </c>
      <c r="CG263" s="73" t="str">
        <f>IF(BN263="","",IF(BN263&lt;&gt;"NEMA","",IFERROR(INDEX(nat_klubAliasId,MATCH(BL263,nat_noviKluboviAliasi,0)),"")))</f>
        <v/>
      </c>
      <c r="CH263" s="47"/>
      <c r="CI263" s="19" t="str">
        <f t="shared" si="229"/>
        <v/>
      </c>
      <c r="CJ263" s="47" t="s">
        <v>0</v>
      </c>
      <c r="CK263" s="52" t="str">
        <f>IF(X263&lt;&gt;"NEMA","",IF(IFERROR(MATCH(W263,W$12:W262,0),0)&lt;&gt;0,"",W263))</f>
        <v/>
      </c>
      <c r="CL263" s="73" t="str">
        <f>IF(CK263="","",IFERROR(INDEX(regKlub_alias_id,MATCH(CK263,regKlub_alias_alias,0)),"NEMA"))</f>
        <v/>
      </c>
      <c r="CM263" s="31" t="str">
        <f>IF(OR(CL263="",CL263&lt;&gt;"NEMA"),"",MAX(CM$12:CM262)+1)</f>
        <v/>
      </c>
      <c r="CN263" s="66" t="str">
        <f>IF(OR(CL263="",CL263&lt;&gt;"NEMA"),"",INDEX(regKlub_id,MATCH(CK263,regKlub_naziv,0)))</f>
        <v/>
      </c>
      <c r="CO263" s="47" t="s">
        <v>0</v>
      </c>
      <c r="CP263" s="19" t="str">
        <f>IF(OR(CL263="",CL263&lt;&gt;"NEMA"),"","INSERT INTO klub_alias(id,alias,klub_id) VALUES ("&amp;CM263&amp;",'"&amp;CK263&amp;"',"&amp;CN263&amp;");")</f>
        <v/>
      </c>
      <c r="CQ263" s="47" t="s">
        <v>0</v>
      </c>
      <c r="CR263" s="143" t="str">
        <f>IF(BR263="","",IF(BV263="",IF(IFERROR(MATCH(BR263,nat_noviKluboviAliasi,0),0)&gt;0,INDEX(nat_kluboviAliasi,MATCH(BR263,nat_noviKluboviAliasi,0)),BR263),BV263))</f>
        <v>OK Jelen</v>
      </c>
      <c r="CS263" s="47" t="s">
        <v>0</v>
      </c>
      <c r="CT263" s="58" t="str">
        <f>IF(G263="","",G263)</f>
        <v/>
      </c>
      <c r="CU263" s="73" t="str">
        <f>IF(H263="","",H263)</f>
        <v>1</v>
      </c>
      <c r="CV263" s="229" t="str">
        <f>IF(CT263="",IF(OR(AL263="",CU263&lt;&gt;"0"),"","GREŠKA"),IF(AND(65535&gt;=VALUE(LEFT(CT263,SEARCH(":",CT263)-1))*60+VALUE(RIGHT(CT263,2)),OR(CU263="0",CU263="1",CU263="2",CU263="3",CU263="4")),"","GREŠKA"))</f>
        <v/>
      </c>
      <c r="CW263" s="230" t="str">
        <f t="shared" si="239"/>
        <v/>
      </c>
      <c r="CX263" s="163">
        <f t="shared" si="199"/>
        <v>6</v>
      </c>
      <c r="CY263" s="47" t="s">
        <v>0</v>
      </c>
      <c r="CZ263" s="222" t="str">
        <f>IF(CV263&lt;&gt;"GREŠKA","",AK263&amp;" "&amp;AL263&amp;" – Molim u OEventu provjeriti i ispraviti rezultat – vrijeme ("&amp;IF(CT263="","nije upisano",CT263)&amp;") i classifier ("&amp;CU263&amp;").")&amp;IF(OR(CV263&lt;&gt;"GREŠKA",CX263&lt;&gt;5),"
","")&amp;IF(CX263&lt;&gt;5,"",AK263&amp;" "&amp;AL263&amp;" – Molim u provjeriti je li natjecatelj zaista diskvalificiran. Ako je koje je obrazloženje, ako nije molim u OEventu ispraviti rezultat")</f>
        <v xml:space="preserve">
</v>
      </c>
      <c r="DA263" s="223" t="e">
        <f t="shared" si="230"/>
        <v>#N/A</v>
      </c>
      <c r="DB263" s="47" t="s">
        <v>0</v>
      </c>
      <c r="DC263" s="47"/>
      <c r="DD263" s="47"/>
      <c r="DE263" s="47"/>
      <c r="DF263" s="47" t="s">
        <v>0</v>
      </c>
      <c r="DG263" s="53" t="str">
        <f>IF(BD263="","",IF(DI263="O",1,""))</f>
        <v/>
      </c>
      <c r="DH263" t="s">
        <v>0</v>
      </c>
      <c r="DI263" s="128" t="str">
        <f>IF(Q263="","",LEFT(INDEX(regKategorija_oznaka,MATCH(S263,regKategorija_id,0)),1))</f>
        <v>Ž</v>
      </c>
      <c r="DJ263" t="s">
        <v>0</v>
      </c>
      <c r="DK263" s="52" t="str">
        <f>IF(BD263="","",IF(M263&lt;&gt;"CRO","","INSERT INTO osoba (id,reg_broj,oib,spol_id,dat_rodjenja) VALUES ("&amp;BD263&amp;",(SELECT max(os.reg_broj)+1 FROM osoba AS os),Null,'"&amp;DI263&amp;"',Null); INSERT INTO osoba_log (id,reg_broj,oib,spol_id,dat_rodjenja,dnevnik_id) SELECT id,reg_broj,oib,spol_id,dat_rodjenja,"&amp;data_dnevnik_id&amp;" FROM osoba WHERE id = "&amp;BD263&amp;";"))</f>
        <v/>
      </c>
      <c r="DL263" s="66" t="str">
        <f>IF(BD263="","","INSERT INTO imeprezime (id,osoba_id,rbr,ime,prezime,klub_id,identitet_id,sintaksa_id,info,aktivno,dnevnik_id) VALUES ("&amp;BD263&amp;","&amp;IF(DK263="","Null",BD263)&amp;",1,'"&amp;IF(AV263&lt;&gt;"",AV263,AK263)&amp;"','"&amp;IF(AW263&lt;&gt;"",AW263,AL263)&amp;"',(SELECT id FROM klub WHERE naziv = '"&amp;CR263&amp;"'),Null,1,'',1,"&amp;data_dnevnik_id&amp;");")</f>
        <v/>
      </c>
      <c r="DM263" t="s">
        <v>0</v>
      </c>
      <c r="DN263" s="19" t="str">
        <f t="shared" si="238"/>
        <v/>
      </c>
      <c r="DO263" s="47" t="s">
        <v>0</v>
      </c>
      <c r="DP263" s="19" t="str">
        <f>IF(BA263="","","INSERT INTO imeprezime_alias(id,alias,imeprezime_id) VALUES ("&amp;BB263&amp;",'"&amp;BA263&amp;"',"&amp;IF(BC263="NEMA",BD263,BC263)&amp;");")</f>
        <v/>
      </c>
      <c r="DQ263" s="47" t="s">
        <v>0</v>
      </c>
      <c r="DR263" s="52" t="str">
        <f>IF(AL263="","",DU263 &amp; IF(Q263="",""," – " &amp; Q263))</f>
        <v>Nevija – Frajzman – OK Jelen – Ž21A</v>
      </c>
      <c r="DS263" s="53">
        <f t="shared" si="200"/>
        <v>162</v>
      </c>
      <c r="DT263" s="47" t="s">
        <v>0</v>
      </c>
      <c r="DU263" s="52" t="str">
        <f>IF(AL263="","",DX263 &amp; IF(CR263="",""," – " &amp; CR263))</f>
        <v>Nevija – Frajzman – OK Jelen</v>
      </c>
      <c r="DV263" s="53">
        <f t="shared" si="201"/>
        <v>162</v>
      </c>
      <c r="DW263" s="47" t="s">
        <v>0</v>
      </c>
      <c r="DX263" s="52" t="str">
        <f>IF(BG263="","",BF263&amp;" – "&amp;BG263)</f>
        <v>Nevija – Frajzman</v>
      </c>
      <c r="DY263" s="53">
        <f t="shared" si="202"/>
        <v>162</v>
      </c>
      <c r="DZ263" s="47" t="s">
        <v>0</v>
      </c>
      <c r="EA263" s="58">
        <f t="shared" si="231"/>
        <v>162</v>
      </c>
      <c r="EB263" s="53" cm="1">
        <f t="array" ref="EB263">IF(EA263&lt;&gt;"",INDEX(regNatjecatelj_id,EA263,0),IF(BD263&lt;&gt;"",BD263,""))</f>
        <v>1181</v>
      </c>
      <c r="EC263" s="47" t="s">
        <v>0</v>
      </c>
      <c r="ED263" s="58" t="str">
        <f>IF(AL263="","",IF(BD263&lt;&gt;"","novo",IF(AN263="","imepre","imepre(ali)")))</f>
        <v>imepre</v>
      </c>
      <c r="EE263" s="73" t="str">
        <f>IF(AL263="","",IF(BL263="",IF(IFERROR(INDEX(regNatjecatelj_klub,MATCH(EB263,regNatjecatelj_id,0)),"NEMA")="","klu",""),IF(OR(AND(BN263&lt;&gt;"",BN263&lt;&gt;"NEMA"),CD263&lt;&gt;""),"klu(ali)",IF(AND(BP263&lt;&gt;"",BP263&lt;&gt;BO263),"(raz-klu)","klu"))))</f>
        <v>klu</v>
      </c>
      <c r="EF263" s="73" t="str">
        <f>IF(AL263="","","kat"&amp;IF(AND(W263&lt;&gt;Q263,Q263&lt;&gt;"Open"),"(ali)",""))</f>
        <v>kat</v>
      </c>
      <c r="EG263" s="73" t="str">
        <f t="shared" si="203"/>
        <v/>
      </c>
      <c r="EH263" s="66" t="str">
        <f>IF(AL263="","",ED263&amp;IF(ED263="novo","","-"&amp;EE263&amp;"-"&amp;EF263)&amp;IF(EG263="","","-"&amp;EG263))</f>
        <v>imepre-klu-kat</v>
      </c>
      <c r="EI263" s="47" t="s">
        <v>0</v>
      </c>
      <c r="EJ263" s="58">
        <f>IF(AL263="","",MAX(EJ$12:EJ262)+1)</f>
        <v>414</v>
      </c>
      <c r="EK263" s="73">
        <f>IF(AO263="","",X263)</f>
        <v>39</v>
      </c>
      <c r="EL263" s="73">
        <f t="shared" si="232"/>
        <v>1181</v>
      </c>
      <c r="EM263" s="73" t="str">
        <f t="shared" si="204"/>
        <v/>
      </c>
      <c r="EN263" s="73">
        <f t="shared" si="205"/>
        <v>6</v>
      </c>
      <c r="EO263" s="73">
        <f t="shared" si="233"/>
        <v>1</v>
      </c>
      <c r="EP263" s="73">
        <f t="shared" si="234"/>
        <v>1</v>
      </c>
      <c r="EQ263" s="73" t="str">
        <f t="shared" si="206"/>
        <v>1</v>
      </c>
      <c r="ER263" s="73" t="str">
        <f>IF(OR(AN263="",AN263="NEMA"),BB263,AN263)</f>
        <v/>
      </c>
      <c r="ES263" s="73" t="str">
        <f>IF(AND(BN263&lt;&gt;"",BN263&lt;&gt;"NEMA"),BN263,IF(CG263&lt;&gt;"",CG263,IF(AND(CL263&lt;&gt;"",CL263&lt;&gt;"NEMA"),CL263,IF(CM263&lt;&gt;"",CM263,""))))</f>
        <v/>
      </c>
      <c r="ET263" s="53" t="str">
        <f>IF(INDEX(natKategorija_alias_Id,MATCH(S263,natKategorija_katRegId,0))="","",INDEX(natKategorija_alias_Id,MATCH(S263,natKategorija_katRegId,0)))</f>
        <v/>
      </c>
      <c r="EU263" s="47" t="s">
        <v>0</v>
      </c>
      <c r="EV263" s="19" t="str">
        <f t="shared" si="235"/>
        <v>INSERT INTO rezultat(id,stazakategorija_id,imeprezime_id,vrijeme_sec,status_id,registracija,uparivanje_id,originalstatus_id,imeprezimealias_id,klubalias_id,kategorijaalias_id) VALUES (414,39,1181,Null,6,1,1,1,Null,Null,Null);</v>
      </c>
      <c r="EW263" s="47" t="s">
        <v>0</v>
      </c>
      <c r="EX263" s="19" t="str">
        <f t="shared" si="236"/>
        <v>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EY263" s="47" t="s">
        <v>0</v>
      </c>
      <c r="EZ263" s="180" t="str">
        <f>AG263&amp;IF(CP263="","","
")&amp;CP263&amp;IF(CI263="","","
")&amp;CI263&amp;IF(DN263="","","
")&amp;DN263&amp;IF(DP263="","","
")&amp;DP263&amp;IF(EV263="","","
")&amp;EV263&amp;IF(EX263="","","
")&amp;EX263</f>
        <v xml:space="preserve">
INSERT INTO rezultat(id,stazakategorija_id,imeprezime_id,vrijeme_sec,status_id,registracija,uparivanje_id,originalstatus_id,imeprezimealias_id,klubalias_id,kategorijaalias_id) VALUES (414,39,1181,Null,6,1,1,1,Null,Null,Null);
UPDATE
	registar
SET
	potvrda = 1
WHERE
	imeprezime_id=1181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39)
                         		AND
                         	kategorija_liga.liga_id = 101)
		AND
	datum_od &lt;= '2021-04-18'
    	AND
    datum_do is Null;</v>
      </c>
      <c r="FA263" s="47" t="s">
        <v>0</v>
      </c>
    </row>
    <row r="264" spans="1:157" x14ac:dyDescent="0.25">
      <c r="A264" t="s">
        <v>0</v>
      </c>
      <c r="B264" s="52" t="str">
        <f>IF(csv!F254="","",csv!T254)</f>
        <v>Ž21B</v>
      </c>
      <c r="C264" s="31" t="s">
        <v>0</v>
      </c>
      <c r="D264" s="31" t="str">
        <f>IF(csv!F254="","",csv!F254)</f>
        <v>Petra</v>
      </c>
      <c r="E264" s="31" t="str">
        <f>IF(csv!E254="","",csv!E254)</f>
        <v>Plevnik</v>
      </c>
      <c r="F264" s="31" t="s">
        <v>0</v>
      </c>
      <c r="G264" s="73" t="str">
        <f>IF(csv!M254="","",csv!M254)</f>
        <v>48:40</v>
      </c>
      <c r="H264" s="73" t="str">
        <f>IF(csv!N254="","",csv!N254)</f>
        <v>0</v>
      </c>
      <c r="I264" s="31" t="s">
        <v>0</v>
      </c>
      <c r="J264" s="31" t="str">
        <f>IF(csv!P254="","",csv!P254)</f>
        <v>BJE</v>
      </c>
      <c r="K264" s="31" t="str">
        <f>IF(csv!Q254="","",csv!Q254)</f>
        <v>OK Bjelovar</v>
      </c>
      <c r="L264" s="31" t="s">
        <v>0</v>
      </c>
      <c r="M264" s="66" t="str">
        <f>IF(csv!R254="","",csv!R254)</f>
        <v>CRO</v>
      </c>
      <c r="N264" s="47" t="s">
        <v>0</v>
      </c>
      <c r="O264" s="243" t="str">
        <f t="shared" si="207"/>
        <v>ok</v>
      </c>
      <c r="P264" s="47"/>
      <c r="Q264" s="52" t="str">
        <f t="shared" si="208"/>
        <v>Ž21B</v>
      </c>
      <c r="R264" s="73">
        <f>IF(Q264="","",IF(COUNTIF(Q$12:Q263,Q264)=0,R263+1,R263))</f>
        <v>18</v>
      </c>
      <c r="S264" s="73">
        <f t="shared" si="209"/>
        <v>118</v>
      </c>
      <c r="T264" s="73">
        <f t="shared" si="184"/>
        <v>27</v>
      </c>
      <c r="U264" s="66" t="str">
        <f t="shared" si="185"/>
        <v>Ž21B – Ž16</v>
      </c>
      <c r="V264" s="47" t="s">
        <v>0</v>
      </c>
      <c r="W264" s="222" t="str">
        <f t="shared" si="186"/>
        <v>Ž21B</v>
      </c>
      <c r="X264" s="223">
        <f t="shared" si="187"/>
        <v>40</v>
      </c>
      <c r="Y264" s="47" t="s">
        <v>0</v>
      </c>
      <c r="Z264" s="52" t="str">
        <f t="shared" si="210"/>
        <v>CRO</v>
      </c>
      <c r="AA264" s="73">
        <f t="shared" si="188"/>
        <v>1</v>
      </c>
      <c r="AB264" s="31" t="str">
        <f t="shared" si="211"/>
        <v/>
      </c>
      <c r="AC264" s="66" t="str">
        <f>IF(AB264="","",MAX(AC$12:AC263)+1)</f>
        <v/>
      </c>
      <c r="AD264" s="47" t="s">
        <v>0</v>
      </c>
      <c r="AE264" s="125"/>
      <c r="AF264" s="47" t="s">
        <v>0</v>
      </c>
      <c r="AG264" s="19" t="str">
        <f t="shared" si="212"/>
        <v/>
      </c>
      <c r="AH264" s="47" t="s">
        <v>0</v>
      </c>
      <c r="AI264" s="143" t="str">
        <f t="shared" si="213"/>
        <v>CRO</v>
      </c>
      <c r="AJ264" s="47"/>
      <c r="AK264" s="52" t="str">
        <f t="shared" si="214"/>
        <v>Petra</v>
      </c>
      <c r="AL264" s="31" t="str">
        <f t="shared" si="215"/>
        <v>Plevnik</v>
      </c>
      <c r="AM264" s="73">
        <f t="shared" si="216"/>
        <v>1140</v>
      </c>
      <c r="AN264" s="73" t="str">
        <f t="shared" si="217"/>
        <v/>
      </c>
      <c r="AO264" s="31" t="str">
        <f t="shared" si="189"/>
        <v>Petra</v>
      </c>
      <c r="AP264" s="66" t="str">
        <f t="shared" si="190"/>
        <v>Plevnik</v>
      </c>
      <c r="AQ264" s="47" t="s">
        <v>0</v>
      </c>
      <c r="AR264" s="82" t="str">
        <f t="shared" si="218"/>
        <v/>
      </c>
      <c r="AS264" s="47" t="s">
        <v>0</v>
      </c>
      <c r="AT264" s="19" t="str">
        <f t="shared" si="219"/>
        <v/>
      </c>
      <c r="AU264" s="47" t="s">
        <v>0</v>
      </c>
      <c r="AV264" s="103"/>
      <c r="AW264" s="105"/>
      <c r="AX264" s="47" t="s">
        <v>0</v>
      </c>
      <c r="AY264" s="256" t="str">
        <f t="shared" si="237"/>
        <v/>
      </c>
      <c r="AZ264" s="47" t="s">
        <v>0</v>
      </c>
      <c r="BA264" s="52" t="str">
        <f t="shared" si="191"/>
        <v/>
      </c>
      <c r="BB264" s="73" t="str">
        <f>IF(AV264&amp;AW264="","",MAX(BB$12:BB263)+1)</f>
        <v/>
      </c>
      <c r="BC264" s="268" t="str">
        <f t="shared" si="192"/>
        <v/>
      </c>
      <c r="BD264" s="53" t="str">
        <f>IF(AND(AM264="NEMA",AN264="NEMA",OR(AV264&amp;AW264="",BC264="NEMA")),MAX(BD$12:BD263)+1,"")</f>
        <v/>
      </c>
      <c r="BE264" s="47" t="s">
        <v>0</v>
      </c>
      <c r="BF264" s="52" t="str">
        <f t="shared" si="193"/>
        <v>Petra</v>
      </c>
      <c r="BG264" s="31" t="str">
        <f t="shared" si="194"/>
        <v>Plevnik</v>
      </c>
      <c r="BH264" s="73" t="str">
        <f t="shared" si="220"/>
        <v/>
      </c>
      <c r="BI264" s="53">
        <f t="shared" si="221"/>
        <v>1140</v>
      </c>
      <c r="BJ264" s="47" t="s">
        <v>0</v>
      </c>
      <c r="BK264" s="52" t="str">
        <f t="shared" si="195"/>
        <v>BJE</v>
      </c>
      <c r="BL264" s="31" t="str">
        <f t="shared" si="196"/>
        <v>OK Bjelovar</v>
      </c>
      <c r="BM264" s="73">
        <f t="shared" si="197"/>
        <v>1</v>
      </c>
      <c r="BN264" s="73" t="str">
        <f t="shared" si="198"/>
        <v/>
      </c>
      <c r="BO264" s="31" t="str" cm="1">
        <f t="array" ref="BO264">IF(BN264="",""&amp;BL264,IF(BN264="NEMA",BL264,INDEX(regKlub_naziv,MATCH(INDEX(regKlub_alias_klubId,BN264),regKlub_id,0))))</f>
        <v>OK Bjelovar</v>
      </c>
      <c r="BP264" s="31" t="str" cm="1">
        <f t="array" ref="BP264">IFERROR(""&amp;INDEX(regNatjecatelj_klub,DY264),"")</f>
        <v>OK Bjelovar</v>
      </c>
      <c r="BQ264" s="88" t="str">
        <f t="shared" si="222"/>
        <v/>
      </c>
      <c r="BR264" s="66" t="str">
        <f t="shared" si="223"/>
        <v>OK Bjelovar</v>
      </c>
      <c r="BS264" s="47" t="s">
        <v>0</v>
      </c>
      <c r="BT264" s="82" t="str">
        <f>IF(BN264&lt;&gt;"NEMA","",IF(IFERROR(MATCH(BL264,BL$12:BL263,0),0)&lt;&gt;0,"",BL264))</f>
        <v/>
      </c>
      <c r="BU264" s="47" t="s">
        <v>0</v>
      </c>
      <c r="BV264" s="125"/>
      <c r="BW264" s="47" t="s">
        <v>0</v>
      </c>
      <c r="BX264" s="58" t="str">
        <f t="shared" si="224"/>
        <v/>
      </c>
      <c r="BY264" s="31" t="str">
        <f t="shared" si="225"/>
        <v/>
      </c>
      <c r="BZ264" s="31" t="str">
        <f>IF(BY264="","",MAX(BZ$12:BZ263)+1)</f>
        <v/>
      </c>
      <c r="CA264" s="31" t="str">
        <f>IF(BY264="","",IF(AA264="","",IF(AA264="NEMA",AC264,AA264)))</f>
        <v/>
      </c>
      <c r="CB264" s="31" t="str">
        <f t="shared" si="226"/>
        <v/>
      </c>
      <c r="CC264" s="31" t="str">
        <f>IF(BV264="","",MAX(CC$12:CC263)+1)</f>
        <v/>
      </c>
      <c r="CD264" s="31" t="str">
        <f t="shared" si="227"/>
        <v/>
      </c>
      <c r="CE264" s="66" t="str">
        <f t="shared" si="228"/>
        <v/>
      </c>
      <c r="CF264" s="47" t="s">
        <v>0</v>
      </c>
      <c r="CG264" s="73" t="str">
        <f>IF(BN264="","",IF(BN264&lt;&gt;"NEMA","",IFERROR(INDEX(nat_klubAliasId,MATCH(BL264,nat_noviKluboviAliasi,0)),"")))</f>
        <v/>
      </c>
      <c r="CH264" s="47"/>
      <c r="CI264" s="19" t="str">
        <f t="shared" si="229"/>
        <v/>
      </c>
      <c r="CJ264" s="47" t="s">
        <v>0</v>
      </c>
      <c r="CK264" s="52" t="str">
        <f>IF(X264&lt;&gt;"NEMA","",IF(IFERROR(MATCH(W264,W$12:W263,0),0)&lt;&gt;0,"",W264))</f>
        <v/>
      </c>
      <c r="CL264" s="73" t="str">
        <f>IF(CK264="","",IFERROR(INDEX(regKlub_alias_id,MATCH(CK264,regKlub_alias_alias,0)),"NEMA"))</f>
        <v/>
      </c>
      <c r="CM264" s="31" t="str">
        <f>IF(OR(CL264="",CL264&lt;&gt;"NEMA"),"",MAX(CM$12:CM263)+1)</f>
        <v/>
      </c>
      <c r="CN264" s="66" t="str">
        <f>IF(OR(CL264="",CL264&lt;&gt;"NEMA"),"",INDEX(regKlub_id,MATCH(CK264,regKlub_naziv,0)))</f>
        <v/>
      </c>
      <c r="CO264" s="47" t="s">
        <v>0</v>
      </c>
      <c r="CP264" s="19" t="str">
        <f>IF(OR(CL264="",CL264&lt;&gt;"NEMA"),"","INSERT INTO klub_alias(id,alias,klub_id) VALUES ("&amp;CM264&amp;",'"&amp;CK264&amp;"',"&amp;CN264&amp;");")</f>
        <v/>
      </c>
      <c r="CQ264" s="47" t="s">
        <v>0</v>
      </c>
      <c r="CR264" s="143" t="str">
        <f>IF(BR264="","",IF(BV264="",IF(IFERROR(MATCH(BR264,nat_noviKluboviAliasi,0),0)&gt;0,INDEX(nat_kluboviAliasi,MATCH(BR264,nat_noviKluboviAliasi,0)),BR264),BV264))</f>
        <v>OK Bjelovar</v>
      </c>
      <c r="CS264" s="47" t="s">
        <v>0</v>
      </c>
      <c r="CT264" s="58" t="str">
        <f>IF(G264="","",G264)</f>
        <v>48:40</v>
      </c>
      <c r="CU264" s="73" t="str">
        <f>IF(H264="","",H264)</f>
        <v>0</v>
      </c>
      <c r="CV264" s="229" t="str">
        <f>IF(CT264="",IF(OR(AL264="",CU264&lt;&gt;"0"),"","GREŠKA"),IF(AND(65535&gt;=VALUE(LEFT(CT264,SEARCH(":",CT264)-1))*60+VALUE(RIGHT(CT264,2)),OR(CU264="0",CU264="1",CU264="2",CU264="3",CU264="4")),"","GREŠKA"))</f>
        <v/>
      </c>
      <c r="CW264" s="230">
        <f t="shared" si="239"/>
        <v>2920</v>
      </c>
      <c r="CX264" s="163">
        <f t="shared" si="199"/>
        <v>1</v>
      </c>
      <c r="CY264" s="47" t="s">
        <v>0</v>
      </c>
      <c r="CZ264" s="222" t="str">
        <f>IF(CV264&lt;&gt;"GREŠKA","",AK264&amp;" "&amp;AL264&amp;" – Molim u OEventu provjeriti i ispraviti rezultat – vrijeme ("&amp;IF(CT264="","nije upisano",CT264)&amp;") i classifier ("&amp;CU264&amp;").")&amp;IF(OR(CV264&lt;&gt;"GREŠKA",CX264&lt;&gt;5),"
","")&amp;IF(CX264&lt;&gt;5,"",AK264&amp;" "&amp;AL264&amp;" – Molim u provjeriti je li natjecatelj zaista diskvalificiran. Ako je koje je obrazloženje, ako nije molim u OEventu ispraviti rezultat")</f>
        <v xml:space="preserve">
</v>
      </c>
      <c r="DA264" s="223">
        <f t="shared" si="230"/>
        <v>6</v>
      </c>
      <c r="DB264" s="47" t="s">
        <v>0</v>
      </c>
      <c r="DC264" s="47"/>
      <c r="DD264" s="47"/>
      <c r="DE264" s="47"/>
      <c r="DF264" s="47" t="s">
        <v>0</v>
      </c>
      <c r="DG264" s="53" t="str">
        <f>IF(BD264="","",IF(DI264="O",1,""))</f>
        <v/>
      </c>
      <c r="DH264" t="s">
        <v>0</v>
      </c>
      <c r="DI264" s="128" t="str">
        <f>IF(Q264="","",LEFT(INDEX(regKategorija_oznaka,MATCH(S264,regKategorija_id,0)),1))</f>
        <v>Ž</v>
      </c>
      <c r="DJ264" t="s">
        <v>0</v>
      </c>
      <c r="DK264" s="52" t="str">
        <f>IF(BD264="","",IF(M264&lt;&gt;"CRO","","INSERT INTO osoba (id,reg_broj,oib,spol_id,dat_rodjenja) VALUES ("&amp;BD264&amp;",(SELECT max(os.reg_broj)+1 FROM osoba AS os),Null,'"&amp;DI264&amp;"',Null); INSERT INTO osoba_log (id,reg_broj,oib,spol_id,dat_rodjenja,dnevnik_id) SELECT id,reg_broj,oib,spol_id,dat_rodjenja,"&amp;data_dnevnik_id&amp;" FROM osoba WHERE id = "&amp;BD264&amp;";"))</f>
        <v/>
      </c>
      <c r="DL264" s="66" t="str">
        <f>IF(BD264="","","INSERT INTO imeprezime (id,osoba_id,rbr,ime,prezime,klub_id,identitet_id,sintaksa_id,info,aktivno,dnevnik_id) VALUES ("&amp;BD264&amp;","&amp;IF(DK264="","Null",BD264)&amp;",1,'"&amp;IF(AV264&lt;&gt;"",AV264,AK264)&amp;"','"&amp;IF(AW264&lt;&gt;"",AW264,AL264)&amp;"',(SELECT id FROM klub WHERE naziv = '"&amp;CR264&amp;"'),Null,1,'',1,"&amp;data_dnevnik_id&amp;");")</f>
        <v/>
      </c>
      <c r="DM264" t="s">
        <v>0</v>
      </c>
      <c r="DN264" s="19" t="str">
        <f t="shared" si="238"/>
        <v/>
      </c>
      <c r="DO264" s="47" t="s">
        <v>0</v>
      </c>
      <c r="DP264" s="19" t="str">
        <f>IF(BA264="","","INSERT INTO imeprezime_alias(id,alias,imeprezime_id) VALUES ("&amp;BB264&amp;",'"&amp;BA264&amp;"',"&amp;IF(BC264="NEMA",BD264,BC264)&amp;");")</f>
        <v/>
      </c>
      <c r="DQ264" s="47" t="s">
        <v>0</v>
      </c>
      <c r="DR264" s="52" t="str">
        <f>IF(AL264="","",DU264 &amp; IF(Q264="",""," – " &amp; Q264))</f>
        <v>Petra – Plevnik – OK Bjelovar – Ž21B</v>
      </c>
      <c r="DS264" s="53">
        <f t="shared" si="200"/>
        <v>20</v>
      </c>
      <c r="DT264" s="47" t="s">
        <v>0</v>
      </c>
      <c r="DU264" s="52" t="str">
        <f>IF(AL264="","",DX264 &amp; IF(CR264="",""," – " &amp; CR264))</f>
        <v>Petra – Plevnik – OK Bjelovar</v>
      </c>
      <c r="DV264" s="53">
        <f t="shared" si="201"/>
        <v>20</v>
      </c>
      <c r="DW264" s="47" t="s">
        <v>0</v>
      </c>
      <c r="DX264" s="52" t="str">
        <f>IF(BG264="","",BF264&amp;" – "&amp;BG264)</f>
        <v>Petra – Plevnik</v>
      </c>
      <c r="DY264" s="53">
        <f t="shared" si="202"/>
        <v>20</v>
      </c>
      <c r="DZ264" s="47" t="s">
        <v>0</v>
      </c>
      <c r="EA264" s="58">
        <f t="shared" si="231"/>
        <v>20</v>
      </c>
      <c r="EB264" s="53" cm="1">
        <f t="array" ref="EB264">IF(EA264&lt;&gt;"",INDEX(regNatjecatelj_id,EA264,0),IF(BD264&lt;&gt;"",BD264,""))</f>
        <v>1140</v>
      </c>
      <c r="EC264" s="47" t="s">
        <v>0</v>
      </c>
      <c r="ED264" s="58" t="str">
        <f>IF(AL264="","",IF(BD264&lt;&gt;"","novo",IF(AN264="","imepre","imepre(ali)")))</f>
        <v>imepre</v>
      </c>
      <c r="EE264" s="73" t="str">
        <f>IF(AL264="","",IF(BL264="",IF(IFERROR(INDEX(regNatjecatelj_klub,MATCH(EB264,regNatjecatelj_id,0)),"NEMA")="","klu",""),IF(OR(AND(BN264&lt;&gt;"",BN264&lt;&gt;"NEMA"),CD264&lt;&gt;""),"klu(ali)",IF(AND(BP264&lt;&gt;"",BP264&lt;&gt;BO264),"(raz-klu)","klu"))))</f>
        <v>klu</v>
      </c>
      <c r="EF264" s="73" t="str">
        <f>IF(AL264="","","kat"&amp;IF(AND(W264&lt;&gt;Q264,Q264&lt;&gt;"Open"),"(ali)",""))</f>
        <v>kat</v>
      </c>
      <c r="EG264" s="73" t="str">
        <f t="shared" si="203"/>
        <v/>
      </c>
      <c r="EH264" s="66" t="str">
        <f>IF(AL264="","",ED264&amp;IF(ED264="novo","","-"&amp;EE264&amp;"-"&amp;EF264)&amp;IF(EG264="","","-"&amp;EG264))</f>
        <v>imepre-klu-kat</v>
      </c>
      <c r="EI264" s="47" t="s">
        <v>0</v>
      </c>
      <c r="EJ264" s="58">
        <f>IF(AL264="","",MAX(EJ$12:EJ263)+1)</f>
        <v>415</v>
      </c>
      <c r="EK264" s="73">
        <f>IF(AO264="","",X264)</f>
        <v>40</v>
      </c>
      <c r="EL264" s="73">
        <f t="shared" si="232"/>
        <v>1140</v>
      </c>
      <c r="EM264" s="73">
        <f t="shared" si="204"/>
        <v>2920</v>
      </c>
      <c r="EN264" s="73">
        <f t="shared" si="205"/>
        <v>1</v>
      </c>
      <c r="EO264" s="73">
        <f t="shared" si="233"/>
        <v>1</v>
      </c>
      <c r="EP264" s="73">
        <f t="shared" si="234"/>
        <v>1</v>
      </c>
      <c r="EQ264" s="73" t="str">
        <f t="shared" si="206"/>
        <v>0</v>
      </c>
      <c r="ER264" s="73" t="str">
        <f>IF(OR(AN264="",AN264="NEMA"),BB264,AN264)</f>
        <v/>
      </c>
      <c r="ES264" s="73" t="str">
        <f>IF(AND(BN264&lt;&gt;"",BN264&lt;&gt;"NEMA"),BN264,IF(CG264&lt;&gt;"",CG264,IF(AND(CL264&lt;&gt;"",CL264&lt;&gt;"NEMA"),CL264,IF(CM264&lt;&gt;"",CM264,""))))</f>
        <v/>
      </c>
      <c r="ET264" s="53" t="str">
        <f>IF(INDEX(natKategorija_alias_Id,MATCH(S264,natKategorija_katRegId,0))="","",INDEX(natKategorija_alias_Id,MATCH(S264,natKategorija_katRegId,0)))</f>
        <v/>
      </c>
      <c r="EU264" s="47" t="s">
        <v>0</v>
      </c>
      <c r="EV264" s="19" t="str">
        <f t="shared" si="235"/>
        <v>INSERT INTO rezultat(id,stazakategorija_id,imeprezime_id,vrijeme_sec,status_id,registracija,uparivanje_id,originalstatus_id,imeprezimealias_id,klubalias_id,kategorijaalias_id) VALUES (415,40,1140,2920,1,1,1,0,Null,Null,Null);</v>
      </c>
      <c r="EW264" s="47" t="s">
        <v>0</v>
      </c>
      <c r="EX264" s="19" t="str">
        <f t="shared" si="236"/>
        <v>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64" s="47" t="s">
        <v>0</v>
      </c>
      <c r="EZ264" s="180" t="str">
        <f>AG264&amp;IF(CP264="","","
")&amp;CP264&amp;IF(CI264="","","
")&amp;CI264&amp;IF(DN264="","","
")&amp;DN264&amp;IF(DP264="","","
")&amp;DP264&amp;IF(EV264="","","
")&amp;EV264&amp;IF(EX264="","","
")&amp;EX264</f>
        <v xml:space="preserve">
INSERT INTO rezultat(id,stazakategorija_id,imeprezime_id,vrijeme_sec,status_id,registracija,uparivanje_id,originalstatus_id,imeprezimealias_id,klubalias_id,kategorijaalias_id) VALUES (415,40,1140,2920,1,1,1,0,Null,Null,Null);
UPDATE
	registar
SET
	potvrda = 1
WHERE
	imeprezime_id=1140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64" s="47" t="s">
        <v>0</v>
      </c>
    </row>
    <row r="265" spans="1:157" x14ac:dyDescent="0.25">
      <c r="A265" t="s">
        <v>0</v>
      </c>
      <c r="B265" s="52" t="str">
        <f>IF(csv!F255="","",csv!T255)</f>
        <v>Ž21B</v>
      </c>
      <c r="C265" s="31" t="s">
        <v>0</v>
      </c>
      <c r="D265" s="31" t="str">
        <f>IF(csv!F255="","",csv!F255)</f>
        <v>Olga</v>
      </c>
      <c r="E265" s="31" t="str">
        <f>IF(csv!E255="","",csv!E255)</f>
        <v>Pajnić</v>
      </c>
      <c r="F265" s="31" t="s">
        <v>0</v>
      </c>
      <c r="G265" s="73" t="str">
        <f>IF(csv!M255="","",csv!M255)</f>
        <v>61:07</v>
      </c>
      <c r="H265" s="73" t="str">
        <f>IF(csv!N255="","",csv!N255)</f>
        <v>0</v>
      </c>
      <c r="I265" s="31" t="s">
        <v>0</v>
      </c>
      <c r="J265" s="31" t="str">
        <f>IF(csv!P255="","",csv!P255)</f>
        <v>KAP</v>
      </c>
      <c r="K265" s="31" t="str">
        <f>IF(csv!Q255="","",csv!Q255)</f>
        <v>OK Kapela</v>
      </c>
      <c r="L265" s="31" t="s">
        <v>0</v>
      </c>
      <c r="M265" s="66" t="str">
        <f>IF(csv!R255="","",csv!R255)</f>
        <v>CRO</v>
      </c>
      <c r="N265" s="47" t="s">
        <v>0</v>
      </c>
      <c r="O265" s="243" t="str">
        <f t="shared" si="207"/>
        <v>ok</v>
      </c>
      <c r="P265" s="47"/>
      <c r="Q265" s="52" t="str">
        <f t="shared" si="208"/>
        <v>Ž21B</v>
      </c>
      <c r="R265" s="73">
        <f>IF(Q265="","",IF(COUNTIF(Q$12:Q264,Q265)=0,R264+1,R264))</f>
        <v>18</v>
      </c>
      <c r="S265" s="73">
        <f t="shared" si="209"/>
        <v>118</v>
      </c>
      <c r="T265" s="73">
        <f t="shared" si="184"/>
        <v>27</v>
      </c>
      <c r="U265" s="66" t="str">
        <f t="shared" si="185"/>
        <v>Ž21B – Ž16</v>
      </c>
      <c r="V265" s="47" t="s">
        <v>0</v>
      </c>
      <c r="W265" s="222" t="str">
        <f t="shared" si="186"/>
        <v>Ž21B</v>
      </c>
      <c r="X265" s="223">
        <f t="shared" si="187"/>
        <v>40</v>
      </c>
      <c r="Y265" s="47" t="s">
        <v>0</v>
      </c>
      <c r="Z265" s="52" t="str">
        <f t="shared" si="210"/>
        <v>CRO</v>
      </c>
      <c r="AA265" s="73">
        <f t="shared" si="188"/>
        <v>1</v>
      </c>
      <c r="AB265" s="31" t="str">
        <f t="shared" si="211"/>
        <v/>
      </c>
      <c r="AC265" s="66" t="str">
        <f>IF(AB265="","",MAX(AC$12:AC264)+1)</f>
        <v/>
      </c>
      <c r="AD265" s="47" t="s">
        <v>0</v>
      </c>
      <c r="AE265" s="125"/>
      <c r="AF265" s="47" t="s">
        <v>0</v>
      </c>
      <c r="AG265" s="19" t="str">
        <f t="shared" si="212"/>
        <v/>
      </c>
      <c r="AH265" s="47" t="s">
        <v>0</v>
      </c>
      <c r="AI265" s="143" t="str">
        <f t="shared" si="213"/>
        <v>CRO</v>
      </c>
      <c r="AJ265" s="47"/>
      <c r="AK265" s="52" t="str">
        <f t="shared" si="214"/>
        <v>Olga</v>
      </c>
      <c r="AL265" s="31" t="str">
        <f t="shared" si="215"/>
        <v>Pajnić</v>
      </c>
      <c r="AM265" s="73">
        <f t="shared" si="216"/>
        <v>1212</v>
      </c>
      <c r="AN265" s="73" t="str">
        <f t="shared" si="217"/>
        <v/>
      </c>
      <c r="AO265" s="31" t="str">
        <f t="shared" si="189"/>
        <v>Olga</v>
      </c>
      <c r="AP265" s="66" t="str">
        <f t="shared" si="190"/>
        <v>Pajnić</v>
      </c>
      <c r="AQ265" s="47" t="s">
        <v>0</v>
      </c>
      <c r="AR265" s="82" t="str">
        <f t="shared" si="218"/>
        <v/>
      </c>
      <c r="AS265" s="47" t="s">
        <v>0</v>
      </c>
      <c r="AT265" s="19" t="str">
        <f t="shared" si="219"/>
        <v/>
      </c>
      <c r="AU265" s="47" t="s">
        <v>0</v>
      </c>
      <c r="AV265" s="103"/>
      <c r="AW265" s="105"/>
      <c r="AX265" s="47" t="s">
        <v>0</v>
      </c>
      <c r="AY265" s="256" t="str">
        <f t="shared" si="237"/>
        <v/>
      </c>
      <c r="AZ265" s="47" t="s">
        <v>0</v>
      </c>
      <c r="BA265" s="52" t="str">
        <f t="shared" si="191"/>
        <v/>
      </c>
      <c r="BB265" s="73" t="str">
        <f>IF(AV265&amp;AW265="","",MAX(BB$12:BB264)+1)</f>
        <v/>
      </c>
      <c r="BC265" s="268" t="str">
        <f t="shared" si="192"/>
        <v/>
      </c>
      <c r="BD265" s="53" t="str">
        <f>IF(AND(AM265="NEMA",AN265="NEMA",OR(AV265&amp;AW265="",BC265="NEMA")),MAX(BD$12:BD264)+1,"")</f>
        <v/>
      </c>
      <c r="BE265" s="47" t="s">
        <v>0</v>
      </c>
      <c r="BF265" s="52" t="str">
        <f t="shared" si="193"/>
        <v>Olga</v>
      </c>
      <c r="BG265" s="31" t="str">
        <f t="shared" si="194"/>
        <v>Pajnić</v>
      </c>
      <c r="BH265" s="73" t="str">
        <f t="shared" si="220"/>
        <v/>
      </c>
      <c r="BI265" s="53">
        <f t="shared" si="221"/>
        <v>1212</v>
      </c>
      <c r="BJ265" s="47" t="s">
        <v>0</v>
      </c>
      <c r="BK265" s="52" t="str">
        <f t="shared" si="195"/>
        <v>KAP</v>
      </c>
      <c r="BL265" s="31" t="str">
        <f t="shared" si="196"/>
        <v>OK Kapela</v>
      </c>
      <c r="BM265" s="73">
        <f t="shared" si="197"/>
        <v>5</v>
      </c>
      <c r="BN265" s="73" t="str">
        <f t="shared" si="198"/>
        <v/>
      </c>
      <c r="BO265" s="31" t="str" cm="1">
        <f t="array" ref="BO265">IF(BN265="",""&amp;BL265,IF(BN265="NEMA",BL265,INDEX(regKlub_naziv,MATCH(INDEX(regKlub_alias_klubId,BN265),regKlub_id,0))))</f>
        <v>OK Kapela</v>
      </c>
      <c r="BP265" s="31" t="str" cm="1">
        <f t="array" ref="BP265">IFERROR(""&amp;INDEX(regNatjecatelj_klub,DY265),"")</f>
        <v>OK Kapela</v>
      </c>
      <c r="BQ265" s="88" t="str">
        <f t="shared" si="222"/>
        <v/>
      </c>
      <c r="BR265" s="66" t="str">
        <f t="shared" si="223"/>
        <v>OK Kapela</v>
      </c>
      <c r="BS265" s="47" t="s">
        <v>0</v>
      </c>
      <c r="BT265" s="82" t="str">
        <f>IF(BN265&lt;&gt;"NEMA","",IF(IFERROR(MATCH(BL265,BL$12:BL264,0),0)&lt;&gt;0,"",BL265))</f>
        <v/>
      </c>
      <c r="BU265" s="47" t="s">
        <v>0</v>
      </c>
      <c r="BV265" s="125"/>
      <c r="BW265" s="47" t="s">
        <v>0</v>
      </c>
      <c r="BX265" s="58" t="str">
        <f t="shared" si="224"/>
        <v/>
      </c>
      <c r="BY265" s="31" t="str">
        <f t="shared" si="225"/>
        <v/>
      </c>
      <c r="BZ265" s="31" t="str">
        <f>IF(BY265="","",MAX(BZ$12:BZ264)+1)</f>
        <v/>
      </c>
      <c r="CA265" s="31" t="str">
        <f>IF(BY265="","",IF(AA265="","",IF(AA265="NEMA",AC265,AA265)))</f>
        <v/>
      </c>
      <c r="CB265" s="31" t="str">
        <f t="shared" si="226"/>
        <v/>
      </c>
      <c r="CC265" s="31" t="str">
        <f>IF(BV265="","",MAX(CC$12:CC264)+1)</f>
        <v/>
      </c>
      <c r="CD265" s="31" t="str">
        <f t="shared" si="227"/>
        <v/>
      </c>
      <c r="CE265" s="66" t="str">
        <f t="shared" si="228"/>
        <v/>
      </c>
      <c r="CF265" s="47" t="s">
        <v>0</v>
      </c>
      <c r="CG265" s="73" t="str">
        <f>IF(BN265="","",IF(BN265&lt;&gt;"NEMA","",IFERROR(INDEX(nat_klubAliasId,MATCH(BL265,nat_noviKluboviAliasi,0)),"")))</f>
        <v/>
      </c>
      <c r="CH265" s="47"/>
      <c r="CI265" s="19" t="str">
        <f t="shared" si="229"/>
        <v/>
      </c>
      <c r="CJ265" s="47" t="s">
        <v>0</v>
      </c>
      <c r="CK265" s="52" t="str">
        <f>IF(X265&lt;&gt;"NEMA","",IF(IFERROR(MATCH(W265,W$12:W264,0),0)&lt;&gt;0,"",W265))</f>
        <v/>
      </c>
      <c r="CL265" s="73" t="str">
        <f>IF(CK265="","",IFERROR(INDEX(regKlub_alias_id,MATCH(CK265,regKlub_alias_alias,0)),"NEMA"))</f>
        <v/>
      </c>
      <c r="CM265" s="31" t="str">
        <f>IF(OR(CL265="",CL265&lt;&gt;"NEMA"),"",MAX(CM$12:CM264)+1)</f>
        <v/>
      </c>
      <c r="CN265" s="66" t="str">
        <f>IF(OR(CL265="",CL265&lt;&gt;"NEMA"),"",INDEX(regKlub_id,MATCH(CK265,regKlub_naziv,0)))</f>
        <v/>
      </c>
      <c r="CO265" s="47" t="s">
        <v>0</v>
      </c>
      <c r="CP265" s="19" t="str">
        <f>IF(OR(CL265="",CL265&lt;&gt;"NEMA"),"","INSERT INTO klub_alias(id,alias,klub_id) VALUES ("&amp;CM265&amp;",'"&amp;CK265&amp;"',"&amp;CN265&amp;");")</f>
        <v/>
      </c>
      <c r="CQ265" s="47" t="s">
        <v>0</v>
      </c>
      <c r="CR265" s="143" t="str">
        <f>IF(BR265="","",IF(BV265="",IF(IFERROR(MATCH(BR265,nat_noviKluboviAliasi,0),0)&gt;0,INDEX(nat_kluboviAliasi,MATCH(BR265,nat_noviKluboviAliasi,0)),BR265),BV265))</f>
        <v>OK Kapela</v>
      </c>
      <c r="CS265" s="47" t="s">
        <v>0</v>
      </c>
      <c r="CT265" s="58" t="str">
        <f>IF(G265="","",G265)</f>
        <v>61:07</v>
      </c>
      <c r="CU265" s="73" t="str">
        <f>IF(H265="","",H265)</f>
        <v>0</v>
      </c>
      <c r="CV265" s="229" t="str">
        <f>IF(CT265="",IF(OR(AL265="",CU265&lt;&gt;"0"),"","GREŠKA"),IF(AND(65535&gt;=VALUE(LEFT(CT265,SEARCH(":",CT265)-1))*60+VALUE(RIGHT(CT265,2)),OR(CU265="0",CU265="1",CU265="2",CU265="3",CU265="4")),"","GREŠKA"))</f>
        <v/>
      </c>
      <c r="CW265" s="230">
        <f t="shared" si="239"/>
        <v>3667</v>
      </c>
      <c r="CX265" s="163">
        <f t="shared" si="199"/>
        <v>1</v>
      </c>
      <c r="CY265" s="47" t="s">
        <v>0</v>
      </c>
      <c r="CZ265" s="222" t="str">
        <f>IF(CV265&lt;&gt;"GREŠKA","",AK265&amp;" "&amp;AL265&amp;" – Molim u OEventu provjeriti i ispraviti rezultat – vrijeme ("&amp;IF(CT265="","nije upisano",CT265)&amp;") i classifier ("&amp;CU265&amp;").")&amp;IF(OR(CV265&lt;&gt;"GREŠKA",CX265&lt;&gt;5),"
","")&amp;IF(CX265&lt;&gt;5,"",AK265&amp;" "&amp;AL265&amp;" – Molim u provjeriti je li natjecatelj zaista diskvalificiran. Ako je koje je obrazloženje, ako nije molim u OEventu ispraviti rezultat")</f>
        <v xml:space="preserve">
</v>
      </c>
      <c r="DA265" s="223">
        <f t="shared" si="230"/>
        <v>6</v>
      </c>
      <c r="DB265" s="47" t="s">
        <v>0</v>
      </c>
      <c r="DC265" s="47"/>
      <c r="DD265" s="47"/>
      <c r="DE265" s="47"/>
      <c r="DF265" s="47" t="s">
        <v>0</v>
      </c>
      <c r="DG265" s="53" t="str">
        <f>IF(BD265="","",IF(DI265="O",1,""))</f>
        <v/>
      </c>
      <c r="DH265" t="s">
        <v>0</v>
      </c>
      <c r="DI265" s="128" t="str">
        <f>IF(Q265="","",LEFT(INDEX(regKategorija_oznaka,MATCH(S265,regKategorija_id,0)),1))</f>
        <v>Ž</v>
      </c>
      <c r="DJ265" t="s">
        <v>0</v>
      </c>
      <c r="DK265" s="52" t="str">
        <f>IF(BD265="","",IF(M265&lt;&gt;"CRO","","INSERT INTO osoba (id,reg_broj,oib,spol_id,dat_rodjenja) VALUES ("&amp;BD265&amp;",(SELECT max(os.reg_broj)+1 FROM osoba AS os),Null,'"&amp;DI265&amp;"',Null); INSERT INTO osoba_log (id,reg_broj,oib,spol_id,dat_rodjenja,dnevnik_id) SELECT id,reg_broj,oib,spol_id,dat_rodjenja,"&amp;data_dnevnik_id&amp;" FROM osoba WHERE id = "&amp;BD265&amp;";"))</f>
        <v/>
      </c>
      <c r="DL265" s="66" t="str">
        <f>IF(BD265="","","INSERT INTO imeprezime (id,osoba_id,rbr,ime,prezime,klub_id,identitet_id,sintaksa_id,info,aktivno,dnevnik_id) VALUES ("&amp;BD265&amp;","&amp;IF(DK265="","Null",BD265)&amp;",1,'"&amp;IF(AV265&lt;&gt;"",AV265,AK265)&amp;"','"&amp;IF(AW265&lt;&gt;"",AW265,AL265)&amp;"',(SELECT id FROM klub WHERE naziv = '"&amp;CR265&amp;"'),Null,1,'',1,"&amp;data_dnevnik_id&amp;");")</f>
        <v/>
      </c>
      <c r="DM265" t="s">
        <v>0</v>
      </c>
      <c r="DN265" s="19" t="str">
        <f t="shared" si="238"/>
        <v/>
      </c>
      <c r="DO265" s="47" t="s">
        <v>0</v>
      </c>
      <c r="DP265" s="19" t="str">
        <f>IF(BA265="","","INSERT INTO imeprezime_alias(id,alias,imeprezime_id) VALUES ("&amp;BB265&amp;",'"&amp;BA265&amp;"',"&amp;IF(BC265="NEMA",BD265,BC265)&amp;");")</f>
        <v/>
      </c>
      <c r="DQ265" s="47" t="s">
        <v>0</v>
      </c>
      <c r="DR265" s="52" t="str">
        <f>IF(AL265="","",DU265 &amp; IF(Q265="",""," – " &amp; Q265))</f>
        <v>Olga – Pajnić – OK Kapela – Ž21B</v>
      </c>
      <c r="DS265" s="53">
        <f t="shared" si="200"/>
        <v>291</v>
      </c>
      <c r="DT265" s="47" t="s">
        <v>0</v>
      </c>
      <c r="DU265" s="52" t="str">
        <f>IF(AL265="","",DX265 &amp; IF(CR265="",""," – " &amp; CR265))</f>
        <v>Olga – Pajnić – OK Kapela</v>
      </c>
      <c r="DV265" s="53">
        <f t="shared" si="201"/>
        <v>291</v>
      </c>
      <c r="DW265" s="47" t="s">
        <v>0</v>
      </c>
      <c r="DX265" s="52" t="str">
        <f>IF(BG265="","",BF265&amp;" – "&amp;BG265)</f>
        <v>Olga – Pajnić</v>
      </c>
      <c r="DY265" s="53">
        <f t="shared" si="202"/>
        <v>291</v>
      </c>
      <c r="DZ265" s="47" t="s">
        <v>0</v>
      </c>
      <c r="EA265" s="58">
        <f t="shared" si="231"/>
        <v>291</v>
      </c>
      <c r="EB265" s="53" cm="1">
        <f t="array" ref="EB265">IF(EA265&lt;&gt;"",INDEX(regNatjecatelj_id,EA265,0),IF(BD265&lt;&gt;"",BD265,""))</f>
        <v>1212</v>
      </c>
      <c r="EC265" s="47" t="s">
        <v>0</v>
      </c>
      <c r="ED265" s="58" t="str">
        <f>IF(AL265="","",IF(BD265&lt;&gt;"","novo",IF(AN265="","imepre","imepre(ali)")))</f>
        <v>imepre</v>
      </c>
      <c r="EE265" s="73" t="str">
        <f>IF(AL265="","",IF(BL265="",IF(IFERROR(INDEX(regNatjecatelj_klub,MATCH(EB265,regNatjecatelj_id,0)),"NEMA")="","klu",""),IF(OR(AND(BN265&lt;&gt;"",BN265&lt;&gt;"NEMA"),CD265&lt;&gt;""),"klu(ali)",IF(AND(BP265&lt;&gt;"",BP265&lt;&gt;BO265),"(raz-klu)","klu"))))</f>
        <v>klu</v>
      </c>
      <c r="EF265" s="73" t="str">
        <f>IF(AL265="","","kat"&amp;IF(AND(W265&lt;&gt;Q265,Q265&lt;&gt;"Open"),"(ali)",""))</f>
        <v>kat</v>
      </c>
      <c r="EG265" s="73" t="str">
        <f t="shared" si="203"/>
        <v/>
      </c>
      <c r="EH265" s="66" t="str">
        <f>IF(AL265="","",ED265&amp;IF(ED265="novo","","-"&amp;EE265&amp;"-"&amp;EF265)&amp;IF(EG265="","","-"&amp;EG265))</f>
        <v>imepre-klu-kat</v>
      </c>
      <c r="EI265" s="47" t="s">
        <v>0</v>
      </c>
      <c r="EJ265" s="58">
        <f>IF(AL265="","",MAX(EJ$12:EJ264)+1)</f>
        <v>416</v>
      </c>
      <c r="EK265" s="73">
        <f>IF(AO265="","",X265)</f>
        <v>40</v>
      </c>
      <c r="EL265" s="73">
        <f t="shared" si="232"/>
        <v>1212</v>
      </c>
      <c r="EM265" s="73">
        <f t="shared" si="204"/>
        <v>3667</v>
      </c>
      <c r="EN265" s="73">
        <f t="shared" si="205"/>
        <v>1</v>
      </c>
      <c r="EO265" s="73">
        <f t="shared" si="233"/>
        <v>1</v>
      </c>
      <c r="EP265" s="73">
        <f t="shared" si="234"/>
        <v>1</v>
      </c>
      <c r="EQ265" s="73" t="str">
        <f t="shared" si="206"/>
        <v>0</v>
      </c>
      <c r="ER265" s="73" t="str">
        <f>IF(OR(AN265="",AN265="NEMA"),BB265,AN265)</f>
        <v/>
      </c>
      <c r="ES265" s="73" t="str">
        <f>IF(AND(BN265&lt;&gt;"",BN265&lt;&gt;"NEMA"),BN265,IF(CG265&lt;&gt;"",CG265,IF(AND(CL265&lt;&gt;"",CL265&lt;&gt;"NEMA"),CL265,IF(CM265&lt;&gt;"",CM265,""))))</f>
        <v/>
      </c>
      <c r="ET265" s="53" t="str">
        <f>IF(INDEX(natKategorija_alias_Id,MATCH(S265,natKategorija_katRegId,0))="","",INDEX(natKategorija_alias_Id,MATCH(S265,natKategorija_katRegId,0)))</f>
        <v/>
      </c>
      <c r="EU265" s="47" t="s">
        <v>0</v>
      </c>
      <c r="EV265" s="19" t="str">
        <f t="shared" si="235"/>
        <v>INSERT INTO rezultat(id,stazakategorija_id,imeprezime_id,vrijeme_sec,status_id,registracija,uparivanje_id,originalstatus_id,imeprezimealias_id,klubalias_id,kategorijaalias_id) VALUES (416,40,1212,3667,1,1,1,0,Null,Null,Null);</v>
      </c>
      <c r="EW265" s="47" t="s">
        <v>0</v>
      </c>
      <c r="EX265" s="19" t="str">
        <f t="shared" si="236"/>
        <v>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65" s="47" t="s">
        <v>0</v>
      </c>
      <c r="EZ265" s="180" t="str">
        <f>AG265&amp;IF(CP265="","","
")&amp;CP265&amp;IF(CI265="","","
")&amp;CI265&amp;IF(DN265="","","
")&amp;DN265&amp;IF(DP265="","","
")&amp;DP265&amp;IF(EV265="","","
")&amp;EV265&amp;IF(EX265="","","
")&amp;EX265</f>
        <v xml:space="preserve">
INSERT INTO rezultat(id,stazakategorija_id,imeprezime_id,vrijeme_sec,status_id,registracija,uparivanje_id,originalstatus_id,imeprezimealias_id,klubalias_id,kategorijaalias_id) VALUES (416,40,1212,3667,1,1,1,0,Null,Null,Null);
UPDATE
	registar
SET
	potvrda = 1
WHERE
	imeprezime_id=1212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65" s="47" t="s">
        <v>0</v>
      </c>
    </row>
    <row r="266" spans="1:157" x14ac:dyDescent="0.25">
      <c r="A266" t="s">
        <v>0</v>
      </c>
      <c r="B266" s="52" t="str">
        <f>IF(csv!F256="","",csv!T256)</f>
        <v>Ž21B</v>
      </c>
      <c r="C266" s="31" t="s">
        <v>0</v>
      </c>
      <c r="D266" s="31" t="str">
        <f>IF(csv!F256="","",csv!F256)</f>
        <v>Ines</v>
      </c>
      <c r="E266" s="31" t="str">
        <f>IF(csv!E256="","",csv!E256)</f>
        <v>Mance</v>
      </c>
      <c r="F266" s="31" t="s">
        <v>0</v>
      </c>
      <c r="G266" s="73" t="str">
        <f>IF(csv!M256="","",csv!M256)</f>
        <v>63:56</v>
      </c>
      <c r="H266" s="73" t="str">
        <f>IF(csv!N256="","",csv!N256)</f>
        <v>0</v>
      </c>
      <c r="I266" s="31" t="s">
        <v>0</v>
      </c>
      <c r="J266" s="31" t="str">
        <f>IF(csv!P256="","",csv!P256)</f>
        <v>Vihor</v>
      </c>
      <c r="K266" s="31" t="str">
        <f>IF(csv!Q256="","",csv!Q256)</f>
        <v>OK Vihor</v>
      </c>
      <c r="L266" s="31" t="s">
        <v>0</v>
      </c>
      <c r="M266" s="66" t="str">
        <f>IF(csv!R256="","",csv!R256)</f>
        <v>CRO</v>
      </c>
      <c r="N266" s="47" t="s">
        <v>0</v>
      </c>
      <c r="O266" s="243" t="str">
        <f t="shared" si="207"/>
        <v>ok</v>
      </c>
      <c r="P266" s="47"/>
      <c r="Q266" s="52" t="str">
        <f t="shared" si="208"/>
        <v>Ž21B</v>
      </c>
      <c r="R266" s="73">
        <f>IF(Q266="","",IF(COUNTIF(Q$12:Q265,Q266)=0,R265+1,R265))</f>
        <v>18</v>
      </c>
      <c r="S266" s="73">
        <f t="shared" si="209"/>
        <v>118</v>
      </c>
      <c r="T266" s="73">
        <f t="shared" si="184"/>
        <v>27</v>
      </c>
      <c r="U266" s="66" t="str">
        <f t="shared" si="185"/>
        <v>Ž21B – Ž16</v>
      </c>
      <c r="V266" s="47" t="s">
        <v>0</v>
      </c>
      <c r="W266" s="222" t="str">
        <f t="shared" si="186"/>
        <v>Ž21B</v>
      </c>
      <c r="X266" s="223">
        <f t="shared" si="187"/>
        <v>40</v>
      </c>
      <c r="Y266" s="47" t="s">
        <v>0</v>
      </c>
      <c r="Z266" s="52" t="str">
        <f t="shared" si="210"/>
        <v>CRO</v>
      </c>
      <c r="AA266" s="73">
        <f t="shared" si="188"/>
        <v>1</v>
      </c>
      <c r="AB266" s="31" t="str">
        <f t="shared" si="211"/>
        <v/>
      </c>
      <c r="AC266" s="66" t="str">
        <f>IF(AB266="","",MAX(AC$12:AC265)+1)</f>
        <v/>
      </c>
      <c r="AD266" s="47" t="s">
        <v>0</v>
      </c>
      <c r="AE266" s="125"/>
      <c r="AF266" s="47" t="s">
        <v>0</v>
      </c>
      <c r="AG266" s="19" t="str">
        <f t="shared" si="212"/>
        <v/>
      </c>
      <c r="AH266" s="47" t="s">
        <v>0</v>
      </c>
      <c r="AI266" s="143" t="str">
        <f t="shared" si="213"/>
        <v>CRO</v>
      </c>
      <c r="AJ266" s="47"/>
      <c r="AK266" s="52" t="str">
        <f t="shared" si="214"/>
        <v>Ines</v>
      </c>
      <c r="AL266" s="31" t="str">
        <f t="shared" si="215"/>
        <v>Mance</v>
      </c>
      <c r="AM266" s="73">
        <f t="shared" si="216"/>
        <v>1353</v>
      </c>
      <c r="AN266" s="73" t="str">
        <f t="shared" si="217"/>
        <v/>
      </c>
      <c r="AO266" s="31" t="str">
        <f t="shared" si="189"/>
        <v>Ines</v>
      </c>
      <c r="AP266" s="66" t="str">
        <f t="shared" si="190"/>
        <v>Mance</v>
      </c>
      <c r="AQ266" s="47" t="s">
        <v>0</v>
      </c>
      <c r="AR266" s="82" t="str">
        <f t="shared" si="218"/>
        <v/>
      </c>
      <c r="AS266" s="47" t="s">
        <v>0</v>
      </c>
      <c r="AT266" s="19" t="str">
        <f t="shared" si="219"/>
        <v/>
      </c>
      <c r="AU266" s="47" t="s">
        <v>0</v>
      </c>
      <c r="AV266" s="103"/>
      <c r="AW266" s="105"/>
      <c r="AX266" s="47" t="s">
        <v>0</v>
      </c>
      <c r="AY266" s="256" t="str">
        <f t="shared" si="237"/>
        <v/>
      </c>
      <c r="AZ266" s="47" t="s">
        <v>0</v>
      </c>
      <c r="BA266" s="52" t="str">
        <f t="shared" si="191"/>
        <v/>
      </c>
      <c r="BB266" s="73" t="str">
        <f>IF(AV266&amp;AW266="","",MAX(BB$12:BB265)+1)</f>
        <v/>
      </c>
      <c r="BC266" s="268" t="str">
        <f t="shared" si="192"/>
        <v/>
      </c>
      <c r="BD266" s="53" t="str">
        <f>IF(AND(AM266="NEMA",AN266="NEMA",OR(AV266&amp;AW266="",BC266="NEMA")),MAX(BD$12:BD265)+1,"")</f>
        <v/>
      </c>
      <c r="BE266" s="47" t="s">
        <v>0</v>
      </c>
      <c r="BF266" s="52" t="str">
        <f t="shared" si="193"/>
        <v>Ines</v>
      </c>
      <c r="BG266" s="31" t="str">
        <f t="shared" si="194"/>
        <v>Mance</v>
      </c>
      <c r="BH266" s="73" t="str">
        <f t="shared" si="220"/>
        <v/>
      </c>
      <c r="BI266" s="53">
        <f t="shared" si="221"/>
        <v>1353</v>
      </c>
      <c r="BJ266" s="47" t="s">
        <v>0</v>
      </c>
      <c r="BK266" s="52" t="str">
        <f t="shared" si="195"/>
        <v>Vihor</v>
      </c>
      <c r="BL266" s="31" t="str">
        <f t="shared" si="196"/>
        <v>OK Vihor</v>
      </c>
      <c r="BM266" s="73">
        <f t="shared" si="197"/>
        <v>12</v>
      </c>
      <c r="BN266" s="73" t="str">
        <f t="shared" si="198"/>
        <v/>
      </c>
      <c r="BO266" s="31" t="str" cm="1">
        <f t="array" ref="BO266">IF(BN266="",""&amp;BL266,IF(BN266="NEMA",BL266,INDEX(regKlub_naziv,MATCH(INDEX(regKlub_alias_klubId,BN266),regKlub_id,0))))</f>
        <v>OK Vihor</v>
      </c>
      <c r="BP266" s="31" t="str" cm="1">
        <f t="array" ref="BP266">IFERROR(""&amp;INDEX(regNatjecatelj_klub,DY266),"")</f>
        <v>OK Vihor</v>
      </c>
      <c r="BQ266" s="88" t="str">
        <f t="shared" si="222"/>
        <v/>
      </c>
      <c r="BR266" s="66" t="str">
        <f t="shared" si="223"/>
        <v>OK Vihor</v>
      </c>
      <c r="BS266" s="47" t="s">
        <v>0</v>
      </c>
      <c r="BT266" s="82" t="str">
        <f>IF(BN266&lt;&gt;"NEMA","",IF(IFERROR(MATCH(BL266,BL$12:BL265,0),0)&lt;&gt;0,"",BL266))</f>
        <v/>
      </c>
      <c r="BU266" s="47" t="s">
        <v>0</v>
      </c>
      <c r="BV266" s="125"/>
      <c r="BW266" s="47" t="s">
        <v>0</v>
      </c>
      <c r="BX266" s="58" t="str">
        <f t="shared" si="224"/>
        <v/>
      </c>
      <c r="BY266" s="31" t="str">
        <f t="shared" si="225"/>
        <v/>
      </c>
      <c r="BZ266" s="31" t="str">
        <f>IF(BY266="","",MAX(BZ$12:BZ265)+1)</f>
        <v/>
      </c>
      <c r="CA266" s="31" t="str">
        <f>IF(BY266="","",IF(AA266="","",IF(AA266="NEMA",AC266,AA266)))</f>
        <v/>
      </c>
      <c r="CB266" s="31" t="str">
        <f t="shared" si="226"/>
        <v/>
      </c>
      <c r="CC266" s="31" t="str">
        <f>IF(BV266="","",MAX(CC$12:CC265)+1)</f>
        <v/>
      </c>
      <c r="CD266" s="31" t="str">
        <f t="shared" si="227"/>
        <v/>
      </c>
      <c r="CE266" s="66" t="str">
        <f t="shared" si="228"/>
        <v/>
      </c>
      <c r="CF266" s="47" t="s">
        <v>0</v>
      </c>
      <c r="CG266" s="73" t="str">
        <f>IF(BN266="","",IF(BN266&lt;&gt;"NEMA","",IFERROR(INDEX(nat_klubAliasId,MATCH(BL266,nat_noviKluboviAliasi,0)),"")))</f>
        <v/>
      </c>
      <c r="CH266" s="47"/>
      <c r="CI266" s="19" t="str">
        <f t="shared" si="229"/>
        <v/>
      </c>
      <c r="CJ266" s="47" t="s">
        <v>0</v>
      </c>
      <c r="CK266" s="52" t="str">
        <f>IF(X266&lt;&gt;"NEMA","",IF(IFERROR(MATCH(W266,W$12:W265,0),0)&lt;&gt;0,"",W266))</f>
        <v/>
      </c>
      <c r="CL266" s="73" t="str">
        <f>IF(CK266="","",IFERROR(INDEX(regKlub_alias_id,MATCH(CK266,regKlub_alias_alias,0)),"NEMA"))</f>
        <v/>
      </c>
      <c r="CM266" s="31" t="str">
        <f>IF(OR(CL266="",CL266&lt;&gt;"NEMA"),"",MAX(CM$12:CM265)+1)</f>
        <v/>
      </c>
      <c r="CN266" s="66" t="str">
        <f>IF(OR(CL266="",CL266&lt;&gt;"NEMA"),"",INDEX(regKlub_id,MATCH(CK266,regKlub_naziv,0)))</f>
        <v/>
      </c>
      <c r="CO266" s="47" t="s">
        <v>0</v>
      </c>
      <c r="CP266" s="19" t="str">
        <f>IF(OR(CL266="",CL266&lt;&gt;"NEMA"),"","INSERT INTO klub_alias(id,alias,klub_id) VALUES ("&amp;CM266&amp;",'"&amp;CK266&amp;"',"&amp;CN266&amp;");")</f>
        <v/>
      </c>
      <c r="CQ266" s="47" t="s">
        <v>0</v>
      </c>
      <c r="CR266" s="143" t="str">
        <f>IF(BR266="","",IF(BV266="",IF(IFERROR(MATCH(BR266,nat_noviKluboviAliasi,0),0)&gt;0,INDEX(nat_kluboviAliasi,MATCH(BR266,nat_noviKluboviAliasi,0)),BR266),BV266))</f>
        <v>OK Vihor</v>
      </c>
      <c r="CS266" s="47" t="s">
        <v>0</v>
      </c>
      <c r="CT266" s="58" t="str">
        <f>IF(G266="","",G266)</f>
        <v>63:56</v>
      </c>
      <c r="CU266" s="73" t="str">
        <f>IF(H266="","",H266)</f>
        <v>0</v>
      </c>
      <c r="CV266" s="229" t="str">
        <f>IF(CT266="",IF(OR(AL266="",CU266&lt;&gt;"0"),"","GREŠKA"),IF(AND(65535&gt;=VALUE(LEFT(CT266,SEARCH(":",CT266)-1))*60+VALUE(RIGHT(CT266,2)),OR(CU266="0",CU266="1",CU266="2",CU266="3",CU266="4")),"","GREŠKA"))</f>
        <v/>
      </c>
      <c r="CW266" s="230">
        <f t="shared" si="239"/>
        <v>3836</v>
      </c>
      <c r="CX266" s="163">
        <f t="shared" si="199"/>
        <v>1</v>
      </c>
      <c r="CY266" s="47" t="s">
        <v>0</v>
      </c>
      <c r="CZ266" s="222" t="str">
        <f>IF(CV266&lt;&gt;"GREŠKA","",AK266&amp;" "&amp;AL266&amp;" – Molim u OEventu provjeriti i ispraviti rezultat – vrijeme ("&amp;IF(CT266="","nije upisano",CT266)&amp;") i classifier ("&amp;CU266&amp;").")&amp;IF(OR(CV266&lt;&gt;"GREŠKA",CX266&lt;&gt;5),"
","")&amp;IF(CX266&lt;&gt;5,"",AK266&amp;" "&amp;AL266&amp;" – Molim u provjeriti je li natjecatelj zaista diskvalificiran. Ako je koje je obrazloženje, ako nije molim u OEventu ispraviti rezultat")</f>
        <v xml:space="preserve">
</v>
      </c>
      <c r="DA266" s="223">
        <f t="shared" si="230"/>
        <v>6</v>
      </c>
      <c r="DB266" s="47" t="s">
        <v>0</v>
      </c>
      <c r="DC266" s="47"/>
      <c r="DD266" s="47"/>
      <c r="DE266" s="47"/>
      <c r="DF266" s="47" t="s">
        <v>0</v>
      </c>
      <c r="DG266" s="53" t="str">
        <f>IF(BD266="","",IF(DI266="O",1,""))</f>
        <v/>
      </c>
      <c r="DH266" t="s">
        <v>0</v>
      </c>
      <c r="DI266" s="128" t="str">
        <f>IF(Q266="","",LEFT(INDEX(regKategorija_oznaka,MATCH(S266,regKategorija_id,0)),1))</f>
        <v>Ž</v>
      </c>
      <c r="DJ266" t="s">
        <v>0</v>
      </c>
      <c r="DK266" s="52" t="str">
        <f>IF(BD266="","",IF(M266&lt;&gt;"CRO","","INSERT INTO osoba (id,reg_broj,oib,spol_id,dat_rodjenja) VALUES ("&amp;BD266&amp;",(SELECT max(os.reg_broj)+1 FROM osoba AS os),Null,'"&amp;DI266&amp;"',Null); INSERT INTO osoba_log (id,reg_broj,oib,spol_id,dat_rodjenja,dnevnik_id) SELECT id,reg_broj,oib,spol_id,dat_rodjenja,"&amp;data_dnevnik_id&amp;" FROM osoba WHERE id = "&amp;BD266&amp;";"))</f>
        <v/>
      </c>
      <c r="DL266" s="66" t="str">
        <f>IF(BD266="","","INSERT INTO imeprezime (id,osoba_id,rbr,ime,prezime,klub_id,identitet_id,sintaksa_id,info,aktivno,dnevnik_id) VALUES ("&amp;BD266&amp;","&amp;IF(DK266="","Null",BD266)&amp;",1,'"&amp;IF(AV266&lt;&gt;"",AV266,AK266)&amp;"','"&amp;IF(AW266&lt;&gt;"",AW266,AL266)&amp;"',(SELECT id FROM klub WHERE naziv = '"&amp;CR266&amp;"'),Null,1,'',1,"&amp;data_dnevnik_id&amp;");")</f>
        <v/>
      </c>
      <c r="DM266" t="s">
        <v>0</v>
      </c>
      <c r="DN266" s="19" t="str">
        <f t="shared" si="238"/>
        <v/>
      </c>
      <c r="DO266" s="47" t="s">
        <v>0</v>
      </c>
      <c r="DP266" s="19" t="str">
        <f>IF(BA266="","","INSERT INTO imeprezime_alias(id,alias,imeprezime_id) VALUES ("&amp;BB266&amp;",'"&amp;BA266&amp;"',"&amp;IF(BC266="NEMA",BD266,BC266)&amp;");")</f>
        <v/>
      </c>
      <c r="DQ266" s="47" t="s">
        <v>0</v>
      </c>
      <c r="DR266" s="52" t="str">
        <f>IF(AL266="","",DU266 &amp; IF(Q266="",""," – " &amp; Q266))</f>
        <v>Ines – Mance – OK Vihor – Ž21B</v>
      </c>
      <c r="DS266" s="53">
        <f t="shared" si="200"/>
        <v>783</v>
      </c>
      <c r="DT266" s="47" t="s">
        <v>0</v>
      </c>
      <c r="DU266" s="52" t="str">
        <f>IF(AL266="","",DX266 &amp; IF(CR266="",""," – " &amp; CR266))</f>
        <v>Ines – Mance – OK Vihor</v>
      </c>
      <c r="DV266" s="53">
        <f t="shared" si="201"/>
        <v>783</v>
      </c>
      <c r="DW266" s="47" t="s">
        <v>0</v>
      </c>
      <c r="DX266" s="52" t="str">
        <f>IF(BG266="","",BF266&amp;" – "&amp;BG266)</f>
        <v>Ines – Mance</v>
      </c>
      <c r="DY266" s="53">
        <f t="shared" si="202"/>
        <v>783</v>
      </c>
      <c r="DZ266" s="47" t="s">
        <v>0</v>
      </c>
      <c r="EA266" s="58">
        <f t="shared" si="231"/>
        <v>783</v>
      </c>
      <c r="EB266" s="53" cm="1">
        <f t="array" ref="EB266">IF(EA266&lt;&gt;"",INDEX(regNatjecatelj_id,EA266,0),IF(BD266&lt;&gt;"",BD266,""))</f>
        <v>1353</v>
      </c>
      <c r="EC266" s="47" t="s">
        <v>0</v>
      </c>
      <c r="ED266" s="58" t="str">
        <f>IF(AL266="","",IF(BD266&lt;&gt;"","novo",IF(AN266="","imepre","imepre(ali)")))</f>
        <v>imepre</v>
      </c>
      <c r="EE266" s="73" t="str">
        <f>IF(AL266="","",IF(BL266="",IF(IFERROR(INDEX(regNatjecatelj_klub,MATCH(EB266,regNatjecatelj_id,0)),"NEMA")="","klu",""),IF(OR(AND(BN266&lt;&gt;"",BN266&lt;&gt;"NEMA"),CD266&lt;&gt;""),"klu(ali)",IF(AND(BP266&lt;&gt;"",BP266&lt;&gt;BO266),"(raz-klu)","klu"))))</f>
        <v>klu</v>
      </c>
      <c r="EF266" s="73" t="str">
        <f>IF(AL266="","","kat"&amp;IF(AND(W266&lt;&gt;Q266,Q266&lt;&gt;"Open"),"(ali)",""))</f>
        <v>kat</v>
      </c>
      <c r="EG266" s="73" t="str">
        <f t="shared" si="203"/>
        <v/>
      </c>
      <c r="EH266" s="66" t="str">
        <f>IF(AL266="","",ED266&amp;IF(ED266="novo","","-"&amp;EE266&amp;"-"&amp;EF266)&amp;IF(EG266="","","-"&amp;EG266))</f>
        <v>imepre-klu-kat</v>
      </c>
      <c r="EI266" s="47" t="s">
        <v>0</v>
      </c>
      <c r="EJ266" s="58">
        <f>IF(AL266="","",MAX(EJ$12:EJ265)+1)</f>
        <v>417</v>
      </c>
      <c r="EK266" s="73">
        <f>IF(AO266="","",X266)</f>
        <v>40</v>
      </c>
      <c r="EL266" s="73">
        <f t="shared" si="232"/>
        <v>1353</v>
      </c>
      <c r="EM266" s="73">
        <f t="shared" si="204"/>
        <v>3836</v>
      </c>
      <c r="EN266" s="73">
        <f t="shared" si="205"/>
        <v>1</v>
      </c>
      <c r="EO266" s="73">
        <f t="shared" si="233"/>
        <v>1</v>
      </c>
      <c r="EP266" s="73">
        <f t="shared" si="234"/>
        <v>1</v>
      </c>
      <c r="EQ266" s="73" t="str">
        <f t="shared" si="206"/>
        <v>0</v>
      </c>
      <c r="ER266" s="73" t="str">
        <f>IF(OR(AN266="",AN266="NEMA"),BB266,AN266)</f>
        <v/>
      </c>
      <c r="ES266" s="73" t="str">
        <f>IF(AND(BN266&lt;&gt;"",BN266&lt;&gt;"NEMA"),BN266,IF(CG266&lt;&gt;"",CG266,IF(AND(CL266&lt;&gt;"",CL266&lt;&gt;"NEMA"),CL266,IF(CM266&lt;&gt;"",CM266,""))))</f>
        <v/>
      </c>
      <c r="ET266" s="53" t="str">
        <f>IF(INDEX(natKategorija_alias_Id,MATCH(S266,natKategorija_katRegId,0))="","",INDEX(natKategorija_alias_Id,MATCH(S266,natKategorija_katRegId,0)))</f>
        <v/>
      </c>
      <c r="EU266" s="47" t="s">
        <v>0</v>
      </c>
      <c r="EV266" s="19" t="str">
        <f t="shared" si="235"/>
        <v>INSERT INTO rezultat(id,stazakategorija_id,imeprezime_id,vrijeme_sec,status_id,registracija,uparivanje_id,originalstatus_id,imeprezimealias_id,klubalias_id,kategorijaalias_id) VALUES (417,40,1353,3836,1,1,1,0,Null,Null,Null);</v>
      </c>
      <c r="EW266" s="47" t="s">
        <v>0</v>
      </c>
      <c r="EX266" s="19" t="str">
        <f t="shared" si="236"/>
        <v>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66" s="47" t="s">
        <v>0</v>
      </c>
      <c r="EZ266" s="180" t="str">
        <f>AG266&amp;IF(CP266="","","
")&amp;CP266&amp;IF(CI266="","","
")&amp;CI266&amp;IF(DN266="","","
")&amp;DN266&amp;IF(DP266="","","
")&amp;DP266&amp;IF(EV266="","","
")&amp;EV266&amp;IF(EX266="","","
")&amp;EX266</f>
        <v xml:space="preserve">
INSERT INTO rezultat(id,stazakategorija_id,imeprezime_id,vrijeme_sec,status_id,registracija,uparivanje_id,originalstatus_id,imeprezimealias_id,klubalias_id,kategorijaalias_id) VALUES (417,40,1353,3836,1,1,1,0,Null,Null,Null);
UPDATE
	registar
SET
	potvrda = 1
WHERE
	imeprezime_id=1353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66" s="47" t="s">
        <v>0</v>
      </c>
    </row>
    <row r="267" spans="1:157" x14ac:dyDescent="0.25">
      <c r="A267" t="s">
        <v>0</v>
      </c>
      <c r="B267" s="52" t="str">
        <f>IF(csv!F257="","",csv!T257)</f>
        <v>Ž21B</v>
      </c>
      <c r="C267" s="31" t="s">
        <v>0</v>
      </c>
      <c r="D267" s="31" t="str">
        <f>IF(csv!F257="","",csv!F257)</f>
        <v>Lana</v>
      </c>
      <c r="E267" s="31" t="str">
        <f>IF(csv!E257="","",csv!E257)</f>
        <v>Gerjević</v>
      </c>
      <c r="F267" s="31" t="s">
        <v>0</v>
      </c>
      <c r="G267" s="73" t="str">
        <f>IF(csv!M257="","",csv!M257)</f>
        <v>64:18</v>
      </c>
      <c r="H267" s="73" t="str">
        <f>IF(csv!N257="","",csv!N257)</f>
        <v>0</v>
      </c>
      <c r="I267" s="31" t="s">
        <v>0</v>
      </c>
      <c r="J267" s="31" t="str">
        <f>IF(csv!P257="","",csv!P257)</f>
        <v>KAP</v>
      </c>
      <c r="K267" s="31" t="str">
        <f>IF(csv!Q257="","",csv!Q257)</f>
        <v>OK Kapela</v>
      </c>
      <c r="L267" s="31" t="s">
        <v>0</v>
      </c>
      <c r="M267" s="66" t="str">
        <f>IF(csv!R257="","",csv!R257)</f>
        <v>CRO</v>
      </c>
      <c r="N267" s="47" t="s">
        <v>0</v>
      </c>
      <c r="O267" s="243" t="str">
        <f t="shared" si="207"/>
        <v>ok</v>
      </c>
      <c r="P267" s="47"/>
      <c r="Q267" s="52" t="str">
        <f t="shared" si="208"/>
        <v>Ž21B</v>
      </c>
      <c r="R267" s="73">
        <f>IF(Q267="","",IF(COUNTIF(Q$12:Q266,Q267)=0,R266+1,R266))</f>
        <v>18</v>
      </c>
      <c r="S267" s="73">
        <f t="shared" si="209"/>
        <v>118</v>
      </c>
      <c r="T267" s="73">
        <f t="shared" si="184"/>
        <v>27</v>
      </c>
      <c r="U267" s="66" t="str">
        <f t="shared" si="185"/>
        <v>Ž21B – Ž16</v>
      </c>
      <c r="V267" s="47" t="s">
        <v>0</v>
      </c>
      <c r="W267" s="222" t="str">
        <f t="shared" si="186"/>
        <v>Ž21B</v>
      </c>
      <c r="X267" s="223">
        <f t="shared" si="187"/>
        <v>40</v>
      </c>
      <c r="Y267" s="47" t="s">
        <v>0</v>
      </c>
      <c r="Z267" s="52" t="str">
        <f t="shared" si="210"/>
        <v>CRO</v>
      </c>
      <c r="AA267" s="73">
        <f t="shared" si="188"/>
        <v>1</v>
      </c>
      <c r="AB267" s="31" t="str">
        <f t="shared" si="211"/>
        <v/>
      </c>
      <c r="AC267" s="66" t="str">
        <f>IF(AB267="","",MAX(AC$12:AC266)+1)</f>
        <v/>
      </c>
      <c r="AD267" s="47" t="s">
        <v>0</v>
      </c>
      <c r="AE267" s="125"/>
      <c r="AF267" s="47" t="s">
        <v>0</v>
      </c>
      <c r="AG267" s="19" t="str">
        <f t="shared" si="212"/>
        <v/>
      </c>
      <c r="AH267" s="47" t="s">
        <v>0</v>
      </c>
      <c r="AI267" s="143" t="str">
        <f t="shared" si="213"/>
        <v>CRO</v>
      </c>
      <c r="AJ267" s="47"/>
      <c r="AK267" s="52" t="str">
        <f t="shared" si="214"/>
        <v>Lana</v>
      </c>
      <c r="AL267" s="31" t="str">
        <f t="shared" si="215"/>
        <v>Gerjević</v>
      </c>
      <c r="AM267" s="73">
        <f t="shared" si="216"/>
        <v>1261</v>
      </c>
      <c r="AN267" s="73" t="str">
        <f t="shared" si="217"/>
        <v/>
      </c>
      <c r="AO267" s="31" t="str">
        <f t="shared" si="189"/>
        <v>Lana</v>
      </c>
      <c r="AP267" s="66" t="str">
        <f t="shared" si="190"/>
        <v>Gerjević</v>
      </c>
      <c r="AQ267" s="47" t="s">
        <v>0</v>
      </c>
      <c r="AR267" s="82" t="str">
        <f t="shared" si="218"/>
        <v/>
      </c>
      <c r="AS267" s="47" t="s">
        <v>0</v>
      </c>
      <c r="AT267" s="19" t="str">
        <f t="shared" si="219"/>
        <v/>
      </c>
      <c r="AU267" s="47" t="s">
        <v>0</v>
      </c>
      <c r="AV267" s="103"/>
      <c r="AW267" s="105"/>
      <c r="AX267" s="47" t="s">
        <v>0</v>
      </c>
      <c r="AY267" s="256" t="str">
        <f t="shared" si="237"/>
        <v/>
      </c>
      <c r="AZ267" s="47" t="s">
        <v>0</v>
      </c>
      <c r="BA267" s="52" t="str">
        <f t="shared" si="191"/>
        <v/>
      </c>
      <c r="BB267" s="73" t="str">
        <f>IF(AV267&amp;AW267="","",MAX(BB$12:BB266)+1)</f>
        <v/>
      </c>
      <c r="BC267" s="268" t="str">
        <f t="shared" si="192"/>
        <v/>
      </c>
      <c r="BD267" s="53" t="str">
        <f>IF(AND(AM267="NEMA",AN267="NEMA",OR(AV267&amp;AW267="",BC267="NEMA")),MAX(BD$12:BD266)+1,"")</f>
        <v/>
      </c>
      <c r="BE267" s="47" t="s">
        <v>0</v>
      </c>
      <c r="BF267" s="52" t="str">
        <f t="shared" si="193"/>
        <v>Lana</v>
      </c>
      <c r="BG267" s="31" t="str">
        <f t="shared" si="194"/>
        <v>Gerjević</v>
      </c>
      <c r="BH267" s="73" t="str">
        <f t="shared" si="220"/>
        <v/>
      </c>
      <c r="BI267" s="53">
        <f t="shared" si="221"/>
        <v>1261</v>
      </c>
      <c r="BJ267" s="47" t="s">
        <v>0</v>
      </c>
      <c r="BK267" s="52" t="str">
        <f t="shared" si="195"/>
        <v>KAP</v>
      </c>
      <c r="BL267" s="31" t="str">
        <f t="shared" si="196"/>
        <v>OK Kapela</v>
      </c>
      <c r="BM267" s="73">
        <f t="shared" si="197"/>
        <v>5</v>
      </c>
      <c r="BN267" s="73" t="str">
        <f t="shared" si="198"/>
        <v/>
      </c>
      <c r="BO267" s="31" t="str" cm="1">
        <f t="array" ref="BO267">IF(BN267="",""&amp;BL267,IF(BN267="NEMA",BL267,INDEX(regKlub_naziv,MATCH(INDEX(regKlub_alias_klubId,BN267),regKlub_id,0))))</f>
        <v>OK Kapela</v>
      </c>
      <c r="BP267" s="31" t="str" cm="1">
        <f t="array" ref="BP267">IFERROR(""&amp;INDEX(regNatjecatelj_klub,DY267),"")</f>
        <v>OK Kapela</v>
      </c>
      <c r="BQ267" s="88" t="str">
        <f t="shared" si="222"/>
        <v/>
      </c>
      <c r="BR267" s="66" t="str">
        <f t="shared" si="223"/>
        <v>OK Kapela</v>
      </c>
      <c r="BS267" s="47" t="s">
        <v>0</v>
      </c>
      <c r="BT267" s="82" t="str">
        <f>IF(BN267&lt;&gt;"NEMA","",IF(IFERROR(MATCH(BL267,BL$12:BL266,0),0)&lt;&gt;0,"",BL267))</f>
        <v/>
      </c>
      <c r="BU267" s="47" t="s">
        <v>0</v>
      </c>
      <c r="BV267" s="125"/>
      <c r="BW267" s="47" t="s">
        <v>0</v>
      </c>
      <c r="BX267" s="58" t="str">
        <f t="shared" si="224"/>
        <v/>
      </c>
      <c r="BY267" s="31" t="str">
        <f t="shared" si="225"/>
        <v/>
      </c>
      <c r="BZ267" s="31" t="str">
        <f>IF(BY267="","",MAX(BZ$12:BZ266)+1)</f>
        <v/>
      </c>
      <c r="CA267" s="31" t="str">
        <f>IF(BY267="","",IF(AA267="","",IF(AA267="NEMA",AC267,AA267)))</f>
        <v/>
      </c>
      <c r="CB267" s="31" t="str">
        <f t="shared" si="226"/>
        <v/>
      </c>
      <c r="CC267" s="31" t="str">
        <f>IF(BV267="","",MAX(CC$12:CC266)+1)</f>
        <v/>
      </c>
      <c r="CD267" s="31" t="str">
        <f t="shared" si="227"/>
        <v/>
      </c>
      <c r="CE267" s="66" t="str">
        <f t="shared" si="228"/>
        <v/>
      </c>
      <c r="CF267" s="47" t="s">
        <v>0</v>
      </c>
      <c r="CG267" s="73" t="str">
        <f>IF(BN267="","",IF(BN267&lt;&gt;"NEMA","",IFERROR(INDEX(nat_klubAliasId,MATCH(BL267,nat_noviKluboviAliasi,0)),"")))</f>
        <v/>
      </c>
      <c r="CH267" s="47"/>
      <c r="CI267" s="19" t="str">
        <f t="shared" si="229"/>
        <v/>
      </c>
      <c r="CJ267" s="47" t="s">
        <v>0</v>
      </c>
      <c r="CK267" s="52" t="str">
        <f>IF(X267&lt;&gt;"NEMA","",IF(IFERROR(MATCH(W267,W$12:W266,0),0)&lt;&gt;0,"",W267))</f>
        <v/>
      </c>
      <c r="CL267" s="73" t="str">
        <f>IF(CK267="","",IFERROR(INDEX(regKlub_alias_id,MATCH(CK267,regKlub_alias_alias,0)),"NEMA"))</f>
        <v/>
      </c>
      <c r="CM267" s="31" t="str">
        <f>IF(OR(CL267="",CL267&lt;&gt;"NEMA"),"",MAX(CM$12:CM266)+1)</f>
        <v/>
      </c>
      <c r="CN267" s="66" t="str">
        <f>IF(OR(CL267="",CL267&lt;&gt;"NEMA"),"",INDEX(regKlub_id,MATCH(CK267,regKlub_naziv,0)))</f>
        <v/>
      </c>
      <c r="CO267" s="47" t="s">
        <v>0</v>
      </c>
      <c r="CP267" s="19" t="str">
        <f>IF(OR(CL267="",CL267&lt;&gt;"NEMA"),"","INSERT INTO klub_alias(id,alias,klub_id) VALUES ("&amp;CM267&amp;",'"&amp;CK267&amp;"',"&amp;CN267&amp;");")</f>
        <v/>
      </c>
      <c r="CQ267" s="47" t="s">
        <v>0</v>
      </c>
      <c r="CR267" s="143" t="str">
        <f>IF(BR267="","",IF(BV267="",IF(IFERROR(MATCH(BR267,nat_noviKluboviAliasi,0),0)&gt;0,INDEX(nat_kluboviAliasi,MATCH(BR267,nat_noviKluboviAliasi,0)),BR267),BV267))</f>
        <v>OK Kapela</v>
      </c>
      <c r="CS267" s="47" t="s">
        <v>0</v>
      </c>
      <c r="CT267" s="58" t="str">
        <f>IF(G267="","",G267)</f>
        <v>64:18</v>
      </c>
      <c r="CU267" s="73" t="str">
        <f>IF(H267="","",H267)</f>
        <v>0</v>
      </c>
      <c r="CV267" s="229" t="str">
        <f>IF(CT267="",IF(OR(AL267="",CU267&lt;&gt;"0"),"","GREŠKA"),IF(AND(65535&gt;=VALUE(LEFT(CT267,SEARCH(":",CT267)-1))*60+VALUE(RIGHT(CT267,2)),OR(CU267="0",CU267="1",CU267="2",CU267="3",CU267="4")),"","GREŠKA"))</f>
        <v/>
      </c>
      <c r="CW267" s="230">
        <f t="shared" si="239"/>
        <v>3858</v>
      </c>
      <c r="CX267" s="163">
        <f t="shared" si="199"/>
        <v>1</v>
      </c>
      <c r="CY267" s="47" t="s">
        <v>0</v>
      </c>
      <c r="CZ267" s="222" t="str">
        <f>IF(CV267&lt;&gt;"GREŠKA","",AK267&amp;" "&amp;AL267&amp;" – Molim u OEventu provjeriti i ispraviti rezultat – vrijeme ("&amp;IF(CT267="","nije upisano",CT267)&amp;") i classifier ("&amp;CU267&amp;").")&amp;IF(OR(CV267&lt;&gt;"GREŠKA",CX267&lt;&gt;5),"
","")&amp;IF(CX267&lt;&gt;5,"",AK267&amp;" "&amp;AL267&amp;" – Molim u provjeriti je li natjecatelj zaista diskvalificiran. Ako je koje je obrazloženje, ako nije molim u OEventu ispraviti rezultat")</f>
        <v xml:space="preserve">
</v>
      </c>
      <c r="DA267" s="223">
        <f t="shared" si="230"/>
        <v>6</v>
      </c>
      <c r="DB267" s="47" t="s">
        <v>0</v>
      </c>
      <c r="DC267" s="47"/>
      <c r="DD267" s="47"/>
      <c r="DE267" s="47"/>
      <c r="DF267" s="47" t="s">
        <v>0</v>
      </c>
      <c r="DG267" s="53" t="str">
        <f>IF(BD267="","",IF(DI267="O",1,""))</f>
        <v/>
      </c>
      <c r="DH267" t="s">
        <v>0</v>
      </c>
      <c r="DI267" s="128" t="str">
        <f>IF(Q267="","",LEFT(INDEX(regKategorija_oznaka,MATCH(S267,regKategorija_id,0)),1))</f>
        <v>Ž</v>
      </c>
      <c r="DJ267" t="s">
        <v>0</v>
      </c>
      <c r="DK267" s="52" t="str">
        <f>IF(BD267="","",IF(M267&lt;&gt;"CRO","","INSERT INTO osoba (id,reg_broj,oib,spol_id,dat_rodjenja) VALUES ("&amp;BD267&amp;",(SELECT max(os.reg_broj)+1 FROM osoba AS os),Null,'"&amp;DI267&amp;"',Null); INSERT INTO osoba_log (id,reg_broj,oib,spol_id,dat_rodjenja,dnevnik_id) SELECT id,reg_broj,oib,spol_id,dat_rodjenja,"&amp;data_dnevnik_id&amp;" FROM osoba WHERE id = "&amp;BD267&amp;";"))</f>
        <v/>
      </c>
      <c r="DL267" s="66" t="str">
        <f>IF(BD267="","","INSERT INTO imeprezime (id,osoba_id,rbr,ime,prezime,klub_id,identitet_id,sintaksa_id,info,aktivno,dnevnik_id) VALUES ("&amp;BD267&amp;","&amp;IF(DK267="","Null",BD267)&amp;",1,'"&amp;IF(AV267&lt;&gt;"",AV267,AK267)&amp;"','"&amp;IF(AW267&lt;&gt;"",AW267,AL267)&amp;"',(SELECT id FROM klub WHERE naziv = '"&amp;CR267&amp;"'),Null,1,'',1,"&amp;data_dnevnik_id&amp;");")</f>
        <v/>
      </c>
      <c r="DM267" t="s">
        <v>0</v>
      </c>
      <c r="DN267" s="19" t="str">
        <f t="shared" si="238"/>
        <v/>
      </c>
      <c r="DO267" s="47" t="s">
        <v>0</v>
      </c>
      <c r="DP267" s="19" t="str">
        <f>IF(BA267="","","INSERT INTO imeprezime_alias(id,alias,imeprezime_id) VALUES ("&amp;BB267&amp;",'"&amp;BA267&amp;"',"&amp;IF(BC267="NEMA",BD267,BC267)&amp;");")</f>
        <v/>
      </c>
      <c r="DQ267" s="47" t="s">
        <v>0</v>
      </c>
      <c r="DR267" s="52" t="str">
        <f>IF(AL267="","",DU267 &amp; IF(Q267="",""," – " &amp; Q267))</f>
        <v>Lana – Gerjević – OK Kapela – Ž21B</v>
      </c>
      <c r="DS267" s="53">
        <f t="shared" si="200"/>
        <v>242</v>
      </c>
      <c r="DT267" s="47" t="s">
        <v>0</v>
      </c>
      <c r="DU267" s="52" t="str">
        <f>IF(AL267="","",DX267 &amp; IF(CR267="",""," – " &amp; CR267))</f>
        <v>Lana – Gerjević – OK Kapela</v>
      </c>
      <c r="DV267" s="53">
        <f t="shared" si="201"/>
        <v>242</v>
      </c>
      <c r="DW267" s="47" t="s">
        <v>0</v>
      </c>
      <c r="DX267" s="52" t="str">
        <f>IF(BG267="","",BF267&amp;" – "&amp;BG267)</f>
        <v>Lana – Gerjević</v>
      </c>
      <c r="DY267" s="53">
        <f t="shared" si="202"/>
        <v>242</v>
      </c>
      <c r="DZ267" s="47" t="s">
        <v>0</v>
      </c>
      <c r="EA267" s="58">
        <f t="shared" si="231"/>
        <v>242</v>
      </c>
      <c r="EB267" s="53" cm="1">
        <f t="array" ref="EB267">IF(EA267&lt;&gt;"",INDEX(regNatjecatelj_id,EA267,0),IF(BD267&lt;&gt;"",BD267,""))</f>
        <v>1261</v>
      </c>
      <c r="EC267" s="47" t="s">
        <v>0</v>
      </c>
      <c r="ED267" s="58" t="str">
        <f>IF(AL267="","",IF(BD267&lt;&gt;"","novo",IF(AN267="","imepre","imepre(ali)")))</f>
        <v>imepre</v>
      </c>
      <c r="EE267" s="73" t="str">
        <f>IF(AL267="","",IF(BL267="",IF(IFERROR(INDEX(regNatjecatelj_klub,MATCH(EB267,regNatjecatelj_id,0)),"NEMA")="","klu",""),IF(OR(AND(BN267&lt;&gt;"",BN267&lt;&gt;"NEMA"),CD267&lt;&gt;""),"klu(ali)",IF(AND(BP267&lt;&gt;"",BP267&lt;&gt;BO267),"(raz-klu)","klu"))))</f>
        <v>klu</v>
      </c>
      <c r="EF267" s="73" t="str">
        <f>IF(AL267="","","kat"&amp;IF(AND(W267&lt;&gt;Q267,Q267&lt;&gt;"Open"),"(ali)",""))</f>
        <v>kat</v>
      </c>
      <c r="EG267" s="73" t="str">
        <f t="shared" si="203"/>
        <v/>
      </c>
      <c r="EH267" s="66" t="str">
        <f>IF(AL267="","",ED267&amp;IF(ED267="novo","","-"&amp;EE267&amp;"-"&amp;EF267)&amp;IF(EG267="","","-"&amp;EG267))</f>
        <v>imepre-klu-kat</v>
      </c>
      <c r="EI267" s="47" t="s">
        <v>0</v>
      </c>
      <c r="EJ267" s="58">
        <f>IF(AL267="","",MAX(EJ$12:EJ266)+1)</f>
        <v>418</v>
      </c>
      <c r="EK267" s="73">
        <f>IF(AO267="","",X267)</f>
        <v>40</v>
      </c>
      <c r="EL267" s="73">
        <f t="shared" si="232"/>
        <v>1261</v>
      </c>
      <c r="EM267" s="73">
        <f t="shared" si="204"/>
        <v>3858</v>
      </c>
      <c r="EN267" s="73">
        <f t="shared" si="205"/>
        <v>1</v>
      </c>
      <c r="EO267" s="73">
        <f t="shared" si="233"/>
        <v>1</v>
      </c>
      <c r="EP267" s="73">
        <f t="shared" si="234"/>
        <v>1</v>
      </c>
      <c r="EQ267" s="73" t="str">
        <f t="shared" si="206"/>
        <v>0</v>
      </c>
      <c r="ER267" s="73" t="str">
        <f>IF(OR(AN267="",AN267="NEMA"),BB267,AN267)</f>
        <v/>
      </c>
      <c r="ES267" s="73" t="str">
        <f>IF(AND(BN267&lt;&gt;"",BN267&lt;&gt;"NEMA"),BN267,IF(CG267&lt;&gt;"",CG267,IF(AND(CL267&lt;&gt;"",CL267&lt;&gt;"NEMA"),CL267,IF(CM267&lt;&gt;"",CM267,""))))</f>
        <v/>
      </c>
      <c r="ET267" s="53" t="str">
        <f>IF(INDEX(natKategorija_alias_Id,MATCH(S267,natKategorija_katRegId,0))="","",INDEX(natKategorija_alias_Id,MATCH(S267,natKategorija_katRegId,0)))</f>
        <v/>
      </c>
      <c r="EU267" s="47" t="s">
        <v>0</v>
      </c>
      <c r="EV267" s="19" t="str">
        <f t="shared" si="235"/>
        <v>INSERT INTO rezultat(id,stazakategorija_id,imeprezime_id,vrijeme_sec,status_id,registracija,uparivanje_id,originalstatus_id,imeprezimealias_id,klubalias_id,kategorijaalias_id) VALUES (418,40,1261,3858,1,1,1,0,Null,Null,Null);</v>
      </c>
      <c r="EW267" s="47" t="s">
        <v>0</v>
      </c>
      <c r="EX267" s="19" t="str">
        <f t="shared" si="236"/>
        <v>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67" s="47" t="s">
        <v>0</v>
      </c>
      <c r="EZ267" s="180" t="str">
        <f>AG267&amp;IF(CP267="","","
")&amp;CP267&amp;IF(CI267="","","
")&amp;CI267&amp;IF(DN267="","","
")&amp;DN267&amp;IF(DP267="","","
")&amp;DP267&amp;IF(EV267="","","
")&amp;EV267&amp;IF(EX267="","","
")&amp;EX267</f>
        <v xml:space="preserve">
INSERT INTO rezultat(id,stazakategorija_id,imeprezime_id,vrijeme_sec,status_id,registracija,uparivanje_id,originalstatus_id,imeprezimealias_id,klubalias_id,kategorijaalias_id) VALUES (418,40,1261,3858,1,1,1,0,Null,Null,Null);
UPDATE
	registar
SET
	potvrda = 1
WHERE
	imeprezime_id=1261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67" s="47" t="s">
        <v>0</v>
      </c>
    </row>
    <row r="268" spans="1:157" x14ac:dyDescent="0.25">
      <c r="A268" t="s">
        <v>0</v>
      </c>
      <c r="B268" s="52" t="str">
        <f>IF(csv!F258="","",csv!T258)</f>
        <v>Ž21B</v>
      </c>
      <c r="C268" s="31" t="s">
        <v>0</v>
      </c>
      <c r="D268" s="31" t="str">
        <f>IF(csv!F258="","",csv!F258)</f>
        <v>Ana-Marija</v>
      </c>
      <c r="E268" s="31" t="str">
        <f>IF(csv!E258="","",csv!E258)</f>
        <v>Pavić</v>
      </c>
      <c r="F268" s="31" t="s">
        <v>0</v>
      </c>
      <c r="G268" s="73" t="str">
        <f>IF(csv!M258="","",csv!M258)</f>
        <v>65:59</v>
      </c>
      <c r="H268" s="73" t="str">
        <f>IF(csv!N258="","",csv!N258)</f>
        <v>0</v>
      </c>
      <c r="I268" s="31" t="s">
        <v>0</v>
      </c>
      <c r="J268" s="31" t="str">
        <f>IF(csv!P258="","",csv!P258)</f>
        <v>Vihor</v>
      </c>
      <c r="K268" s="31" t="str">
        <f>IF(csv!Q258="","",csv!Q258)</f>
        <v>OK Vihor</v>
      </c>
      <c r="L268" s="31" t="s">
        <v>0</v>
      </c>
      <c r="M268" s="66" t="str">
        <f>IF(csv!R258="","",csv!R258)</f>
        <v>CRO</v>
      </c>
      <c r="N268" s="47" t="s">
        <v>0</v>
      </c>
      <c r="O268" s="243" t="str">
        <f t="shared" si="207"/>
        <v>ok</v>
      </c>
      <c r="P268" s="47"/>
      <c r="Q268" s="52" t="str">
        <f t="shared" si="208"/>
        <v>Ž21B</v>
      </c>
      <c r="R268" s="73">
        <f>IF(Q268="","",IF(COUNTIF(Q$12:Q267,Q268)=0,R267+1,R267))</f>
        <v>18</v>
      </c>
      <c r="S268" s="73">
        <f t="shared" si="209"/>
        <v>118</v>
      </c>
      <c r="T268" s="73">
        <f t="shared" si="184"/>
        <v>27</v>
      </c>
      <c r="U268" s="66" t="str">
        <f t="shared" si="185"/>
        <v>Ž21B – Ž16</v>
      </c>
      <c r="V268" s="47" t="s">
        <v>0</v>
      </c>
      <c r="W268" s="222" t="str">
        <f t="shared" si="186"/>
        <v>Ž21B</v>
      </c>
      <c r="X268" s="223">
        <f t="shared" si="187"/>
        <v>40</v>
      </c>
      <c r="Y268" s="47" t="s">
        <v>0</v>
      </c>
      <c r="Z268" s="52" t="str">
        <f t="shared" si="210"/>
        <v>CRO</v>
      </c>
      <c r="AA268" s="73">
        <f t="shared" si="188"/>
        <v>1</v>
      </c>
      <c r="AB268" s="31" t="str">
        <f t="shared" si="211"/>
        <v/>
      </c>
      <c r="AC268" s="66" t="str">
        <f>IF(AB268="","",MAX(AC$12:AC267)+1)</f>
        <v/>
      </c>
      <c r="AD268" s="47" t="s">
        <v>0</v>
      </c>
      <c r="AE268" s="125"/>
      <c r="AF268" s="47" t="s">
        <v>0</v>
      </c>
      <c r="AG268" s="19" t="str">
        <f t="shared" si="212"/>
        <v/>
      </c>
      <c r="AH268" s="47" t="s">
        <v>0</v>
      </c>
      <c r="AI268" s="143" t="str">
        <f t="shared" si="213"/>
        <v>CRO</v>
      </c>
      <c r="AJ268" s="47"/>
      <c r="AK268" s="52" t="str">
        <f t="shared" si="214"/>
        <v>Ana-Marija</v>
      </c>
      <c r="AL268" s="31" t="str">
        <f t="shared" si="215"/>
        <v>Pavić</v>
      </c>
      <c r="AM268" s="73">
        <f t="shared" si="216"/>
        <v>1189</v>
      </c>
      <c r="AN268" s="73" t="str">
        <f t="shared" si="217"/>
        <v/>
      </c>
      <c r="AO268" s="31" t="str">
        <f t="shared" si="189"/>
        <v>Ana-Marija</v>
      </c>
      <c r="AP268" s="66" t="str">
        <f t="shared" si="190"/>
        <v>Pavić</v>
      </c>
      <c r="AQ268" s="47" t="s">
        <v>0</v>
      </c>
      <c r="AR268" s="82" t="str">
        <f t="shared" si="218"/>
        <v/>
      </c>
      <c r="AS268" s="47" t="s">
        <v>0</v>
      </c>
      <c r="AT268" s="19" t="str">
        <f t="shared" si="219"/>
        <v/>
      </c>
      <c r="AU268" s="47" t="s">
        <v>0</v>
      </c>
      <c r="AV268" s="103"/>
      <c r="AW268" s="105"/>
      <c r="AX268" s="47" t="s">
        <v>0</v>
      </c>
      <c r="AY268" s="256" t="str">
        <f t="shared" si="237"/>
        <v/>
      </c>
      <c r="AZ268" s="47" t="s">
        <v>0</v>
      </c>
      <c r="BA268" s="52" t="str">
        <f t="shared" si="191"/>
        <v/>
      </c>
      <c r="BB268" s="73" t="str">
        <f>IF(AV268&amp;AW268="","",MAX(BB$12:BB267)+1)</f>
        <v/>
      </c>
      <c r="BC268" s="268" t="str">
        <f t="shared" si="192"/>
        <v/>
      </c>
      <c r="BD268" s="53" t="str">
        <f>IF(AND(AM268="NEMA",AN268="NEMA",OR(AV268&amp;AW268="",BC268="NEMA")),MAX(BD$12:BD267)+1,"")</f>
        <v/>
      </c>
      <c r="BE268" s="47" t="s">
        <v>0</v>
      </c>
      <c r="BF268" s="52" t="str">
        <f t="shared" si="193"/>
        <v>Ana-Marija</v>
      </c>
      <c r="BG268" s="31" t="str">
        <f t="shared" si="194"/>
        <v>Pavić</v>
      </c>
      <c r="BH268" s="73" t="str">
        <f t="shared" si="220"/>
        <v/>
      </c>
      <c r="BI268" s="53">
        <f t="shared" si="221"/>
        <v>1189</v>
      </c>
      <c r="BJ268" s="47" t="s">
        <v>0</v>
      </c>
      <c r="BK268" s="52" t="str">
        <f t="shared" si="195"/>
        <v>Vihor</v>
      </c>
      <c r="BL268" s="31" t="str">
        <f t="shared" si="196"/>
        <v>OK Vihor</v>
      </c>
      <c r="BM268" s="73">
        <f t="shared" si="197"/>
        <v>12</v>
      </c>
      <c r="BN268" s="73" t="str">
        <f t="shared" si="198"/>
        <v/>
      </c>
      <c r="BO268" s="31" t="str" cm="1">
        <f t="array" ref="BO268">IF(BN268="",""&amp;BL268,IF(BN268="NEMA",BL268,INDEX(regKlub_naziv,MATCH(INDEX(regKlub_alias_klubId,BN268),regKlub_id,0))))</f>
        <v>OK Vihor</v>
      </c>
      <c r="BP268" s="31" t="str" cm="1">
        <f t="array" ref="BP268">IFERROR(""&amp;INDEX(regNatjecatelj_klub,DY268),"")</f>
        <v>OK Vihor</v>
      </c>
      <c r="BQ268" s="88" t="str">
        <f t="shared" si="222"/>
        <v/>
      </c>
      <c r="BR268" s="66" t="str">
        <f t="shared" si="223"/>
        <v>OK Vihor</v>
      </c>
      <c r="BS268" s="47" t="s">
        <v>0</v>
      </c>
      <c r="BT268" s="82" t="str">
        <f>IF(BN268&lt;&gt;"NEMA","",IF(IFERROR(MATCH(BL268,BL$12:BL267,0),0)&lt;&gt;0,"",BL268))</f>
        <v/>
      </c>
      <c r="BU268" s="47" t="s">
        <v>0</v>
      </c>
      <c r="BV268" s="125"/>
      <c r="BW268" s="47" t="s">
        <v>0</v>
      </c>
      <c r="BX268" s="58" t="str">
        <f t="shared" si="224"/>
        <v/>
      </c>
      <c r="BY268" s="31" t="str">
        <f t="shared" si="225"/>
        <v/>
      </c>
      <c r="BZ268" s="31" t="str">
        <f>IF(BY268="","",MAX(BZ$12:BZ267)+1)</f>
        <v/>
      </c>
      <c r="CA268" s="31" t="str">
        <f>IF(BY268="","",IF(AA268="","",IF(AA268="NEMA",AC268,AA268)))</f>
        <v/>
      </c>
      <c r="CB268" s="31" t="str">
        <f t="shared" si="226"/>
        <v/>
      </c>
      <c r="CC268" s="31" t="str">
        <f>IF(BV268="","",MAX(CC$12:CC267)+1)</f>
        <v/>
      </c>
      <c r="CD268" s="31" t="str">
        <f t="shared" si="227"/>
        <v/>
      </c>
      <c r="CE268" s="66" t="str">
        <f t="shared" si="228"/>
        <v/>
      </c>
      <c r="CF268" s="47" t="s">
        <v>0</v>
      </c>
      <c r="CG268" s="73" t="str">
        <f>IF(BN268="","",IF(BN268&lt;&gt;"NEMA","",IFERROR(INDEX(nat_klubAliasId,MATCH(BL268,nat_noviKluboviAliasi,0)),"")))</f>
        <v/>
      </c>
      <c r="CH268" s="47"/>
      <c r="CI268" s="19" t="str">
        <f t="shared" si="229"/>
        <v/>
      </c>
      <c r="CJ268" s="47" t="s">
        <v>0</v>
      </c>
      <c r="CK268" s="52" t="str">
        <f>IF(X268&lt;&gt;"NEMA","",IF(IFERROR(MATCH(W268,W$12:W267,0),0)&lt;&gt;0,"",W268))</f>
        <v/>
      </c>
      <c r="CL268" s="73" t="str">
        <f>IF(CK268="","",IFERROR(INDEX(regKlub_alias_id,MATCH(CK268,regKlub_alias_alias,0)),"NEMA"))</f>
        <v/>
      </c>
      <c r="CM268" s="31" t="str">
        <f>IF(OR(CL268="",CL268&lt;&gt;"NEMA"),"",MAX(CM$12:CM267)+1)</f>
        <v/>
      </c>
      <c r="CN268" s="66" t="str">
        <f>IF(OR(CL268="",CL268&lt;&gt;"NEMA"),"",INDEX(regKlub_id,MATCH(CK268,regKlub_naziv,0)))</f>
        <v/>
      </c>
      <c r="CO268" s="47" t="s">
        <v>0</v>
      </c>
      <c r="CP268" s="19" t="str">
        <f>IF(OR(CL268="",CL268&lt;&gt;"NEMA"),"","INSERT INTO klub_alias(id,alias,klub_id) VALUES ("&amp;CM268&amp;",'"&amp;CK268&amp;"',"&amp;CN268&amp;");")</f>
        <v/>
      </c>
      <c r="CQ268" s="47" t="s">
        <v>0</v>
      </c>
      <c r="CR268" s="143" t="str">
        <f>IF(BR268="","",IF(BV268="",IF(IFERROR(MATCH(BR268,nat_noviKluboviAliasi,0),0)&gt;0,INDEX(nat_kluboviAliasi,MATCH(BR268,nat_noviKluboviAliasi,0)),BR268),BV268))</f>
        <v>OK Vihor</v>
      </c>
      <c r="CS268" s="47" t="s">
        <v>0</v>
      </c>
      <c r="CT268" s="58" t="str">
        <f>IF(G268="","",G268)</f>
        <v>65:59</v>
      </c>
      <c r="CU268" s="73" t="str">
        <f>IF(H268="","",H268)</f>
        <v>0</v>
      </c>
      <c r="CV268" s="229" t="str">
        <f>IF(CT268="",IF(OR(AL268="",CU268&lt;&gt;"0"),"","GREŠKA"),IF(AND(65535&gt;=VALUE(LEFT(CT268,SEARCH(":",CT268)-1))*60+VALUE(RIGHT(CT268,2)),OR(CU268="0",CU268="1",CU268="2",CU268="3",CU268="4")),"","GREŠKA"))</f>
        <v/>
      </c>
      <c r="CW268" s="230">
        <f t="shared" si="239"/>
        <v>3959</v>
      </c>
      <c r="CX268" s="163">
        <f t="shared" si="199"/>
        <v>1</v>
      </c>
      <c r="CY268" s="47" t="s">
        <v>0</v>
      </c>
      <c r="CZ268" s="222" t="str">
        <f>IF(CV268&lt;&gt;"GREŠKA","",AK268&amp;" "&amp;AL268&amp;" – Molim u OEventu provjeriti i ispraviti rezultat – vrijeme ("&amp;IF(CT268="","nije upisano",CT268)&amp;") i classifier ("&amp;CU268&amp;").")&amp;IF(OR(CV268&lt;&gt;"GREŠKA",CX268&lt;&gt;5),"
","")&amp;IF(CX268&lt;&gt;5,"",AK268&amp;" "&amp;AL268&amp;" – Molim u provjeriti je li natjecatelj zaista diskvalificiran. Ako je koje je obrazloženje, ako nije molim u OEventu ispraviti rezultat")</f>
        <v xml:space="preserve">
</v>
      </c>
      <c r="DA268" s="223">
        <f t="shared" si="230"/>
        <v>6</v>
      </c>
      <c r="DB268" s="47" t="s">
        <v>0</v>
      </c>
      <c r="DC268" s="47"/>
      <c r="DD268" s="47"/>
      <c r="DE268" s="47"/>
      <c r="DF268" s="47" t="s">
        <v>0</v>
      </c>
      <c r="DG268" s="53" t="str">
        <f>IF(BD268="","",IF(DI268="O",1,""))</f>
        <v/>
      </c>
      <c r="DH268" t="s">
        <v>0</v>
      </c>
      <c r="DI268" s="128" t="str">
        <f>IF(Q268="","",LEFT(INDEX(regKategorija_oznaka,MATCH(S268,regKategorija_id,0)),1))</f>
        <v>Ž</v>
      </c>
      <c r="DJ268" t="s">
        <v>0</v>
      </c>
      <c r="DK268" s="52" t="str">
        <f>IF(BD268="","",IF(M268&lt;&gt;"CRO","","INSERT INTO osoba (id,reg_broj,oib,spol_id,dat_rodjenja) VALUES ("&amp;BD268&amp;",(SELECT max(os.reg_broj)+1 FROM osoba AS os),Null,'"&amp;DI268&amp;"',Null); INSERT INTO osoba_log (id,reg_broj,oib,spol_id,dat_rodjenja,dnevnik_id) SELECT id,reg_broj,oib,spol_id,dat_rodjenja,"&amp;data_dnevnik_id&amp;" FROM osoba WHERE id = "&amp;BD268&amp;";"))</f>
        <v/>
      </c>
      <c r="DL268" s="66" t="str">
        <f>IF(BD268="","","INSERT INTO imeprezime (id,osoba_id,rbr,ime,prezime,klub_id,identitet_id,sintaksa_id,info,aktivno,dnevnik_id) VALUES ("&amp;BD268&amp;","&amp;IF(DK268="","Null",BD268)&amp;",1,'"&amp;IF(AV268&lt;&gt;"",AV268,AK268)&amp;"','"&amp;IF(AW268&lt;&gt;"",AW268,AL268)&amp;"',(SELECT id FROM klub WHERE naziv = '"&amp;CR268&amp;"'),Null,1,'',1,"&amp;data_dnevnik_id&amp;");")</f>
        <v/>
      </c>
      <c r="DM268" t="s">
        <v>0</v>
      </c>
      <c r="DN268" s="19" t="str">
        <f t="shared" si="238"/>
        <v/>
      </c>
      <c r="DO268" s="47" t="s">
        <v>0</v>
      </c>
      <c r="DP268" s="19" t="str">
        <f>IF(BA268="","","INSERT INTO imeprezime_alias(id,alias,imeprezime_id) VALUES ("&amp;BB268&amp;",'"&amp;BA268&amp;"',"&amp;IF(BC268="NEMA",BD268,BC268)&amp;");")</f>
        <v/>
      </c>
      <c r="DQ268" s="47" t="s">
        <v>0</v>
      </c>
      <c r="DR268" s="52" t="str">
        <f>IF(AL268="","",DU268 &amp; IF(Q268="",""," – " &amp; Q268))</f>
        <v>Ana-Marija – Pavić – OK Vihor – Ž21B</v>
      </c>
      <c r="DS268" s="53">
        <f t="shared" si="200"/>
        <v>837</v>
      </c>
      <c r="DT268" s="47" t="s">
        <v>0</v>
      </c>
      <c r="DU268" s="52" t="str">
        <f>IF(AL268="","",DX268 &amp; IF(CR268="",""," – " &amp; CR268))</f>
        <v>Ana-Marija – Pavić – OK Vihor</v>
      </c>
      <c r="DV268" s="53">
        <f t="shared" si="201"/>
        <v>837</v>
      </c>
      <c r="DW268" s="47" t="s">
        <v>0</v>
      </c>
      <c r="DX268" s="52" t="str">
        <f>IF(BG268="","",BF268&amp;" – "&amp;BG268)</f>
        <v>Ana-Marija – Pavić</v>
      </c>
      <c r="DY268" s="53">
        <f t="shared" si="202"/>
        <v>837</v>
      </c>
      <c r="DZ268" s="47" t="s">
        <v>0</v>
      </c>
      <c r="EA268" s="58">
        <f t="shared" si="231"/>
        <v>837</v>
      </c>
      <c r="EB268" s="53" cm="1">
        <f t="array" ref="EB268">IF(EA268&lt;&gt;"",INDEX(regNatjecatelj_id,EA268,0),IF(BD268&lt;&gt;"",BD268,""))</f>
        <v>1189</v>
      </c>
      <c r="EC268" s="47" t="s">
        <v>0</v>
      </c>
      <c r="ED268" s="58" t="str">
        <f>IF(AL268="","",IF(BD268&lt;&gt;"","novo",IF(AN268="","imepre","imepre(ali)")))</f>
        <v>imepre</v>
      </c>
      <c r="EE268" s="73" t="str">
        <f>IF(AL268="","",IF(BL268="",IF(IFERROR(INDEX(regNatjecatelj_klub,MATCH(EB268,regNatjecatelj_id,0)),"NEMA")="","klu",""),IF(OR(AND(BN268&lt;&gt;"",BN268&lt;&gt;"NEMA"),CD268&lt;&gt;""),"klu(ali)",IF(AND(BP268&lt;&gt;"",BP268&lt;&gt;BO268),"(raz-klu)","klu"))))</f>
        <v>klu</v>
      </c>
      <c r="EF268" s="73" t="str">
        <f>IF(AL268="","","kat"&amp;IF(AND(W268&lt;&gt;Q268,Q268&lt;&gt;"Open"),"(ali)",""))</f>
        <v>kat</v>
      </c>
      <c r="EG268" s="73" t="str">
        <f t="shared" si="203"/>
        <v/>
      </c>
      <c r="EH268" s="66" t="str">
        <f>IF(AL268="","",ED268&amp;IF(ED268="novo","","-"&amp;EE268&amp;"-"&amp;EF268)&amp;IF(EG268="","","-"&amp;EG268))</f>
        <v>imepre-klu-kat</v>
      </c>
      <c r="EI268" s="47" t="s">
        <v>0</v>
      </c>
      <c r="EJ268" s="58">
        <f>IF(AL268="","",MAX(EJ$12:EJ267)+1)</f>
        <v>419</v>
      </c>
      <c r="EK268" s="73">
        <f>IF(AO268="","",X268)</f>
        <v>40</v>
      </c>
      <c r="EL268" s="73">
        <f t="shared" si="232"/>
        <v>1189</v>
      </c>
      <c r="EM268" s="73">
        <f t="shared" si="204"/>
        <v>3959</v>
      </c>
      <c r="EN268" s="73">
        <f t="shared" si="205"/>
        <v>1</v>
      </c>
      <c r="EO268" s="73">
        <f t="shared" si="233"/>
        <v>1</v>
      </c>
      <c r="EP268" s="73">
        <f t="shared" si="234"/>
        <v>1</v>
      </c>
      <c r="EQ268" s="73" t="str">
        <f t="shared" si="206"/>
        <v>0</v>
      </c>
      <c r="ER268" s="73" t="str">
        <f>IF(OR(AN268="",AN268="NEMA"),BB268,AN268)</f>
        <v/>
      </c>
      <c r="ES268" s="73" t="str">
        <f>IF(AND(BN268&lt;&gt;"",BN268&lt;&gt;"NEMA"),BN268,IF(CG268&lt;&gt;"",CG268,IF(AND(CL268&lt;&gt;"",CL268&lt;&gt;"NEMA"),CL268,IF(CM268&lt;&gt;"",CM268,""))))</f>
        <v/>
      </c>
      <c r="ET268" s="53" t="str">
        <f>IF(INDEX(natKategorija_alias_Id,MATCH(S268,natKategorija_katRegId,0))="","",INDEX(natKategorija_alias_Id,MATCH(S268,natKategorija_katRegId,0)))</f>
        <v/>
      </c>
      <c r="EU268" s="47" t="s">
        <v>0</v>
      </c>
      <c r="EV268" s="19" t="str">
        <f t="shared" si="235"/>
        <v>INSERT INTO rezultat(id,stazakategorija_id,imeprezime_id,vrijeme_sec,status_id,registracija,uparivanje_id,originalstatus_id,imeprezimealias_id,klubalias_id,kategorijaalias_id) VALUES (419,40,1189,3959,1,1,1,0,Null,Null,Null);</v>
      </c>
      <c r="EW268" s="47" t="s">
        <v>0</v>
      </c>
      <c r="EX268" s="19" t="str">
        <f t="shared" si="236"/>
        <v>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68" s="47" t="s">
        <v>0</v>
      </c>
      <c r="EZ268" s="180" t="str">
        <f>AG268&amp;IF(CP268="","","
")&amp;CP268&amp;IF(CI268="","","
")&amp;CI268&amp;IF(DN268="","","
")&amp;DN268&amp;IF(DP268="","","
")&amp;DP268&amp;IF(EV268="","","
")&amp;EV268&amp;IF(EX268="","","
")&amp;EX268</f>
        <v xml:space="preserve">
INSERT INTO rezultat(id,stazakategorija_id,imeprezime_id,vrijeme_sec,status_id,registracija,uparivanje_id,originalstatus_id,imeprezimealias_id,klubalias_id,kategorijaalias_id) VALUES (419,40,1189,3959,1,1,1,0,Null,Null,Null);
UPDATE
	registar
SET
	potvrda = 1
WHERE
	imeprezime_id=1189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68" s="47" t="s">
        <v>0</v>
      </c>
    </row>
    <row r="269" spans="1:157" x14ac:dyDescent="0.25">
      <c r="A269" t="s">
        <v>0</v>
      </c>
      <c r="B269" s="52" t="str">
        <f>IF(csv!F259="","",csv!T259)</f>
        <v>Ž21B</v>
      </c>
      <c r="C269" s="31" t="s">
        <v>0</v>
      </c>
      <c r="D269" s="31" t="str">
        <f>IF(csv!F259="","",csv!F259)</f>
        <v>Višnja</v>
      </c>
      <c r="E269" s="31" t="str">
        <f>IF(csv!E259="","",csv!E259)</f>
        <v>Dukić</v>
      </c>
      <c r="F269" s="31" t="s">
        <v>0</v>
      </c>
      <c r="G269" s="73" t="str">
        <f>IF(csv!M259="","",csv!M259)</f>
        <v>67:21</v>
      </c>
      <c r="H269" s="73" t="str">
        <f>IF(csv!N259="","",csv!N259)</f>
        <v>0</v>
      </c>
      <c r="I269" s="31" t="s">
        <v>0</v>
      </c>
      <c r="J269" s="31" t="str">
        <f>IF(csv!P259="","",csv!P259)</f>
        <v>KAP</v>
      </c>
      <c r="K269" s="31" t="str">
        <f>IF(csv!Q259="","",csv!Q259)</f>
        <v>OK Kapela</v>
      </c>
      <c r="L269" s="31" t="s">
        <v>0</v>
      </c>
      <c r="M269" s="66" t="str">
        <f>IF(csv!R259="","",csv!R259)</f>
        <v>CRO</v>
      </c>
      <c r="N269" s="47" t="s">
        <v>0</v>
      </c>
      <c r="O269" s="243" t="str">
        <f t="shared" si="207"/>
        <v>ok</v>
      </c>
      <c r="P269" s="47"/>
      <c r="Q269" s="52" t="str">
        <f t="shared" si="208"/>
        <v>Ž21B</v>
      </c>
      <c r="R269" s="73">
        <f>IF(Q269="","",IF(COUNTIF(Q$12:Q268,Q269)=0,R268+1,R268))</f>
        <v>18</v>
      </c>
      <c r="S269" s="73">
        <f t="shared" si="209"/>
        <v>118</v>
      </c>
      <c r="T269" s="73">
        <f t="shared" ref="T269:T332" si="240">IF(Q269="","",IFERROR(INDEX(natStaza_id,MATCH(Q269,natStaza_kategorija,0)),""))</f>
        <v>27</v>
      </c>
      <c r="U269" s="66" t="str">
        <f t="shared" ref="U269:U332" si="241">IF(T269="","",INDEX(natStaza_naziv,MATCH(T269,natStaza_id,0)))</f>
        <v>Ž21B – Ž16</v>
      </c>
      <c r="V269" s="47" t="s">
        <v>0</v>
      </c>
      <c r="W269" s="222" t="str">
        <f t="shared" ref="W269:W332" si="242">IF(O269="","",INDEX(regKategorija_oznaka,MATCH(S269,regKategorija_id,0)))</f>
        <v>Ž21B</v>
      </c>
      <c r="X269" s="223">
        <f t="shared" ref="X269:X332" si="243">IF(W269="","",INDEX(natKategorija_stazaKatId,MATCH(S269,natKategorija_katRegId,0)))</f>
        <v>40</v>
      </c>
      <c r="Y269" s="47" t="s">
        <v>0</v>
      </c>
      <c r="Z269" s="52" t="str">
        <f t="shared" si="210"/>
        <v>CRO</v>
      </c>
      <c r="AA269" s="73">
        <f t="shared" ref="AA269:AA332" si="244">IF(Z269="","",IFERROR(INDEX(regDrzava_id,MATCH(Z269,regDrzava_oznaka,0)),"NEMA"))</f>
        <v>1</v>
      </c>
      <c r="AB269" s="31" t="str">
        <f t="shared" si="211"/>
        <v/>
      </c>
      <c r="AC269" s="66" t="str">
        <f>IF(AB269="","",MAX(AC$12:AC268)+1)</f>
        <v/>
      </c>
      <c r="AD269" s="47" t="s">
        <v>0</v>
      </c>
      <c r="AE269" s="125"/>
      <c r="AF269" s="47" t="s">
        <v>0</v>
      </c>
      <c r="AG269" s="19" t="str">
        <f t="shared" si="212"/>
        <v/>
      </c>
      <c r="AH269" s="47" t="s">
        <v>0</v>
      </c>
      <c r="AI269" s="143" t="str">
        <f t="shared" si="213"/>
        <v>CRO</v>
      </c>
      <c r="AJ269" s="47"/>
      <c r="AK269" s="52" t="str">
        <f t="shared" si="214"/>
        <v>Višnja</v>
      </c>
      <c r="AL269" s="31" t="str">
        <f t="shared" si="215"/>
        <v>Dukić</v>
      </c>
      <c r="AM269" s="73">
        <f t="shared" si="216"/>
        <v>1059</v>
      </c>
      <c r="AN269" s="73" t="str">
        <f t="shared" si="217"/>
        <v/>
      </c>
      <c r="AO269" s="31" t="str">
        <f t="shared" ref="AO269:AO332" si="245">IF(O269="","",IF(OR(AN269="",AN269="NEMA"),AK269,INDEX(regNatjecatelj_ime,MATCH(AN269,regNatjecatelj_id,0))))</f>
        <v>Višnja</v>
      </c>
      <c r="AP269" s="66" t="str">
        <f t="shared" ref="AP269:AP332" si="246">IF(O269="","",IF(OR(AN269="",AN269="NEMA"),AL269,INDEX(regNatjecatelj_prezime,MATCH(AN269,regNatjecatelj_id,0))))</f>
        <v>Dukić</v>
      </c>
      <c r="AQ269" s="47" t="s">
        <v>0</v>
      </c>
      <c r="AR269" s="82" t="str">
        <f t="shared" si="218"/>
        <v/>
      </c>
      <c r="AS269" s="47" t="s">
        <v>0</v>
      </c>
      <c r="AT269" s="19" t="str">
        <f t="shared" si="219"/>
        <v/>
      </c>
      <c r="AU269" s="47" t="s">
        <v>0</v>
      </c>
      <c r="AV269" s="103"/>
      <c r="AW269" s="105"/>
      <c r="AX269" s="47" t="s">
        <v>0</v>
      </c>
      <c r="AY269" s="256" t="str">
        <f t="shared" si="237"/>
        <v/>
      </c>
      <c r="AZ269" s="47" t="s">
        <v>0</v>
      </c>
      <c r="BA269" s="52" t="str">
        <f t="shared" ref="BA269:BA327" si="247">IF(AV269&amp;AW269="","",AR269)</f>
        <v/>
      </c>
      <c r="BB269" s="73" t="str">
        <f>IF(AV269&amp;AW269="","",MAX(BB$12:BB268)+1)</f>
        <v/>
      </c>
      <c r="BC269" s="268" t="str">
        <f t="shared" ref="BC269:BC332" si="248">IF(AV269&amp;AW269="","",IFERROR(INDEX(regNatjecatelj_id,MATCH(AV269&amp;" – "&amp;AW269,regNatjecatelj_imePrezime,0)),"NEMA"))</f>
        <v/>
      </c>
      <c r="BD269" s="53" t="str">
        <f>IF(AND(AM269="NEMA",AN269="NEMA",OR(AV269&amp;AW269="",BC269="NEMA")),MAX(BD$12:BD268)+1,"")</f>
        <v/>
      </c>
      <c r="BE269" s="47" t="s">
        <v>0</v>
      </c>
      <c r="BF269" s="52" t="str">
        <f t="shared" ref="BF269:BF332" si="249">IF(O269="","",IF(BC269="",AO269,IF(BC269="NEMA",AV269,INDEX(regNatjecatelj_ime,MATCH(BC269,regNatjecatelj_id,0)))))</f>
        <v>Višnja</v>
      </c>
      <c r="BG269" s="31" t="str">
        <f t="shared" ref="BG269:BG332" si="250">IF(O269="","",IF(BC269="",AP269,IF(BC269="NEMA",AW269,INDEX(regNatjecatelj_prezime,MATCH(BC269,regNatjecatelj_id,0)))))</f>
        <v>Dukić</v>
      </c>
      <c r="BH269" s="73" t="str">
        <f t="shared" si="220"/>
        <v/>
      </c>
      <c r="BI269" s="53">
        <f t="shared" si="221"/>
        <v>1059</v>
      </c>
      <c r="BJ269" s="47" t="s">
        <v>0</v>
      </c>
      <c r="BK269" s="52" t="str">
        <f t="shared" ref="BK269:BK332" si="251">IF(O269="","",J269)</f>
        <v>KAP</v>
      </c>
      <c r="BL269" s="31" t="str">
        <f t="shared" ref="BL269:BL332" si="252">IF(O269="","",K269)</f>
        <v>OK Kapela</v>
      </c>
      <c r="BM269" s="73">
        <f t="shared" ref="BM269:BM332" si="253">IF(BL269="","",IFERROR(INDEX(regKlub_id,MATCH(BL269,regKlub_naziv,0)),"NEMA"))</f>
        <v>5</v>
      </c>
      <c r="BN269" s="73" t="str">
        <f t="shared" ref="BN269:BN332" si="254">IF(BL269="","",IF(IFERROR(MATCH(BL269,regKlub_naziv,0),"")&lt;&gt;"","",IFERROR(MATCH(BL269,regKlub_alias_alias,0),"NEMA")))</f>
        <v/>
      </c>
      <c r="BO269" s="31" t="str" cm="1">
        <f t="array" ref="BO269">IF(BN269="",""&amp;BL269,IF(BN269="NEMA",BL269,INDEX(regKlub_naziv,MATCH(INDEX(regKlub_alias_klubId,BN269),regKlub_id,0))))</f>
        <v>OK Kapela</v>
      </c>
      <c r="BP269" s="31" t="str" cm="1">
        <f t="array" ref="BP269">IFERROR(""&amp;INDEX(regNatjecatelj_klub,DY269),"")</f>
        <v>OK Kapela</v>
      </c>
      <c r="BQ269" s="88" t="str">
        <f t="shared" si="222"/>
        <v/>
      </c>
      <c r="BR269" s="66" t="str">
        <f t="shared" si="223"/>
        <v>OK Kapela</v>
      </c>
      <c r="BS269" s="47" t="s">
        <v>0</v>
      </c>
      <c r="BT269" s="82" t="str">
        <f>IF(BN269&lt;&gt;"NEMA","",IF(IFERROR(MATCH(BL269,BL$12:BL268,0),0)&lt;&gt;0,"",BL269))</f>
        <v/>
      </c>
      <c r="BU269" s="47" t="s">
        <v>0</v>
      </c>
      <c r="BV269" s="125"/>
      <c r="BW269" s="47" t="s">
        <v>0</v>
      </c>
      <c r="BX269" s="58" t="str">
        <f t="shared" si="224"/>
        <v/>
      </c>
      <c r="BY269" s="31" t="str">
        <f t="shared" si="225"/>
        <v/>
      </c>
      <c r="BZ269" s="31" t="str">
        <f>IF(BY269="","",MAX(BZ$12:BZ268)+1)</f>
        <v/>
      </c>
      <c r="CA269" s="31" t="str">
        <f>IF(BY269="","",IF(AA269="","",IF(AA269="NEMA",AC269,AA269)))</f>
        <v/>
      </c>
      <c r="CB269" s="31" t="str">
        <f t="shared" si="226"/>
        <v/>
      </c>
      <c r="CC269" s="31" t="str">
        <f>IF(BV269="","",MAX(CC$12:CC268)+1)</f>
        <v/>
      </c>
      <c r="CD269" s="31" t="str">
        <f t="shared" si="227"/>
        <v/>
      </c>
      <c r="CE269" s="66" t="str">
        <f t="shared" si="228"/>
        <v/>
      </c>
      <c r="CF269" s="47" t="s">
        <v>0</v>
      </c>
      <c r="CG269" s="73" t="str">
        <f>IF(BN269="","",IF(BN269&lt;&gt;"NEMA","",IFERROR(INDEX(nat_klubAliasId,MATCH(BL269,nat_noviKluboviAliasi,0)),"")))</f>
        <v/>
      </c>
      <c r="CH269" s="47"/>
      <c r="CI269" s="19" t="str">
        <f t="shared" si="229"/>
        <v/>
      </c>
      <c r="CJ269" s="47" t="s">
        <v>0</v>
      </c>
      <c r="CK269" s="52" t="str">
        <f>IF(X269&lt;&gt;"NEMA","",IF(IFERROR(MATCH(W269,W$12:W268,0),0)&lt;&gt;0,"",W269))</f>
        <v/>
      </c>
      <c r="CL269" s="73" t="str">
        <f>IF(CK269="","",IFERROR(INDEX(regKlub_alias_id,MATCH(CK269,regKlub_alias_alias,0)),"NEMA"))</f>
        <v/>
      </c>
      <c r="CM269" s="31" t="str">
        <f>IF(OR(CL269="",CL269&lt;&gt;"NEMA"),"",MAX(CM$12:CM268)+1)</f>
        <v/>
      </c>
      <c r="CN269" s="66" t="str">
        <f>IF(OR(CL269="",CL269&lt;&gt;"NEMA"),"",INDEX(regKlub_id,MATCH(CK269,regKlub_naziv,0)))</f>
        <v/>
      </c>
      <c r="CO269" s="47" t="s">
        <v>0</v>
      </c>
      <c r="CP269" s="19" t="str">
        <f>IF(OR(CL269="",CL269&lt;&gt;"NEMA"),"","INSERT INTO klub_alias(id,alias,klub_id) VALUES ("&amp;CM269&amp;",'"&amp;CK269&amp;"',"&amp;CN269&amp;");")</f>
        <v/>
      </c>
      <c r="CQ269" s="47" t="s">
        <v>0</v>
      </c>
      <c r="CR269" s="143" t="str">
        <f>IF(BR269="","",IF(BV269="",IF(IFERROR(MATCH(BR269,nat_noviKluboviAliasi,0),0)&gt;0,INDEX(nat_kluboviAliasi,MATCH(BR269,nat_noviKluboviAliasi,0)),BR269),BV269))</f>
        <v>OK Kapela</v>
      </c>
      <c r="CS269" s="47" t="s">
        <v>0</v>
      </c>
      <c r="CT269" s="58" t="str">
        <f>IF(G269="","",G269)</f>
        <v>67:21</v>
      </c>
      <c r="CU269" s="73" t="str">
        <f>IF(H269="","",H269)</f>
        <v>0</v>
      </c>
      <c r="CV269" s="229" t="str">
        <f>IF(CT269="",IF(OR(AL269="",CU269&lt;&gt;"0"),"","GREŠKA"),IF(AND(65535&gt;=VALUE(LEFT(CT269,SEARCH(":",CT269)-1))*60+VALUE(RIGHT(CT269,2)),OR(CU269="0",CU269="1",CU269="2",CU269="3",CU269="4")),"","GREŠKA"))</f>
        <v/>
      </c>
      <c r="CW269" s="230">
        <f t="shared" si="239"/>
        <v>4041</v>
      </c>
      <c r="CX269" s="163">
        <f t="shared" ref="CX269:CX332" si="255">IF(DX269="","",IF(AND(CU269="0",N(CW269)&gt;data_max_minuta*60),2,INDEX(regStatusRezultat_id,MATCH(VALUE(CU269),regStatusRezultat_oEvent,0))))</f>
        <v>1</v>
      </c>
      <c r="CY269" s="47" t="s">
        <v>0</v>
      </c>
      <c r="CZ269" s="222" t="str">
        <f>IF(CV269&lt;&gt;"GREŠKA","",AK269&amp;" "&amp;AL269&amp;" – Molim u OEventu provjeriti i ispraviti rezultat – vrijeme ("&amp;IF(CT269="","nije upisano",CT269)&amp;") i classifier ("&amp;CU269&amp;").")&amp;IF(OR(CV269&lt;&gt;"GREŠKA",CX269&lt;&gt;5),"
","")&amp;IF(CX269&lt;&gt;5,"",AK269&amp;" "&amp;AL269&amp;" – Molim u provjeriti je li natjecatelj zaista diskvalificiran. Ako je koje je obrazloženje, ako nije molim u OEventu ispraviti rezultat")</f>
        <v xml:space="preserve">
</v>
      </c>
      <c r="DA269" s="223">
        <f t="shared" si="230"/>
        <v>6</v>
      </c>
      <c r="DB269" s="47" t="s">
        <v>0</v>
      </c>
      <c r="DC269" s="47"/>
      <c r="DD269" s="47"/>
      <c r="DE269" s="47"/>
      <c r="DF269" s="47" t="s">
        <v>0</v>
      </c>
      <c r="DG269" s="53" t="str">
        <f>IF(BD269="","",IF(DI269="O",1,""))</f>
        <v/>
      </c>
      <c r="DH269" t="s">
        <v>0</v>
      </c>
      <c r="DI269" s="128" t="str">
        <f>IF(Q269="","",LEFT(INDEX(regKategorija_oznaka,MATCH(S269,regKategorija_id,0)),1))</f>
        <v>Ž</v>
      </c>
      <c r="DJ269" t="s">
        <v>0</v>
      </c>
      <c r="DK269" s="52" t="str">
        <f>IF(BD269="","",IF(M269&lt;&gt;"CRO","","INSERT INTO osoba (id,reg_broj,oib,spol_id,dat_rodjenja) VALUES ("&amp;BD269&amp;",(SELECT max(os.reg_broj)+1 FROM osoba AS os),Null,'"&amp;DI269&amp;"',Null); INSERT INTO osoba_log (id,reg_broj,oib,spol_id,dat_rodjenja,dnevnik_id) SELECT id,reg_broj,oib,spol_id,dat_rodjenja,"&amp;data_dnevnik_id&amp;" FROM osoba WHERE id = "&amp;BD269&amp;";"))</f>
        <v/>
      </c>
      <c r="DL269" s="66" t="str">
        <f>IF(BD269="","","INSERT INTO imeprezime (id,osoba_id,rbr,ime,prezime,klub_id,identitet_id,sintaksa_id,info,aktivno,dnevnik_id) VALUES ("&amp;BD269&amp;","&amp;IF(DK269="","Null",BD269)&amp;",1,'"&amp;IF(AV269&lt;&gt;"",AV269,AK269)&amp;"','"&amp;IF(AW269&lt;&gt;"",AW269,AL269)&amp;"',(SELECT id FROM klub WHERE naziv = '"&amp;CR269&amp;"'),Null,1,'',1,"&amp;data_dnevnik_id&amp;");")</f>
        <v/>
      </c>
      <c r="DM269" t="s">
        <v>0</v>
      </c>
      <c r="DN269" s="19" t="str">
        <f t="shared" si="238"/>
        <v/>
      </c>
      <c r="DO269" s="47" t="s">
        <v>0</v>
      </c>
      <c r="DP269" s="19" t="str">
        <f>IF(BA269="","","INSERT INTO imeprezime_alias(id,alias,imeprezime_id) VALUES ("&amp;BB269&amp;",'"&amp;BA269&amp;"',"&amp;IF(BC269="NEMA",BD269,BC269)&amp;");")</f>
        <v/>
      </c>
      <c r="DQ269" s="47" t="s">
        <v>0</v>
      </c>
      <c r="DR269" s="52" t="str">
        <f>IF(AL269="","",DU269 &amp; IF(Q269="",""," – " &amp; Q269))</f>
        <v>Višnja – Dukić – OK Kapela – Ž21B</v>
      </c>
      <c r="DS269" s="53">
        <f t="shared" ref="DS269:DS332" si="256">IF(DR269="","",IFERROR(MATCH(DR269,regNatjecatelj_imePrezimeKlubKategorija,0),"NEMA"))</f>
        <v>232</v>
      </c>
      <c r="DT269" s="47" t="s">
        <v>0</v>
      </c>
      <c r="DU269" s="52" t="str">
        <f>IF(AL269="","",DX269 &amp; IF(CR269="",""," – " &amp; CR269))</f>
        <v>Višnja – Dukić – OK Kapela</v>
      </c>
      <c r="DV269" s="53">
        <f t="shared" ref="DV269:DV332" si="257">IF(DU269="","",IFERROR(MATCH(DU269,regNatjecatelj_imePrezimeKlub,0),"NEMA"))</f>
        <v>232</v>
      </c>
      <c r="DW269" s="47" t="s">
        <v>0</v>
      </c>
      <c r="DX269" s="52" t="str">
        <f>IF(BG269="","",BF269&amp;" – "&amp;BG269)</f>
        <v>Višnja – Dukić</v>
      </c>
      <c r="DY269" s="53">
        <f t="shared" ref="DY269:DY332" si="258">IF(DX269="","",IFERROR(MATCH(DX269,regNatjecatelj_imePrezime,0),"NEMA"))</f>
        <v>232</v>
      </c>
      <c r="DZ269" s="47" t="s">
        <v>0</v>
      </c>
      <c r="EA269" s="58">
        <f t="shared" si="231"/>
        <v>232</v>
      </c>
      <c r="EB269" s="53" cm="1">
        <f t="array" ref="EB269">IF(EA269&lt;&gt;"",INDEX(regNatjecatelj_id,EA269,0),IF(BD269&lt;&gt;"",BD269,""))</f>
        <v>1059</v>
      </c>
      <c r="EC269" s="47" t="s">
        <v>0</v>
      </c>
      <c r="ED269" s="58" t="str">
        <f>IF(AL269="","",IF(BD269&lt;&gt;"","novo",IF(AN269="","imepre","imepre(ali)")))</f>
        <v>imepre</v>
      </c>
      <c r="EE269" s="73" t="str">
        <f>IF(AL269="","",IF(BL269="",IF(IFERROR(INDEX(regNatjecatelj_klub,MATCH(EB269,regNatjecatelj_id,0)),"NEMA")="","klu",""),IF(OR(AND(BN269&lt;&gt;"",BN269&lt;&gt;"NEMA"),CD269&lt;&gt;""),"klu(ali)",IF(AND(BP269&lt;&gt;"",BP269&lt;&gt;BO269),"(raz-klu)","klu"))))</f>
        <v>klu</v>
      </c>
      <c r="EF269" s="73" t="str">
        <f>IF(AL269="","","kat"&amp;IF(AND(W269&lt;&gt;Q269,Q269&lt;&gt;"Open"),"(ali)",""))</f>
        <v>kat</v>
      </c>
      <c r="EG269" s="73" t="str">
        <f t="shared" ref="EG269:EG332" si="259">IF(OR(CV269&lt;&gt;"",CX269=2),"ot","")</f>
        <v/>
      </c>
      <c r="EH269" s="66" t="str">
        <f>IF(AL269="","",ED269&amp;IF(ED269="novo","","-"&amp;EE269&amp;"-"&amp;EF269)&amp;IF(EG269="","","-"&amp;EG269))</f>
        <v>imepre-klu-kat</v>
      </c>
      <c r="EI269" s="47" t="s">
        <v>0</v>
      </c>
      <c r="EJ269" s="58">
        <f>IF(AL269="","",MAX(EJ$12:EJ268)+1)</f>
        <v>420</v>
      </c>
      <c r="EK269" s="73">
        <f>IF(AO269="","",X269)</f>
        <v>40</v>
      </c>
      <c r="EL269" s="73">
        <f t="shared" si="232"/>
        <v>1059</v>
      </c>
      <c r="EM269" s="73">
        <f t="shared" ref="EM269:EM332" si="260">IF(CW269="","",CW269)</f>
        <v>4041</v>
      </c>
      <c r="EN269" s="73">
        <f t="shared" ref="EN269:EN332" si="261">IF(CX269="","",IF(AND(EM269="",CX269=1),6,CX269))</f>
        <v>1</v>
      </c>
      <c r="EO269" s="73">
        <f t="shared" si="233"/>
        <v>1</v>
      </c>
      <c r="EP269" s="73">
        <f t="shared" si="234"/>
        <v>1</v>
      </c>
      <c r="EQ269" s="73" t="str">
        <f t="shared" ref="EQ269:EQ332" si="262">IF(CX269="","",CU269)</f>
        <v>0</v>
      </c>
      <c r="ER269" s="73" t="str">
        <f>IF(OR(AN269="",AN269="NEMA"),BB269,AN269)</f>
        <v/>
      </c>
      <c r="ES269" s="73" t="str">
        <f>IF(AND(BN269&lt;&gt;"",BN269&lt;&gt;"NEMA"),BN269,IF(CG269&lt;&gt;"",CG269,IF(AND(CL269&lt;&gt;"",CL269&lt;&gt;"NEMA"),CL269,IF(CM269&lt;&gt;"",CM269,""))))</f>
        <v/>
      </c>
      <c r="ET269" s="53" t="str">
        <f>IF(INDEX(natKategorija_alias_Id,MATCH(S269,natKategorija_katRegId,0))="","",INDEX(natKategorija_alias_Id,MATCH(S269,natKategorija_katRegId,0)))</f>
        <v/>
      </c>
      <c r="EU269" s="47" t="s">
        <v>0</v>
      </c>
      <c r="EV269" s="19" t="str">
        <f t="shared" si="235"/>
        <v>INSERT INTO rezultat(id,stazakategorija_id,imeprezime_id,vrijeme_sec,status_id,registracija,uparivanje_id,originalstatus_id,imeprezimealias_id,klubalias_id,kategorijaalias_id) VALUES (420,40,1059,4041,1,1,1,0,Null,Null,Null);</v>
      </c>
      <c r="EW269" s="47" t="s">
        <v>0</v>
      </c>
      <c r="EX269" s="19" t="str">
        <f t="shared" si="236"/>
        <v>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69" s="47" t="s">
        <v>0</v>
      </c>
      <c r="EZ269" s="180" t="str">
        <f>AG269&amp;IF(CP269="","","
")&amp;CP269&amp;IF(CI269="","","
")&amp;CI269&amp;IF(DN269="","","
")&amp;DN269&amp;IF(DP269="","","
")&amp;DP269&amp;IF(EV269="","","
")&amp;EV269&amp;IF(EX269="","","
")&amp;EX269</f>
        <v xml:space="preserve">
INSERT INTO rezultat(id,stazakategorija_id,imeprezime_id,vrijeme_sec,status_id,registracija,uparivanje_id,originalstatus_id,imeprezimealias_id,klubalias_id,kategorijaalias_id) VALUES (420,40,1059,4041,1,1,1,0,Null,Null,Null);
UPDATE
	registar
SET
	potvrda = 1
WHERE
	imeprezime_id=1059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69" s="47" t="s">
        <v>0</v>
      </c>
    </row>
    <row r="270" spans="1:157" x14ac:dyDescent="0.25">
      <c r="A270" t="s">
        <v>0</v>
      </c>
      <c r="B270" s="52" t="str">
        <f>IF(csv!F260="","",csv!T260)</f>
        <v>Ž21B</v>
      </c>
      <c r="C270" s="31" t="s">
        <v>0</v>
      </c>
      <c r="D270" s="31" t="str">
        <f>IF(csv!F260="","",csv!F260)</f>
        <v>Suzana</v>
      </c>
      <c r="E270" s="31" t="str">
        <f>IF(csv!E260="","",csv!E260)</f>
        <v>Stanić</v>
      </c>
      <c r="F270" s="31" t="s">
        <v>0</v>
      </c>
      <c r="G270" s="73" t="str">
        <f>IF(csv!M260="","",csv!M260)</f>
        <v>76:26</v>
      </c>
      <c r="H270" s="73" t="str">
        <f>IF(csv!N260="","",csv!N260)</f>
        <v>0</v>
      </c>
      <c r="I270" s="31" t="s">
        <v>0</v>
      </c>
      <c r="J270" s="31" t="str">
        <f>IF(csv!P260="","",csv!P260)</f>
        <v>KAP</v>
      </c>
      <c r="K270" s="31" t="str">
        <f>IF(csv!Q260="","",csv!Q260)</f>
        <v>OK Kapela</v>
      </c>
      <c r="L270" s="31" t="s">
        <v>0</v>
      </c>
      <c r="M270" s="66" t="str">
        <f>IF(csv!R260="","",csv!R260)</f>
        <v>CRO</v>
      </c>
      <c r="N270" s="47" t="s">
        <v>0</v>
      </c>
      <c r="O270" s="243" t="str">
        <f t="shared" ref="O270:O333" si="263">IF(E270="","","ok")</f>
        <v>ok</v>
      </c>
      <c r="P270" s="47"/>
      <c r="Q270" s="52" t="str">
        <f t="shared" ref="Q270:Q333" si="264">IF(B270="","",B270)</f>
        <v>Ž21B</v>
      </c>
      <c r="R270" s="73">
        <f>IF(Q270="","",IF(COUNTIF(Q$12:Q269,Q270)=0,R269+1,R269))</f>
        <v>18</v>
      </c>
      <c r="S270" s="73">
        <f t="shared" ref="S270:S333" si="265">IF(Q270="","",IFERROR(INDEX(regKategorija_id,MATCH(Q270,regKategorija_oznaka,0)),IFERROR(INDEX(regKategorija_alias_id,MATCH(Q270,regKategorija_alias_oznaka,0)),INDEX(natKategorija_katRegId,MATCH(Q270,natKategorija_kategorija,0)))))</f>
        <v>118</v>
      </c>
      <c r="T270" s="73">
        <f t="shared" si="240"/>
        <v>27</v>
      </c>
      <c r="U270" s="66" t="str">
        <f t="shared" si="241"/>
        <v>Ž21B – Ž16</v>
      </c>
      <c r="V270" s="47" t="s">
        <v>0</v>
      </c>
      <c r="W270" s="222" t="str">
        <f t="shared" si="242"/>
        <v>Ž21B</v>
      </c>
      <c r="X270" s="223">
        <f t="shared" si="243"/>
        <v>40</v>
      </c>
      <c r="Y270" s="47" t="s">
        <v>0</v>
      </c>
      <c r="Z270" s="52" t="str">
        <f t="shared" ref="Z270:Z333" si="266">IF(O270="","",M270)</f>
        <v>CRO</v>
      </c>
      <c r="AA270" s="73">
        <f t="shared" si="244"/>
        <v>1</v>
      </c>
      <c r="AB270" s="31" t="str">
        <f t="shared" ref="AB270:AB333" si="267">IF(OR(AA270="",AA270&lt;&gt;"NEMA"),"",Z270)</f>
        <v/>
      </c>
      <c r="AC270" s="66" t="str">
        <f>IF(AB270="","",MAX(AC$12:AC269)+1)</f>
        <v/>
      </c>
      <c r="AD270" s="47" t="s">
        <v>0</v>
      </c>
      <c r="AE270" s="125"/>
      <c r="AF270" s="47" t="s">
        <v>0</v>
      </c>
      <c r="AG270" s="19" t="str">
        <f t="shared" ref="AG270:AG333" si="268">IF(AB270="","","INSERT INTO drzava(id,naziv,oznaka) VALUES ("&amp;AC270&amp;",'"&amp;AE270&amp;"','"&amp;UPPER(LEFT(AB270,1))&amp;LOWER(RIGHT(AB270,2))&amp;"');")</f>
        <v/>
      </c>
      <c r="AH270" s="47" t="s">
        <v>0</v>
      </c>
      <c r="AI270" s="143" t="str">
        <f t="shared" ref="AI270:AI333" si="269">IF(AA270="","",IF(AA270="NEMA",AB270,Z270))</f>
        <v>CRO</v>
      </c>
      <c r="AJ270" s="47"/>
      <c r="AK270" s="52" t="str">
        <f t="shared" ref="AK270:AK333" si="270">IF(O270="","",D270)</f>
        <v>Suzana</v>
      </c>
      <c r="AL270" s="31" t="str">
        <f t="shared" ref="AL270:AL333" si="271">IF(O270="","",E270)</f>
        <v>Stanić</v>
      </c>
      <c r="AM270" s="73">
        <f t="shared" ref="AM270:AM333" si="272">IF(AL270="","",IFERROR(INDEX(regNatjecatelj_id,MATCH(AK270&amp;" – "&amp;AL270,regNatjecatelj_imePrezime,0)),"NEMA"))</f>
        <v>1032</v>
      </c>
      <c r="AN270" s="73" t="str">
        <f t="shared" ref="AN270:AN333" si="273">IF(AM270&lt;&gt;"NEMA","",IFERROR(INDEX(regNatjecatelj_alias_natjecateljId,MATCH(AK270&amp;" "&amp;AL270,regNatjecatelj_alias_alias,0)),"NEMA"))</f>
        <v/>
      </c>
      <c r="AO270" s="31" t="str">
        <f t="shared" si="245"/>
        <v>Suzana</v>
      </c>
      <c r="AP270" s="66" t="str">
        <f t="shared" si="246"/>
        <v>Stanić</v>
      </c>
      <c r="AQ270" s="47" t="s">
        <v>0</v>
      </c>
      <c r="AR270" s="82" t="str">
        <f t="shared" ref="AR270:AR333" si="274">IF(OR(O270="",AN270&lt;&gt;"NEMA"),"",AK270&amp;" "&amp;AL270)</f>
        <v/>
      </c>
      <c r="AS270" s="47" t="s">
        <v>0</v>
      </c>
      <c r="AT270" s="19" t="str">
        <f t="shared" ref="AT270:AT333" si="275">IF(OR(AM270&lt;&gt;"NEMA",AN270&lt;&gt;"NEMA"),"","SELECT '"&amp;AO270&amp;" – "&amp;AP270&amp;"', ime, prezime FROM imeprezime WHERE ime LIKE '%"&amp;MID(AO270,2,LEN(AO270)-2)&amp;"%' Or prezime LIKE '%"&amp;MID(AP270,2,LEN(AP270)-2)&amp;"%' Or ime LIKE '%"&amp;MID(AP270,2,LEN(AP270)-2)&amp;"%' Or prezime LIKE '%"&amp;MID(AO270,2,LEN(AO270)-2)&amp;"%' ORDER BY ime, prezime;")</f>
        <v/>
      </c>
      <c r="AU270" s="47" t="s">
        <v>0</v>
      </c>
      <c r="AV270" s="103"/>
      <c r="AW270" s="105"/>
      <c r="AX270" s="47" t="s">
        <v>0</v>
      </c>
      <c r="AY270" s="256" t="str">
        <f t="shared" si="237"/>
        <v/>
      </c>
      <c r="AZ270" s="47" t="s">
        <v>0</v>
      </c>
      <c r="BA270" s="52" t="str">
        <f t="shared" si="247"/>
        <v/>
      </c>
      <c r="BB270" s="73" t="str">
        <f>IF(AV270&amp;AW270="","",MAX(BB$12:BB269)+1)</f>
        <v/>
      </c>
      <c r="BC270" s="268" t="str">
        <f t="shared" si="248"/>
        <v/>
      </c>
      <c r="BD270" s="53" t="str">
        <f>IF(AND(AM270="NEMA",AN270="NEMA",OR(AV270&amp;AW270="",BC270="NEMA")),MAX(BD$12:BD269)+1,"")</f>
        <v/>
      </c>
      <c r="BE270" s="47" t="s">
        <v>0</v>
      </c>
      <c r="BF270" s="52" t="str">
        <f t="shared" si="249"/>
        <v>Suzana</v>
      </c>
      <c r="BG270" s="31" t="str">
        <f t="shared" si="250"/>
        <v>Stanić</v>
      </c>
      <c r="BH270" s="73" t="str">
        <f t="shared" ref="BH270:BH333" si="276">IF(AND(AN270&lt;&gt;"",AN270&lt;&gt;"NEMA"),AN270,IF(BB270&lt;&gt;"",BB270,""))</f>
        <v/>
      </c>
      <c r="BI270" s="53">
        <f t="shared" ref="BI270:BI333" si="277">IF(AND(AM270&lt;&gt;"",AM270&lt;&gt;"NEMA"),AM270,IF(BC270&lt;&gt;"",BC270,IF(BD270&lt;&gt;"",BD270,"")))</f>
        <v>1032</v>
      </c>
      <c r="BJ270" s="47" t="s">
        <v>0</v>
      </c>
      <c r="BK270" s="52" t="str">
        <f t="shared" si="251"/>
        <v>KAP</v>
      </c>
      <c r="BL270" s="31" t="str">
        <f t="shared" si="252"/>
        <v>OK Kapela</v>
      </c>
      <c r="BM270" s="73">
        <f t="shared" si="253"/>
        <v>5</v>
      </c>
      <c r="BN270" s="73" t="str">
        <f t="shared" si="254"/>
        <v/>
      </c>
      <c r="BO270" s="31" t="str" cm="1">
        <f t="array" ref="BO270">IF(BN270="",""&amp;BL270,IF(BN270="NEMA",BL270,INDEX(regKlub_naziv,MATCH(INDEX(regKlub_alias_klubId,BN270),regKlub_id,0))))</f>
        <v>OK Kapela</v>
      </c>
      <c r="BP270" s="31" t="str" cm="1">
        <f t="array" ref="BP270">IFERROR(""&amp;INDEX(regNatjecatelj_klub,DY270),"")</f>
        <v>OK Kapela</v>
      </c>
      <c r="BQ270" s="88" t="str">
        <f t="shared" ref="BQ270:BQ333" si="278">IF(BO270=BP270,"",IF(BP270="","",1))</f>
        <v/>
      </c>
      <c r="BR270" s="66" t="str">
        <f t="shared" ref="BR270:BR333" si="279">IF(AND(BP270&lt;&gt;"",BP270&lt;&gt;BO270),BP270,""&amp;BO270)</f>
        <v>OK Kapela</v>
      </c>
      <c r="BS270" s="47" t="s">
        <v>0</v>
      </c>
      <c r="BT270" s="82" t="str">
        <f>IF(BN270&lt;&gt;"NEMA","",IF(IFERROR(MATCH(BL270,BL$12:BL269,0),0)&lt;&gt;0,"",BL270))</f>
        <v/>
      </c>
      <c r="BU270" s="47" t="s">
        <v>0</v>
      </c>
      <c r="BV270" s="125"/>
      <c r="BW270" s="47" t="s">
        <v>0</v>
      </c>
      <c r="BX270" s="58" t="str">
        <f t="shared" ref="BX270:BX333" si="280">IF(BV270="","",IFERROR(INDEX(regKlub_id,MATCH(BV270,regKlub_naziv,0)),"NEMA"))</f>
        <v/>
      </c>
      <c r="BY270" s="31" t="str">
        <f t="shared" ref="BY270:BY333" si="281">IF(BT270="","",IF(BV270="",BT270,""))</f>
        <v/>
      </c>
      <c r="BZ270" s="31" t="str">
        <f>IF(BY270="","",MAX(BZ$12:BZ269)+1)</f>
        <v/>
      </c>
      <c r="CA270" s="31" t="str">
        <f>IF(BY270="","",IF(AA270="","",IF(AA270="NEMA",AC270,AA270)))</f>
        <v/>
      </c>
      <c r="CB270" s="31" t="str">
        <f t="shared" ref="CB270:CB333" si="282">IF(BY270="","","INSERT INTO klub(id,naziv,drzava_id,aktivan) VALUES ("&amp;BZ270&amp;",'"&amp;BY270&amp;"',"&amp;CA270&amp;",1);")</f>
        <v/>
      </c>
      <c r="CC270" s="31" t="str">
        <f>IF(BV270="","",MAX(CC$12:CC269)+1)</f>
        <v/>
      </c>
      <c r="CD270" s="31" t="str">
        <f t="shared" ref="CD270:CD333" si="283">IF(BV270="","",IF(BZ270="",INDEX(regKlub_id,MATCH(BV270,regKlub_naziv,0)),BZ270))</f>
        <v/>
      </c>
      <c r="CE270" s="66" t="str">
        <f t="shared" ref="CE270:CE333" si="284">IF(BV270="","","INSERT INTO klub_alias(id,alias,klub_id) VALUES ("&amp;CC270&amp;",'"&amp;BT270&amp;"',"&amp;CD270&amp;");")</f>
        <v/>
      </c>
      <c r="CF270" s="47" t="s">
        <v>0</v>
      </c>
      <c r="CG270" s="73" t="str">
        <f>IF(BN270="","",IF(BN270&lt;&gt;"NEMA","",IFERROR(INDEX(nat_klubAliasId,MATCH(BL270,nat_noviKluboviAliasi,0)),"")))</f>
        <v/>
      </c>
      <c r="CH270" s="47"/>
      <c r="CI270" s="19" t="str">
        <f t="shared" ref="CI270:CI333" si="285">""&amp;CB270&amp;IF(AND(CB270&lt;&gt;"",CE270&lt;&gt;""),"
","")&amp;CE270</f>
        <v/>
      </c>
      <c r="CJ270" s="47" t="s">
        <v>0</v>
      </c>
      <c r="CK270" s="52" t="str">
        <f>IF(X270&lt;&gt;"NEMA","",IF(IFERROR(MATCH(W270,W$12:W269,0),0)&lt;&gt;0,"",W270))</f>
        <v/>
      </c>
      <c r="CL270" s="73" t="str">
        <f>IF(CK270="","",IFERROR(INDEX(regKlub_alias_id,MATCH(CK270,regKlub_alias_alias,0)),"NEMA"))</f>
        <v/>
      </c>
      <c r="CM270" s="31" t="str">
        <f>IF(OR(CL270="",CL270&lt;&gt;"NEMA"),"",MAX(CM$12:CM269)+1)</f>
        <v/>
      </c>
      <c r="CN270" s="66" t="str">
        <f>IF(OR(CL270="",CL270&lt;&gt;"NEMA"),"",INDEX(regKlub_id,MATCH(CK270,regKlub_naziv,0)))</f>
        <v/>
      </c>
      <c r="CO270" s="47" t="s">
        <v>0</v>
      </c>
      <c r="CP270" s="19" t="str">
        <f>IF(OR(CL270="",CL270&lt;&gt;"NEMA"),"","INSERT INTO klub_alias(id,alias,klub_id) VALUES ("&amp;CM270&amp;",'"&amp;CK270&amp;"',"&amp;CN270&amp;");")</f>
        <v/>
      </c>
      <c r="CQ270" s="47" t="s">
        <v>0</v>
      </c>
      <c r="CR270" s="143" t="str">
        <f>IF(BR270="","",IF(BV270="",IF(IFERROR(MATCH(BR270,nat_noviKluboviAliasi,0),0)&gt;0,INDEX(nat_kluboviAliasi,MATCH(BR270,nat_noviKluboviAliasi,0)),BR270),BV270))</f>
        <v>OK Kapela</v>
      </c>
      <c r="CS270" s="47" t="s">
        <v>0</v>
      </c>
      <c r="CT270" s="58" t="str">
        <f>IF(G270="","",G270)</f>
        <v>76:26</v>
      </c>
      <c r="CU270" s="73" t="str">
        <f>IF(H270="","",H270)</f>
        <v>0</v>
      </c>
      <c r="CV270" s="229" t="str">
        <f>IF(CT270="",IF(OR(AL270="",CU270&lt;&gt;"0"),"","GREŠKA"),IF(AND(65535&gt;=VALUE(LEFT(CT270,SEARCH(":",CT270)-1))*60+VALUE(RIGHT(CT270,2)),OR(CU270="0",CU270="1",CU270="2",CU270="3",CU270="4")),"","GREŠKA"))</f>
        <v/>
      </c>
      <c r="CW270" s="230">
        <f t="shared" si="239"/>
        <v>4586</v>
      </c>
      <c r="CX270" s="163">
        <f t="shared" si="255"/>
        <v>1</v>
      </c>
      <c r="CY270" s="47" t="s">
        <v>0</v>
      </c>
      <c r="CZ270" s="222" t="str">
        <f>IF(CV270&lt;&gt;"GREŠKA","",AK270&amp;" "&amp;AL270&amp;" – Molim u OEventu provjeriti i ispraviti rezultat – vrijeme ("&amp;IF(CT270="","nije upisano",CT270)&amp;") i classifier ("&amp;CU270&amp;").")&amp;IF(OR(CV270&lt;&gt;"GREŠKA",CX270&lt;&gt;5),"
","")&amp;IF(CX270&lt;&gt;5,"",AK270&amp;" "&amp;AL270&amp;" – Molim u provjeriti je li natjecatelj zaista diskvalificiran. Ako je koje je obrazloženje, ako nije molim u OEventu ispraviti rezultat")</f>
        <v xml:space="preserve">
</v>
      </c>
      <c r="DA270" s="223">
        <f t="shared" ref="DA270:DA333" si="286">IF(EA270="","",IF(AND(CX270="0",N(CZ270)&gt;data_max_minuta*60),2,INDEX(regStatusRezultat_id,MATCH(VALUE(CX270),regStatusRezultat_oEvent,0))))</f>
        <v>6</v>
      </c>
      <c r="DB270" s="47" t="s">
        <v>0</v>
      </c>
      <c r="DC270" s="47"/>
      <c r="DD270" s="47"/>
      <c r="DE270" s="47"/>
      <c r="DF270" s="47" t="s">
        <v>0</v>
      </c>
      <c r="DG270" s="53" t="str">
        <f>IF(BD270="","",IF(DI270="O",1,""))</f>
        <v/>
      </c>
      <c r="DH270" t="s">
        <v>0</v>
      </c>
      <c r="DI270" s="128" t="str">
        <f>IF(Q270="","",LEFT(INDEX(regKategorija_oznaka,MATCH(S270,regKategorija_id,0)),1))</f>
        <v>Ž</v>
      </c>
      <c r="DJ270" t="s">
        <v>0</v>
      </c>
      <c r="DK270" s="52" t="str">
        <f>IF(BD270="","",IF(M270&lt;&gt;"CRO","","INSERT INTO osoba (id,reg_broj,oib,spol_id,dat_rodjenja) VALUES ("&amp;BD270&amp;",(SELECT max(os.reg_broj)+1 FROM osoba AS os),Null,'"&amp;DI270&amp;"',Null); INSERT INTO osoba_log (id,reg_broj,oib,spol_id,dat_rodjenja,dnevnik_id) SELECT id,reg_broj,oib,spol_id,dat_rodjenja,"&amp;data_dnevnik_id&amp;" FROM osoba WHERE id = "&amp;BD270&amp;";"))</f>
        <v/>
      </c>
      <c r="DL270" s="66" t="str">
        <f>IF(BD270="","","INSERT INTO imeprezime (id,osoba_id,rbr,ime,prezime,klub_id,identitet_id,sintaksa_id,info,aktivno,dnevnik_id) VALUES ("&amp;BD270&amp;","&amp;IF(DK270="","Null",BD270)&amp;",1,'"&amp;IF(AV270&lt;&gt;"",AV270,AK270)&amp;"','"&amp;IF(AW270&lt;&gt;"",AW270,AL270)&amp;"',(SELECT id FROM klub WHERE naziv = '"&amp;CR270&amp;"'),Null,1,'',1,"&amp;data_dnevnik_id&amp;");")</f>
        <v/>
      </c>
      <c r="DM270" t="s">
        <v>0</v>
      </c>
      <c r="DN270" s="19" t="str">
        <f t="shared" si="238"/>
        <v/>
      </c>
      <c r="DO270" s="47" t="s">
        <v>0</v>
      </c>
      <c r="DP270" s="19" t="str">
        <f>IF(BA270="","","INSERT INTO imeprezime_alias(id,alias,imeprezime_id) VALUES ("&amp;BB270&amp;",'"&amp;BA270&amp;"',"&amp;IF(BC270="NEMA",BD270,BC270)&amp;");")</f>
        <v/>
      </c>
      <c r="DQ270" s="47" t="s">
        <v>0</v>
      </c>
      <c r="DR270" s="52" t="str">
        <f>IF(AL270="","",DU270 &amp; IF(Q270="",""," – " &amp; Q270))</f>
        <v>Suzana – Stanić – OK Kapela – Ž21B</v>
      </c>
      <c r="DS270" s="53">
        <f t="shared" si="256"/>
        <v>314</v>
      </c>
      <c r="DT270" s="47" t="s">
        <v>0</v>
      </c>
      <c r="DU270" s="52" t="str">
        <f>IF(AL270="","",DX270 &amp; IF(CR270="",""," – " &amp; CR270))</f>
        <v>Suzana – Stanić – OK Kapela</v>
      </c>
      <c r="DV270" s="53">
        <f t="shared" si="257"/>
        <v>314</v>
      </c>
      <c r="DW270" s="47" t="s">
        <v>0</v>
      </c>
      <c r="DX270" s="52" t="str">
        <f>IF(BG270="","",BF270&amp;" – "&amp;BG270)</f>
        <v>Suzana – Stanić</v>
      </c>
      <c r="DY270" s="53">
        <f t="shared" si="258"/>
        <v>314</v>
      </c>
      <c r="DZ270" s="47" t="s">
        <v>0</v>
      </c>
      <c r="EA270" s="58">
        <f t="shared" ref="EA270:EA333" si="287">IF(DS270="","",IF(DS270&lt;&gt;"NEMA",DS270,IF(DV270&lt;&gt;"NEMA",DV270,IF(DY270&lt;&gt;"NEMA",DY270,""))))</f>
        <v>314</v>
      </c>
      <c r="EB270" s="53" cm="1">
        <f t="array" ref="EB270">IF(EA270&lt;&gt;"",INDEX(regNatjecatelj_id,EA270,0),IF(BD270&lt;&gt;"",BD270,""))</f>
        <v>1032</v>
      </c>
      <c r="EC270" s="47" t="s">
        <v>0</v>
      </c>
      <c r="ED270" s="58" t="str">
        <f>IF(AL270="","",IF(BD270&lt;&gt;"","novo",IF(AN270="","imepre","imepre(ali)")))</f>
        <v>imepre</v>
      </c>
      <c r="EE270" s="73" t="str">
        <f>IF(AL270="","",IF(BL270="",IF(IFERROR(INDEX(regNatjecatelj_klub,MATCH(EB270,regNatjecatelj_id,0)),"NEMA")="","klu",""),IF(OR(AND(BN270&lt;&gt;"",BN270&lt;&gt;"NEMA"),CD270&lt;&gt;""),"klu(ali)",IF(AND(BP270&lt;&gt;"",BP270&lt;&gt;BO270),"(raz-klu)","klu"))))</f>
        <v>klu</v>
      </c>
      <c r="EF270" s="73" t="str">
        <f>IF(AL270="","","kat"&amp;IF(AND(W270&lt;&gt;Q270,Q270&lt;&gt;"Open"),"(ali)",""))</f>
        <v>kat</v>
      </c>
      <c r="EG270" s="73" t="str">
        <f t="shared" si="259"/>
        <v/>
      </c>
      <c r="EH270" s="66" t="str">
        <f>IF(AL270="","",ED270&amp;IF(ED270="novo","","-"&amp;EE270&amp;"-"&amp;EF270)&amp;IF(EG270="","","-"&amp;EG270))</f>
        <v>imepre-klu-kat</v>
      </c>
      <c r="EI270" s="47" t="s">
        <v>0</v>
      </c>
      <c r="EJ270" s="58">
        <f>IF(AL270="","",MAX(EJ$12:EJ269)+1)</f>
        <v>421</v>
      </c>
      <c r="EK270" s="73">
        <f>IF(AO270="","",X270)</f>
        <v>40</v>
      </c>
      <c r="EL270" s="73">
        <f t="shared" ref="EL270:EL333" si="288">IF(EB270="","",EB270)</f>
        <v>1032</v>
      </c>
      <c r="EM270" s="73">
        <f t="shared" si="260"/>
        <v>4586</v>
      </c>
      <c r="EN270" s="73">
        <f t="shared" si="261"/>
        <v>1</v>
      </c>
      <c r="EO270" s="73">
        <f t="shared" ref="EO270:EO333" si="289">IF(DX270="","",IF(data_trka_je_rangirana=0,0,IF(OR(DS270="",DS270="NEMA"),0,1)))</f>
        <v>1</v>
      </c>
      <c r="EP270" s="73">
        <f t="shared" ref="EP270:EP333" si="290">IF(EJ270="","",INDEX(regUparivanje_id,MATCH(EH270,regUparivanje_oznaka,0)))</f>
        <v>1</v>
      </c>
      <c r="EQ270" s="73" t="str">
        <f t="shared" si="262"/>
        <v>0</v>
      </c>
      <c r="ER270" s="73" t="str">
        <f>IF(OR(AN270="",AN270="NEMA"),BB270,AN270)</f>
        <v/>
      </c>
      <c r="ES270" s="73" t="str">
        <f>IF(AND(BN270&lt;&gt;"",BN270&lt;&gt;"NEMA"),BN270,IF(CG270&lt;&gt;"",CG270,IF(AND(CL270&lt;&gt;"",CL270&lt;&gt;"NEMA"),CL270,IF(CM270&lt;&gt;"",CM270,""))))</f>
        <v/>
      </c>
      <c r="ET270" s="53" t="str">
        <f>IF(INDEX(natKategorija_alias_Id,MATCH(S270,natKategorija_katRegId,0))="","",INDEX(natKategorija_alias_Id,MATCH(S270,natKategorija_katRegId,0)))</f>
        <v/>
      </c>
      <c r="EU270" s="47" t="s">
        <v>0</v>
      </c>
      <c r="EV270" s="19" t="str">
        <f t="shared" ref="EV270:EV333" si="291">IF(EK270="","","INSERT INTO rezultat(id,stazakategorija_id,imeprezime_id,vrijeme_sec,status_id,registracija,uparivanje_id,originalstatus_id,imeprezimealias_id,klubalias_id,kategorijaalias_id) VALUES ("&amp;EJ270&amp;","&amp;EK270&amp;","&amp;EL270&amp;","&amp;IF(EM270="","Null",EM270)&amp;","&amp;EN270&amp;","&amp;EO270&amp;","&amp;EP270&amp;","&amp;EQ270&amp;","&amp;IF(ER270="","Null",ER270)&amp;","&amp;IF(ES270="","Null",ES270)&amp;","&amp;IF(ET270="","Null",ET270)&amp;");")</f>
        <v>INSERT INTO rezultat(id,stazakategorija_id,imeprezime_id,vrijeme_sec,status_id,registracija,uparivanje_id,originalstatus_id,imeprezimealias_id,klubalias_id,kategorijaalias_id) VALUES (421,40,1032,4586,1,1,1,0,Null,Null,Null);</v>
      </c>
      <c r="EW270" s="47" t="s">
        <v>0</v>
      </c>
      <c r="EX270" s="19" t="str">
        <f t="shared" ref="EX270:EX333" si="292">IF(EK270="","",IF(EO270=1,"UPDATE
	registar
SET
	potvrda = 1
WHERE
	imeprezime_id="&amp;EL270&amp;"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"&amp;EK270&amp;")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0" s="47" t="s">
        <v>0</v>
      </c>
      <c r="EZ270" s="180" t="str">
        <f>AG270&amp;IF(CP270="","","
")&amp;CP270&amp;IF(CI270="","","
")&amp;CI270&amp;IF(DN270="","","
")&amp;DN270&amp;IF(DP270="","","
")&amp;DP270&amp;IF(EV270="","","
")&amp;EV270&amp;IF(EX270="","","
")&amp;EX270</f>
        <v xml:space="preserve">
INSERT INTO rezultat(id,stazakategorija_id,imeprezime_id,vrijeme_sec,status_id,registracija,uparivanje_id,originalstatus_id,imeprezimealias_id,klubalias_id,kategorijaalias_id) VALUES (421,40,1032,4586,1,1,1,0,Null,Null,Null);
UPDATE
	registar
SET
	potvrda = 1
WHERE
	imeprezime_id=1032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0" s="47" t="s">
        <v>0</v>
      </c>
    </row>
    <row r="271" spans="1:157" x14ac:dyDescent="0.25">
      <c r="A271" t="s">
        <v>0</v>
      </c>
      <c r="B271" s="52" t="str">
        <f>IF(csv!F261="","",csv!T261)</f>
        <v>Ž21B</v>
      </c>
      <c r="C271" s="31" t="s">
        <v>0</v>
      </c>
      <c r="D271" s="31" t="str">
        <f>IF(csv!F261="","",csv!F261)</f>
        <v>Lovorka</v>
      </c>
      <c r="E271" s="31" t="str">
        <f>IF(csv!E261="","",csv!E261)</f>
        <v>Čaja</v>
      </c>
      <c r="F271" s="31" t="s">
        <v>0</v>
      </c>
      <c r="G271" s="73" t="str">
        <f>IF(csv!M261="","",csv!M261)</f>
        <v>82:10</v>
      </c>
      <c r="H271" s="73" t="str">
        <f>IF(csv!N261="","",csv!N261)</f>
        <v>0</v>
      </c>
      <c r="I271" s="31" t="s">
        <v>0</v>
      </c>
      <c r="J271" s="31" t="str">
        <f>IF(csv!P261="","",csv!P261)</f>
        <v>Vihor</v>
      </c>
      <c r="K271" s="31" t="str">
        <f>IF(csv!Q261="","",csv!Q261)</f>
        <v>OK Vihor</v>
      </c>
      <c r="L271" s="31" t="s">
        <v>0</v>
      </c>
      <c r="M271" s="66" t="str">
        <f>IF(csv!R261="","",csv!R261)</f>
        <v>CRO</v>
      </c>
      <c r="N271" s="47" t="s">
        <v>0</v>
      </c>
      <c r="O271" s="243" t="str">
        <f t="shared" si="263"/>
        <v>ok</v>
      </c>
      <c r="P271" s="47"/>
      <c r="Q271" s="52" t="str">
        <f t="shared" si="264"/>
        <v>Ž21B</v>
      </c>
      <c r="R271" s="73">
        <f>IF(Q271="","",IF(COUNTIF(Q$12:Q270,Q271)=0,R270+1,R270))</f>
        <v>18</v>
      </c>
      <c r="S271" s="73">
        <f t="shared" si="265"/>
        <v>118</v>
      </c>
      <c r="T271" s="73">
        <f t="shared" si="240"/>
        <v>27</v>
      </c>
      <c r="U271" s="66" t="str">
        <f t="shared" si="241"/>
        <v>Ž21B – Ž16</v>
      </c>
      <c r="V271" s="47" t="s">
        <v>0</v>
      </c>
      <c r="W271" s="222" t="str">
        <f t="shared" si="242"/>
        <v>Ž21B</v>
      </c>
      <c r="X271" s="223">
        <f t="shared" si="243"/>
        <v>40</v>
      </c>
      <c r="Y271" s="47" t="s">
        <v>0</v>
      </c>
      <c r="Z271" s="52" t="str">
        <f t="shared" si="266"/>
        <v>CRO</v>
      </c>
      <c r="AA271" s="73">
        <f t="shared" si="244"/>
        <v>1</v>
      </c>
      <c r="AB271" s="31" t="str">
        <f t="shared" si="267"/>
        <v/>
      </c>
      <c r="AC271" s="66" t="str">
        <f>IF(AB271="","",MAX(AC$12:AC270)+1)</f>
        <v/>
      </c>
      <c r="AD271" s="47" t="s">
        <v>0</v>
      </c>
      <c r="AE271" s="125"/>
      <c r="AF271" s="47" t="s">
        <v>0</v>
      </c>
      <c r="AG271" s="19" t="str">
        <f t="shared" si="268"/>
        <v/>
      </c>
      <c r="AH271" s="47" t="s">
        <v>0</v>
      </c>
      <c r="AI271" s="143" t="str">
        <f t="shared" si="269"/>
        <v>CRO</v>
      </c>
      <c r="AJ271" s="47"/>
      <c r="AK271" s="52" t="str">
        <f t="shared" si="270"/>
        <v>Lovorka</v>
      </c>
      <c r="AL271" s="31" t="str">
        <f t="shared" si="271"/>
        <v>Čaja</v>
      </c>
      <c r="AM271" s="73">
        <f t="shared" si="272"/>
        <v>1063</v>
      </c>
      <c r="AN271" s="73" t="str">
        <f t="shared" si="273"/>
        <v/>
      </c>
      <c r="AO271" s="31" t="str">
        <f t="shared" si="245"/>
        <v>Lovorka</v>
      </c>
      <c r="AP271" s="66" t="str">
        <f t="shared" si="246"/>
        <v>Čaja</v>
      </c>
      <c r="AQ271" s="47" t="s">
        <v>0</v>
      </c>
      <c r="AR271" s="82" t="str">
        <f t="shared" si="274"/>
        <v/>
      </c>
      <c r="AS271" s="47" t="s">
        <v>0</v>
      </c>
      <c r="AT271" s="19" t="str">
        <f t="shared" si="275"/>
        <v/>
      </c>
      <c r="AU271" s="47" t="s">
        <v>0</v>
      </c>
      <c r="AV271" s="103"/>
      <c r="AW271" s="105"/>
      <c r="AX271" s="47" t="s">
        <v>0</v>
      </c>
      <c r="AY271" s="256" t="str">
        <f t="shared" si="237"/>
        <v/>
      </c>
      <c r="AZ271" s="47" t="s">
        <v>0</v>
      </c>
      <c r="BA271" s="52" t="str">
        <f t="shared" si="247"/>
        <v/>
      </c>
      <c r="BB271" s="73" t="str">
        <f>IF(AV271&amp;AW271="","",MAX(BB$12:BB270)+1)</f>
        <v/>
      </c>
      <c r="BC271" s="268" t="str">
        <f t="shared" si="248"/>
        <v/>
      </c>
      <c r="BD271" s="53" t="str">
        <f>IF(AND(AM271="NEMA",AN271="NEMA",OR(AV271&amp;AW271="",BC271="NEMA")),MAX(BD$12:BD270)+1,"")</f>
        <v/>
      </c>
      <c r="BE271" s="47" t="s">
        <v>0</v>
      </c>
      <c r="BF271" s="52" t="str">
        <f t="shared" si="249"/>
        <v>Lovorka</v>
      </c>
      <c r="BG271" s="31" t="str">
        <f t="shared" si="250"/>
        <v>Čaja</v>
      </c>
      <c r="BH271" s="73" t="str">
        <f t="shared" si="276"/>
        <v/>
      </c>
      <c r="BI271" s="53">
        <f t="shared" si="277"/>
        <v>1063</v>
      </c>
      <c r="BJ271" s="47" t="s">
        <v>0</v>
      </c>
      <c r="BK271" s="52" t="str">
        <f t="shared" si="251"/>
        <v>Vihor</v>
      </c>
      <c r="BL271" s="31" t="str">
        <f t="shared" si="252"/>
        <v>OK Vihor</v>
      </c>
      <c r="BM271" s="73">
        <f t="shared" si="253"/>
        <v>12</v>
      </c>
      <c r="BN271" s="73" t="str">
        <f t="shared" si="254"/>
        <v/>
      </c>
      <c r="BO271" s="31" t="str" cm="1">
        <f t="array" ref="BO271">IF(BN271="",""&amp;BL271,IF(BN271="NEMA",BL271,INDEX(regKlub_naziv,MATCH(INDEX(regKlub_alias_klubId,BN271),regKlub_id,0))))</f>
        <v>OK Vihor</v>
      </c>
      <c r="BP271" s="31" t="str" cm="1">
        <f t="array" ref="BP271">IFERROR(""&amp;INDEX(regNatjecatelj_klub,DY271),"")</f>
        <v>OK Vihor</v>
      </c>
      <c r="BQ271" s="88" t="str">
        <f t="shared" si="278"/>
        <v/>
      </c>
      <c r="BR271" s="66" t="str">
        <f t="shared" si="279"/>
        <v>OK Vihor</v>
      </c>
      <c r="BS271" s="47" t="s">
        <v>0</v>
      </c>
      <c r="BT271" s="82" t="str">
        <f>IF(BN271&lt;&gt;"NEMA","",IF(IFERROR(MATCH(BL271,BL$12:BL270,0),0)&lt;&gt;0,"",BL271))</f>
        <v/>
      </c>
      <c r="BU271" s="47" t="s">
        <v>0</v>
      </c>
      <c r="BV271" s="125"/>
      <c r="BW271" s="47" t="s">
        <v>0</v>
      </c>
      <c r="BX271" s="58" t="str">
        <f t="shared" si="280"/>
        <v/>
      </c>
      <c r="BY271" s="31" t="str">
        <f t="shared" si="281"/>
        <v/>
      </c>
      <c r="BZ271" s="31" t="str">
        <f>IF(BY271="","",MAX(BZ$12:BZ270)+1)</f>
        <v/>
      </c>
      <c r="CA271" s="31" t="str">
        <f>IF(BY271="","",IF(AA271="","",IF(AA271="NEMA",AC271,AA271)))</f>
        <v/>
      </c>
      <c r="CB271" s="31" t="str">
        <f t="shared" si="282"/>
        <v/>
      </c>
      <c r="CC271" s="31" t="str">
        <f>IF(BV271="","",MAX(CC$12:CC270)+1)</f>
        <v/>
      </c>
      <c r="CD271" s="31" t="str">
        <f t="shared" si="283"/>
        <v/>
      </c>
      <c r="CE271" s="66" t="str">
        <f t="shared" si="284"/>
        <v/>
      </c>
      <c r="CF271" s="47" t="s">
        <v>0</v>
      </c>
      <c r="CG271" s="73" t="str">
        <f>IF(BN271="","",IF(BN271&lt;&gt;"NEMA","",IFERROR(INDEX(nat_klubAliasId,MATCH(BL271,nat_noviKluboviAliasi,0)),"")))</f>
        <v/>
      </c>
      <c r="CH271" s="47"/>
      <c r="CI271" s="19" t="str">
        <f t="shared" si="285"/>
        <v/>
      </c>
      <c r="CJ271" s="47" t="s">
        <v>0</v>
      </c>
      <c r="CK271" s="52" t="str">
        <f>IF(X271&lt;&gt;"NEMA","",IF(IFERROR(MATCH(W271,W$12:W270,0),0)&lt;&gt;0,"",W271))</f>
        <v/>
      </c>
      <c r="CL271" s="73" t="str">
        <f>IF(CK271="","",IFERROR(INDEX(regKlub_alias_id,MATCH(CK271,regKlub_alias_alias,0)),"NEMA"))</f>
        <v/>
      </c>
      <c r="CM271" s="31" t="str">
        <f>IF(OR(CL271="",CL271&lt;&gt;"NEMA"),"",MAX(CM$12:CM270)+1)</f>
        <v/>
      </c>
      <c r="CN271" s="66" t="str">
        <f>IF(OR(CL271="",CL271&lt;&gt;"NEMA"),"",INDEX(regKlub_id,MATCH(CK271,regKlub_naziv,0)))</f>
        <v/>
      </c>
      <c r="CO271" s="47" t="s">
        <v>0</v>
      </c>
      <c r="CP271" s="19" t="str">
        <f>IF(OR(CL271="",CL271&lt;&gt;"NEMA"),"","INSERT INTO klub_alias(id,alias,klub_id) VALUES ("&amp;CM271&amp;",'"&amp;CK271&amp;"',"&amp;CN271&amp;");")</f>
        <v/>
      </c>
      <c r="CQ271" s="47" t="s">
        <v>0</v>
      </c>
      <c r="CR271" s="143" t="str">
        <f>IF(BR271="","",IF(BV271="",IF(IFERROR(MATCH(BR271,nat_noviKluboviAliasi,0),0)&gt;0,INDEX(nat_kluboviAliasi,MATCH(BR271,nat_noviKluboviAliasi,0)),BR271),BV271))</f>
        <v>OK Vihor</v>
      </c>
      <c r="CS271" s="47" t="s">
        <v>0</v>
      </c>
      <c r="CT271" s="58" t="str">
        <f>IF(G271="","",G271)</f>
        <v>82:10</v>
      </c>
      <c r="CU271" s="73" t="str">
        <f>IF(H271="","",H271)</f>
        <v>0</v>
      </c>
      <c r="CV271" s="229" t="str">
        <f>IF(CT271="",IF(OR(AL271="",CU271&lt;&gt;"0"),"","GREŠKA"),IF(AND(65535&gt;=VALUE(LEFT(CT271,SEARCH(":",CT271)-1))*60+VALUE(RIGHT(CT271,2)),OR(CU271="0",CU271="1",CU271="2",CU271="3",CU271="4")),"","GREŠKA"))</f>
        <v/>
      </c>
      <c r="CW271" s="230">
        <f t="shared" si="239"/>
        <v>4930</v>
      </c>
      <c r="CX271" s="163">
        <f t="shared" si="255"/>
        <v>1</v>
      </c>
      <c r="CY271" s="47" t="s">
        <v>0</v>
      </c>
      <c r="CZ271" s="222" t="str">
        <f>IF(CV271&lt;&gt;"GREŠKA","",AK271&amp;" "&amp;AL271&amp;" – Molim u OEventu provjeriti i ispraviti rezultat – vrijeme ("&amp;IF(CT271="","nije upisano",CT271)&amp;") i classifier ("&amp;CU271&amp;").")&amp;IF(OR(CV271&lt;&gt;"GREŠKA",CX271&lt;&gt;5),"
","")&amp;IF(CX271&lt;&gt;5,"",AK271&amp;" "&amp;AL271&amp;" – Molim u provjeriti je li natjecatelj zaista diskvalificiran. Ako je koje je obrazloženje, ako nije molim u OEventu ispraviti rezultat")</f>
        <v xml:space="preserve">
</v>
      </c>
      <c r="DA271" s="223">
        <f t="shared" si="286"/>
        <v>6</v>
      </c>
      <c r="DB271" s="47" t="s">
        <v>0</v>
      </c>
      <c r="DC271" s="47"/>
      <c r="DD271" s="47"/>
      <c r="DE271" s="47"/>
      <c r="DF271" s="47" t="s">
        <v>0</v>
      </c>
      <c r="DG271" s="53" t="str">
        <f>IF(BD271="","",IF(DI271="O",1,""))</f>
        <v/>
      </c>
      <c r="DH271" t="s">
        <v>0</v>
      </c>
      <c r="DI271" s="128" t="str">
        <f>IF(Q271="","",LEFT(INDEX(regKategorija_oznaka,MATCH(S271,regKategorija_id,0)),1))</f>
        <v>Ž</v>
      </c>
      <c r="DJ271" t="s">
        <v>0</v>
      </c>
      <c r="DK271" s="52" t="str">
        <f>IF(BD271="","",IF(M271&lt;&gt;"CRO","","INSERT INTO osoba (id,reg_broj,oib,spol_id,dat_rodjenja) VALUES ("&amp;BD271&amp;",(SELECT max(os.reg_broj)+1 FROM osoba AS os),Null,'"&amp;DI271&amp;"',Null); INSERT INTO osoba_log (id,reg_broj,oib,spol_id,dat_rodjenja,dnevnik_id) SELECT id,reg_broj,oib,spol_id,dat_rodjenja,"&amp;data_dnevnik_id&amp;" FROM osoba WHERE id = "&amp;BD271&amp;";"))</f>
        <v/>
      </c>
      <c r="DL271" s="66" t="str">
        <f>IF(BD271="","","INSERT INTO imeprezime (id,osoba_id,rbr,ime,prezime,klub_id,identitet_id,sintaksa_id,info,aktivno,dnevnik_id) VALUES ("&amp;BD271&amp;","&amp;IF(DK271="","Null",BD271)&amp;",1,'"&amp;IF(AV271&lt;&gt;"",AV271,AK271)&amp;"','"&amp;IF(AW271&lt;&gt;"",AW271,AL271)&amp;"',(SELECT id FROM klub WHERE naziv = '"&amp;CR271&amp;"'),Null,1,'',1,"&amp;data_dnevnik_id&amp;");")</f>
        <v/>
      </c>
      <c r="DM271" t="s">
        <v>0</v>
      </c>
      <c r="DN271" s="19" t="str">
        <f t="shared" si="238"/>
        <v/>
      </c>
      <c r="DO271" s="47" t="s">
        <v>0</v>
      </c>
      <c r="DP271" s="19" t="str">
        <f>IF(BA271="","","INSERT INTO imeprezime_alias(id,alias,imeprezime_id) VALUES ("&amp;BB271&amp;",'"&amp;BA271&amp;"',"&amp;IF(BC271="NEMA",BD271,BC271)&amp;");")</f>
        <v/>
      </c>
      <c r="DQ271" s="47" t="s">
        <v>0</v>
      </c>
      <c r="DR271" s="52" t="str">
        <f>IF(AL271="","",DU271 &amp; IF(Q271="",""," – " &amp; Q271))</f>
        <v>Lovorka – Čaja – OK Vihor – Ž21B</v>
      </c>
      <c r="DS271" s="53">
        <f t="shared" si="256"/>
        <v>639</v>
      </c>
      <c r="DT271" s="47" t="s">
        <v>0</v>
      </c>
      <c r="DU271" s="52" t="str">
        <f>IF(AL271="","",DX271 &amp; IF(CR271="",""," – " &amp; CR271))</f>
        <v>Lovorka – Čaja – OK Vihor</v>
      </c>
      <c r="DV271" s="53">
        <f t="shared" si="257"/>
        <v>639</v>
      </c>
      <c r="DW271" s="47" t="s">
        <v>0</v>
      </c>
      <c r="DX271" s="52" t="str">
        <f>IF(BG271="","",BF271&amp;" – "&amp;BG271)</f>
        <v>Lovorka – Čaja</v>
      </c>
      <c r="DY271" s="53">
        <f t="shared" si="258"/>
        <v>639</v>
      </c>
      <c r="DZ271" s="47" t="s">
        <v>0</v>
      </c>
      <c r="EA271" s="58">
        <f t="shared" si="287"/>
        <v>639</v>
      </c>
      <c r="EB271" s="53" cm="1">
        <f t="array" ref="EB271">IF(EA271&lt;&gt;"",INDEX(regNatjecatelj_id,EA271,0),IF(BD271&lt;&gt;"",BD271,""))</f>
        <v>1063</v>
      </c>
      <c r="EC271" s="47" t="s">
        <v>0</v>
      </c>
      <c r="ED271" s="58" t="str">
        <f>IF(AL271="","",IF(BD271&lt;&gt;"","novo",IF(AN271="","imepre","imepre(ali)")))</f>
        <v>imepre</v>
      </c>
      <c r="EE271" s="73" t="str">
        <f>IF(AL271="","",IF(BL271="",IF(IFERROR(INDEX(regNatjecatelj_klub,MATCH(EB271,regNatjecatelj_id,0)),"NEMA")="","klu",""),IF(OR(AND(BN271&lt;&gt;"",BN271&lt;&gt;"NEMA"),CD271&lt;&gt;""),"klu(ali)",IF(AND(BP271&lt;&gt;"",BP271&lt;&gt;BO271),"(raz-klu)","klu"))))</f>
        <v>klu</v>
      </c>
      <c r="EF271" s="73" t="str">
        <f>IF(AL271="","","kat"&amp;IF(AND(W271&lt;&gt;Q271,Q271&lt;&gt;"Open"),"(ali)",""))</f>
        <v>kat</v>
      </c>
      <c r="EG271" s="73" t="str">
        <f t="shared" si="259"/>
        <v/>
      </c>
      <c r="EH271" s="66" t="str">
        <f>IF(AL271="","",ED271&amp;IF(ED271="novo","","-"&amp;EE271&amp;"-"&amp;EF271)&amp;IF(EG271="","","-"&amp;EG271))</f>
        <v>imepre-klu-kat</v>
      </c>
      <c r="EI271" s="47" t="s">
        <v>0</v>
      </c>
      <c r="EJ271" s="58">
        <f>IF(AL271="","",MAX(EJ$12:EJ270)+1)</f>
        <v>422</v>
      </c>
      <c r="EK271" s="73">
        <f>IF(AO271="","",X271)</f>
        <v>40</v>
      </c>
      <c r="EL271" s="73">
        <f t="shared" si="288"/>
        <v>1063</v>
      </c>
      <c r="EM271" s="73">
        <f t="shared" si="260"/>
        <v>4930</v>
      </c>
      <c r="EN271" s="73">
        <f t="shared" si="261"/>
        <v>1</v>
      </c>
      <c r="EO271" s="73">
        <f t="shared" si="289"/>
        <v>1</v>
      </c>
      <c r="EP271" s="73">
        <f t="shared" si="290"/>
        <v>1</v>
      </c>
      <c r="EQ271" s="73" t="str">
        <f t="shared" si="262"/>
        <v>0</v>
      </c>
      <c r="ER271" s="73" t="str">
        <f>IF(OR(AN271="",AN271="NEMA"),BB271,AN271)</f>
        <v/>
      </c>
      <c r="ES271" s="73" t="str">
        <f>IF(AND(BN271&lt;&gt;"",BN271&lt;&gt;"NEMA"),BN271,IF(CG271&lt;&gt;"",CG271,IF(AND(CL271&lt;&gt;"",CL271&lt;&gt;"NEMA"),CL271,IF(CM271&lt;&gt;"",CM271,""))))</f>
        <v/>
      </c>
      <c r="ET271" s="53" t="str">
        <f>IF(INDEX(natKategorija_alias_Id,MATCH(S271,natKategorija_katRegId,0))="","",INDEX(natKategorija_alias_Id,MATCH(S271,natKategorija_katRegId,0)))</f>
        <v/>
      </c>
      <c r="EU271" s="47" t="s">
        <v>0</v>
      </c>
      <c r="EV271" s="19" t="str">
        <f t="shared" si="291"/>
        <v>INSERT INTO rezultat(id,stazakategorija_id,imeprezime_id,vrijeme_sec,status_id,registracija,uparivanje_id,originalstatus_id,imeprezimealias_id,klubalias_id,kategorijaalias_id) VALUES (422,40,1063,4930,1,1,1,0,Null,Null,Null);</v>
      </c>
      <c r="EW271" s="47" t="s">
        <v>0</v>
      </c>
      <c r="EX271" s="19" t="str">
        <f t="shared" si="292"/>
        <v>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1" s="47" t="s">
        <v>0</v>
      </c>
      <c r="EZ271" s="180" t="str">
        <f>AG271&amp;IF(CP271="","","
")&amp;CP271&amp;IF(CI271="","","
")&amp;CI271&amp;IF(DN271="","","
")&amp;DN271&amp;IF(DP271="","","
")&amp;DP271&amp;IF(EV271="","","
")&amp;EV271&amp;IF(EX271="","","
")&amp;EX271</f>
        <v xml:space="preserve">
INSERT INTO rezultat(id,stazakategorija_id,imeprezime_id,vrijeme_sec,status_id,registracija,uparivanje_id,originalstatus_id,imeprezimealias_id,klubalias_id,kategorijaalias_id) VALUES (422,40,1063,4930,1,1,1,0,Null,Null,Null);
UPDATE
	registar
SET
	potvrda = 1
WHERE
	imeprezime_id=1063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1" s="47" t="s">
        <v>0</v>
      </c>
    </row>
    <row r="272" spans="1:157" x14ac:dyDescent="0.25">
      <c r="A272" t="s">
        <v>0</v>
      </c>
      <c r="B272" s="52" t="str">
        <f>IF(csv!F262="","",csv!T262)</f>
        <v>Ž21B</v>
      </c>
      <c r="C272" s="31" t="s">
        <v>0</v>
      </c>
      <c r="D272" s="31" t="str">
        <f>IF(csv!F262="","",csv!F262)</f>
        <v>Andrea</v>
      </c>
      <c r="E272" s="31" t="str">
        <f>IF(csv!E262="","",csv!E262)</f>
        <v>Hribar</v>
      </c>
      <c r="F272" s="31" t="s">
        <v>0</v>
      </c>
      <c r="G272" s="73" t="str">
        <f>IF(csv!M262="","",csv!M262)</f>
        <v>84:27</v>
      </c>
      <c r="H272" s="73" t="str">
        <f>IF(csv!N262="","",csv!N262)</f>
        <v>0</v>
      </c>
      <c r="I272" s="31" t="s">
        <v>0</v>
      </c>
      <c r="J272" s="31" t="str">
        <f>IF(csv!P262="","",csv!P262)</f>
        <v>Vihor</v>
      </c>
      <c r="K272" s="31" t="str">
        <f>IF(csv!Q262="","",csv!Q262)</f>
        <v>OK Vihor</v>
      </c>
      <c r="L272" s="31" t="s">
        <v>0</v>
      </c>
      <c r="M272" s="66" t="str">
        <f>IF(csv!R262="","",csv!R262)</f>
        <v>CRO</v>
      </c>
      <c r="N272" s="47" t="s">
        <v>0</v>
      </c>
      <c r="O272" s="243" t="str">
        <f t="shared" si="263"/>
        <v>ok</v>
      </c>
      <c r="P272" s="47"/>
      <c r="Q272" s="52" t="str">
        <f t="shared" si="264"/>
        <v>Ž21B</v>
      </c>
      <c r="R272" s="73">
        <f>IF(Q272="","",IF(COUNTIF(Q$12:Q271,Q272)=0,R271+1,R271))</f>
        <v>18</v>
      </c>
      <c r="S272" s="73">
        <f t="shared" si="265"/>
        <v>118</v>
      </c>
      <c r="T272" s="73">
        <f t="shared" si="240"/>
        <v>27</v>
      </c>
      <c r="U272" s="66" t="str">
        <f t="shared" si="241"/>
        <v>Ž21B – Ž16</v>
      </c>
      <c r="V272" s="47" t="s">
        <v>0</v>
      </c>
      <c r="W272" s="222" t="str">
        <f t="shared" si="242"/>
        <v>Ž21B</v>
      </c>
      <c r="X272" s="223">
        <f t="shared" si="243"/>
        <v>40</v>
      </c>
      <c r="Y272" s="47" t="s">
        <v>0</v>
      </c>
      <c r="Z272" s="52" t="str">
        <f t="shared" si="266"/>
        <v>CRO</v>
      </c>
      <c r="AA272" s="73">
        <f t="shared" si="244"/>
        <v>1</v>
      </c>
      <c r="AB272" s="31" t="str">
        <f t="shared" si="267"/>
        <v/>
      </c>
      <c r="AC272" s="66" t="str">
        <f>IF(AB272="","",MAX(AC$12:AC271)+1)</f>
        <v/>
      </c>
      <c r="AD272" s="47" t="s">
        <v>0</v>
      </c>
      <c r="AE272" s="125"/>
      <c r="AF272" s="47" t="s">
        <v>0</v>
      </c>
      <c r="AG272" s="19" t="str">
        <f t="shared" si="268"/>
        <v/>
      </c>
      <c r="AH272" s="47" t="s">
        <v>0</v>
      </c>
      <c r="AI272" s="143" t="str">
        <f t="shared" si="269"/>
        <v>CRO</v>
      </c>
      <c r="AJ272" s="47"/>
      <c r="AK272" s="52" t="str">
        <f t="shared" si="270"/>
        <v>Andrea</v>
      </c>
      <c r="AL272" s="31" t="str">
        <f t="shared" si="271"/>
        <v>Hribar</v>
      </c>
      <c r="AM272" s="73">
        <f t="shared" si="272"/>
        <v>1943</v>
      </c>
      <c r="AN272" s="73" t="str">
        <f t="shared" si="273"/>
        <v/>
      </c>
      <c r="AO272" s="31" t="str">
        <f t="shared" si="245"/>
        <v>Andrea</v>
      </c>
      <c r="AP272" s="66" t="str">
        <f t="shared" si="246"/>
        <v>Hribar</v>
      </c>
      <c r="AQ272" s="47" t="s">
        <v>0</v>
      </c>
      <c r="AR272" s="82" t="str">
        <f t="shared" si="274"/>
        <v/>
      </c>
      <c r="AS272" s="47" t="s">
        <v>0</v>
      </c>
      <c r="AT272" s="19" t="str">
        <f t="shared" si="275"/>
        <v/>
      </c>
      <c r="AU272" s="47" t="s">
        <v>0</v>
      </c>
      <c r="AV272" s="103"/>
      <c r="AW272" s="105"/>
      <c r="AX272" s="47" t="s">
        <v>0</v>
      </c>
      <c r="AY272" s="256" t="str">
        <f t="shared" si="237"/>
        <v/>
      </c>
      <c r="AZ272" s="47" t="s">
        <v>0</v>
      </c>
      <c r="BA272" s="52" t="str">
        <f t="shared" si="247"/>
        <v/>
      </c>
      <c r="BB272" s="73" t="str">
        <f>IF(AV272&amp;AW272="","",MAX(BB$12:BB271)+1)</f>
        <v/>
      </c>
      <c r="BC272" s="268" t="str">
        <f t="shared" si="248"/>
        <v/>
      </c>
      <c r="BD272" s="53" t="str">
        <f>IF(AND(AM272="NEMA",AN272="NEMA",OR(AV272&amp;AW272="",BC272="NEMA")),MAX(BD$12:BD271)+1,"")</f>
        <v/>
      </c>
      <c r="BE272" s="47" t="s">
        <v>0</v>
      </c>
      <c r="BF272" s="52" t="str">
        <f t="shared" si="249"/>
        <v>Andrea</v>
      </c>
      <c r="BG272" s="31" t="str">
        <f t="shared" si="250"/>
        <v>Hribar</v>
      </c>
      <c r="BH272" s="73" t="str">
        <f t="shared" si="276"/>
        <v/>
      </c>
      <c r="BI272" s="53">
        <f t="shared" si="277"/>
        <v>1943</v>
      </c>
      <c r="BJ272" s="47" t="s">
        <v>0</v>
      </c>
      <c r="BK272" s="52" t="str">
        <f t="shared" si="251"/>
        <v>Vihor</v>
      </c>
      <c r="BL272" s="31" t="str">
        <f t="shared" si="252"/>
        <v>OK Vihor</v>
      </c>
      <c r="BM272" s="73">
        <f t="shared" si="253"/>
        <v>12</v>
      </c>
      <c r="BN272" s="73" t="str">
        <f t="shared" si="254"/>
        <v/>
      </c>
      <c r="BO272" s="31" t="str" cm="1">
        <f t="array" ref="BO272">IF(BN272="",""&amp;BL272,IF(BN272="NEMA",BL272,INDEX(regKlub_naziv,MATCH(INDEX(regKlub_alias_klubId,BN272),regKlub_id,0))))</f>
        <v>OK Vihor</v>
      </c>
      <c r="BP272" s="31" t="str" cm="1">
        <f t="array" ref="BP272">IFERROR(""&amp;INDEX(regNatjecatelj_klub,DY272),"")</f>
        <v>OK Vihor</v>
      </c>
      <c r="BQ272" s="88" t="str">
        <f t="shared" si="278"/>
        <v/>
      </c>
      <c r="BR272" s="66" t="str">
        <f t="shared" si="279"/>
        <v>OK Vihor</v>
      </c>
      <c r="BS272" s="47" t="s">
        <v>0</v>
      </c>
      <c r="BT272" s="82" t="str">
        <f>IF(BN272&lt;&gt;"NEMA","",IF(IFERROR(MATCH(BL272,BL$12:BL271,0),0)&lt;&gt;0,"",BL272))</f>
        <v/>
      </c>
      <c r="BU272" s="47" t="s">
        <v>0</v>
      </c>
      <c r="BV272" s="125"/>
      <c r="BW272" s="47" t="s">
        <v>0</v>
      </c>
      <c r="BX272" s="58" t="str">
        <f t="shared" si="280"/>
        <v/>
      </c>
      <c r="BY272" s="31" t="str">
        <f t="shared" si="281"/>
        <v/>
      </c>
      <c r="BZ272" s="31" t="str">
        <f>IF(BY272="","",MAX(BZ$12:BZ271)+1)</f>
        <v/>
      </c>
      <c r="CA272" s="31" t="str">
        <f>IF(BY272="","",IF(AA272="","",IF(AA272="NEMA",AC272,AA272)))</f>
        <v/>
      </c>
      <c r="CB272" s="31" t="str">
        <f t="shared" si="282"/>
        <v/>
      </c>
      <c r="CC272" s="31" t="str">
        <f>IF(BV272="","",MAX(CC$12:CC271)+1)</f>
        <v/>
      </c>
      <c r="CD272" s="31" t="str">
        <f t="shared" si="283"/>
        <v/>
      </c>
      <c r="CE272" s="66" t="str">
        <f t="shared" si="284"/>
        <v/>
      </c>
      <c r="CF272" s="47" t="s">
        <v>0</v>
      </c>
      <c r="CG272" s="73" t="str">
        <f>IF(BN272="","",IF(BN272&lt;&gt;"NEMA","",IFERROR(INDEX(nat_klubAliasId,MATCH(BL272,nat_noviKluboviAliasi,0)),"")))</f>
        <v/>
      </c>
      <c r="CH272" s="47"/>
      <c r="CI272" s="19" t="str">
        <f t="shared" si="285"/>
        <v/>
      </c>
      <c r="CJ272" s="47" t="s">
        <v>0</v>
      </c>
      <c r="CK272" s="52" t="str">
        <f>IF(X272&lt;&gt;"NEMA","",IF(IFERROR(MATCH(W272,W$12:W271,0),0)&lt;&gt;0,"",W272))</f>
        <v/>
      </c>
      <c r="CL272" s="73" t="str">
        <f>IF(CK272="","",IFERROR(INDEX(regKlub_alias_id,MATCH(CK272,regKlub_alias_alias,0)),"NEMA"))</f>
        <v/>
      </c>
      <c r="CM272" s="31" t="str">
        <f>IF(OR(CL272="",CL272&lt;&gt;"NEMA"),"",MAX(CM$12:CM271)+1)</f>
        <v/>
      </c>
      <c r="CN272" s="66" t="str">
        <f>IF(OR(CL272="",CL272&lt;&gt;"NEMA"),"",INDEX(regKlub_id,MATCH(CK272,regKlub_naziv,0)))</f>
        <v/>
      </c>
      <c r="CO272" s="47" t="s">
        <v>0</v>
      </c>
      <c r="CP272" s="19" t="str">
        <f>IF(OR(CL272="",CL272&lt;&gt;"NEMA"),"","INSERT INTO klub_alias(id,alias,klub_id) VALUES ("&amp;CM272&amp;",'"&amp;CK272&amp;"',"&amp;CN272&amp;");")</f>
        <v/>
      </c>
      <c r="CQ272" s="47" t="s">
        <v>0</v>
      </c>
      <c r="CR272" s="143" t="str">
        <f>IF(BR272="","",IF(BV272="",IF(IFERROR(MATCH(BR272,nat_noviKluboviAliasi,0),0)&gt;0,INDEX(nat_kluboviAliasi,MATCH(BR272,nat_noviKluboviAliasi,0)),BR272),BV272))</f>
        <v>OK Vihor</v>
      </c>
      <c r="CS272" s="47" t="s">
        <v>0</v>
      </c>
      <c r="CT272" s="58" t="str">
        <f>IF(G272="","",G272)</f>
        <v>84:27</v>
      </c>
      <c r="CU272" s="73" t="str">
        <f>IF(H272="","",H272)</f>
        <v>0</v>
      </c>
      <c r="CV272" s="229" t="str">
        <f>IF(CT272="",IF(OR(AL272="",CU272&lt;&gt;"0"),"","GREŠKA"),IF(AND(65535&gt;=VALUE(LEFT(CT272,SEARCH(":",CT272)-1))*60+VALUE(RIGHT(CT272,2)),OR(CU272="0",CU272="1",CU272="2",CU272="3",CU272="4")),"","GREŠKA"))</f>
        <v/>
      </c>
      <c r="CW272" s="230">
        <f t="shared" si="239"/>
        <v>5067</v>
      </c>
      <c r="CX272" s="163">
        <f t="shared" si="255"/>
        <v>1</v>
      </c>
      <c r="CY272" s="47" t="s">
        <v>0</v>
      </c>
      <c r="CZ272" s="222" t="str">
        <f>IF(CV272&lt;&gt;"GREŠKA","",AK272&amp;" "&amp;AL272&amp;" – Molim u OEventu provjeriti i ispraviti rezultat – vrijeme ("&amp;IF(CT272="","nije upisano",CT272)&amp;") i classifier ("&amp;CU272&amp;").")&amp;IF(OR(CV272&lt;&gt;"GREŠKA",CX272&lt;&gt;5),"
","")&amp;IF(CX272&lt;&gt;5,"",AK272&amp;" "&amp;AL272&amp;" – Molim u provjeriti je li natjecatelj zaista diskvalificiran. Ako je koje je obrazloženje, ako nije molim u OEventu ispraviti rezultat")</f>
        <v xml:space="preserve">
</v>
      </c>
      <c r="DA272" s="223">
        <f t="shared" si="286"/>
        <v>6</v>
      </c>
      <c r="DB272" s="47" t="s">
        <v>0</v>
      </c>
      <c r="DC272" s="47"/>
      <c r="DD272" s="47"/>
      <c r="DE272" s="47"/>
      <c r="DF272" s="47" t="s">
        <v>0</v>
      </c>
      <c r="DG272" s="53" t="str">
        <f>IF(BD272="","",IF(DI272="O",1,""))</f>
        <v/>
      </c>
      <c r="DH272" t="s">
        <v>0</v>
      </c>
      <c r="DI272" s="128" t="str">
        <f>IF(Q272="","",LEFT(INDEX(regKategorija_oznaka,MATCH(S272,regKategorija_id,0)),1))</f>
        <v>Ž</v>
      </c>
      <c r="DJ272" t="s">
        <v>0</v>
      </c>
      <c r="DK272" s="52" t="str">
        <f>IF(BD272="","",IF(M272&lt;&gt;"CRO","","INSERT INTO osoba (id,reg_broj,oib,spol_id,dat_rodjenja) VALUES ("&amp;BD272&amp;",(SELECT max(os.reg_broj)+1 FROM osoba AS os),Null,'"&amp;DI272&amp;"',Null); INSERT INTO osoba_log (id,reg_broj,oib,spol_id,dat_rodjenja,dnevnik_id) SELECT id,reg_broj,oib,spol_id,dat_rodjenja,"&amp;data_dnevnik_id&amp;" FROM osoba WHERE id = "&amp;BD272&amp;";"))</f>
        <v/>
      </c>
      <c r="DL272" s="66" t="str">
        <f>IF(BD272="","","INSERT INTO imeprezime (id,osoba_id,rbr,ime,prezime,klub_id,identitet_id,sintaksa_id,info,aktivno,dnevnik_id) VALUES ("&amp;BD272&amp;","&amp;IF(DK272="","Null",BD272)&amp;",1,'"&amp;IF(AV272&lt;&gt;"",AV272,AK272)&amp;"','"&amp;IF(AW272&lt;&gt;"",AW272,AL272)&amp;"',(SELECT id FROM klub WHERE naziv = '"&amp;CR272&amp;"'),Null,1,'',1,"&amp;data_dnevnik_id&amp;");")</f>
        <v/>
      </c>
      <c r="DM272" t="s">
        <v>0</v>
      </c>
      <c r="DN272" s="19" t="str">
        <f t="shared" si="238"/>
        <v/>
      </c>
      <c r="DO272" s="47" t="s">
        <v>0</v>
      </c>
      <c r="DP272" s="19" t="str">
        <f>IF(BA272="","","INSERT INTO imeprezime_alias(id,alias,imeprezime_id) VALUES ("&amp;BB272&amp;",'"&amp;BA272&amp;"',"&amp;IF(BC272="NEMA",BD272,BC272)&amp;");")</f>
        <v/>
      </c>
      <c r="DQ272" s="47" t="s">
        <v>0</v>
      </c>
      <c r="DR272" s="52" t="str">
        <f>IF(AL272="","",DU272 &amp; IF(Q272="",""," – " &amp; Q272))</f>
        <v>Andrea – Hribar – OK Vihor – Ž21B</v>
      </c>
      <c r="DS272" s="53">
        <f t="shared" si="256"/>
        <v>702</v>
      </c>
      <c r="DT272" s="47" t="s">
        <v>0</v>
      </c>
      <c r="DU272" s="52" t="str">
        <f>IF(AL272="","",DX272 &amp; IF(CR272="",""," – " &amp; CR272))</f>
        <v>Andrea – Hribar – OK Vihor</v>
      </c>
      <c r="DV272" s="53">
        <f t="shared" si="257"/>
        <v>702</v>
      </c>
      <c r="DW272" s="47" t="s">
        <v>0</v>
      </c>
      <c r="DX272" s="52" t="str">
        <f>IF(BG272="","",BF272&amp;" – "&amp;BG272)</f>
        <v>Andrea – Hribar</v>
      </c>
      <c r="DY272" s="53">
        <f t="shared" si="258"/>
        <v>702</v>
      </c>
      <c r="DZ272" s="47" t="s">
        <v>0</v>
      </c>
      <c r="EA272" s="58">
        <f t="shared" si="287"/>
        <v>702</v>
      </c>
      <c r="EB272" s="53" cm="1">
        <f t="array" ref="EB272">IF(EA272&lt;&gt;"",INDEX(regNatjecatelj_id,EA272,0),IF(BD272&lt;&gt;"",BD272,""))</f>
        <v>1943</v>
      </c>
      <c r="EC272" s="47" t="s">
        <v>0</v>
      </c>
      <c r="ED272" s="58" t="str">
        <f>IF(AL272="","",IF(BD272&lt;&gt;"","novo",IF(AN272="","imepre","imepre(ali)")))</f>
        <v>imepre</v>
      </c>
      <c r="EE272" s="73" t="str">
        <f>IF(AL272="","",IF(BL272="",IF(IFERROR(INDEX(regNatjecatelj_klub,MATCH(EB272,regNatjecatelj_id,0)),"NEMA")="","klu",""),IF(OR(AND(BN272&lt;&gt;"",BN272&lt;&gt;"NEMA"),CD272&lt;&gt;""),"klu(ali)",IF(AND(BP272&lt;&gt;"",BP272&lt;&gt;BO272),"(raz-klu)","klu"))))</f>
        <v>klu</v>
      </c>
      <c r="EF272" s="73" t="str">
        <f>IF(AL272="","","kat"&amp;IF(AND(W272&lt;&gt;Q272,Q272&lt;&gt;"Open"),"(ali)",""))</f>
        <v>kat</v>
      </c>
      <c r="EG272" s="73" t="str">
        <f t="shared" si="259"/>
        <v/>
      </c>
      <c r="EH272" s="66" t="str">
        <f>IF(AL272="","",ED272&amp;IF(ED272="novo","","-"&amp;EE272&amp;"-"&amp;EF272)&amp;IF(EG272="","","-"&amp;EG272))</f>
        <v>imepre-klu-kat</v>
      </c>
      <c r="EI272" s="47" t="s">
        <v>0</v>
      </c>
      <c r="EJ272" s="58">
        <f>IF(AL272="","",MAX(EJ$12:EJ271)+1)</f>
        <v>423</v>
      </c>
      <c r="EK272" s="73">
        <f>IF(AO272="","",X272)</f>
        <v>40</v>
      </c>
      <c r="EL272" s="73">
        <f t="shared" si="288"/>
        <v>1943</v>
      </c>
      <c r="EM272" s="73">
        <f t="shared" si="260"/>
        <v>5067</v>
      </c>
      <c r="EN272" s="73">
        <f t="shared" si="261"/>
        <v>1</v>
      </c>
      <c r="EO272" s="73">
        <f t="shared" si="289"/>
        <v>1</v>
      </c>
      <c r="EP272" s="73">
        <f t="shared" si="290"/>
        <v>1</v>
      </c>
      <c r="EQ272" s="73" t="str">
        <f t="shared" si="262"/>
        <v>0</v>
      </c>
      <c r="ER272" s="73" t="str">
        <f>IF(OR(AN272="",AN272="NEMA"),BB272,AN272)</f>
        <v/>
      </c>
      <c r="ES272" s="73" t="str">
        <f>IF(AND(BN272&lt;&gt;"",BN272&lt;&gt;"NEMA"),BN272,IF(CG272&lt;&gt;"",CG272,IF(AND(CL272&lt;&gt;"",CL272&lt;&gt;"NEMA"),CL272,IF(CM272&lt;&gt;"",CM272,""))))</f>
        <v/>
      </c>
      <c r="ET272" s="53" t="str">
        <f>IF(INDEX(natKategorija_alias_Id,MATCH(S272,natKategorija_katRegId,0))="","",INDEX(natKategorija_alias_Id,MATCH(S272,natKategorija_katRegId,0)))</f>
        <v/>
      </c>
      <c r="EU272" s="47" t="s">
        <v>0</v>
      </c>
      <c r="EV272" s="19" t="str">
        <f t="shared" si="291"/>
        <v>INSERT INTO rezultat(id,stazakategorija_id,imeprezime_id,vrijeme_sec,status_id,registracija,uparivanje_id,originalstatus_id,imeprezimealias_id,klubalias_id,kategorijaalias_id) VALUES (423,40,1943,5067,1,1,1,0,Null,Null,Null);</v>
      </c>
      <c r="EW272" s="47" t="s">
        <v>0</v>
      </c>
      <c r="EX272" s="19" t="str">
        <f t="shared" si="292"/>
        <v>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2" s="47" t="s">
        <v>0</v>
      </c>
      <c r="EZ272" s="180" t="str">
        <f>AG272&amp;IF(CP272="","","
")&amp;CP272&amp;IF(CI272="","","
")&amp;CI272&amp;IF(DN272="","","
")&amp;DN272&amp;IF(DP272="","","
")&amp;DP272&amp;IF(EV272="","","
")&amp;EV272&amp;IF(EX272="","","
")&amp;EX272</f>
        <v xml:space="preserve">
INSERT INTO rezultat(id,stazakategorija_id,imeprezime_id,vrijeme_sec,status_id,registracija,uparivanje_id,originalstatus_id,imeprezimealias_id,klubalias_id,kategorijaalias_id) VALUES (423,40,1943,5067,1,1,1,0,Null,Null,Null);
UPDATE
	registar
SET
	potvrda = 1
WHERE
	imeprezime_id=1943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2" s="47" t="s">
        <v>0</v>
      </c>
    </row>
    <row r="273" spans="1:157" x14ac:dyDescent="0.25">
      <c r="A273" t="s">
        <v>0</v>
      </c>
      <c r="B273" s="52" t="str">
        <f>IF(csv!F263="","",csv!T263)</f>
        <v>Ž21B</v>
      </c>
      <c r="C273" s="31" t="s">
        <v>0</v>
      </c>
      <c r="D273" s="31" t="str">
        <f>IF(csv!F263="","",csv!F263)</f>
        <v>Hana</v>
      </c>
      <c r="E273" s="31" t="str">
        <f>IF(csv!E263="","",csv!E263)</f>
        <v>Glušica</v>
      </c>
      <c r="F273" s="31" t="s">
        <v>0</v>
      </c>
      <c r="G273" s="73" t="str">
        <f>IF(csv!M263="","",csv!M263)</f>
        <v>89:18</v>
      </c>
      <c r="H273" s="73" t="str">
        <f>IF(csv!N263="","",csv!N263)</f>
        <v>0</v>
      </c>
      <c r="I273" s="31" t="s">
        <v>0</v>
      </c>
      <c r="J273" s="31" t="str">
        <f>IF(csv!P263="","",csv!P263)</f>
        <v>KAP</v>
      </c>
      <c r="K273" s="31" t="str">
        <f>IF(csv!Q263="","",csv!Q263)</f>
        <v>OK Kapela</v>
      </c>
      <c r="L273" s="31" t="s">
        <v>0</v>
      </c>
      <c r="M273" s="66" t="str">
        <f>IF(csv!R263="","",csv!R263)</f>
        <v>CRO</v>
      </c>
      <c r="N273" s="47" t="s">
        <v>0</v>
      </c>
      <c r="O273" s="243" t="str">
        <f t="shared" si="263"/>
        <v>ok</v>
      </c>
      <c r="P273" s="47"/>
      <c r="Q273" s="52" t="str">
        <f t="shared" si="264"/>
        <v>Ž21B</v>
      </c>
      <c r="R273" s="73">
        <f>IF(Q273="","",IF(COUNTIF(Q$12:Q272,Q273)=0,R272+1,R272))</f>
        <v>18</v>
      </c>
      <c r="S273" s="73">
        <f t="shared" si="265"/>
        <v>118</v>
      </c>
      <c r="T273" s="73">
        <f t="shared" si="240"/>
        <v>27</v>
      </c>
      <c r="U273" s="66" t="str">
        <f t="shared" si="241"/>
        <v>Ž21B – Ž16</v>
      </c>
      <c r="V273" s="47" t="s">
        <v>0</v>
      </c>
      <c r="W273" s="222" t="str">
        <f t="shared" si="242"/>
        <v>Ž21B</v>
      </c>
      <c r="X273" s="223">
        <f t="shared" si="243"/>
        <v>40</v>
      </c>
      <c r="Y273" s="47" t="s">
        <v>0</v>
      </c>
      <c r="Z273" s="52" t="str">
        <f t="shared" si="266"/>
        <v>CRO</v>
      </c>
      <c r="AA273" s="73">
        <f t="shared" si="244"/>
        <v>1</v>
      </c>
      <c r="AB273" s="31" t="str">
        <f t="shared" si="267"/>
        <v/>
      </c>
      <c r="AC273" s="66" t="str">
        <f>IF(AB273="","",MAX(AC$12:AC272)+1)</f>
        <v/>
      </c>
      <c r="AD273" s="47" t="s">
        <v>0</v>
      </c>
      <c r="AE273" s="125"/>
      <c r="AF273" s="47" t="s">
        <v>0</v>
      </c>
      <c r="AG273" s="19" t="str">
        <f t="shared" si="268"/>
        <v/>
      </c>
      <c r="AH273" s="47" t="s">
        <v>0</v>
      </c>
      <c r="AI273" s="143" t="str">
        <f t="shared" si="269"/>
        <v>CRO</v>
      </c>
      <c r="AJ273" s="47"/>
      <c r="AK273" s="52" t="str">
        <f t="shared" si="270"/>
        <v>Hana</v>
      </c>
      <c r="AL273" s="31" t="str">
        <f t="shared" si="271"/>
        <v>Glušica</v>
      </c>
      <c r="AM273" s="73">
        <f t="shared" si="272"/>
        <v>1857</v>
      </c>
      <c r="AN273" s="73" t="str">
        <f t="shared" si="273"/>
        <v/>
      </c>
      <c r="AO273" s="31" t="str">
        <f t="shared" si="245"/>
        <v>Hana</v>
      </c>
      <c r="AP273" s="66" t="str">
        <f t="shared" si="246"/>
        <v>Glušica</v>
      </c>
      <c r="AQ273" s="47" t="s">
        <v>0</v>
      </c>
      <c r="AR273" s="82" t="str">
        <f t="shared" si="274"/>
        <v/>
      </c>
      <c r="AS273" s="47" t="s">
        <v>0</v>
      </c>
      <c r="AT273" s="19" t="str">
        <f t="shared" si="275"/>
        <v/>
      </c>
      <c r="AU273" s="47" t="s">
        <v>0</v>
      </c>
      <c r="AV273" s="103"/>
      <c r="AW273" s="105"/>
      <c r="AX273" s="47" t="s">
        <v>0</v>
      </c>
      <c r="AY273" s="256" t="str">
        <f t="shared" si="237"/>
        <v/>
      </c>
      <c r="AZ273" s="47" t="s">
        <v>0</v>
      </c>
      <c r="BA273" s="52" t="str">
        <f t="shared" si="247"/>
        <v/>
      </c>
      <c r="BB273" s="73" t="str">
        <f>IF(AV273&amp;AW273="","",MAX(BB$12:BB272)+1)</f>
        <v/>
      </c>
      <c r="BC273" s="268" t="str">
        <f t="shared" si="248"/>
        <v/>
      </c>
      <c r="BD273" s="53" t="str">
        <f>IF(AND(AM273="NEMA",AN273="NEMA",OR(AV273&amp;AW273="",BC273="NEMA")),MAX(BD$12:BD272)+1,"")</f>
        <v/>
      </c>
      <c r="BE273" s="47" t="s">
        <v>0</v>
      </c>
      <c r="BF273" s="52" t="str">
        <f t="shared" si="249"/>
        <v>Hana</v>
      </c>
      <c r="BG273" s="31" t="str">
        <f t="shared" si="250"/>
        <v>Glušica</v>
      </c>
      <c r="BH273" s="73" t="str">
        <f t="shared" si="276"/>
        <v/>
      </c>
      <c r="BI273" s="53">
        <f t="shared" si="277"/>
        <v>1857</v>
      </c>
      <c r="BJ273" s="47" t="s">
        <v>0</v>
      </c>
      <c r="BK273" s="52" t="str">
        <f t="shared" si="251"/>
        <v>KAP</v>
      </c>
      <c r="BL273" s="31" t="str">
        <f t="shared" si="252"/>
        <v>OK Kapela</v>
      </c>
      <c r="BM273" s="73">
        <f t="shared" si="253"/>
        <v>5</v>
      </c>
      <c r="BN273" s="73" t="str">
        <f t="shared" si="254"/>
        <v/>
      </c>
      <c r="BO273" s="31" t="str" cm="1">
        <f t="array" ref="BO273">IF(BN273="",""&amp;BL273,IF(BN273="NEMA",BL273,INDEX(regKlub_naziv,MATCH(INDEX(regKlub_alias_klubId,BN273),regKlub_id,0))))</f>
        <v>OK Kapela</v>
      </c>
      <c r="BP273" s="31" t="str" cm="1">
        <f t="array" ref="BP273">IFERROR(""&amp;INDEX(regNatjecatelj_klub,DY273),"")</f>
        <v>OK Kapela</v>
      </c>
      <c r="BQ273" s="88" t="str">
        <f t="shared" si="278"/>
        <v/>
      </c>
      <c r="BR273" s="66" t="str">
        <f t="shared" si="279"/>
        <v>OK Kapela</v>
      </c>
      <c r="BS273" s="47" t="s">
        <v>0</v>
      </c>
      <c r="BT273" s="82" t="str">
        <f>IF(BN273&lt;&gt;"NEMA","",IF(IFERROR(MATCH(BL273,BL$12:BL272,0),0)&lt;&gt;0,"",BL273))</f>
        <v/>
      </c>
      <c r="BU273" s="47" t="s">
        <v>0</v>
      </c>
      <c r="BV273" s="125"/>
      <c r="BW273" s="47" t="s">
        <v>0</v>
      </c>
      <c r="BX273" s="58" t="str">
        <f t="shared" si="280"/>
        <v/>
      </c>
      <c r="BY273" s="31" t="str">
        <f t="shared" si="281"/>
        <v/>
      </c>
      <c r="BZ273" s="31" t="str">
        <f>IF(BY273="","",MAX(BZ$12:BZ272)+1)</f>
        <v/>
      </c>
      <c r="CA273" s="31" t="str">
        <f>IF(BY273="","",IF(AA273="","",IF(AA273="NEMA",AC273,AA273)))</f>
        <v/>
      </c>
      <c r="CB273" s="31" t="str">
        <f t="shared" si="282"/>
        <v/>
      </c>
      <c r="CC273" s="31" t="str">
        <f>IF(BV273="","",MAX(CC$12:CC272)+1)</f>
        <v/>
      </c>
      <c r="CD273" s="31" t="str">
        <f t="shared" si="283"/>
        <v/>
      </c>
      <c r="CE273" s="66" t="str">
        <f t="shared" si="284"/>
        <v/>
      </c>
      <c r="CF273" s="47" t="s">
        <v>0</v>
      </c>
      <c r="CG273" s="73" t="str">
        <f>IF(BN273="","",IF(BN273&lt;&gt;"NEMA","",IFERROR(INDEX(nat_klubAliasId,MATCH(BL273,nat_noviKluboviAliasi,0)),"")))</f>
        <v/>
      </c>
      <c r="CH273" s="47"/>
      <c r="CI273" s="19" t="str">
        <f t="shared" si="285"/>
        <v/>
      </c>
      <c r="CJ273" s="47" t="s">
        <v>0</v>
      </c>
      <c r="CK273" s="52" t="str">
        <f>IF(X273&lt;&gt;"NEMA","",IF(IFERROR(MATCH(W273,W$12:W272,0),0)&lt;&gt;0,"",W273))</f>
        <v/>
      </c>
      <c r="CL273" s="73" t="str">
        <f>IF(CK273="","",IFERROR(INDEX(regKlub_alias_id,MATCH(CK273,regKlub_alias_alias,0)),"NEMA"))</f>
        <v/>
      </c>
      <c r="CM273" s="31" t="str">
        <f>IF(OR(CL273="",CL273&lt;&gt;"NEMA"),"",MAX(CM$12:CM272)+1)</f>
        <v/>
      </c>
      <c r="CN273" s="66" t="str">
        <f>IF(OR(CL273="",CL273&lt;&gt;"NEMA"),"",INDEX(regKlub_id,MATCH(CK273,regKlub_naziv,0)))</f>
        <v/>
      </c>
      <c r="CO273" s="47" t="s">
        <v>0</v>
      </c>
      <c r="CP273" s="19" t="str">
        <f>IF(OR(CL273="",CL273&lt;&gt;"NEMA"),"","INSERT INTO klub_alias(id,alias,klub_id) VALUES ("&amp;CM273&amp;",'"&amp;CK273&amp;"',"&amp;CN273&amp;");")</f>
        <v/>
      </c>
      <c r="CQ273" s="47" t="s">
        <v>0</v>
      </c>
      <c r="CR273" s="143" t="str">
        <f>IF(BR273="","",IF(BV273="",IF(IFERROR(MATCH(BR273,nat_noviKluboviAliasi,0),0)&gt;0,INDEX(nat_kluboviAliasi,MATCH(BR273,nat_noviKluboviAliasi,0)),BR273),BV273))</f>
        <v>OK Kapela</v>
      </c>
      <c r="CS273" s="47" t="s">
        <v>0</v>
      </c>
      <c r="CT273" s="58" t="str">
        <f>IF(G273="","",G273)</f>
        <v>89:18</v>
      </c>
      <c r="CU273" s="73" t="str">
        <f>IF(H273="","",H273)</f>
        <v>0</v>
      </c>
      <c r="CV273" s="229" t="str">
        <f>IF(CT273="",IF(OR(AL273="",CU273&lt;&gt;"0"),"","GREŠKA"),IF(AND(65535&gt;=VALUE(LEFT(CT273,SEARCH(":",CT273)-1))*60+VALUE(RIGHT(CT273,2)),OR(CU273="0",CU273="1",CU273="2",CU273="3",CU273="4")),"","GREŠKA"))</f>
        <v/>
      </c>
      <c r="CW273" s="230">
        <f t="shared" si="239"/>
        <v>5358</v>
      </c>
      <c r="CX273" s="163">
        <f t="shared" si="255"/>
        <v>1</v>
      </c>
      <c r="CY273" s="47" t="s">
        <v>0</v>
      </c>
      <c r="CZ273" s="222" t="str">
        <f>IF(CV273&lt;&gt;"GREŠKA","",AK273&amp;" "&amp;AL273&amp;" – Molim u OEventu provjeriti i ispraviti rezultat – vrijeme ("&amp;IF(CT273="","nije upisano",CT273)&amp;") i classifier ("&amp;CU273&amp;").")&amp;IF(OR(CV273&lt;&gt;"GREŠKA",CX273&lt;&gt;5),"
","")&amp;IF(CX273&lt;&gt;5,"",AK273&amp;" "&amp;AL273&amp;" – Molim u provjeriti je li natjecatelj zaista diskvalificiran. Ako je koje je obrazloženje, ako nije molim u OEventu ispraviti rezultat")</f>
        <v xml:space="preserve">
</v>
      </c>
      <c r="DA273" s="223">
        <f t="shared" si="286"/>
        <v>6</v>
      </c>
      <c r="DB273" s="47" t="s">
        <v>0</v>
      </c>
      <c r="DC273" s="47"/>
      <c r="DD273" s="47"/>
      <c r="DE273" s="47"/>
      <c r="DF273" s="47" t="s">
        <v>0</v>
      </c>
      <c r="DG273" s="53" t="str">
        <f>IF(BD273="","",IF(DI273="O",1,""))</f>
        <v/>
      </c>
      <c r="DH273" t="s">
        <v>0</v>
      </c>
      <c r="DI273" s="128" t="str">
        <f>IF(Q273="","",LEFT(INDEX(regKategorija_oznaka,MATCH(S273,regKategorija_id,0)),1))</f>
        <v>Ž</v>
      </c>
      <c r="DJ273" t="s">
        <v>0</v>
      </c>
      <c r="DK273" s="52" t="str">
        <f>IF(BD273="","",IF(M273&lt;&gt;"CRO","","INSERT INTO osoba (id,reg_broj,oib,spol_id,dat_rodjenja) VALUES ("&amp;BD273&amp;",(SELECT max(os.reg_broj)+1 FROM osoba AS os),Null,'"&amp;DI273&amp;"',Null); INSERT INTO osoba_log (id,reg_broj,oib,spol_id,dat_rodjenja,dnevnik_id) SELECT id,reg_broj,oib,spol_id,dat_rodjenja,"&amp;data_dnevnik_id&amp;" FROM osoba WHERE id = "&amp;BD273&amp;";"))</f>
        <v/>
      </c>
      <c r="DL273" s="66" t="str">
        <f>IF(BD273="","","INSERT INTO imeprezime (id,osoba_id,rbr,ime,prezime,klub_id,identitet_id,sintaksa_id,info,aktivno,dnevnik_id) VALUES ("&amp;BD273&amp;","&amp;IF(DK273="","Null",BD273)&amp;",1,'"&amp;IF(AV273&lt;&gt;"",AV273,AK273)&amp;"','"&amp;IF(AW273&lt;&gt;"",AW273,AL273)&amp;"',(SELECT id FROM klub WHERE naziv = '"&amp;CR273&amp;"'),Null,1,'',1,"&amp;data_dnevnik_id&amp;");")</f>
        <v/>
      </c>
      <c r="DM273" t="s">
        <v>0</v>
      </c>
      <c r="DN273" s="19" t="str">
        <f t="shared" si="238"/>
        <v/>
      </c>
      <c r="DO273" s="47" t="s">
        <v>0</v>
      </c>
      <c r="DP273" s="19" t="str">
        <f>IF(BA273="","","INSERT INTO imeprezime_alias(id,alias,imeprezime_id) VALUES ("&amp;BB273&amp;",'"&amp;BA273&amp;"',"&amp;IF(BC273="NEMA",BD273,BC273)&amp;");")</f>
        <v/>
      </c>
      <c r="DQ273" s="47" t="s">
        <v>0</v>
      </c>
      <c r="DR273" s="52" t="str">
        <f>IF(AL273="","",DU273 &amp; IF(Q273="",""," – " &amp; Q273))</f>
        <v>Hana – Glušica – OK Kapela – Ž21B</v>
      </c>
      <c r="DS273" s="53">
        <f t="shared" si="256"/>
        <v>245</v>
      </c>
      <c r="DT273" s="47" t="s">
        <v>0</v>
      </c>
      <c r="DU273" s="52" t="str">
        <f>IF(AL273="","",DX273 &amp; IF(CR273="",""," – " &amp; CR273))</f>
        <v>Hana – Glušica – OK Kapela</v>
      </c>
      <c r="DV273" s="53">
        <f t="shared" si="257"/>
        <v>245</v>
      </c>
      <c r="DW273" s="47" t="s">
        <v>0</v>
      </c>
      <c r="DX273" s="52" t="str">
        <f>IF(BG273="","",BF273&amp;" – "&amp;BG273)</f>
        <v>Hana – Glušica</v>
      </c>
      <c r="DY273" s="53">
        <f t="shared" si="258"/>
        <v>245</v>
      </c>
      <c r="DZ273" s="47" t="s">
        <v>0</v>
      </c>
      <c r="EA273" s="58">
        <f t="shared" si="287"/>
        <v>245</v>
      </c>
      <c r="EB273" s="53" cm="1">
        <f t="array" ref="EB273">IF(EA273&lt;&gt;"",INDEX(regNatjecatelj_id,EA273,0),IF(BD273&lt;&gt;"",BD273,""))</f>
        <v>1857</v>
      </c>
      <c r="EC273" s="47" t="s">
        <v>0</v>
      </c>
      <c r="ED273" s="58" t="str">
        <f>IF(AL273="","",IF(BD273&lt;&gt;"","novo",IF(AN273="","imepre","imepre(ali)")))</f>
        <v>imepre</v>
      </c>
      <c r="EE273" s="73" t="str">
        <f>IF(AL273="","",IF(BL273="",IF(IFERROR(INDEX(regNatjecatelj_klub,MATCH(EB273,regNatjecatelj_id,0)),"NEMA")="","klu",""),IF(OR(AND(BN273&lt;&gt;"",BN273&lt;&gt;"NEMA"),CD273&lt;&gt;""),"klu(ali)",IF(AND(BP273&lt;&gt;"",BP273&lt;&gt;BO273),"(raz-klu)","klu"))))</f>
        <v>klu</v>
      </c>
      <c r="EF273" s="73" t="str">
        <f>IF(AL273="","","kat"&amp;IF(AND(W273&lt;&gt;Q273,Q273&lt;&gt;"Open"),"(ali)",""))</f>
        <v>kat</v>
      </c>
      <c r="EG273" s="73" t="str">
        <f t="shared" si="259"/>
        <v/>
      </c>
      <c r="EH273" s="66" t="str">
        <f>IF(AL273="","",ED273&amp;IF(ED273="novo","","-"&amp;EE273&amp;"-"&amp;EF273)&amp;IF(EG273="","","-"&amp;EG273))</f>
        <v>imepre-klu-kat</v>
      </c>
      <c r="EI273" s="47" t="s">
        <v>0</v>
      </c>
      <c r="EJ273" s="58">
        <f>IF(AL273="","",MAX(EJ$12:EJ272)+1)</f>
        <v>424</v>
      </c>
      <c r="EK273" s="73">
        <f>IF(AO273="","",X273)</f>
        <v>40</v>
      </c>
      <c r="EL273" s="73">
        <f t="shared" si="288"/>
        <v>1857</v>
      </c>
      <c r="EM273" s="73">
        <f t="shared" si="260"/>
        <v>5358</v>
      </c>
      <c r="EN273" s="73">
        <f t="shared" si="261"/>
        <v>1</v>
      </c>
      <c r="EO273" s="73">
        <f t="shared" si="289"/>
        <v>1</v>
      </c>
      <c r="EP273" s="73">
        <f t="shared" si="290"/>
        <v>1</v>
      </c>
      <c r="EQ273" s="73" t="str">
        <f t="shared" si="262"/>
        <v>0</v>
      </c>
      <c r="ER273" s="73" t="str">
        <f>IF(OR(AN273="",AN273="NEMA"),BB273,AN273)</f>
        <v/>
      </c>
      <c r="ES273" s="73" t="str">
        <f>IF(AND(BN273&lt;&gt;"",BN273&lt;&gt;"NEMA"),BN273,IF(CG273&lt;&gt;"",CG273,IF(AND(CL273&lt;&gt;"",CL273&lt;&gt;"NEMA"),CL273,IF(CM273&lt;&gt;"",CM273,""))))</f>
        <v/>
      </c>
      <c r="ET273" s="53" t="str">
        <f>IF(INDEX(natKategorija_alias_Id,MATCH(S273,natKategorija_katRegId,0))="","",INDEX(natKategorija_alias_Id,MATCH(S273,natKategorija_katRegId,0)))</f>
        <v/>
      </c>
      <c r="EU273" s="47" t="s">
        <v>0</v>
      </c>
      <c r="EV273" s="19" t="str">
        <f t="shared" si="291"/>
        <v>INSERT INTO rezultat(id,stazakategorija_id,imeprezime_id,vrijeme_sec,status_id,registracija,uparivanje_id,originalstatus_id,imeprezimealias_id,klubalias_id,kategorijaalias_id) VALUES (424,40,1857,5358,1,1,1,0,Null,Null,Null);</v>
      </c>
      <c r="EW273" s="47" t="s">
        <v>0</v>
      </c>
      <c r="EX273" s="19" t="str">
        <f t="shared" si="292"/>
        <v>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3" s="47" t="s">
        <v>0</v>
      </c>
      <c r="EZ273" s="180" t="str">
        <f>AG273&amp;IF(CP273="","","
")&amp;CP273&amp;IF(CI273="","","
")&amp;CI273&amp;IF(DN273="","","
")&amp;DN273&amp;IF(DP273="","","
")&amp;DP273&amp;IF(EV273="","","
")&amp;EV273&amp;IF(EX273="","","
")&amp;EX273</f>
        <v xml:space="preserve">
INSERT INTO rezultat(id,stazakategorija_id,imeprezime_id,vrijeme_sec,status_id,registracija,uparivanje_id,originalstatus_id,imeprezimealias_id,klubalias_id,kategorijaalias_id) VALUES (424,40,1857,5358,1,1,1,0,Null,Null,Null);
UPDATE
	registar
SET
	potvrda = 1
WHERE
	imeprezime_id=1857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3" s="47" t="s">
        <v>0</v>
      </c>
    </row>
    <row r="274" spans="1:157" x14ac:dyDescent="0.25">
      <c r="A274" t="s">
        <v>0</v>
      </c>
      <c r="B274" s="52" t="str">
        <f>IF(csv!F264="","",csv!T264)</f>
        <v>Ž21B</v>
      </c>
      <c r="C274" s="31" t="s">
        <v>0</v>
      </c>
      <c r="D274" s="31" t="str">
        <f>IF(csv!F264="","",csv!F264)</f>
        <v>Sandra</v>
      </c>
      <c r="E274" s="31" t="str">
        <f>IF(csv!E264="","",csv!E264)</f>
        <v>Latinger</v>
      </c>
      <c r="F274" s="31" t="s">
        <v>0</v>
      </c>
      <c r="G274" s="73" t="str">
        <f>IF(csv!M264="","",csv!M264)</f>
        <v>93:28</v>
      </c>
      <c r="H274" s="73" t="str">
        <f>IF(csv!N264="","",csv!N264)</f>
        <v>0</v>
      </c>
      <c r="I274" s="31" t="s">
        <v>0</v>
      </c>
      <c r="J274" s="31" t="str">
        <f>IF(csv!P264="","",csv!P264)</f>
        <v>KAP</v>
      </c>
      <c r="K274" s="31" t="str">
        <f>IF(csv!Q264="","",csv!Q264)</f>
        <v>OK Kapela</v>
      </c>
      <c r="L274" s="31" t="s">
        <v>0</v>
      </c>
      <c r="M274" s="66" t="str">
        <f>IF(csv!R264="","",csv!R264)</f>
        <v>CRO</v>
      </c>
      <c r="N274" s="47" t="s">
        <v>0</v>
      </c>
      <c r="O274" s="243" t="str">
        <f t="shared" si="263"/>
        <v>ok</v>
      </c>
      <c r="P274" s="47"/>
      <c r="Q274" s="52" t="str">
        <f t="shared" si="264"/>
        <v>Ž21B</v>
      </c>
      <c r="R274" s="73">
        <f>IF(Q274="","",IF(COUNTIF(Q$12:Q273,Q274)=0,R273+1,R273))</f>
        <v>18</v>
      </c>
      <c r="S274" s="73">
        <f t="shared" si="265"/>
        <v>118</v>
      </c>
      <c r="T274" s="73">
        <f t="shared" si="240"/>
        <v>27</v>
      </c>
      <c r="U274" s="66" t="str">
        <f t="shared" si="241"/>
        <v>Ž21B – Ž16</v>
      </c>
      <c r="V274" s="47" t="s">
        <v>0</v>
      </c>
      <c r="W274" s="222" t="str">
        <f t="shared" si="242"/>
        <v>Ž21B</v>
      </c>
      <c r="X274" s="223">
        <f t="shared" si="243"/>
        <v>40</v>
      </c>
      <c r="Y274" s="47" t="s">
        <v>0</v>
      </c>
      <c r="Z274" s="52" t="str">
        <f t="shared" si="266"/>
        <v>CRO</v>
      </c>
      <c r="AA274" s="73">
        <f t="shared" si="244"/>
        <v>1</v>
      </c>
      <c r="AB274" s="31" t="str">
        <f t="shared" si="267"/>
        <v/>
      </c>
      <c r="AC274" s="66" t="str">
        <f>IF(AB274="","",MAX(AC$12:AC273)+1)</f>
        <v/>
      </c>
      <c r="AD274" s="47" t="s">
        <v>0</v>
      </c>
      <c r="AE274" s="125"/>
      <c r="AF274" s="47" t="s">
        <v>0</v>
      </c>
      <c r="AG274" s="19" t="str">
        <f t="shared" si="268"/>
        <v/>
      </c>
      <c r="AH274" s="47" t="s">
        <v>0</v>
      </c>
      <c r="AI274" s="143" t="str">
        <f t="shared" si="269"/>
        <v>CRO</v>
      </c>
      <c r="AJ274" s="47"/>
      <c r="AK274" s="52" t="str">
        <f t="shared" si="270"/>
        <v>Sandra</v>
      </c>
      <c r="AL274" s="31" t="str">
        <f t="shared" si="271"/>
        <v>Latinger</v>
      </c>
      <c r="AM274" s="73">
        <f t="shared" si="272"/>
        <v>1476</v>
      </c>
      <c r="AN274" s="73" t="str">
        <f t="shared" si="273"/>
        <v/>
      </c>
      <c r="AO274" s="31" t="str">
        <f t="shared" si="245"/>
        <v>Sandra</v>
      </c>
      <c r="AP274" s="66" t="str">
        <f t="shared" si="246"/>
        <v>Latinger</v>
      </c>
      <c r="AQ274" s="47" t="s">
        <v>0</v>
      </c>
      <c r="AR274" s="82" t="str">
        <f t="shared" si="274"/>
        <v/>
      </c>
      <c r="AS274" s="47" t="s">
        <v>0</v>
      </c>
      <c r="AT274" s="19" t="str">
        <f t="shared" si="275"/>
        <v/>
      </c>
      <c r="AU274" s="47" t="s">
        <v>0</v>
      </c>
      <c r="AV274" s="103"/>
      <c r="AW274" s="105"/>
      <c r="AX274" s="47" t="s">
        <v>0</v>
      </c>
      <c r="AY274" s="256" t="str">
        <f t="shared" si="237"/>
        <v/>
      </c>
      <c r="AZ274" s="47" t="s">
        <v>0</v>
      </c>
      <c r="BA274" s="52" t="str">
        <f t="shared" si="247"/>
        <v/>
      </c>
      <c r="BB274" s="73" t="str">
        <f>IF(AV274&amp;AW274="","",MAX(BB$12:BB273)+1)</f>
        <v/>
      </c>
      <c r="BC274" s="268" t="str">
        <f t="shared" si="248"/>
        <v/>
      </c>
      <c r="BD274" s="53" t="str">
        <f>IF(AND(AM274="NEMA",AN274="NEMA",OR(AV274&amp;AW274="",BC274="NEMA")),MAX(BD$12:BD273)+1,"")</f>
        <v/>
      </c>
      <c r="BE274" s="47" t="s">
        <v>0</v>
      </c>
      <c r="BF274" s="52" t="str">
        <f t="shared" si="249"/>
        <v>Sandra</v>
      </c>
      <c r="BG274" s="31" t="str">
        <f t="shared" si="250"/>
        <v>Latinger</v>
      </c>
      <c r="BH274" s="73" t="str">
        <f t="shared" si="276"/>
        <v/>
      </c>
      <c r="BI274" s="53">
        <f t="shared" si="277"/>
        <v>1476</v>
      </c>
      <c r="BJ274" s="47" t="s">
        <v>0</v>
      </c>
      <c r="BK274" s="52" t="str">
        <f t="shared" si="251"/>
        <v>KAP</v>
      </c>
      <c r="BL274" s="31" t="str">
        <f t="shared" si="252"/>
        <v>OK Kapela</v>
      </c>
      <c r="BM274" s="73">
        <f t="shared" si="253"/>
        <v>5</v>
      </c>
      <c r="BN274" s="73" t="str">
        <f t="shared" si="254"/>
        <v/>
      </c>
      <c r="BO274" s="31" t="str" cm="1">
        <f t="array" ref="BO274">IF(BN274="",""&amp;BL274,IF(BN274="NEMA",BL274,INDEX(regKlub_naziv,MATCH(INDEX(regKlub_alias_klubId,BN274),regKlub_id,0))))</f>
        <v>OK Kapela</v>
      </c>
      <c r="BP274" s="31" t="str" cm="1">
        <f t="array" ref="BP274">IFERROR(""&amp;INDEX(regNatjecatelj_klub,DY274),"")</f>
        <v>OK Kapela</v>
      </c>
      <c r="BQ274" s="88" t="str">
        <f t="shared" si="278"/>
        <v/>
      </c>
      <c r="BR274" s="66" t="str">
        <f t="shared" si="279"/>
        <v>OK Kapela</v>
      </c>
      <c r="BS274" s="47" t="s">
        <v>0</v>
      </c>
      <c r="BT274" s="82" t="str">
        <f>IF(BN274&lt;&gt;"NEMA","",IF(IFERROR(MATCH(BL274,BL$12:BL273,0),0)&lt;&gt;0,"",BL274))</f>
        <v/>
      </c>
      <c r="BU274" s="47" t="s">
        <v>0</v>
      </c>
      <c r="BV274" s="125"/>
      <c r="BW274" s="47" t="s">
        <v>0</v>
      </c>
      <c r="BX274" s="58" t="str">
        <f t="shared" si="280"/>
        <v/>
      </c>
      <c r="BY274" s="31" t="str">
        <f t="shared" si="281"/>
        <v/>
      </c>
      <c r="BZ274" s="31" t="str">
        <f>IF(BY274="","",MAX(BZ$12:BZ273)+1)</f>
        <v/>
      </c>
      <c r="CA274" s="31" t="str">
        <f>IF(BY274="","",IF(AA274="","",IF(AA274="NEMA",AC274,AA274)))</f>
        <v/>
      </c>
      <c r="CB274" s="31" t="str">
        <f t="shared" si="282"/>
        <v/>
      </c>
      <c r="CC274" s="31" t="str">
        <f>IF(BV274="","",MAX(CC$12:CC273)+1)</f>
        <v/>
      </c>
      <c r="CD274" s="31" t="str">
        <f t="shared" si="283"/>
        <v/>
      </c>
      <c r="CE274" s="66" t="str">
        <f t="shared" si="284"/>
        <v/>
      </c>
      <c r="CF274" s="47" t="s">
        <v>0</v>
      </c>
      <c r="CG274" s="73" t="str">
        <f>IF(BN274="","",IF(BN274&lt;&gt;"NEMA","",IFERROR(INDEX(nat_klubAliasId,MATCH(BL274,nat_noviKluboviAliasi,0)),"")))</f>
        <v/>
      </c>
      <c r="CH274" s="47"/>
      <c r="CI274" s="19" t="str">
        <f t="shared" si="285"/>
        <v/>
      </c>
      <c r="CJ274" s="47" t="s">
        <v>0</v>
      </c>
      <c r="CK274" s="52" t="str">
        <f>IF(X274&lt;&gt;"NEMA","",IF(IFERROR(MATCH(W274,W$12:W273,0),0)&lt;&gt;0,"",W274))</f>
        <v/>
      </c>
      <c r="CL274" s="73" t="str">
        <f>IF(CK274="","",IFERROR(INDEX(regKlub_alias_id,MATCH(CK274,regKlub_alias_alias,0)),"NEMA"))</f>
        <v/>
      </c>
      <c r="CM274" s="31" t="str">
        <f>IF(OR(CL274="",CL274&lt;&gt;"NEMA"),"",MAX(CM$12:CM273)+1)</f>
        <v/>
      </c>
      <c r="CN274" s="66" t="str">
        <f>IF(OR(CL274="",CL274&lt;&gt;"NEMA"),"",INDEX(regKlub_id,MATCH(CK274,regKlub_naziv,0)))</f>
        <v/>
      </c>
      <c r="CO274" s="47" t="s">
        <v>0</v>
      </c>
      <c r="CP274" s="19" t="str">
        <f>IF(OR(CL274="",CL274&lt;&gt;"NEMA"),"","INSERT INTO klub_alias(id,alias,klub_id) VALUES ("&amp;CM274&amp;",'"&amp;CK274&amp;"',"&amp;CN274&amp;");")</f>
        <v/>
      </c>
      <c r="CQ274" s="47" t="s">
        <v>0</v>
      </c>
      <c r="CR274" s="143" t="str">
        <f>IF(BR274="","",IF(BV274="",IF(IFERROR(MATCH(BR274,nat_noviKluboviAliasi,0),0)&gt;0,INDEX(nat_kluboviAliasi,MATCH(BR274,nat_noviKluboviAliasi,0)),BR274),BV274))</f>
        <v>OK Kapela</v>
      </c>
      <c r="CS274" s="47" t="s">
        <v>0</v>
      </c>
      <c r="CT274" s="58" t="str">
        <f>IF(G274="","",G274)</f>
        <v>93:28</v>
      </c>
      <c r="CU274" s="73" t="str">
        <f>IF(H274="","",H274)</f>
        <v>0</v>
      </c>
      <c r="CV274" s="229" t="str">
        <f>IF(CT274="",IF(OR(AL274="",CU274&lt;&gt;"0"),"","GREŠKA"),IF(AND(65535&gt;=VALUE(LEFT(CT274,SEARCH(":",CT274)-1))*60+VALUE(RIGHT(CT274,2)),OR(CU274="0",CU274="1",CU274="2",CU274="3",CU274="4")),"","GREŠKA"))</f>
        <v/>
      </c>
      <c r="CW274" s="230">
        <f t="shared" si="239"/>
        <v>5608</v>
      </c>
      <c r="CX274" s="163">
        <f t="shared" si="255"/>
        <v>1</v>
      </c>
      <c r="CY274" s="47" t="s">
        <v>0</v>
      </c>
      <c r="CZ274" s="222" t="str">
        <f>IF(CV274&lt;&gt;"GREŠKA","",AK274&amp;" "&amp;AL274&amp;" – Molim u OEventu provjeriti i ispraviti rezultat – vrijeme ("&amp;IF(CT274="","nije upisano",CT274)&amp;") i classifier ("&amp;CU274&amp;").")&amp;IF(OR(CV274&lt;&gt;"GREŠKA",CX274&lt;&gt;5),"
","")&amp;IF(CX274&lt;&gt;5,"",AK274&amp;" "&amp;AL274&amp;" – Molim u provjeriti je li natjecatelj zaista diskvalificiran. Ako je koje je obrazloženje, ako nije molim u OEventu ispraviti rezultat")</f>
        <v xml:space="preserve">
</v>
      </c>
      <c r="DA274" s="223">
        <f t="shared" si="286"/>
        <v>6</v>
      </c>
      <c r="DB274" s="47" t="s">
        <v>0</v>
      </c>
      <c r="DC274" s="47"/>
      <c r="DD274" s="47"/>
      <c r="DE274" s="47"/>
      <c r="DF274" s="47" t="s">
        <v>0</v>
      </c>
      <c r="DG274" s="53" t="str">
        <f>IF(BD274="","",IF(DI274="O",1,""))</f>
        <v/>
      </c>
      <c r="DH274" t="s">
        <v>0</v>
      </c>
      <c r="DI274" s="128" t="str">
        <f>IF(Q274="","",LEFT(INDEX(regKategorija_oznaka,MATCH(S274,regKategorija_id,0)),1))</f>
        <v>Ž</v>
      </c>
      <c r="DJ274" t="s">
        <v>0</v>
      </c>
      <c r="DK274" s="52" t="str">
        <f>IF(BD274="","",IF(M274&lt;&gt;"CRO","","INSERT INTO osoba (id,reg_broj,oib,spol_id,dat_rodjenja) VALUES ("&amp;BD274&amp;",(SELECT max(os.reg_broj)+1 FROM osoba AS os),Null,'"&amp;DI274&amp;"',Null); INSERT INTO osoba_log (id,reg_broj,oib,spol_id,dat_rodjenja,dnevnik_id) SELECT id,reg_broj,oib,spol_id,dat_rodjenja,"&amp;data_dnevnik_id&amp;" FROM osoba WHERE id = "&amp;BD274&amp;";"))</f>
        <v/>
      </c>
      <c r="DL274" s="66" t="str">
        <f>IF(BD274="","","INSERT INTO imeprezime (id,osoba_id,rbr,ime,prezime,klub_id,identitet_id,sintaksa_id,info,aktivno,dnevnik_id) VALUES ("&amp;BD274&amp;","&amp;IF(DK274="","Null",BD274)&amp;",1,'"&amp;IF(AV274&lt;&gt;"",AV274,AK274)&amp;"','"&amp;IF(AW274&lt;&gt;"",AW274,AL274)&amp;"',(SELECT id FROM klub WHERE naziv = '"&amp;CR274&amp;"'),Null,1,'',1,"&amp;data_dnevnik_id&amp;");")</f>
        <v/>
      </c>
      <c r="DM274" t="s">
        <v>0</v>
      </c>
      <c r="DN274" s="19" t="str">
        <f t="shared" si="238"/>
        <v/>
      </c>
      <c r="DO274" s="47" t="s">
        <v>0</v>
      </c>
      <c r="DP274" s="19" t="str">
        <f>IF(BA274="","","INSERT INTO imeprezime_alias(id,alias,imeprezime_id) VALUES ("&amp;BB274&amp;",'"&amp;BA274&amp;"',"&amp;IF(BC274="NEMA",BD274,BC274)&amp;");")</f>
        <v/>
      </c>
      <c r="DQ274" s="47" t="s">
        <v>0</v>
      </c>
      <c r="DR274" s="52" t="str">
        <f>IF(AL274="","",DU274 &amp; IF(Q274="",""," – " &amp; Q274))</f>
        <v>Sandra – Latinger – OK Kapela – Ž21B</v>
      </c>
      <c r="DS274" s="53">
        <f t="shared" si="256"/>
        <v>273</v>
      </c>
      <c r="DT274" s="47" t="s">
        <v>0</v>
      </c>
      <c r="DU274" s="52" t="str">
        <f>IF(AL274="","",DX274 &amp; IF(CR274="",""," – " &amp; CR274))</f>
        <v>Sandra – Latinger – OK Kapela</v>
      </c>
      <c r="DV274" s="53">
        <f t="shared" si="257"/>
        <v>273</v>
      </c>
      <c r="DW274" s="47" t="s">
        <v>0</v>
      </c>
      <c r="DX274" s="52" t="str">
        <f>IF(BG274="","",BF274&amp;" – "&amp;BG274)</f>
        <v>Sandra – Latinger</v>
      </c>
      <c r="DY274" s="53">
        <f t="shared" si="258"/>
        <v>273</v>
      </c>
      <c r="DZ274" s="47" t="s">
        <v>0</v>
      </c>
      <c r="EA274" s="58">
        <f t="shared" si="287"/>
        <v>273</v>
      </c>
      <c r="EB274" s="53" cm="1">
        <f t="array" ref="EB274">IF(EA274&lt;&gt;"",INDEX(regNatjecatelj_id,EA274,0),IF(BD274&lt;&gt;"",BD274,""))</f>
        <v>1476</v>
      </c>
      <c r="EC274" s="47" t="s">
        <v>0</v>
      </c>
      <c r="ED274" s="58" t="str">
        <f>IF(AL274="","",IF(BD274&lt;&gt;"","novo",IF(AN274="","imepre","imepre(ali)")))</f>
        <v>imepre</v>
      </c>
      <c r="EE274" s="73" t="str">
        <f>IF(AL274="","",IF(BL274="",IF(IFERROR(INDEX(regNatjecatelj_klub,MATCH(EB274,regNatjecatelj_id,0)),"NEMA")="","klu",""),IF(OR(AND(BN274&lt;&gt;"",BN274&lt;&gt;"NEMA"),CD274&lt;&gt;""),"klu(ali)",IF(AND(BP274&lt;&gt;"",BP274&lt;&gt;BO274),"(raz-klu)","klu"))))</f>
        <v>klu</v>
      </c>
      <c r="EF274" s="73" t="str">
        <f>IF(AL274="","","kat"&amp;IF(AND(W274&lt;&gt;Q274,Q274&lt;&gt;"Open"),"(ali)",""))</f>
        <v>kat</v>
      </c>
      <c r="EG274" s="73" t="str">
        <f t="shared" si="259"/>
        <v/>
      </c>
      <c r="EH274" s="66" t="str">
        <f>IF(AL274="","",ED274&amp;IF(ED274="novo","","-"&amp;EE274&amp;"-"&amp;EF274)&amp;IF(EG274="","","-"&amp;EG274))</f>
        <v>imepre-klu-kat</v>
      </c>
      <c r="EI274" s="47" t="s">
        <v>0</v>
      </c>
      <c r="EJ274" s="58">
        <f>IF(AL274="","",MAX(EJ$12:EJ273)+1)</f>
        <v>425</v>
      </c>
      <c r="EK274" s="73">
        <f>IF(AO274="","",X274)</f>
        <v>40</v>
      </c>
      <c r="EL274" s="73">
        <f t="shared" si="288"/>
        <v>1476</v>
      </c>
      <c r="EM274" s="73">
        <f t="shared" si="260"/>
        <v>5608</v>
      </c>
      <c r="EN274" s="73">
        <f t="shared" si="261"/>
        <v>1</v>
      </c>
      <c r="EO274" s="73">
        <f t="shared" si="289"/>
        <v>1</v>
      </c>
      <c r="EP274" s="73">
        <f t="shared" si="290"/>
        <v>1</v>
      </c>
      <c r="EQ274" s="73" t="str">
        <f t="shared" si="262"/>
        <v>0</v>
      </c>
      <c r="ER274" s="73" t="str">
        <f>IF(OR(AN274="",AN274="NEMA"),BB274,AN274)</f>
        <v/>
      </c>
      <c r="ES274" s="73" t="str">
        <f>IF(AND(BN274&lt;&gt;"",BN274&lt;&gt;"NEMA"),BN274,IF(CG274&lt;&gt;"",CG274,IF(AND(CL274&lt;&gt;"",CL274&lt;&gt;"NEMA"),CL274,IF(CM274&lt;&gt;"",CM274,""))))</f>
        <v/>
      </c>
      <c r="ET274" s="53" t="str">
        <f>IF(INDEX(natKategorija_alias_Id,MATCH(S274,natKategorija_katRegId,0))="","",INDEX(natKategorija_alias_Id,MATCH(S274,natKategorija_katRegId,0)))</f>
        <v/>
      </c>
      <c r="EU274" s="47" t="s">
        <v>0</v>
      </c>
      <c r="EV274" s="19" t="str">
        <f t="shared" si="291"/>
        <v>INSERT INTO rezultat(id,stazakategorija_id,imeprezime_id,vrijeme_sec,status_id,registracija,uparivanje_id,originalstatus_id,imeprezimealias_id,klubalias_id,kategorijaalias_id) VALUES (425,40,1476,5608,1,1,1,0,Null,Null,Null);</v>
      </c>
      <c r="EW274" s="47" t="s">
        <v>0</v>
      </c>
      <c r="EX274" s="19" t="str">
        <f t="shared" si="292"/>
        <v>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4" s="47" t="s">
        <v>0</v>
      </c>
      <c r="EZ274" s="180" t="str">
        <f>AG274&amp;IF(CP274="","","
")&amp;CP274&amp;IF(CI274="","","
")&amp;CI274&amp;IF(DN274="","","
")&amp;DN274&amp;IF(DP274="","","
")&amp;DP274&amp;IF(EV274="","","
")&amp;EV274&amp;IF(EX274="","","
")&amp;EX274</f>
        <v xml:space="preserve">
INSERT INTO rezultat(id,stazakategorija_id,imeprezime_id,vrijeme_sec,status_id,registracija,uparivanje_id,originalstatus_id,imeprezimealias_id,klubalias_id,kategorijaalias_id) VALUES (425,40,1476,5608,1,1,1,0,Null,Null,Null);
UPDATE
	registar
SET
	potvrda = 1
WHERE
	imeprezime_id=1476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4" s="47" t="s">
        <v>0</v>
      </c>
    </row>
    <row r="275" spans="1:157" x14ac:dyDescent="0.25">
      <c r="A275" t="s">
        <v>0</v>
      </c>
      <c r="B275" s="52" t="str">
        <f>IF(csv!F265="","",csv!T265)</f>
        <v>Ž21B</v>
      </c>
      <c r="C275" s="31" t="s">
        <v>0</v>
      </c>
      <c r="D275" s="31" t="str">
        <f>IF(csv!F265="","",csv!F265)</f>
        <v>Petra</v>
      </c>
      <c r="E275" s="31" t="str">
        <f>IF(csv!E265="","",csv!E265)</f>
        <v>Kos</v>
      </c>
      <c r="F275" s="31" t="s">
        <v>0</v>
      </c>
      <c r="G275" s="73" t="str">
        <f>IF(csv!M265="","",csv!M265)</f>
        <v>99:01</v>
      </c>
      <c r="H275" s="73" t="str">
        <f>IF(csv!N265="","",csv!N265)</f>
        <v>0</v>
      </c>
      <c r="I275" s="31" t="s">
        <v>0</v>
      </c>
      <c r="J275" s="31" t="str">
        <f>IF(csv!P265="","",csv!P265)</f>
        <v>Vihor</v>
      </c>
      <c r="K275" s="31" t="str">
        <f>IF(csv!Q265="","",csv!Q265)</f>
        <v>OK Vihor</v>
      </c>
      <c r="L275" s="31" t="s">
        <v>0</v>
      </c>
      <c r="M275" s="66" t="str">
        <f>IF(csv!R265="","",csv!R265)</f>
        <v>CRO</v>
      </c>
      <c r="N275" s="47" t="s">
        <v>0</v>
      </c>
      <c r="O275" s="243" t="str">
        <f t="shared" si="263"/>
        <v>ok</v>
      </c>
      <c r="P275" s="47"/>
      <c r="Q275" s="52" t="str">
        <f t="shared" si="264"/>
        <v>Ž21B</v>
      </c>
      <c r="R275" s="73">
        <f>IF(Q275="","",IF(COUNTIF(Q$12:Q274,Q275)=0,R274+1,R274))</f>
        <v>18</v>
      </c>
      <c r="S275" s="73">
        <f t="shared" si="265"/>
        <v>118</v>
      </c>
      <c r="T275" s="73">
        <f t="shared" si="240"/>
        <v>27</v>
      </c>
      <c r="U275" s="66" t="str">
        <f t="shared" si="241"/>
        <v>Ž21B – Ž16</v>
      </c>
      <c r="V275" s="47" t="s">
        <v>0</v>
      </c>
      <c r="W275" s="222" t="str">
        <f t="shared" si="242"/>
        <v>Ž21B</v>
      </c>
      <c r="X275" s="223">
        <f t="shared" si="243"/>
        <v>40</v>
      </c>
      <c r="Y275" s="47" t="s">
        <v>0</v>
      </c>
      <c r="Z275" s="52" t="str">
        <f t="shared" si="266"/>
        <v>CRO</v>
      </c>
      <c r="AA275" s="73">
        <f t="shared" si="244"/>
        <v>1</v>
      </c>
      <c r="AB275" s="31" t="str">
        <f t="shared" si="267"/>
        <v/>
      </c>
      <c r="AC275" s="66" t="str">
        <f>IF(AB275="","",MAX(AC$12:AC274)+1)</f>
        <v/>
      </c>
      <c r="AD275" s="47" t="s">
        <v>0</v>
      </c>
      <c r="AE275" s="125"/>
      <c r="AF275" s="47" t="s">
        <v>0</v>
      </c>
      <c r="AG275" s="19" t="str">
        <f t="shared" si="268"/>
        <v/>
      </c>
      <c r="AH275" s="47" t="s">
        <v>0</v>
      </c>
      <c r="AI275" s="143" t="str">
        <f t="shared" si="269"/>
        <v>CRO</v>
      </c>
      <c r="AJ275" s="47"/>
      <c r="AK275" s="52" t="str">
        <f t="shared" si="270"/>
        <v>Petra</v>
      </c>
      <c r="AL275" s="31" t="str">
        <f t="shared" si="271"/>
        <v>Kos</v>
      </c>
      <c r="AM275" s="73">
        <f t="shared" si="272"/>
        <v>1895</v>
      </c>
      <c r="AN275" s="73" t="str">
        <f t="shared" si="273"/>
        <v/>
      </c>
      <c r="AO275" s="31" t="str">
        <f t="shared" si="245"/>
        <v>Petra</v>
      </c>
      <c r="AP275" s="66" t="str">
        <f t="shared" si="246"/>
        <v>Kos</v>
      </c>
      <c r="AQ275" s="47" t="s">
        <v>0</v>
      </c>
      <c r="AR275" s="82" t="str">
        <f t="shared" si="274"/>
        <v/>
      </c>
      <c r="AS275" s="47" t="s">
        <v>0</v>
      </c>
      <c r="AT275" s="19" t="str">
        <f t="shared" si="275"/>
        <v/>
      </c>
      <c r="AU275" s="47" t="s">
        <v>0</v>
      </c>
      <c r="AV275" s="103"/>
      <c r="AW275" s="105"/>
      <c r="AX275" s="47" t="s">
        <v>0</v>
      </c>
      <c r="AY275" s="256" t="str">
        <f t="shared" si="237"/>
        <v/>
      </c>
      <c r="AZ275" s="47" t="s">
        <v>0</v>
      </c>
      <c r="BA275" s="52" t="str">
        <f t="shared" si="247"/>
        <v/>
      </c>
      <c r="BB275" s="73" t="str">
        <f>IF(AV275&amp;AW275="","",MAX(BB$12:BB274)+1)</f>
        <v/>
      </c>
      <c r="BC275" s="268" t="str">
        <f t="shared" si="248"/>
        <v/>
      </c>
      <c r="BD275" s="53" t="str">
        <f>IF(AND(AM275="NEMA",AN275="NEMA",OR(AV275&amp;AW275="",BC275="NEMA")),MAX(BD$12:BD274)+1,"")</f>
        <v/>
      </c>
      <c r="BE275" s="47" t="s">
        <v>0</v>
      </c>
      <c r="BF275" s="52" t="str">
        <f t="shared" si="249"/>
        <v>Petra</v>
      </c>
      <c r="BG275" s="31" t="str">
        <f t="shared" si="250"/>
        <v>Kos</v>
      </c>
      <c r="BH275" s="73" t="str">
        <f t="shared" si="276"/>
        <v/>
      </c>
      <c r="BI275" s="53">
        <f t="shared" si="277"/>
        <v>1895</v>
      </c>
      <c r="BJ275" s="47" t="s">
        <v>0</v>
      </c>
      <c r="BK275" s="52" t="str">
        <f t="shared" si="251"/>
        <v>Vihor</v>
      </c>
      <c r="BL275" s="31" t="str">
        <f t="shared" si="252"/>
        <v>OK Vihor</v>
      </c>
      <c r="BM275" s="73">
        <f t="shared" si="253"/>
        <v>12</v>
      </c>
      <c r="BN275" s="73" t="str">
        <f t="shared" si="254"/>
        <v/>
      </c>
      <c r="BO275" s="31" t="str" cm="1">
        <f t="array" ref="BO275">IF(BN275="",""&amp;BL275,IF(BN275="NEMA",BL275,INDEX(regKlub_naziv,MATCH(INDEX(regKlub_alias_klubId,BN275),regKlub_id,0))))</f>
        <v>OK Vihor</v>
      </c>
      <c r="BP275" s="31" t="str" cm="1">
        <f t="array" ref="BP275">IFERROR(""&amp;INDEX(regNatjecatelj_klub,DY275),"")</f>
        <v>OK Vihor</v>
      </c>
      <c r="BQ275" s="88" t="str">
        <f t="shared" si="278"/>
        <v/>
      </c>
      <c r="BR275" s="66" t="str">
        <f t="shared" si="279"/>
        <v>OK Vihor</v>
      </c>
      <c r="BS275" s="47" t="s">
        <v>0</v>
      </c>
      <c r="BT275" s="82" t="str">
        <f>IF(BN275&lt;&gt;"NEMA","",IF(IFERROR(MATCH(BL275,BL$12:BL274,0),0)&lt;&gt;0,"",BL275))</f>
        <v/>
      </c>
      <c r="BU275" s="47" t="s">
        <v>0</v>
      </c>
      <c r="BV275" s="125"/>
      <c r="BW275" s="47" t="s">
        <v>0</v>
      </c>
      <c r="BX275" s="58" t="str">
        <f t="shared" si="280"/>
        <v/>
      </c>
      <c r="BY275" s="31" t="str">
        <f t="shared" si="281"/>
        <v/>
      </c>
      <c r="BZ275" s="31" t="str">
        <f>IF(BY275="","",MAX(BZ$12:BZ274)+1)</f>
        <v/>
      </c>
      <c r="CA275" s="31" t="str">
        <f>IF(BY275="","",IF(AA275="","",IF(AA275="NEMA",AC275,AA275)))</f>
        <v/>
      </c>
      <c r="CB275" s="31" t="str">
        <f t="shared" si="282"/>
        <v/>
      </c>
      <c r="CC275" s="31" t="str">
        <f>IF(BV275="","",MAX(CC$12:CC274)+1)</f>
        <v/>
      </c>
      <c r="CD275" s="31" t="str">
        <f t="shared" si="283"/>
        <v/>
      </c>
      <c r="CE275" s="66" t="str">
        <f t="shared" si="284"/>
        <v/>
      </c>
      <c r="CF275" s="47" t="s">
        <v>0</v>
      </c>
      <c r="CG275" s="73" t="str">
        <f>IF(BN275="","",IF(BN275&lt;&gt;"NEMA","",IFERROR(INDEX(nat_klubAliasId,MATCH(BL275,nat_noviKluboviAliasi,0)),"")))</f>
        <v/>
      </c>
      <c r="CH275" s="47"/>
      <c r="CI275" s="19" t="str">
        <f t="shared" si="285"/>
        <v/>
      </c>
      <c r="CJ275" s="47" t="s">
        <v>0</v>
      </c>
      <c r="CK275" s="52" t="str">
        <f>IF(X275&lt;&gt;"NEMA","",IF(IFERROR(MATCH(W275,W$12:W274,0),0)&lt;&gt;0,"",W275))</f>
        <v/>
      </c>
      <c r="CL275" s="73" t="str">
        <f>IF(CK275="","",IFERROR(INDEX(regKlub_alias_id,MATCH(CK275,regKlub_alias_alias,0)),"NEMA"))</f>
        <v/>
      </c>
      <c r="CM275" s="31" t="str">
        <f>IF(OR(CL275="",CL275&lt;&gt;"NEMA"),"",MAX(CM$12:CM274)+1)</f>
        <v/>
      </c>
      <c r="CN275" s="66" t="str">
        <f>IF(OR(CL275="",CL275&lt;&gt;"NEMA"),"",INDEX(regKlub_id,MATCH(CK275,regKlub_naziv,0)))</f>
        <v/>
      </c>
      <c r="CO275" s="47" t="s">
        <v>0</v>
      </c>
      <c r="CP275" s="19" t="str">
        <f>IF(OR(CL275="",CL275&lt;&gt;"NEMA"),"","INSERT INTO klub_alias(id,alias,klub_id) VALUES ("&amp;CM275&amp;",'"&amp;CK275&amp;"',"&amp;CN275&amp;");")</f>
        <v/>
      </c>
      <c r="CQ275" s="47" t="s">
        <v>0</v>
      </c>
      <c r="CR275" s="143" t="str">
        <f>IF(BR275="","",IF(BV275="",IF(IFERROR(MATCH(BR275,nat_noviKluboviAliasi,0),0)&gt;0,INDEX(nat_kluboviAliasi,MATCH(BR275,nat_noviKluboviAliasi,0)),BR275),BV275))</f>
        <v>OK Vihor</v>
      </c>
      <c r="CS275" s="47" t="s">
        <v>0</v>
      </c>
      <c r="CT275" s="58" t="str">
        <f>IF(G275="","",G275)</f>
        <v>99:01</v>
      </c>
      <c r="CU275" s="73" t="str">
        <f>IF(H275="","",H275)</f>
        <v>0</v>
      </c>
      <c r="CV275" s="229" t="str">
        <f>IF(CT275="",IF(OR(AL275="",CU275&lt;&gt;"0"),"","GREŠKA"),IF(AND(65535&gt;=VALUE(LEFT(CT275,SEARCH(":",CT275)-1))*60+VALUE(RIGHT(CT275,2)),OR(CU275="0",CU275="1",CU275="2",CU275="3",CU275="4")),"","GREŠKA"))</f>
        <v/>
      </c>
      <c r="CW275" s="230">
        <f t="shared" si="239"/>
        <v>5941</v>
      </c>
      <c r="CX275" s="163">
        <f t="shared" si="255"/>
        <v>1</v>
      </c>
      <c r="CY275" s="47" t="s">
        <v>0</v>
      </c>
      <c r="CZ275" s="222" t="str">
        <f>IF(CV275&lt;&gt;"GREŠKA","",AK275&amp;" "&amp;AL275&amp;" – Molim u OEventu provjeriti i ispraviti rezultat – vrijeme ("&amp;IF(CT275="","nije upisano",CT275)&amp;") i classifier ("&amp;CU275&amp;").")&amp;IF(OR(CV275&lt;&gt;"GREŠKA",CX275&lt;&gt;5),"
","")&amp;IF(CX275&lt;&gt;5,"",AK275&amp;" "&amp;AL275&amp;" – Molim u provjeriti je li natjecatelj zaista diskvalificiran. Ako je koje je obrazloženje, ako nije molim u OEventu ispraviti rezultat")</f>
        <v xml:space="preserve">
</v>
      </c>
      <c r="DA275" s="223">
        <f t="shared" si="286"/>
        <v>6</v>
      </c>
      <c r="DB275" s="47" t="s">
        <v>0</v>
      </c>
      <c r="DC275" s="47"/>
      <c r="DD275" s="47"/>
      <c r="DE275" s="47"/>
      <c r="DF275" s="47" t="s">
        <v>0</v>
      </c>
      <c r="DG275" s="53" t="str">
        <f>IF(BD275="","",IF(DI275="O",1,""))</f>
        <v/>
      </c>
      <c r="DH275" t="s">
        <v>0</v>
      </c>
      <c r="DI275" s="128" t="str">
        <f>IF(Q275="","",LEFT(INDEX(regKategorija_oznaka,MATCH(S275,regKategorija_id,0)),1))</f>
        <v>Ž</v>
      </c>
      <c r="DJ275" t="s">
        <v>0</v>
      </c>
      <c r="DK275" s="52" t="str">
        <f>IF(BD275="","",IF(M275&lt;&gt;"CRO","","INSERT INTO osoba (id,reg_broj,oib,spol_id,dat_rodjenja) VALUES ("&amp;BD275&amp;",(SELECT max(os.reg_broj)+1 FROM osoba AS os),Null,'"&amp;DI275&amp;"',Null); INSERT INTO osoba_log (id,reg_broj,oib,spol_id,dat_rodjenja,dnevnik_id) SELECT id,reg_broj,oib,spol_id,dat_rodjenja,"&amp;data_dnevnik_id&amp;" FROM osoba WHERE id = "&amp;BD275&amp;";"))</f>
        <v/>
      </c>
      <c r="DL275" s="66" t="str">
        <f>IF(BD275="","","INSERT INTO imeprezime (id,osoba_id,rbr,ime,prezime,klub_id,identitet_id,sintaksa_id,info,aktivno,dnevnik_id) VALUES ("&amp;BD275&amp;","&amp;IF(DK275="","Null",BD275)&amp;",1,'"&amp;IF(AV275&lt;&gt;"",AV275,AK275)&amp;"','"&amp;IF(AW275&lt;&gt;"",AW275,AL275)&amp;"',(SELECT id FROM klub WHERE naziv = '"&amp;CR275&amp;"'),Null,1,'',1,"&amp;data_dnevnik_id&amp;");")</f>
        <v/>
      </c>
      <c r="DM275" t="s">
        <v>0</v>
      </c>
      <c r="DN275" s="19" t="str">
        <f t="shared" si="238"/>
        <v/>
      </c>
      <c r="DO275" s="47" t="s">
        <v>0</v>
      </c>
      <c r="DP275" s="19" t="str">
        <f>IF(BA275="","","INSERT INTO imeprezime_alias(id,alias,imeprezime_id) VALUES ("&amp;BB275&amp;",'"&amp;BA275&amp;"',"&amp;IF(BC275="NEMA",BD275,BC275)&amp;");")</f>
        <v/>
      </c>
      <c r="DQ275" s="47" t="s">
        <v>0</v>
      </c>
      <c r="DR275" s="52" t="str">
        <f>IF(AL275="","",DU275 &amp; IF(Q275="",""," – " &amp; Q275))</f>
        <v>Petra – Kos – OK Vihor – Ž21B</v>
      </c>
      <c r="DS275" s="53">
        <f t="shared" si="256"/>
        <v>748</v>
      </c>
      <c r="DT275" s="47" t="s">
        <v>0</v>
      </c>
      <c r="DU275" s="52" t="str">
        <f>IF(AL275="","",DX275 &amp; IF(CR275="",""," – " &amp; CR275))</f>
        <v>Petra – Kos – OK Vihor</v>
      </c>
      <c r="DV275" s="53">
        <f t="shared" si="257"/>
        <v>748</v>
      </c>
      <c r="DW275" s="47" t="s">
        <v>0</v>
      </c>
      <c r="DX275" s="52" t="str">
        <f>IF(BG275="","",BF275&amp;" – "&amp;BG275)</f>
        <v>Petra – Kos</v>
      </c>
      <c r="DY275" s="53">
        <f t="shared" si="258"/>
        <v>748</v>
      </c>
      <c r="DZ275" s="47" t="s">
        <v>0</v>
      </c>
      <c r="EA275" s="58">
        <f t="shared" si="287"/>
        <v>748</v>
      </c>
      <c r="EB275" s="53" cm="1">
        <f t="array" ref="EB275">IF(EA275&lt;&gt;"",INDEX(regNatjecatelj_id,EA275,0),IF(BD275&lt;&gt;"",BD275,""))</f>
        <v>1895</v>
      </c>
      <c r="EC275" s="47" t="s">
        <v>0</v>
      </c>
      <c r="ED275" s="58" t="str">
        <f>IF(AL275="","",IF(BD275&lt;&gt;"","novo",IF(AN275="","imepre","imepre(ali)")))</f>
        <v>imepre</v>
      </c>
      <c r="EE275" s="73" t="str">
        <f>IF(AL275="","",IF(BL275="",IF(IFERROR(INDEX(regNatjecatelj_klub,MATCH(EB275,regNatjecatelj_id,0)),"NEMA")="","klu",""),IF(OR(AND(BN275&lt;&gt;"",BN275&lt;&gt;"NEMA"),CD275&lt;&gt;""),"klu(ali)",IF(AND(BP275&lt;&gt;"",BP275&lt;&gt;BO275),"(raz-klu)","klu"))))</f>
        <v>klu</v>
      </c>
      <c r="EF275" s="73" t="str">
        <f>IF(AL275="","","kat"&amp;IF(AND(W275&lt;&gt;Q275,Q275&lt;&gt;"Open"),"(ali)",""))</f>
        <v>kat</v>
      </c>
      <c r="EG275" s="73" t="str">
        <f t="shared" si="259"/>
        <v/>
      </c>
      <c r="EH275" s="66" t="str">
        <f>IF(AL275="","",ED275&amp;IF(ED275="novo","","-"&amp;EE275&amp;"-"&amp;EF275)&amp;IF(EG275="","","-"&amp;EG275))</f>
        <v>imepre-klu-kat</v>
      </c>
      <c r="EI275" s="47" t="s">
        <v>0</v>
      </c>
      <c r="EJ275" s="58">
        <f>IF(AL275="","",MAX(EJ$12:EJ274)+1)</f>
        <v>426</v>
      </c>
      <c r="EK275" s="73">
        <f>IF(AO275="","",X275)</f>
        <v>40</v>
      </c>
      <c r="EL275" s="73">
        <f t="shared" si="288"/>
        <v>1895</v>
      </c>
      <c r="EM275" s="73">
        <f t="shared" si="260"/>
        <v>5941</v>
      </c>
      <c r="EN275" s="73">
        <f t="shared" si="261"/>
        <v>1</v>
      </c>
      <c r="EO275" s="73">
        <f t="shared" si="289"/>
        <v>1</v>
      </c>
      <c r="EP275" s="73">
        <f t="shared" si="290"/>
        <v>1</v>
      </c>
      <c r="EQ275" s="73" t="str">
        <f t="shared" si="262"/>
        <v>0</v>
      </c>
      <c r="ER275" s="73" t="str">
        <f>IF(OR(AN275="",AN275="NEMA"),BB275,AN275)</f>
        <v/>
      </c>
      <c r="ES275" s="73" t="str">
        <f>IF(AND(BN275&lt;&gt;"",BN275&lt;&gt;"NEMA"),BN275,IF(CG275&lt;&gt;"",CG275,IF(AND(CL275&lt;&gt;"",CL275&lt;&gt;"NEMA"),CL275,IF(CM275&lt;&gt;"",CM275,""))))</f>
        <v/>
      </c>
      <c r="ET275" s="53" t="str">
        <f>IF(INDEX(natKategorija_alias_Id,MATCH(S275,natKategorija_katRegId,0))="","",INDEX(natKategorija_alias_Id,MATCH(S275,natKategorija_katRegId,0)))</f>
        <v/>
      </c>
      <c r="EU275" s="47" t="s">
        <v>0</v>
      </c>
      <c r="EV275" s="19" t="str">
        <f t="shared" si="291"/>
        <v>INSERT INTO rezultat(id,stazakategorija_id,imeprezime_id,vrijeme_sec,status_id,registracija,uparivanje_id,originalstatus_id,imeprezimealias_id,klubalias_id,kategorijaalias_id) VALUES (426,40,1895,5941,1,1,1,0,Null,Null,Null);</v>
      </c>
      <c r="EW275" s="47" t="s">
        <v>0</v>
      </c>
      <c r="EX275" s="19" t="str">
        <f t="shared" si="292"/>
        <v>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5" s="47" t="s">
        <v>0</v>
      </c>
      <c r="EZ275" s="180" t="str">
        <f>AG275&amp;IF(CP275="","","
")&amp;CP275&amp;IF(CI275="","","
")&amp;CI275&amp;IF(DN275="","","
")&amp;DN275&amp;IF(DP275="","","
")&amp;DP275&amp;IF(EV275="","","
")&amp;EV275&amp;IF(EX275="","","
")&amp;EX275</f>
        <v xml:space="preserve">
INSERT INTO rezultat(id,stazakategorija_id,imeprezime_id,vrijeme_sec,status_id,registracija,uparivanje_id,originalstatus_id,imeprezimealias_id,klubalias_id,kategorijaalias_id) VALUES (426,40,1895,5941,1,1,1,0,Null,Null,Null);
UPDATE
	registar
SET
	potvrda = 1
WHERE
	imeprezime_id=1895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5" s="47" t="s">
        <v>0</v>
      </c>
    </row>
    <row r="276" spans="1:157" x14ac:dyDescent="0.25">
      <c r="A276" t="s">
        <v>0</v>
      </c>
      <c r="B276" s="52" t="str">
        <f>IF(csv!F266="","",csv!T266)</f>
        <v>Ž21B</v>
      </c>
      <c r="C276" s="31" t="s">
        <v>0</v>
      </c>
      <c r="D276" s="31" t="str">
        <f>IF(csv!F266="","",csv!F266)</f>
        <v>Olga</v>
      </c>
      <c r="E276" s="31" t="str">
        <f>IF(csv!E266="","",csv!E266)</f>
        <v>Zaitseva</v>
      </c>
      <c r="F276" s="31" t="s">
        <v>0</v>
      </c>
      <c r="G276" s="73" t="str">
        <f>IF(csv!M266="","",csv!M266)</f>
        <v>120:09</v>
      </c>
      <c r="H276" s="73" t="str">
        <f>IF(csv!N266="","",csv!N266)</f>
        <v>0</v>
      </c>
      <c r="I276" s="31" t="s">
        <v>0</v>
      </c>
      <c r="J276" s="31" t="str">
        <f>IF(csv!P266="","",csv!P266)</f>
        <v>Vihor</v>
      </c>
      <c r="K276" s="31" t="str">
        <f>IF(csv!Q266="","",csv!Q266)</f>
        <v>OK Vihor</v>
      </c>
      <c r="L276" s="31" t="s">
        <v>0</v>
      </c>
      <c r="M276" s="66" t="str">
        <f>IF(csv!R266="","",csv!R266)</f>
        <v>CRO</v>
      </c>
      <c r="N276" s="47" t="s">
        <v>0</v>
      </c>
      <c r="O276" s="243" t="str">
        <f t="shared" si="263"/>
        <v>ok</v>
      </c>
      <c r="P276" s="47"/>
      <c r="Q276" s="52" t="str">
        <f t="shared" si="264"/>
        <v>Ž21B</v>
      </c>
      <c r="R276" s="73">
        <f>IF(Q276="","",IF(COUNTIF(Q$12:Q275,Q276)=0,R275+1,R275))</f>
        <v>18</v>
      </c>
      <c r="S276" s="73">
        <f t="shared" si="265"/>
        <v>118</v>
      </c>
      <c r="T276" s="73">
        <f t="shared" si="240"/>
        <v>27</v>
      </c>
      <c r="U276" s="66" t="str">
        <f t="shared" si="241"/>
        <v>Ž21B – Ž16</v>
      </c>
      <c r="V276" s="47" t="s">
        <v>0</v>
      </c>
      <c r="W276" s="222" t="str">
        <f t="shared" si="242"/>
        <v>Ž21B</v>
      </c>
      <c r="X276" s="223">
        <f t="shared" si="243"/>
        <v>40</v>
      </c>
      <c r="Y276" s="47" t="s">
        <v>0</v>
      </c>
      <c r="Z276" s="52" t="str">
        <f t="shared" si="266"/>
        <v>CRO</v>
      </c>
      <c r="AA276" s="73">
        <f t="shared" si="244"/>
        <v>1</v>
      </c>
      <c r="AB276" s="31" t="str">
        <f t="shared" si="267"/>
        <v/>
      </c>
      <c r="AC276" s="66" t="str">
        <f>IF(AB276="","",MAX(AC$12:AC275)+1)</f>
        <v/>
      </c>
      <c r="AD276" s="47" t="s">
        <v>0</v>
      </c>
      <c r="AE276" s="125"/>
      <c r="AF276" s="47" t="s">
        <v>0</v>
      </c>
      <c r="AG276" s="19" t="str">
        <f t="shared" si="268"/>
        <v/>
      </c>
      <c r="AH276" s="47" t="s">
        <v>0</v>
      </c>
      <c r="AI276" s="143" t="str">
        <f t="shared" si="269"/>
        <v>CRO</v>
      </c>
      <c r="AJ276" s="47"/>
      <c r="AK276" s="52" t="str">
        <f t="shared" si="270"/>
        <v>Olga</v>
      </c>
      <c r="AL276" s="31" t="str">
        <f t="shared" si="271"/>
        <v>Zaitseva</v>
      </c>
      <c r="AM276" s="73">
        <f t="shared" si="272"/>
        <v>1912</v>
      </c>
      <c r="AN276" s="73" t="str">
        <f t="shared" si="273"/>
        <v/>
      </c>
      <c r="AO276" s="31" t="str">
        <f t="shared" si="245"/>
        <v>Olga</v>
      </c>
      <c r="AP276" s="66" t="str">
        <f t="shared" si="246"/>
        <v>Zaitseva</v>
      </c>
      <c r="AQ276" s="47" t="s">
        <v>0</v>
      </c>
      <c r="AR276" s="82" t="str">
        <f t="shared" si="274"/>
        <v/>
      </c>
      <c r="AS276" s="47" t="s">
        <v>0</v>
      </c>
      <c r="AT276" s="19" t="str">
        <f t="shared" si="275"/>
        <v/>
      </c>
      <c r="AU276" s="47" t="s">
        <v>0</v>
      </c>
      <c r="AV276" s="103"/>
      <c r="AW276" s="105"/>
      <c r="AX276" s="47" t="s">
        <v>0</v>
      </c>
      <c r="AY276" s="256" t="str">
        <f t="shared" si="237"/>
        <v/>
      </c>
      <c r="AZ276" s="47" t="s">
        <v>0</v>
      </c>
      <c r="BA276" s="52" t="str">
        <f t="shared" si="247"/>
        <v/>
      </c>
      <c r="BB276" s="73" t="str">
        <f>IF(AV276&amp;AW276="","",MAX(BB$12:BB275)+1)</f>
        <v/>
      </c>
      <c r="BC276" s="268" t="str">
        <f t="shared" si="248"/>
        <v/>
      </c>
      <c r="BD276" s="53" t="str">
        <f>IF(AND(AM276="NEMA",AN276="NEMA",OR(AV276&amp;AW276="",BC276="NEMA")),MAX(BD$12:BD275)+1,"")</f>
        <v/>
      </c>
      <c r="BE276" s="47" t="s">
        <v>0</v>
      </c>
      <c r="BF276" s="52" t="str">
        <f t="shared" si="249"/>
        <v>Olga</v>
      </c>
      <c r="BG276" s="31" t="str">
        <f t="shared" si="250"/>
        <v>Zaitseva</v>
      </c>
      <c r="BH276" s="73" t="str">
        <f t="shared" si="276"/>
        <v/>
      </c>
      <c r="BI276" s="53">
        <f t="shared" si="277"/>
        <v>1912</v>
      </c>
      <c r="BJ276" s="47" t="s">
        <v>0</v>
      </c>
      <c r="BK276" s="52" t="str">
        <f t="shared" si="251"/>
        <v>Vihor</v>
      </c>
      <c r="BL276" s="31" t="str">
        <f t="shared" si="252"/>
        <v>OK Vihor</v>
      </c>
      <c r="BM276" s="73">
        <f t="shared" si="253"/>
        <v>12</v>
      </c>
      <c r="BN276" s="73" t="str">
        <f t="shared" si="254"/>
        <v/>
      </c>
      <c r="BO276" s="31" t="str" cm="1">
        <f t="array" ref="BO276">IF(BN276="",""&amp;BL276,IF(BN276="NEMA",BL276,INDEX(regKlub_naziv,MATCH(INDEX(regKlub_alias_klubId,BN276),regKlub_id,0))))</f>
        <v>OK Vihor</v>
      </c>
      <c r="BP276" s="31" t="str" cm="1">
        <f t="array" ref="BP276">IFERROR(""&amp;INDEX(regNatjecatelj_klub,DY276),"")</f>
        <v>OK Vihor</v>
      </c>
      <c r="BQ276" s="88" t="str">
        <f t="shared" si="278"/>
        <v/>
      </c>
      <c r="BR276" s="66" t="str">
        <f t="shared" si="279"/>
        <v>OK Vihor</v>
      </c>
      <c r="BS276" s="47" t="s">
        <v>0</v>
      </c>
      <c r="BT276" s="82" t="str">
        <f>IF(BN276&lt;&gt;"NEMA","",IF(IFERROR(MATCH(BL276,BL$12:BL275,0),0)&lt;&gt;0,"",BL276))</f>
        <v/>
      </c>
      <c r="BU276" s="47" t="s">
        <v>0</v>
      </c>
      <c r="BV276" s="125"/>
      <c r="BW276" s="47" t="s">
        <v>0</v>
      </c>
      <c r="BX276" s="58" t="str">
        <f t="shared" si="280"/>
        <v/>
      </c>
      <c r="BY276" s="31" t="str">
        <f t="shared" si="281"/>
        <v/>
      </c>
      <c r="BZ276" s="31" t="str">
        <f>IF(BY276="","",MAX(BZ$12:BZ275)+1)</f>
        <v/>
      </c>
      <c r="CA276" s="31" t="str">
        <f>IF(BY276="","",IF(AA276="","",IF(AA276="NEMA",AC276,AA276)))</f>
        <v/>
      </c>
      <c r="CB276" s="31" t="str">
        <f t="shared" si="282"/>
        <v/>
      </c>
      <c r="CC276" s="31" t="str">
        <f>IF(BV276="","",MAX(CC$12:CC275)+1)</f>
        <v/>
      </c>
      <c r="CD276" s="31" t="str">
        <f t="shared" si="283"/>
        <v/>
      </c>
      <c r="CE276" s="66" t="str">
        <f t="shared" si="284"/>
        <v/>
      </c>
      <c r="CF276" s="47" t="s">
        <v>0</v>
      </c>
      <c r="CG276" s="73" t="str">
        <f>IF(BN276="","",IF(BN276&lt;&gt;"NEMA","",IFERROR(INDEX(nat_klubAliasId,MATCH(BL276,nat_noviKluboviAliasi,0)),"")))</f>
        <v/>
      </c>
      <c r="CH276" s="47"/>
      <c r="CI276" s="19" t="str">
        <f t="shared" si="285"/>
        <v/>
      </c>
      <c r="CJ276" s="47" t="s">
        <v>0</v>
      </c>
      <c r="CK276" s="52" t="str">
        <f>IF(X276&lt;&gt;"NEMA","",IF(IFERROR(MATCH(W276,W$12:W275,0),0)&lt;&gt;0,"",W276))</f>
        <v/>
      </c>
      <c r="CL276" s="73" t="str">
        <f>IF(CK276="","",IFERROR(INDEX(regKlub_alias_id,MATCH(CK276,regKlub_alias_alias,0)),"NEMA"))</f>
        <v/>
      </c>
      <c r="CM276" s="31" t="str">
        <f>IF(OR(CL276="",CL276&lt;&gt;"NEMA"),"",MAX(CM$12:CM275)+1)</f>
        <v/>
      </c>
      <c r="CN276" s="66" t="str">
        <f>IF(OR(CL276="",CL276&lt;&gt;"NEMA"),"",INDEX(regKlub_id,MATCH(CK276,regKlub_naziv,0)))</f>
        <v/>
      </c>
      <c r="CO276" s="47" t="s">
        <v>0</v>
      </c>
      <c r="CP276" s="19" t="str">
        <f>IF(OR(CL276="",CL276&lt;&gt;"NEMA"),"","INSERT INTO klub_alias(id,alias,klub_id) VALUES ("&amp;CM276&amp;",'"&amp;CK276&amp;"',"&amp;CN276&amp;");")</f>
        <v/>
      </c>
      <c r="CQ276" s="47" t="s">
        <v>0</v>
      </c>
      <c r="CR276" s="143" t="str">
        <f>IF(BR276="","",IF(BV276="",IF(IFERROR(MATCH(BR276,nat_noviKluboviAliasi,0),0)&gt;0,INDEX(nat_kluboviAliasi,MATCH(BR276,nat_noviKluboviAliasi,0)),BR276),BV276))</f>
        <v>OK Vihor</v>
      </c>
      <c r="CS276" s="47" t="s">
        <v>0</v>
      </c>
      <c r="CT276" s="58" t="str">
        <f>IF(G276="","",G276)</f>
        <v>120:09</v>
      </c>
      <c r="CU276" s="73" t="str">
        <f>IF(H276="","",H276)</f>
        <v>0</v>
      </c>
      <c r="CV276" s="229" t="str">
        <f>IF(CT276="",IF(OR(AL276="",CU276&lt;&gt;"0"),"","GREŠKA"),IF(AND(65535&gt;=VALUE(LEFT(CT276,SEARCH(":",CT276)-1))*60+VALUE(RIGHT(CT276,2)),OR(CU276="0",CU276="1",CU276="2",CU276="3",CU276="4")),"","GREŠKA"))</f>
        <v/>
      </c>
      <c r="CW276" s="230">
        <f t="shared" si="239"/>
        <v>7209</v>
      </c>
      <c r="CX276" s="163">
        <f t="shared" si="255"/>
        <v>1</v>
      </c>
      <c r="CY276" s="47" t="s">
        <v>0</v>
      </c>
      <c r="CZ276" s="222" t="str">
        <f>IF(CV276&lt;&gt;"GREŠKA","",AK276&amp;" "&amp;AL276&amp;" – Molim u OEventu provjeriti i ispraviti rezultat – vrijeme ("&amp;IF(CT276="","nije upisano",CT276)&amp;") i classifier ("&amp;CU276&amp;").")&amp;IF(OR(CV276&lt;&gt;"GREŠKA",CX276&lt;&gt;5),"
","")&amp;IF(CX276&lt;&gt;5,"",AK276&amp;" "&amp;AL276&amp;" – Molim u provjeriti je li natjecatelj zaista diskvalificiran. Ako je koje je obrazloženje, ako nije molim u OEventu ispraviti rezultat")</f>
        <v xml:space="preserve">
</v>
      </c>
      <c r="DA276" s="223">
        <f t="shared" si="286"/>
        <v>6</v>
      </c>
      <c r="DB276" s="47" t="s">
        <v>0</v>
      </c>
      <c r="DC276" s="47"/>
      <c r="DD276" s="47"/>
      <c r="DE276" s="47"/>
      <c r="DF276" s="47" t="s">
        <v>0</v>
      </c>
      <c r="DG276" s="53" t="str">
        <f>IF(BD276="","",IF(DI276="O",1,""))</f>
        <v/>
      </c>
      <c r="DH276" t="s">
        <v>0</v>
      </c>
      <c r="DI276" s="128" t="str">
        <f>IF(Q276="","",LEFT(INDEX(regKategorija_oznaka,MATCH(S276,regKategorija_id,0)),1))</f>
        <v>Ž</v>
      </c>
      <c r="DJ276" t="s">
        <v>0</v>
      </c>
      <c r="DK276" s="52" t="str">
        <f>IF(BD276="","",IF(M276&lt;&gt;"CRO","","INSERT INTO osoba (id,reg_broj,oib,spol_id,dat_rodjenja) VALUES ("&amp;BD276&amp;",(SELECT max(os.reg_broj)+1 FROM osoba AS os),Null,'"&amp;DI276&amp;"',Null); INSERT INTO osoba_log (id,reg_broj,oib,spol_id,dat_rodjenja,dnevnik_id) SELECT id,reg_broj,oib,spol_id,dat_rodjenja,"&amp;data_dnevnik_id&amp;" FROM osoba WHERE id = "&amp;BD276&amp;";"))</f>
        <v/>
      </c>
      <c r="DL276" s="66" t="str">
        <f>IF(BD276="","","INSERT INTO imeprezime (id,osoba_id,rbr,ime,prezime,klub_id,identitet_id,sintaksa_id,info,aktivno,dnevnik_id) VALUES ("&amp;BD276&amp;","&amp;IF(DK276="","Null",BD276)&amp;",1,'"&amp;IF(AV276&lt;&gt;"",AV276,AK276)&amp;"','"&amp;IF(AW276&lt;&gt;"",AW276,AL276)&amp;"',(SELECT id FROM klub WHERE naziv = '"&amp;CR276&amp;"'),Null,1,'',1,"&amp;data_dnevnik_id&amp;");")</f>
        <v/>
      </c>
      <c r="DM276" t="s">
        <v>0</v>
      </c>
      <c r="DN276" s="19" t="str">
        <f t="shared" si="238"/>
        <v/>
      </c>
      <c r="DO276" s="47" t="s">
        <v>0</v>
      </c>
      <c r="DP276" s="19" t="str">
        <f>IF(BA276="","","INSERT INTO imeprezime_alias(id,alias,imeprezime_id) VALUES ("&amp;BB276&amp;",'"&amp;BA276&amp;"',"&amp;IF(BC276="NEMA",BD276,BC276)&amp;");")</f>
        <v/>
      </c>
      <c r="DQ276" s="47" t="s">
        <v>0</v>
      </c>
      <c r="DR276" s="52" t="str">
        <f>IF(AL276="","",DU276 &amp; IF(Q276="",""," – " &amp; Q276))</f>
        <v>Olga – Zaitseva – OK Vihor – Ž21B</v>
      </c>
      <c r="DS276" s="53">
        <f t="shared" si="256"/>
        <v>949</v>
      </c>
      <c r="DT276" s="47" t="s">
        <v>0</v>
      </c>
      <c r="DU276" s="52" t="str">
        <f>IF(AL276="","",DX276 &amp; IF(CR276="",""," – " &amp; CR276))</f>
        <v>Olga – Zaitseva – OK Vihor</v>
      </c>
      <c r="DV276" s="53">
        <f t="shared" si="257"/>
        <v>949</v>
      </c>
      <c r="DW276" s="47" t="s">
        <v>0</v>
      </c>
      <c r="DX276" s="52" t="str">
        <f>IF(BG276="","",BF276&amp;" – "&amp;BG276)</f>
        <v>Olga – Zaitseva</v>
      </c>
      <c r="DY276" s="53">
        <f t="shared" si="258"/>
        <v>949</v>
      </c>
      <c r="DZ276" s="47" t="s">
        <v>0</v>
      </c>
      <c r="EA276" s="58">
        <f t="shared" si="287"/>
        <v>949</v>
      </c>
      <c r="EB276" s="53" cm="1">
        <f t="array" ref="EB276">IF(EA276&lt;&gt;"",INDEX(regNatjecatelj_id,EA276,0),IF(BD276&lt;&gt;"",BD276,""))</f>
        <v>1912</v>
      </c>
      <c r="EC276" s="47" t="s">
        <v>0</v>
      </c>
      <c r="ED276" s="58" t="str">
        <f>IF(AL276="","",IF(BD276&lt;&gt;"","novo",IF(AN276="","imepre","imepre(ali)")))</f>
        <v>imepre</v>
      </c>
      <c r="EE276" s="73" t="str">
        <f>IF(AL276="","",IF(BL276="",IF(IFERROR(INDEX(regNatjecatelj_klub,MATCH(EB276,regNatjecatelj_id,0)),"NEMA")="","klu",""),IF(OR(AND(BN276&lt;&gt;"",BN276&lt;&gt;"NEMA"),CD276&lt;&gt;""),"klu(ali)",IF(AND(BP276&lt;&gt;"",BP276&lt;&gt;BO276),"(raz-klu)","klu"))))</f>
        <v>klu</v>
      </c>
      <c r="EF276" s="73" t="str">
        <f>IF(AL276="","","kat"&amp;IF(AND(W276&lt;&gt;Q276,Q276&lt;&gt;"Open"),"(ali)",""))</f>
        <v>kat</v>
      </c>
      <c r="EG276" s="73" t="str">
        <f t="shared" si="259"/>
        <v/>
      </c>
      <c r="EH276" s="66" t="str">
        <f>IF(AL276="","",ED276&amp;IF(ED276="novo","","-"&amp;EE276&amp;"-"&amp;EF276)&amp;IF(EG276="","","-"&amp;EG276))</f>
        <v>imepre-klu-kat</v>
      </c>
      <c r="EI276" s="47" t="s">
        <v>0</v>
      </c>
      <c r="EJ276" s="58">
        <f>IF(AL276="","",MAX(EJ$12:EJ275)+1)</f>
        <v>427</v>
      </c>
      <c r="EK276" s="73">
        <f>IF(AO276="","",X276)</f>
        <v>40</v>
      </c>
      <c r="EL276" s="73">
        <f t="shared" si="288"/>
        <v>1912</v>
      </c>
      <c r="EM276" s="73">
        <f t="shared" si="260"/>
        <v>7209</v>
      </c>
      <c r="EN276" s="73">
        <f t="shared" si="261"/>
        <v>1</v>
      </c>
      <c r="EO276" s="73">
        <f t="shared" si="289"/>
        <v>1</v>
      </c>
      <c r="EP276" s="73">
        <f t="shared" si="290"/>
        <v>1</v>
      </c>
      <c r="EQ276" s="73" t="str">
        <f t="shared" si="262"/>
        <v>0</v>
      </c>
      <c r="ER276" s="73" t="str">
        <f>IF(OR(AN276="",AN276="NEMA"),BB276,AN276)</f>
        <v/>
      </c>
      <c r="ES276" s="73" t="str">
        <f>IF(AND(BN276&lt;&gt;"",BN276&lt;&gt;"NEMA"),BN276,IF(CG276&lt;&gt;"",CG276,IF(AND(CL276&lt;&gt;"",CL276&lt;&gt;"NEMA"),CL276,IF(CM276&lt;&gt;"",CM276,""))))</f>
        <v/>
      </c>
      <c r="ET276" s="53" t="str">
        <f>IF(INDEX(natKategorija_alias_Id,MATCH(S276,natKategorija_katRegId,0))="","",INDEX(natKategorija_alias_Id,MATCH(S276,natKategorija_katRegId,0)))</f>
        <v/>
      </c>
      <c r="EU276" s="47" t="s">
        <v>0</v>
      </c>
      <c r="EV276" s="19" t="str">
        <f t="shared" si="291"/>
        <v>INSERT INTO rezultat(id,stazakategorija_id,imeprezime_id,vrijeme_sec,status_id,registracija,uparivanje_id,originalstatus_id,imeprezimealias_id,klubalias_id,kategorijaalias_id) VALUES (427,40,1912,7209,1,1,1,0,Null,Null,Null);</v>
      </c>
      <c r="EW276" s="47" t="s">
        <v>0</v>
      </c>
      <c r="EX276" s="19" t="str">
        <f t="shared" si="292"/>
        <v>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6" s="47" t="s">
        <v>0</v>
      </c>
      <c r="EZ276" s="180" t="str">
        <f>AG276&amp;IF(CP276="","","
")&amp;CP276&amp;IF(CI276="","","
")&amp;CI276&amp;IF(DN276="","","
")&amp;DN276&amp;IF(DP276="","","
")&amp;DP276&amp;IF(EV276="","","
")&amp;EV276&amp;IF(EX276="","","
")&amp;EX276</f>
        <v xml:space="preserve">
INSERT INTO rezultat(id,stazakategorija_id,imeprezime_id,vrijeme_sec,status_id,registracija,uparivanje_id,originalstatus_id,imeprezimealias_id,klubalias_id,kategorijaalias_id) VALUES (427,40,1912,7209,1,1,1,0,Null,Null,Null);
UPDATE
	registar
SET
	potvrda = 1
WHERE
	imeprezime_id=1912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6" s="47" t="s">
        <v>0</v>
      </c>
    </row>
    <row r="277" spans="1:157" x14ac:dyDescent="0.25">
      <c r="A277" t="s">
        <v>0</v>
      </c>
      <c r="B277" s="52" t="str">
        <f>IF(csv!F267="","",csv!T267)</f>
        <v>Ž21B</v>
      </c>
      <c r="C277" s="31" t="s">
        <v>0</v>
      </c>
      <c r="D277" s="31" t="str">
        <f>IF(csv!F267="","",csv!F267)</f>
        <v>Luana</v>
      </c>
      <c r="E277" s="31" t="str">
        <f>IF(csv!E267="","",csv!E267)</f>
        <v>Ivošević</v>
      </c>
      <c r="F277" s="31" t="s">
        <v>0</v>
      </c>
      <c r="G277" s="73" t="str">
        <f>IF(csv!M267="","",csv!M267)</f>
        <v/>
      </c>
      <c r="H277" s="73" t="str">
        <f>IF(csv!N267="","",csv!N267)</f>
        <v>2</v>
      </c>
      <c r="I277" s="31" t="s">
        <v>0</v>
      </c>
      <c r="J277" s="31" t="str">
        <f>IF(csv!P267="","",csv!P267)</f>
        <v>Vihor</v>
      </c>
      <c r="K277" s="31" t="str">
        <f>IF(csv!Q267="","",csv!Q267)</f>
        <v>OK Vihor</v>
      </c>
      <c r="L277" s="31" t="s">
        <v>0</v>
      </c>
      <c r="M277" s="66" t="str">
        <f>IF(csv!R267="","",csv!R267)</f>
        <v>CRO</v>
      </c>
      <c r="N277" s="47" t="s">
        <v>0</v>
      </c>
      <c r="O277" s="243" t="str">
        <f t="shared" si="263"/>
        <v>ok</v>
      </c>
      <c r="P277" s="47"/>
      <c r="Q277" s="52" t="str">
        <f t="shared" si="264"/>
        <v>Ž21B</v>
      </c>
      <c r="R277" s="73">
        <f>IF(Q277="","",IF(COUNTIF(Q$12:Q276,Q277)=0,R276+1,R276))</f>
        <v>18</v>
      </c>
      <c r="S277" s="73">
        <f t="shared" si="265"/>
        <v>118</v>
      </c>
      <c r="T277" s="73">
        <f t="shared" si="240"/>
        <v>27</v>
      </c>
      <c r="U277" s="66" t="str">
        <f t="shared" si="241"/>
        <v>Ž21B – Ž16</v>
      </c>
      <c r="V277" s="47" t="s">
        <v>0</v>
      </c>
      <c r="W277" s="222" t="str">
        <f t="shared" si="242"/>
        <v>Ž21B</v>
      </c>
      <c r="X277" s="223">
        <f t="shared" si="243"/>
        <v>40</v>
      </c>
      <c r="Y277" s="47" t="s">
        <v>0</v>
      </c>
      <c r="Z277" s="52" t="str">
        <f t="shared" si="266"/>
        <v>CRO</v>
      </c>
      <c r="AA277" s="73">
        <f t="shared" si="244"/>
        <v>1</v>
      </c>
      <c r="AB277" s="31" t="str">
        <f t="shared" si="267"/>
        <v/>
      </c>
      <c r="AC277" s="66" t="str">
        <f>IF(AB277="","",MAX(AC$12:AC276)+1)</f>
        <v/>
      </c>
      <c r="AD277" s="47" t="s">
        <v>0</v>
      </c>
      <c r="AE277" s="125"/>
      <c r="AF277" s="47" t="s">
        <v>0</v>
      </c>
      <c r="AG277" s="19" t="str">
        <f t="shared" si="268"/>
        <v/>
      </c>
      <c r="AH277" s="47" t="s">
        <v>0</v>
      </c>
      <c r="AI277" s="143" t="str">
        <f t="shared" si="269"/>
        <v>CRO</v>
      </c>
      <c r="AJ277" s="47"/>
      <c r="AK277" s="52" t="str">
        <f t="shared" si="270"/>
        <v>Luana</v>
      </c>
      <c r="AL277" s="31" t="str">
        <f t="shared" si="271"/>
        <v>Ivošević</v>
      </c>
      <c r="AM277" s="73">
        <f t="shared" si="272"/>
        <v>1888</v>
      </c>
      <c r="AN277" s="73" t="str">
        <f t="shared" si="273"/>
        <v/>
      </c>
      <c r="AO277" s="31" t="str">
        <f t="shared" si="245"/>
        <v>Luana</v>
      </c>
      <c r="AP277" s="66" t="str">
        <f t="shared" si="246"/>
        <v>Ivošević</v>
      </c>
      <c r="AQ277" s="47" t="s">
        <v>0</v>
      </c>
      <c r="AR277" s="82" t="str">
        <f t="shared" si="274"/>
        <v/>
      </c>
      <c r="AS277" s="47" t="s">
        <v>0</v>
      </c>
      <c r="AT277" s="19" t="str">
        <f t="shared" si="275"/>
        <v/>
      </c>
      <c r="AU277" s="47" t="s">
        <v>0</v>
      </c>
      <c r="AV277" s="103"/>
      <c r="AW277" s="105"/>
      <c r="AX277" s="47" t="s">
        <v>0</v>
      </c>
      <c r="AY277" s="256" t="str">
        <f t="shared" ref="AY277:AY340" si="293">IF(AND(AV277="",AW277&lt;&gt;""),"FALI IME",IF(AND(AV277&lt;&gt;"",AW277=""),"FALI PREZIME",IF(OR(AM277="",AND(AM277="NEMA",AN277="NEMA"),AV277&amp;AW277=""),"","GREŠKA")))</f>
        <v/>
      </c>
      <c r="AZ277" s="47" t="s">
        <v>0</v>
      </c>
      <c r="BA277" s="52" t="str">
        <f t="shared" si="247"/>
        <v/>
      </c>
      <c r="BB277" s="73" t="str">
        <f>IF(AV277&amp;AW277="","",MAX(BB$12:BB276)+1)</f>
        <v/>
      </c>
      <c r="BC277" s="268" t="str">
        <f t="shared" si="248"/>
        <v/>
      </c>
      <c r="BD277" s="53" t="str">
        <f>IF(AND(AM277="NEMA",AN277="NEMA",OR(AV277&amp;AW277="",BC277="NEMA")),MAX(BD$12:BD276)+1,"")</f>
        <v/>
      </c>
      <c r="BE277" s="47" t="s">
        <v>0</v>
      </c>
      <c r="BF277" s="52" t="str">
        <f t="shared" si="249"/>
        <v>Luana</v>
      </c>
      <c r="BG277" s="31" t="str">
        <f t="shared" si="250"/>
        <v>Ivošević</v>
      </c>
      <c r="BH277" s="73" t="str">
        <f t="shared" si="276"/>
        <v/>
      </c>
      <c r="BI277" s="53">
        <f t="shared" si="277"/>
        <v>1888</v>
      </c>
      <c r="BJ277" s="47" t="s">
        <v>0</v>
      </c>
      <c r="BK277" s="52" t="str">
        <f t="shared" si="251"/>
        <v>Vihor</v>
      </c>
      <c r="BL277" s="31" t="str">
        <f t="shared" si="252"/>
        <v>OK Vihor</v>
      </c>
      <c r="BM277" s="73">
        <f t="shared" si="253"/>
        <v>12</v>
      </c>
      <c r="BN277" s="73" t="str">
        <f t="shared" si="254"/>
        <v/>
      </c>
      <c r="BO277" s="31" t="str" cm="1">
        <f t="array" ref="BO277">IF(BN277="",""&amp;BL277,IF(BN277="NEMA",BL277,INDEX(regKlub_naziv,MATCH(INDEX(regKlub_alias_klubId,BN277),regKlub_id,0))))</f>
        <v>OK Vihor</v>
      </c>
      <c r="BP277" s="31" t="str" cm="1">
        <f t="array" ref="BP277">IFERROR(""&amp;INDEX(regNatjecatelj_klub,DY277),"")</f>
        <v>OK Vihor</v>
      </c>
      <c r="BQ277" s="88" t="str">
        <f t="shared" si="278"/>
        <v/>
      </c>
      <c r="BR277" s="66" t="str">
        <f t="shared" si="279"/>
        <v>OK Vihor</v>
      </c>
      <c r="BS277" s="47" t="s">
        <v>0</v>
      </c>
      <c r="BT277" s="82" t="str">
        <f>IF(BN277&lt;&gt;"NEMA","",IF(IFERROR(MATCH(BL277,BL$12:BL276,0),0)&lt;&gt;0,"",BL277))</f>
        <v/>
      </c>
      <c r="BU277" s="47" t="s">
        <v>0</v>
      </c>
      <c r="BV277" s="125"/>
      <c r="BW277" s="47" t="s">
        <v>0</v>
      </c>
      <c r="BX277" s="58" t="str">
        <f t="shared" si="280"/>
        <v/>
      </c>
      <c r="BY277" s="31" t="str">
        <f t="shared" si="281"/>
        <v/>
      </c>
      <c r="BZ277" s="31" t="str">
        <f>IF(BY277="","",MAX(BZ$12:BZ276)+1)</f>
        <v/>
      </c>
      <c r="CA277" s="31" t="str">
        <f>IF(BY277="","",IF(AA277="","",IF(AA277="NEMA",AC277,AA277)))</f>
        <v/>
      </c>
      <c r="CB277" s="31" t="str">
        <f t="shared" si="282"/>
        <v/>
      </c>
      <c r="CC277" s="31" t="str">
        <f>IF(BV277="","",MAX(CC$12:CC276)+1)</f>
        <v/>
      </c>
      <c r="CD277" s="31" t="str">
        <f t="shared" si="283"/>
        <v/>
      </c>
      <c r="CE277" s="66" t="str">
        <f t="shared" si="284"/>
        <v/>
      </c>
      <c r="CF277" s="47" t="s">
        <v>0</v>
      </c>
      <c r="CG277" s="73" t="str">
        <f>IF(BN277="","",IF(BN277&lt;&gt;"NEMA","",IFERROR(INDEX(nat_klubAliasId,MATCH(BL277,nat_noviKluboviAliasi,0)),"")))</f>
        <v/>
      </c>
      <c r="CH277" s="47"/>
      <c r="CI277" s="19" t="str">
        <f t="shared" si="285"/>
        <v/>
      </c>
      <c r="CJ277" s="47" t="s">
        <v>0</v>
      </c>
      <c r="CK277" s="52" t="str">
        <f>IF(X277&lt;&gt;"NEMA","",IF(IFERROR(MATCH(W277,W$12:W276,0),0)&lt;&gt;0,"",W277))</f>
        <v/>
      </c>
      <c r="CL277" s="73" t="str">
        <f>IF(CK277="","",IFERROR(INDEX(regKlub_alias_id,MATCH(CK277,regKlub_alias_alias,0)),"NEMA"))</f>
        <v/>
      </c>
      <c r="CM277" s="31" t="str">
        <f>IF(OR(CL277="",CL277&lt;&gt;"NEMA"),"",MAX(CM$12:CM276)+1)</f>
        <v/>
      </c>
      <c r="CN277" s="66" t="str">
        <f>IF(OR(CL277="",CL277&lt;&gt;"NEMA"),"",INDEX(regKlub_id,MATCH(CK277,regKlub_naziv,0)))</f>
        <v/>
      </c>
      <c r="CO277" s="47" t="s">
        <v>0</v>
      </c>
      <c r="CP277" s="19" t="str">
        <f>IF(OR(CL277="",CL277&lt;&gt;"NEMA"),"","INSERT INTO klub_alias(id,alias,klub_id) VALUES ("&amp;CM277&amp;",'"&amp;CK277&amp;"',"&amp;CN277&amp;");")</f>
        <v/>
      </c>
      <c r="CQ277" s="47" t="s">
        <v>0</v>
      </c>
      <c r="CR277" s="143" t="str">
        <f>IF(BR277="","",IF(BV277="",IF(IFERROR(MATCH(BR277,nat_noviKluboviAliasi,0),0)&gt;0,INDEX(nat_kluboviAliasi,MATCH(BR277,nat_noviKluboviAliasi,0)),BR277),BV277))</f>
        <v>OK Vihor</v>
      </c>
      <c r="CS277" s="47" t="s">
        <v>0</v>
      </c>
      <c r="CT277" s="58" t="str">
        <f>IF(G277="","",G277)</f>
        <v/>
      </c>
      <c r="CU277" s="73" t="str">
        <f>IF(H277="","",H277)</f>
        <v>2</v>
      </c>
      <c r="CV277" s="229" t="str">
        <f>IF(CT277="",IF(OR(AL277="",CU277&lt;&gt;"0"),"","GREŠKA"),IF(AND(65535&gt;=VALUE(LEFT(CT277,SEARCH(":",CT277)-1))*60+VALUE(RIGHT(CT277,2)),OR(CU277="0",CU277="1",CU277="2",CU277="3",CU277="4")),"","GREŠKA"))</f>
        <v/>
      </c>
      <c r="CW277" s="230" t="str">
        <f t="shared" si="239"/>
        <v/>
      </c>
      <c r="CX277" s="163">
        <f t="shared" si="255"/>
        <v>4</v>
      </c>
      <c r="CY277" s="47" t="s">
        <v>0</v>
      </c>
      <c r="CZ277" s="222" t="str">
        <f>IF(CV277&lt;&gt;"GREŠKA","",AK277&amp;" "&amp;AL277&amp;" – Molim u OEventu provjeriti i ispraviti rezultat – vrijeme ("&amp;IF(CT277="","nije upisano",CT277)&amp;") i classifier ("&amp;CU277&amp;").")&amp;IF(OR(CV277&lt;&gt;"GREŠKA",CX277&lt;&gt;5),"
","")&amp;IF(CX277&lt;&gt;5,"",AK277&amp;" "&amp;AL277&amp;" – Molim u provjeriti je li natjecatelj zaista diskvalificiran. Ako je koje je obrazloženje, ako nije molim u OEventu ispraviti rezultat")</f>
        <v xml:space="preserve">
</v>
      </c>
      <c r="DA277" s="223">
        <f t="shared" si="286"/>
        <v>5</v>
      </c>
      <c r="DB277" s="47" t="s">
        <v>0</v>
      </c>
      <c r="DC277" s="47"/>
      <c r="DD277" s="47"/>
      <c r="DE277" s="47"/>
      <c r="DF277" s="47" t="s">
        <v>0</v>
      </c>
      <c r="DG277" s="53" t="str">
        <f>IF(BD277="","",IF(DI277="O",1,""))</f>
        <v/>
      </c>
      <c r="DH277" t="s">
        <v>0</v>
      </c>
      <c r="DI277" s="128" t="str">
        <f>IF(Q277="","",LEFT(INDEX(regKategorija_oznaka,MATCH(S277,regKategorija_id,0)),1))</f>
        <v>Ž</v>
      </c>
      <c r="DJ277" t="s">
        <v>0</v>
      </c>
      <c r="DK277" s="52" t="str">
        <f>IF(BD277="","",IF(M277&lt;&gt;"CRO","","INSERT INTO osoba (id,reg_broj,oib,spol_id,dat_rodjenja) VALUES ("&amp;BD277&amp;",(SELECT max(os.reg_broj)+1 FROM osoba AS os),Null,'"&amp;DI277&amp;"',Null); INSERT INTO osoba_log (id,reg_broj,oib,spol_id,dat_rodjenja,dnevnik_id) SELECT id,reg_broj,oib,spol_id,dat_rodjenja,"&amp;data_dnevnik_id&amp;" FROM osoba WHERE id = "&amp;BD277&amp;";"))</f>
        <v/>
      </c>
      <c r="DL277" s="66" t="str">
        <f>IF(BD277="","","INSERT INTO imeprezime (id,osoba_id,rbr,ime,prezime,klub_id,identitet_id,sintaksa_id,info,aktivno,dnevnik_id) VALUES ("&amp;BD277&amp;","&amp;IF(DK277="","Null",BD277)&amp;",1,'"&amp;IF(AV277&lt;&gt;"",AV277,AK277)&amp;"','"&amp;IF(AW277&lt;&gt;"",AW277,AL277)&amp;"',(SELECT id FROM klub WHERE naziv = '"&amp;CR277&amp;"'),Null,1,'',1,"&amp;data_dnevnik_id&amp;");")</f>
        <v/>
      </c>
      <c r="DM277" t="s">
        <v>0</v>
      </c>
      <c r="DN277" s="19" t="str">
        <f t="shared" ref="DN277:DN340" si="294">IF(DK277="",DL277,DK277&amp;" "&amp;DL277)</f>
        <v/>
      </c>
      <c r="DO277" s="47" t="s">
        <v>0</v>
      </c>
      <c r="DP277" s="19" t="str">
        <f>IF(BA277="","","INSERT INTO imeprezime_alias(id,alias,imeprezime_id) VALUES ("&amp;BB277&amp;",'"&amp;BA277&amp;"',"&amp;IF(BC277="NEMA",BD277,BC277)&amp;");")</f>
        <v/>
      </c>
      <c r="DQ277" s="47" t="s">
        <v>0</v>
      </c>
      <c r="DR277" s="52" t="str">
        <f>IF(AL277="","",DU277 &amp; IF(Q277="",""," – " &amp; Q277))</f>
        <v>Luana – Ivošević – OK Vihor – Ž21B</v>
      </c>
      <c r="DS277" s="53">
        <f t="shared" si="256"/>
        <v>708</v>
      </c>
      <c r="DT277" s="47" t="s">
        <v>0</v>
      </c>
      <c r="DU277" s="52" t="str">
        <f>IF(AL277="","",DX277 &amp; IF(CR277="",""," – " &amp; CR277))</f>
        <v>Luana – Ivošević – OK Vihor</v>
      </c>
      <c r="DV277" s="53">
        <f t="shared" si="257"/>
        <v>708</v>
      </c>
      <c r="DW277" s="47" t="s">
        <v>0</v>
      </c>
      <c r="DX277" s="52" t="str">
        <f>IF(BG277="","",BF277&amp;" – "&amp;BG277)</f>
        <v>Luana – Ivošević</v>
      </c>
      <c r="DY277" s="53">
        <f t="shared" si="258"/>
        <v>708</v>
      </c>
      <c r="DZ277" s="47" t="s">
        <v>0</v>
      </c>
      <c r="EA277" s="58">
        <f t="shared" si="287"/>
        <v>708</v>
      </c>
      <c r="EB277" s="53" cm="1">
        <f t="array" ref="EB277">IF(EA277&lt;&gt;"",INDEX(regNatjecatelj_id,EA277,0),IF(BD277&lt;&gt;"",BD277,""))</f>
        <v>1888</v>
      </c>
      <c r="EC277" s="47" t="s">
        <v>0</v>
      </c>
      <c r="ED277" s="58" t="str">
        <f>IF(AL277="","",IF(BD277&lt;&gt;"","novo",IF(AN277="","imepre","imepre(ali)")))</f>
        <v>imepre</v>
      </c>
      <c r="EE277" s="73" t="str">
        <f>IF(AL277="","",IF(BL277="",IF(IFERROR(INDEX(regNatjecatelj_klub,MATCH(EB277,regNatjecatelj_id,0)),"NEMA")="","klu",""),IF(OR(AND(BN277&lt;&gt;"",BN277&lt;&gt;"NEMA"),CD277&lt;&gt;""),"klu(ali)",IF(AND(BP277&lt;&gt;"",BP277&lt;&gt;BO277),"(raz-klu)","klu"))))</f>
        <v>klu</v>
      </c>
      <c r="EF277" s="73" t="str">
        <f>IF(AL277="","","kat"&amp;IF(AND(W277&lt;&gt;Q277,Q277&lt;&gt;"Open"),"(ali)",""))</f>
        <v>kat</v>
      </c>
      <c r="EG277" s="73" t="str">
        <f t="shared" si="259"/>
        <v/>
      </c>
      <c r="EH277" s="66" t="str">
        <f>IF(AL277="","",ED277&amp;IF(ED277="novo","","-"&amp;EE277&amp;"-"&amp;EF277)&amp;IF(EG277="","","-"&amp;EG277))</f>
        <v>imepre-klu-kat</v>
      </c>
      <c r="EI277" s="47" t="s">
        <v>0</v>
      </c>
      <c r="EJ277" s="58">
        <f>IF(AL277="","",MAX(EJ$12:EJ276)+1)</f>
        <v>428</v>
      </c>
      <c r="EK277" s="73">
        <f>IF(AO277="","",X277)</f>
        <v>40</v>
      </c>
      <c r="EL277" s="73">
        <f t="shared" si="288"/>
        <v>1888</v>
      </c>
      <c r="EM277" s="73" t="str">
        <f t="shared" si="260"/>
        <v/>
      </c>
      <c r="EN277" s="73">
        <f t="shared" si="261"/>
        <v>4</v>
      </c>
      <c r="EO277" s="73">
        <f t="shared" si="289"/>
        <v>1</v>
      </c>
      <c r="EP277" s="73">
        <f t="shared" si="290"/>
        <v>1</v>
      </c>
      <c r="EQ277" s="73" t="str">
        <f t="shared" si="262"/>
        <v>2</v>
      </c>
      <c r="ER277" s="73" t="str">
        <f>IF(OR(AN277="",AN277="NEMA"),BB277,AN277)</f>
        <v/>
      </c>
      <c r="ES277" s="73" t="str">
        <f>IF(AND(BN277&lt;&gt;"",BN277&lt;&gt;"NEMA"),BN277,IF(CG277&lt;&gt;"",CG277,IF(AND(CL277&lt;&gt;"",CL277&lt;&gt;"NEMA"),CL277,IF(CM277&lt;&gt;"",CM277,""))))</f>
        <v/>
      </c>
      <c r="ET277" s="53" t="str">
        <f>IF(INDEX(natKategorija_alias_Id,MATCH(S277,natKategorija_katRegId,0))="","",INDEX(natKategorija_alias_Id,MATCH(S277,natKategorija_katRegId,0)))</f>
        <v/>
      </c>
      <c r="EU277" s="47" t="s">
        <v>0</v>
      </c>
      <c r="EV277" s="19" t="str">
        <f t="shared" si="291"/>
        <v>INSERT INTO rezultat(id,stazakategorija_id,imeprezime_id,vrijeme_sec,status_id,registracija,uparivanje_id,originalstatus_id,imeprezimealias_id,klubalias_id,kategorijaalias_id) VALUES (428,40,1888,Null,4,1,1,2,Null,Null,Null);</v>
      </c>
      <c r="EW277" s="47" t="s">
        <v>0</v>
      </c>
      <c r="EX277" s="19" t="str">
        <f t="shared" si="292"/>
        <v>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7" s="47" t="s">
        <v>0</v>
      </c>
      <c r="EZ277" s="180" t="str">
        <f>AG277&amp;IF(CP277="","","
")&amp;CP277&amp;IF(CI277="","","
")&amp;CI277&amp;IF(DN277="","","
")&amp;DN277&amp;IF(DP277="","","
")&amp;DP277&amp;IF(EV277="","","
")&amp;EV277&amp;IF(EX277="","","
")&amp;EX277</f>
        <v xml:space="preserve">
INSERT INTO rezultat(id,stazakategorija_id,imeprezime_id,vrijeme_sec,status_id,registracija,uparivanje_id,originalstatus_id,imeprezimealias_id,klubalias_id,kategorijaalias_id) VALUES (428,40,1888,Null,4,1,1,2,Null,Null,Null);
UPDATE
	registar
SET
	potvrda = 1
WHERE
	imeprezime_id=1888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7" s="47" t="s">
        <v>0</v>
      </c>
    </row>
    <row r="278" spans="1:157" x14ac:dyDescent="0.25">
      <c r="A278" t="s">
        <v>0</v>
      </c>
      <c r="B278" s="52" t="str">
        <f>IF(csv!F268="","",csv!T268)</f>
        <v>Ž21B</v>
      </c>
      <c r="C278" s="31" t="s">
        <v>0</v>
      </c>
      <c r="D278" s="31" t="str">
        <f>IF(csv!F268="","",csv!F268)</f>
        <v>Aleksandra</v>
      </c>
      <c r="E278" s="31" t="str">
        <f>IF(csv!E268="","",csv!E268)</f>
        <v>Miličević</v>
      </c>
      <c r="F278" s="31" t="s">
        <v>0</v>
      </c>
      <c r="G278" s="73" t="str">
        <f>IF(csv!M268="","",csv!M268)</f>
        <v/>
      </c>
      <c r="H278" s="73" t="str">
        <f>IF(csv!N268="","",csv!N268)</f>
        <v>2</v>
      </c>
      <c r="I278" s="31" t="s">
        <v>0</v>
      </c>
      <c r="J278" s="31" t="str">
        <f>IF(csv!P268="","",csv!P268)</f>
        <v>Vihor</v>
      </c>
      <c r="K278" s="31" t="str">
        <f>IF(csv!Q268="","",csv!Q268)</f>
        <v>OK Vihor</v>
      </c>
      <c r="L278" s="31" t="s">
        <v>0</v>
      </c>
      <c r="M278" s="66" t="str">
        <f>IF(csv!R268="","",csv!R268)</f>
        <v>CRO</v>
      </c>
      <c r="N278" s="47" t="s">
        <v>0</v>
      </c>
      <c r="O278" s="243" t="str">
        <f t="shared" si="263"/>
        <v>ok</v>
      </c>
      <c r="P278" s="47"/>
      <c r="Q278" s="52" t="str">
        <f t="shared" si="264"/>
        <v>Ž21B</v>
      </c>
      <c r="R278" s="73">
        <f>IF(Q278="","",IF(COUNTIF(Q$12:Q277,Q278)=0,R277+1,R277))</f>
        <v>18</v>
      </c>
      <c r="S278" s="73">
        <f t="shared" si="265"/>
        <v>118</v>
      </c>
      <c r="T278" s="73">
        <f t="shared" si="240"/>
        <v>27</v>
      </c>
      <c r="U278" s="66" t="str">
        <f t="shared" si="241"/>
        <v>Ž21B – Ž16</v>
      </c>
      <c r="V278" s="47" t="s">
        <v>0</v>
      </c>
      <c r="W278" s="222" t="str">
        <f t="shared" si="242"/>
        <v>Ž21B</v>
      </c>
      <c r="X278" s="223">
        <f t="shared" si="243"/>
        <v>40</v>
      </c>
      <c r="Y278" s="47" t="s">
        <v>0</v>
      </c>
      <c r="Z278" s="52" t="str">
        <f t="shared" si="266"/>
        <v>CRO</v>
      </c>
      <c r="AA278" s="73">
        <f t="shared" si="244"/>
        <v>1</v>
      </c>
      <c r="AB278" s="31" t="str">
        <f t="shared" si="267"/>
        <v/>
      </c>
      <c r="AC278" s="66" t="str">
        <f>IF(AB278="","",MAX(AC$12:AC277)+1)</f>
        <v/>
      </c>
      <c r="AD278" s="47" t="s">
        <v>0</v>
      </c>
      <c r="AE278" s="125"/>
      <c r="AF278" s="47" t="s">
        <v>0</v>
      </c>
      <c r="AG278" s="19" t="str">
        <f t="shared" si="268"/>
        <v/>
      </c>
      <c r="AH278" s="47" t="s">
        <v>0</v>
      </c>
      <c r="AI278" s="143" t="str">
        <f t="shared" si="269"/>
        <v>CRO</v>
      </c>
      <c r="AJ278" s="47"/>
      <c r="AK278" s="52" t="str">
        <f t="shared" si="270"/>
        <v>Aleksandra</v>
      </c>
      <c r="AL278" s="31" t="str">
        <f t="shared" si="271"/>
        <v>Miličević</v>
      </c>
      <c r="AM278" s="73">
        <f t="shared" si="272"/>
        <v>1460</v>
      </c>
      <c r="AN278" s="73" t="str">
        <f t="shared" si="273"/>
        <v/>
      </c>
      <c r="AO278" s="31" t="str">
        <f t="shared" si="245"/>
        <v>Aleksandra</v>
      </c>
      <c r="AP278" s="66" t="str">
        <f t="shared" si="246"/>
        <v>Miličević</v>
      </c>
      <c r="AQ278" s="47" t="s">
        <v>0</v>
      </c>
      <c r="AR278" s="82" t="str">
        <f t="shared" si="274"/>
        <v/>
      </c>
      <c r="AS278" s="47" t="s">
        <v>0</v>
      </c>
      <c r="AT278" s="19" t="str">
        <f t="shared" si="275"/>
        <v/>
      </c>
      <c r="AU278" s="47" t="s">
        <v>0</v>
      </c>
      <c r="AV278" s="103"/>
      <c r="AW278" s="105"/>
      <c r="AX278" s="47" t="s">
        <v>0</v>
      </c>
      <c r="AY278" s="256" t="str">
        <f t="shared" si="293"/>
        <v/>
      </c>
      <c r="AZ278" s="47" t="s">
        <v>0</v>
      </c>
      <c r="BA278" s="52" t="str">
        <f t="shared" si="247"/>
        <v/>
      </c>
      <c r="BB278" s="73" t="str">
        <f>IF(AV278&amp;AW278="","",MAX(BB$12:BB277)+1)</f>
        <v/>
      </c>
      <c r="BC278" s="268" t="str">
        <f t="shared" si="248"/>
        <v/>
      </c>
      <c r="BD278" s="53" t="str">
        <f>IF(AND(AM278="NEMA",AN278="NEMA",OR(AV278&amp;AW278="",BC278="NEMA")),MAX(BD$12:BD277)+1,"")</f>
        <v/>
      </c>
      <c r="BE278" s="47" t="s">
        <v>0</v>
      </c>
      <c r="BF278" s="52" t="str">
        <f t="shared" si="249"/>
        <v>Aleksandra</v>
      </c>
      <c r="BG278" s="31" t="str">
        <f t="shared" si="250"/>
        <v>Miličević</v>
      </c>
      <c r="BH278" s="73" t="str">
        <f t="shared" si="276"/>
        <v/>
      </c>
      <c r="BI278" s="53">
        <f t="shared" si="277"/>
        <v>1460</v>
      </c>
      <c r="BJ278" s="47" t="s">
        <v>0</v>
      </c>
      <c r="BK278" s="52" t="str">
        <f t="shared" si="251"/>
        <v>Vihor</v>
      </c>
      <c r="BL278" s="31" t="str">
        <f t="shared" si="252"/>
        <v>OK Vihor</v>
      </c>
      <c r="BM278" s="73">
        <f t="shared" si="253"/>
        <v>12</v>
      </c>
      <c r="BN278" s="73" t="str">
        <f t="shared" si="254"/>
        <v/>
      </c>
      <c r="BO278" s="31" t="str" cm="1">
        <f t="array" ref="BO278">IF(BN278="",""&amp;BL278,IF(BN278="NEMA",BL278,INDEX(regKlub_naziv,MATCH(INDEX(regKlub_alias_klubId,BN278),regKlub_id,0))))</f>
        <v>OK Vihor</v>
      </c>
      <c r="BP278" s="31" t="str" cm="1">
        <f t="array" ref="BP278">IFERROR(""&amp;INDEX(regNatjecatelj_klub,DY278),"")</f>
        <v>OK Vihor</v>
      </c>
      <c r="BQ278" s="88" t="str">
        <f t="shared" si="278"/>
        <v/>
      </c>
      <c r="BR278" s="66" t="str">
        <f t="shared" si="279"/>
        <v>OK Vihor</v>
      </c>
      <c r="BS278" s="47" t="s">
        <v>0</v>
      </c>
      <c r="BT278" s="82" t="str">
        <f>IF(BN278&lt;&gt;"NEMA","",IF(IFERROR(MATCH(BL278,BL$12:BL277,0),0)&lt;&gt;0,"",BL278))</f>
        <v/>
      </c>
      <c r="BU278" s="47" t="s">
        <v>0</v>
      </c>
      <c r="BV278" s="125"/>
      <c r="BW278" s="47" t="s">
        <v>0</v>
      </c>
      <c r="BX278" s="58" t="str">
        <f t="shared" si="280"/>
        <v/>
      </c>
      <c r="BY278" s="31" t="str">
        <f t="shared" si="281"/>
        <v/>
      </c>
      <c r="BZ278" s="31" t="str">
        <f>IF(BY278="","",MAX(BZ$12:BZ277)+1)</f>
        <v/>
      </c>
      <c r="CA278" s="31" t="str">
        <f>IF(BY278="","",IF(AA278="","",IF(AA278="NEMA",AC278,AA278)))</f>
        <v/>
      </c>
      <c r="CB278" s="31" t="str">
        <f t="shared" si="282"/>
        <v/>
      </c>
      <c r="CC278" s="31" t="str">
        <f>IF(BV278="","",MAX(CC$12:CC277)+1)</f>
        <v/>
      </c>
      <c r="CD278" s="31" t="str">
        <f t="shared" si="283"/>
        <v/>
      </c>
      <c r="CE278" s="66" t="str">
        <f t="shared" si="284"/>
        <v/>
      </c>
      <c r="CF278" s="47" t="s">
        <v>0</v>
      </c>
      <c r="CG278" s="73" t="str">
        <f>IF(BN278="","",IF(BN278&lt;&gt;"NEMA","",IFERROR(INDEX(nat_klubAliasId,MATCH(BL278,nat_noviKluboviAliasi,0)),"")))</f>
        <v/>
      </c>
      <c r="CH278" s="47"/>
      <c r="CI278" s="19" t="str">
        <f t="shared" si="285"/>
        <v/>
      </c>
      <c r="CJ278" s="47" t="s">
        <v>0</v>
      </c>
      <c r="CK278" s="52" t="str">
        <f>IF(X278&lt;&gt;"NEMA","",IF(IFERROR(MATCH(W278,W$12:W277,0),0)&lt;&gt;0,"",W278))</f>
        <v/>
      </c>
      <c r="CL278" s="73" t="str">
        <f>IF(CK278="","",IFERROR(INDEX(regKlub_alias_id,MATCH(CK278,regKlub_alias_alias,0)),"NEMA"))</f>
        <v/>
      </c>
      <c r="CM278" s="31" t="str">
        <f>IF(OR(CL278="",CL278&lt;&gt;"NEMA"),"",MAX(CM$12:CM277)+1)</f>
        <v/>
      </c>
      <c r="CN278" s="66" t="str">
        <f>IF(OR(CL278="",CL278&lt;&gt;"NEMA"),"",INDEX(regKlub_id,MATCH(CK278,regKlub_naziv,0)))</f>
        <v/>
      </c>
      <c r="CO278" s="47" t="s">
        <v>0</v>
      </c>
      <c r="CP278" s="19" t="str">
        <f>IF(OR(CL278="",CL278&lt;&gt;"NEMA"),"","INSERT INTO klub_alias(id,alias,klub_id) VALUES ("&amp;CM278&amp;",'"&amp;CK278&amp;"',"&amp;CN278&amp;");")</f>
        <v/>
      </c>
      <c r="CQ278" s="47" t="s">
        <v>0</v>
      </c>
      <c r="CR278" s="143" t="str">
        <f>IF(BR278="","",IF(BV278="",IF(IFERROR(MATCH(BR278,nat_noviKluboviAliasi,0),0)&gt;0,INDEX(nat_kluboviAliasi,MATCH(BR278,nat_noviKluboviAliasi,0)),BR278),BV278))</f>
        <v>OK Vihor</v>
      </c>
      <c r="CS278" s="47" t="s">
        <v>0</v>
      </c>
      <c r="CT278" s="58" t="str">
        <f>IF(G278="","",G278)</f>
        <v/>
      </c>
      <c r="CU278" s="73" t="str">
        <f>IF(H278="","",H278)</f>
        <v>2</v>
      </c>
      <c r="CV278" s="229" t="str">
        <f>IF(CT278="",IF(OR(AL278="",CU278&lt;&gt;"0"),"","GREŠKA"),IF(AND(65535&gt;=VALUE(LEFT(CT278,SEARCH(":",CT278)-1))*60+VALUE(RIGHT(CT278,2)),OR(CU278="0",CU278="1",CU278="2",CU278="3",CU278="4")),"","GREŠKA"))</f>
        <v/>
      </c>
      <c r="CW278" s="230" t="str">
        <f t="shared" si="239"/>
        <v/>
      </c>
      <c r="CX278" s="163">
        <f t="shared" si="255"/>
        <v>4</v>
      </c>
      <c r="CY278" s="47" t="s">
        <v>0</v>
      </c>
      <c r="CZ278" s="222" t="str">
        <f>IF(CV278&lt;&gt;"GREŠKA","",AK278&amp;" "&amp;AL278&amp;" – Molim u OEventu provjeriti i ispraviti rezultat – vrijeme ("&amp;IF(CT278="","nije upisano",CT278)&amp;") i classifier ("&amp;CU278&amp;").")&amp;IF(OR(CV278&lt;&gt;"GREŠKA",CX278&lt;&gt;5),"
","")&amp;IF(CX278&lt;&gt;5,"",AK278&amp;" "&amp;AL278&amp;" – Molim u provjeriti je li natjecatelj zaista diskvalificiran. Ako je koje je obrazloženje, ako nije molim u OEventu ispraviti rezultat")</f>
        <v xml:space="preserve">
</v>
      </c>
      <c r="DA278" s="223">
        <f t="shared" si="286"/>
        <v>5</v>
      </c>
      <c r="DB278" s="47" t="s">
        <v>0</v>
      </c>
      <c r="DC278" s="47"/>
      <c r="DD278" s="47"/>
      <c r="DE278" s="47"/>
      <c r="DF278" s="47" t="s">
        <v>0</v>
      </c>
      <c r="DG278" s="53" t="str">
        <f>IF(BD278="","",IF(DI278="O",1,""))</f>
        <v/>
      </c>
      <c r="DH278" t="s">
        <v>0</v>
      </c>
      <c r="DI278" s="128" t="str">
        <f>IF(Q278="","",LEFT(INDEX(regKategorija_oznaka,MATCH(S278,regKategorija_id,0)),1))</f>
        <v>Ž</v>
      </c>
      <c r="DJ278" t="s">
        <v>0</v>
      </c>
      <c r="DK278" s="52" t="str">
        <f>IF(BD278="","",IF(M278&lt;&gt;"CRO","","INSERT INTO osoba (id,reg_broj,oib,spol_id,dat_rodjenja) VALUES ("&amp;BD278&amp;",(SELECT max(os.reg_broj)+1 FROM osoba AS os),Null,'"&amp;DI278&amp;"',Null); INSERT INTO osoba_log (id,reg_broj,oib,spol_id,dat_rodjenja,dnevnik_id) SELECT id,reg_broj,oib,spol_id,dat_rodjenja,"&amp;data_dnevnik_id&amp;" FROM osoba WHERE id = "&amp;BD278&amp;";"))</f>
        <v/>
      </c>
      <c r="DL278" s="66" t="str">
        <f>IF(BD278="","","INSERT INTO imeprezime (id,osoba_id,rbr,ime,prezime,klub_id,identitet_id,sintaksa_id,info,aktivno,dnevnik_id) VALUES ("&amp;BD278&amp;","&amp;IF(DK278="","Null",BD278)&amp;",1,'"&amp;IF(AV278&lt;&gt;"",AV278,AK278)&amp;"','"&amp;IF(AW278&lt;&gt;"",AW278,AL278)&amp;"',(SELECT id FROM klub WHERE naziv = '"&amp;CR278&amp;"'),Null,1,'',1,"&amp;data_dnevnik_id&amp;");")</f>
        <v/>
      </c>
      <c r="DM278" t="s">
        <v>0</v>
      </c>
      <c r="DN278" s="19" t="str">
        <f t="shared" si="294"/>
        <v/>
      </c>
      <c r="DO278" s="47" t="s">
        <v>0</v>
      </c>
      <c r="DP278" s="19" t="str">
        <f>IF(BA278="","","INSERT INTO imeprezime_alias(id,alias,imeprezime_id) VALUES ("&amp;BB278&amp;",'"&amp;BA278&amp;"',"&amp;IF(BC278="NEMA",BD278,BC278)&amp;");")</f>
        <v/>
      </c>
      <c r="DQ278" s="47" t="s">
        <v>0</v>
      </c>
      <c r="DR278" s="52" t="str">
        <f>IF(AL278="","",DU278 &amp; IF(Q278="",""," – " &amp; Q278))</f>
        <v>Aleksandra – Miličević – OK Vihor – Ž21B</v>
      </c>
      <c r="DS278" s="53">
        <f t="shared" si="256"/>
        <v>808</v>
      </c>
      <c r="DT278" s="47" t="s">
        <v>0</v>
      </c>
      <c r="DU278" s="52" t="str">
        <f>IF(AL278="","",DX278 &amp; IF(CR278="",""," – " &amp; CR278))</f>
        <v>Aleksandra – Miličević – OK Vihor</v>
      </c>
      <c r="DV278" s="53">
        <f t="shared" si="257"/>
        <v>808</v>
      </c>
      <c r="DW278" s="47" t="s">
        <v>0</v>
      </c>
      <c r="DX278" s="52" t="str">
        <f>IF(BG278="","",BF278&amp;" – "&amp;BG278)</f>
        <v>Aleksandra – Miličević</v>
      </c>
      <c r="DY278" s="53">
        <f t="shared" si="258"/>
        <v>808</v>
      </c>
      <c r="DZ278" s="47" t="s">
        <v>0</v>
      </c>
      <c r="EA278" s="58">
        <f t="shared" si="287"/>
        <v>808</v>
      </c>
      <c r="EB278" s="53" cm="1">
        <f t="array" ref="EB278">IF(EA278&lt;&gt;"",INDEX(regNatjecatelj_id,EA278,0),IF(BD278&lt;&gt;"",BD278,""))</f>
        <v>1460</v>
      </c>
      <c r="EC278" s="47" t="s">
        <v>0</v>
      </c>
      <c r="ED278" s="58" t="str">
        <f>IF(AL278="","",IF(BD278&lt;&gt;"","novo",IF(AN278="","imepre","imepre(ali)")))</f>
        <v>imepre</v>
      </c>
      <c r="EE278" s="73" t="str">
        <f>IF(AL278="","",IF(BL278="",IF(IFERROR(INDEX(regNatjecatelj_klub,MATCH(EB278,regNatjecatelj_id,0)),"NEMA")="","klu",""),IF(OR(AND(BN278&lt;&gt;"",BN278&lt;&gt;"NEMA"),CD278&lt;&gt;""),"klu(ali)",IF(AND(BP278&lt;&gt;"",BP278&lt;&gt;BO278),"(raz-klu)","klu"))))</f>
        <v>klu</v>
      </c>
      <c r="EF278" s="73" t="str">
        <f>IF(AL278="","","kat"&amp;IF(AND(W278&lt;&gt;Q278,Q278&lt;&gt;"Open"),"(ali)",""))</f>
        <v>kat</v>
      </c>
      <c r="EG278" s="73" t="str">
        <f t="shared" si="259"/>
        <v/>
      </c>
      <c r="EH278" s="66" t="str">
        <f>IF(AL278="","",ED278&amp;IF(ED278="novo","","-"&amp;EE278&amp;"-"&amp;EF278)&amp;IF(EG278="","","-"&amp;EG278))</f>
        <v>imepre-klu-kat</v>
      </c>
      <c r="EI278" s="47" t="s">
        <v>0</v>
      </c>
      <c r="EJ278" s="58">
        <f>IF(AL278="","",MAX(EJ$12:EJ277)+1)</f>
        <v>429</v>
      </c>
      <c r="EK278" s="73">
        <f>IF(AO278="","",X278)</f>
        <v>40</v>
      </c>
      <c r="EL278" s="73">
        <f t="shared" si="288"/>
        <v>1460</v>
      </c>
      <c r="EM278" s="73" t="str">
        <f t="shared" si="260"/>
        <v/>
      </c>
      <c r="EN278" s="73">
        <f t="shared" si="261"/>
        <v>4</v>
      </c>
      <c r="EO278" s="73">
        <f t="shared" si="289"/>
        <v>1</v>
      </c>
      <c r="EP278" s="73">
        <f t="shared" si="290"/>
        <v>1</v>
      </c>
      <c r="EQ278" s="73" t="str">
        <f t="shared" si="262"/>
        <v>2</v>
      </c>
      <c r="ER278" s="73" t="str">
        <f>IF(OR(AN278="",AN278="NEMA"),BB278,AN278)</f>
        <v/>
      </c>
      <c r="ES278" s="73" t="str">
        <f>IF(AND(BN278&lt;&gt;"",BN278&lt;&gt;"NEMA"),BN278,IF(CG278&lt;&gt;"",CG278,IF(AND(CL278&lt;&gt;"",CL278&lt;&gt;"NEMA"),CL278,IF(CM278&lt;&gt;"",CM278,""))))</f>
        <v/>
      </c>
      <c r="ET278" s="53" t="str">
        <f>IF(INDEX(natKategorija_alias_Id,MATCH(S278,natKategorija_katRegId,0))="","",INDEX(natKategorija_alias_Id,MATCH(S278,natKategorija_katRegId,0)))</f>
        <v/>
      </c>
      <c r="EU278" s="47" t="s">
        <v>0</v>
      </c>
      <c r="EV278" s="19" t="str">
        <f t="shared" si="291"/>
        <v>INSERT INTO rezultat(id,stazakategorija_id,imeprezime_id,vrijeme_sec,status_id,registracija,uparivanje_id,originalstatus_id,imeprezimealias_id,klubalias_id,kategorijaalias_id) VALUES (429,40,1460,Null,4,1,1,2,Null,Null,Null);</v>
      </c>
      <c r="EW278" s="47" t="s">
        <v>0</v>
      </c>
      <c r="EX278" s="19" t="str">
        <f t="shared" si="292"/>
        <v>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8" s="47" t="s">
        <v>0</v>
      </c>
      <c r="EZ278" s="180" t="str">
        <f>AG278&amp;IF(CP278="","","
")&amp;CP278&amp;IF(CI278="","","
")&amp;CI278&amp;IF(DN278="","","
")&amp;DN278&amp;IF(DP278="","","
")&amp;DP278&amp;IF(EV278="","","
")&amp;EV278&amp;IF(EX278="","","
")&amp;EX278</f>
        <v xml:space="preserve">
INSERT INTO rezultat(id,stazakategorija_id,imeprezime_id,vrijeme_sec,status_id,registracija,uparivanje_id,originalstatus_id,imeprezimealias_id,klubalias_id,kategorijaalias_id) VALUES (429,40,1460,Null,4,1,1,2,Null,Null,Null);
UPDATE
	registar
SET
	potvrda = 1
WHERE
	imeprezime_id=1460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8" s="47" t="s">
        <v>0</v>
      </c>
    </row>
    <row r="279" spans="1:157" x14ac:dyDescent="0.25">
      <c r="A279" t="s">
        <v>0</v>
      </c>
      <c r="B279" s="52" t="str">
        <f>IF(csv!F269="","",csv!T269)</f>
        <v>Ž21B</v>
      </c>
      <c r="C279" s="31" t="s">
        <v>0</v>
      </c>
      <c r="D279" s="31" t="str">
        <f>IF(csv!F269="","",csv!F269)</f>
        <v>Nikolina</v>
      </c>
      <c r="E279" s="31" t="str">
        <f>IF(csv!E269="","",csv!E269)</f>
        <v>Kranjec</v>
      </c>
      <c r="F279" s="31" t="s">
        <v>0</v>
      </c>
      <c r="G279" s="73" t="str">
        <f>IF(csv!M269="","",csv!M269)</f>
        <v/>
      </c>
      <c r="H279" s="73" t="str">
        <f>IF(csv!N269="","",csv!N269)</f>
        <v>2</v>
      </c>
      <c r="I279" s="31" t="s">
        <v>0</v>
      </c>
      <c r="J279" s="31" t="str">
        <f>IF(csv!P269="","",csv!P269)</f>
        <v>Vihor</v>
      </c>
      <c r="K279" s="31" t="str">
        <f>IF(csv!Q269="","",csv!Q269)</f>
        <v>OK Vihor</v>
      </c>
      <c r="L279" s="31" t="s">
        <v>0</v>
      </c>
      <c r="M279" s="66" t="str">
        <f>IF(csv!R269="","",csv!R269)</f>
        <v>CRO</v>
      </c>
      <c r="N279" s="47" t="s">
        <v>0</v>
      </c>
      <c r="O279" s="243" t="str">
        <f t="shared" si="263"/>
        <v>ok</v>
      </c>
      <c r="P279" s="47"/>
      <c r="Q279" s="52" t="str">
        <f t="shared" si="264"/>
        <v>Ž21B</v>
      </c>
      <c r="R279" s="73">
        <f>IF(Q279="","",IF(COUNTIF(Q$12:Q278,Q279)=0,R278+1,R278))</f>
        <v>18</v>
      </c>
      <c r="S279" s="73">
        <f t="shared" si="265"/>
        <v>118</v>
      </c>
      <c r="T279" s="73">
        <f t="shared" si="240"/>
        <v>27</v>
      </c>
      <c r="U279" s="66" t="str">
        <f t="shared" si="241"/>
        <v>Ž21B – Ž16</v>
      </c>
      <c r="V279" s="47" t="s">
        <v>0</v>
      </c>
      <c r="W279" s="222" t="str">
        <f t="shared" si="242"/>
        <v>Ž21B</v>
      </c>
      <c r="X279" s="223">
        <f t="shared" si="243"/>
        <v>40</v>
      </c>
      <c r="Y279" s="47" t="s">
        <v>0</v>
      </c>
      <c r="Z279" s="52" t="str">
        <f t="shared" si="266"/>
        <v>CRO</v>
      </c>
      <c r="AA279" s="73">
        <f t="shared" si="244"/>
        <v>1</v>
      </c>
      <c r="AB279" s="31" t="str">
        <f t="shared" si="267"/>
        <v/>
      </c>
      <c r="AC279" s="66" t="str">
        <f>IF(AB279="","",MAX(AC$12:AC278)+1)</f>
        <v/>
      </c>
      <c r="AD279" s="47" t="s">
        <v>0</v>
      </c>
      <c r="AE279" s="125"/>
      <c r="AF279" s="47" t="s">
        <v>0</v>
      </c>
      <c r="AG279" s="19" t="str">
        <f t="shared" si="268"/>
        <v/>
      </c>
      <c r="AH279" s="47" t="s">
        <v>0</v>
      </c>
      <c r="AI279" s="143" t="str">
        <f t="shared" si="269"/>
        <v>CRO</v>
      </c>
      <c r="AJ279" s="47"/>
      <c r="AK279" s="52" t="str">
        <f t="shared" si="270"/>
        <v>Nikolina</v>
      </c>
      <c r="AL279" s="31" t="str">
        <f t="shared" si="271"/>
        <v>Kranjec</v>
      </c>
      <c r="AM279" s="73">
        <f t="shared" si="272"/>
        <v>1896</v>
      </c>
      <c r="AN279" s="73" t="str">
        <f t="shared" si="273"/>
        <v/>
      </c>
      <c r="AO279" s="31" t="str">
        <f t="shared" si="245"/>
        <v>Nikolina</v>
      </c>
      <c r="AP279" s="66" t="str">
        <f t="shared" si="246"/>
        <v>Kranjec</v>
      </c>
      <c r="AQ279" s="47" t="s">
        <v>0</v>
      </c>
      <c r="AR279" s="82" t="str">
        <f t="shared" si="274"/>
        <v/>
      </c>
      <c r="AS279" s="47" t="s">
        <v>0</v>
      </c>
      <c r="AT279" s="19" t="str">
        <f t="shared" si="275"/>
        <v/>
      </c>
      <c r="AU279" s="47" t="s">
        <v>0</v>
      </c>
      <c r="AV279" s="103"/>
      <c r="AW279" s="105"/>
      <c r="AX279" s="47" t="s">
        <v>0</v>
      </c>
      <c r="AY279" s="256" t="str">
        <f t="shared" si="293"/>
        <v/>
      </c>
      <c r="AZ279" s="47" t="s">
        <v>0</v>
      </c>
      <c r="BA279" s="52" t="str">
        <f t="shared" si="247"/>
        <v/>
      </c>
      <c r="BB279" s="73" t="str">
        <f>IF(AV279&amp;AW279="","",MAX(BB$12:BB278)+1)</f>
        <v/>
      </c>
      <c r="BC279" s="268" t="str">
        <f t="shared" si="248"/>
        <v/>
      </c>
      <c r="BD279" s="53" t="str">
        <f>IF(AND(AM279="NEMA",AN279="NEMA",OR(AV279&amp;AW279="",BC279="NEMA")),MAX(BD$12:BD278)+1,"")</f>
        <v/>
      </c>
      <c r="BE279" s="47" t="s">
        <v>0</v>
      </c>
      <c r="BF279" s="52" t="str">
        <f t="shared" si="249"/>
        <v>Nikolina</v>
      </c>
      <c r="BG279" s="31" t="str">
        <f t="shared" si="250"/>
        <v>Kranjec</v>
      </c>
      <c r="BH279" s="73" t="str">
        <f t="shared" si="276"/>
        <v/>
      </c>
      <c r="BI279" s="53">
        <f t="shared" si="277"/>
        <v>1896</v>
      </c>
      <c r="BJ279" s="47" t="s">
        <v>0</v>
      </c>
      <c r="BK279" s="52" t="str">
        <f t="shared" si="251"/>
        <v>Vihor</v>
      </c>
      <c r="BL279" s="31" t="str">
        <f t="shared" si="252"/>
        <v>OK Vihor</v>
      </c>
      <c r="BM279" s="73">
        <f t="shared" si="253"/>
        <v>12</v>
      </c>
      <c r="BN279" s="73" t="str">
        <f t="shared" si="254"/>
        <v/>
      </c>
      <c r="BO279" s="31" t="str" cm="1">
        <f t="array" ref="BO279">IF(BN279="",""&amp;BL279,IF(BN279="NEMA",BL279,INDEX(regKlub_naziv,MATCH(INDEX(regKlub_alias_klubId,BN279),regKlub_id,0))))</f>
        <v>OK Vihor</v>
      </c>
      <c r="BP279" s="31" t="str" cm="1">
        <f t="array" ref="BP279">IFERROR(""&amp;INDEX(regNatjecatelj_klub,DY279),"")</f>
        <v>OK Vihor</v>
      </c>
      <c r="BQ279" s="88" t="str">
        <f t="shared" si="278"/>
        <v/>
      </c>
      <c r="BR279" s="66" t="str">
        <f t="shared" si="279"/>
        <v>OK Vihor</v>
      </c>
      <c r="BS279" s="47" t="s">
        <v>0</v>
      </c>
      <c r="BT279" s="82" t="str">
        <f>IF(BN279&lt;&gt;"NEMA","",IF(IFERROR(MATCH(BL279,BL$12:BL278,0),0)&lt;&gt;0,"",BL279))</f>
        <v/>
      </c>
      <c r="BU279" s="47" t="s">
        <v>0</v>
      </c>
      <c r="BV279" s="125"/>
      <c r="BW279" s="47" t="s">
        <v>0</v>
      </c>
      <c r="BX279" s="58" t="str">
        <f t="shared" si="280"/>
        <v/>
      </c>
      <c r="BY279" s="31" t="str">
        <f t="shared" si="281"/>
        <v/>
      </c>
      <c r="BZ279" s="31" t="str">
        <f>IF(BY279="","",MAX(BZ$12:BZ278)+1)</f>
        <v/>
      </c>
      <c r="CA279" s="31" t="str">
        <f>IF(BY279="","",IF(AA279="","",IF(AA279="NEMA",AC279,AA279)))</f>
        <v/>
      </c>
      <c r="CB279" s="31" t="str">
        <f t="shared" si="282"/>
        <v/>
      </c>
      <c r="CC279" s="31" t="str">
        <f>IF(BV279="","",MAX(CC$12:CC278)+1)</f>
        <v/>
      </c>
      <c r="CD279" s="31" t="str">
        <f t="shared" si="283"/>
        <v/>
      </c>
      <c r="CE279" s="66" t="str">
        <f t="shared" si="284"/>
        <v/>
      </c>
      <c r="CF279" s="47" t="s">
        <v>0</v>
      </c>
      <c r="CG279" s="73" t="str">
        <f>IF(BN279="","",IF(BN279&lt;&gt;"NEMA","",IFERROR(INDEX(nat_klubAliasId,MATCH(BL279,nat_noviKluboviAliasi,0)),"")))</f>
        <v/>
      </c>
      <c r="CH279" s="47"/>
      <c r="CI279" s="19" t="str">
        <f t="shared" si="285"/>
        <v/>
      </c>
      <c r="CJ279" s="47" t="s">
        <v>0</v>
      </c>
      <c r="CK279" s="52" t="str">
        <f>IF(X279&lt;&gt;"NEMA","",IF(IFERROR(MATCH(W279,W$12:W278,0),0)&lt;&gt;0,"",W279))</f>
        <v/>
      </c>
      <c r="CL279" s="73" t="str">
        <f>IF(CK279="","",IFERROR(INDEX(regKlub_alias_id,MATCH(CK279,regKlub_alias_alias,0)),"NEMA"))</f>
        <v/>
      </c>
      <c r="CM279" s="31" t="str">
        <f>IF(OR(CL279="",CL279&lt;&gt;"NEMA"),"",MAX(CM$12:CM278)+1)</f>
        <v/>
      </c>
      <c r="CN279" s="66" t="str">
        <f>IF(OR(CL279="",CL279&lt;&gt;"NEMA"),"",INDEX(regKlub_id,MATCH(CK279,regKlub_naziv,0)))</f>
        <v/>
      </c>
      <c r="CO279" s="47" t="s">
        <v>0</v>
      </c>
      <c r="CP279" s="19" t="str">
        <f>IF(OR(CL279="",CL279&lt;&gt;"NEMA"),"","INSERT INTO klub_alias(id,alias,klub_id) VALUES ("&amp;CM279&amp;",'"&amp;CK279&amp;"',"&amp;CN279&amp;");")</f>
        <v/>
      </c>
      <c r="CQ279" s="47" t="s">
        <v>0</v>
      </c>
      <c r="CR279" s="143" t="str">
        <f>IF(BR279="","",IF(BV279="",IF(IFERROR(MATCH(BR279,nat_noviKluboviAliasi,0),0)&gt;0,INDEX(nat_kluboviAliasi,MATCH(BR279,nat_noviKluboviAliasi,0)),BR279),BV279))</f>
        <v>OK Vihor</v>
      </c>
      <c r="CS279" s="47" t="s">
        <v>0</v>
      </c>
      <c r="CT279" s="58" t="str">
        <f>IF(G279="","",G279)</f>
        <v/>
      </c>
      <c r="CU279" s="73" t="str">
        <f>IF(H279="","",H279)</f>
        <v>2</v>
      </c>
      <c r="CV279" s="229" t="str">
        <f>IF(CT279="",IF(OR(AL279="",CU279&lt;&gt;"0"),"","GREŠKA"),IF(AND(65535&gt;=VALUE(LEFT(CT279,SEARCH(":",CT279)-1))*60+VALUE(RIGHT(CT279,2)),OR(CU279="0",CU279="1",CU279="2",CU279="3",CU279="4")),"","GREŠKA"))</f>
        <v/>
      </c>
      <c r="CW279" s="230" t="str">
        <f t="shared" si="239"/>
        <v/>
      </c>
      <c r="CX279" s="163">
        <f t="shared" si="255"/>
        <v>4</v>
      </c>
      <c r="CY279" s="47" t="s">
        <v>0</v>
      </c>
      <c r="CZ279" s="222" t="str">
        <f>IF(CV279&lt;&gt;"GREŠKA","",AK279&amp;" "&amp;AL279&amp;" – Molim u OEventu provjeriti i ispraviti rezultat – vrijeme ("&amp;IF(CT279="","nije upisano",CT279)&amp;") i classifier ("&amp;CU279&amp;").")&amp;IF(OR(CV279&lt;&gt;"GREŠKA",CX279&lt;&gt;5),"
","")&amp;IF(CX279&lt;&gt;5,"",AK279&amp;" "&amp;AL279&amp;" – Molim u provjeriti je li natjecatelj zaista diskvalificiran. Ako je koje je obrazloženje, ako nije molim u OEventu ispraviti rezultat")</f>
        <v xml:space="preserve">
</v>
      </c>
      <c r="DA279" s="223">
        <f t="shared" si="286"/>
        <v>5</v>
      </c>
      <c r="DB279" s="47" t="s">
        <v>0</v>
      </c>
      <c r="DC279" s="47"/>
      <c r="DD279" s="47"/>
      <c r="DE279" s="47"/>
      <c r="DF279" s="47" t="s">
        <v>0</v>
      </c>
      <c r="DG279" s="53" t="str">
        <f>IF(BD279="","",IF(DI279="O",1,""))</f>
        <v/>
      </c>
      <c r="DH279" t="s">
        <v>0</v>
      </c>
      <c r="DI279" s="128" t="str">
        <f>IF(Q279="","",LEFT(INDEX(regKategorija_oznaka,MATCH(S279,regKategorija_id,0)),1))</f>
        <v>Ž</v>
      </c>
      <c r="DJ279" t="s">
        <v>0</v>
      </c>
      <c r="DK279" s="52" t="str">
        <f>IF(BD279="","",IF(M279&lt;&gt;"CRO","","INSERT INTO osoba (id,reg_broj,oib,spol_id,dat_rodjenja) VALUES ("&amp;BD279&amp;",(SELECT max(os.reg_broj)+1 FROM osoba AS os),Null,'"&amp;DI279&amp;"',Null); INSERT INTO osoba_log (id,reg_broj,oib,spol_id,dat_rodjenja,dnevnik_id) SELECT id,reg_broj,oib,spol_id,dat_rodjenja,"&amp;data_dnevnik_id&amp;" FROM osoba WHERE id = "&amp;BD279&amp;";"))</f>
        <v/>
      </c>
      <c r="DL279" s="66" t="str">
        <f>IF(BD279="","","INSERT INTO imeprezime (id,osoba_id,rbr,ime,prezime,klub_id,identitet_id,sintaksa_id,info,aktivno,dnevnik_id) VALUES ("&amp;BD279&amp;","&amp;IF(DK279="","Null",BD279)&amp;",1,'"&amp;IF(AV279&lt;&gt;"",AV279,AK279)&amp;"','"&amp;IF(AW279&lt;&gt;"",AW279,AL279)&amp;"',(SELECT id FROM klub WHERE naziv = '"&amp;CR279&amp;"'),Null,1,'',1,"&amp;data_dnevnik_id&amp;");")</f>
        <v/>
      </c>
      <c r="DM279" t="s">
        <v>0</v>
      </c>
      <c r="DN279" s="19" t="str">
        <f t="shared" si="294"/>
        <v/>
      </c>
      <c r="DO279" s="47" t="s">
        <v>0</v>
      </c>
      <c r="DP279" s="19" t="str">
        <f>IF(BA279="","","INSERT INTO imeprezime_alias(id,alias,imeprezime_id) VALUES ("&amp;BB279&amp;",'"&amp;BA279&amp;"',"&amp;IF(BC279="NEMA",BD279,BC279)&amp;");")</f>
        <v/>
      </c>
      <c r="DQ279" s="47" t="s">
        <v>0</v>
      </c>
      <c r="DR279" s="52" t="str">
        <f>IF(AL279="","",DU279 &amp; IF(Q279="",""," – " &amp; Q279))</f>
        <v>Nikolina – Kranjec – OK Vihor – Ž21B</v>
      </c>
      <c r="DS279" s="53">
        <f t="shared" si="256"/>
        <v>757</v>
      </c>
      <c r="DT279" s="47" t="s">
        <v>0</v>
      </c>
      <c r="DU279" s="52" t="str">
        <f>IF(AL279="","",DX279 &amp; IF(CR279="",""," – " &amp; CR279))</f>
        <v>Nikolina – Kranjec – OK Vihor</v>
      </c>
      <c r="DV279" s="53">
        <f t="shared" si="257"/>
        <v>757</v>
      </c>
      <c r="DW279" s="47" t="s">
        <v>0</v>
      </c>
      <c r="DX279" s="52" t="str">
        <f>IF(BG279="","",BF279&amp;" – "&amp;BG279)</f>
        <v>Nikolina – Kranjec</v>
      </c>
      <c r="DY279" s="53">
        <f t="shared" si="258"/>
        <v>757</v>
      </c>
      <c r="DZ279" s="47" t="s">
        <v>0</v>
      </c>
      <c r="EA279" s="58">
        <f t="shared" si="287"/>
        <v>757</v>
      </c>
      <c r="EB279" s="53" cm="1">
        <f t="array" ref="EB279">IF(EA279&lt;&gt;"",INDEX(regNatjecatelj_id,EA279,0),IF(BD279&lt;&gt;"",BD279,""))</f>
        <v>1896</v>
      </c>
      <c r="EC279" s="47" t="s">
        <v>0</v>
      </c>
      <c r="ED279" s="58" t="str">
        <f>IF(AL279="","",IF(BD279&lt;&gt;"","novo",IF(AN279="","imepre","imepre(ali)")))</f>
        <v>imepre</v>
      </c>
      <c r="EE279" s="73" t="str">
        <f>IF(AL279="","",IF(BL279="",IF(IFERROR(INDEX(regNatjecatelj_klub,MATCH(EB279,regNatjecatelj_id,0)),"NEMA")="","klu",""),IF(OR(AND(BN279&lt;&gt;"",BN279&lt;&gt;"NEMA"),CD279&lt;&gt;""),"klu(ali)",IF(AND(BP279&lt;&gt;"",BP279&lt;&gt;BO279),"(raz-klu)","klu"))))</f>
        <v>klu</v>
      </c>
      <c r="EF279" s="73" t="str">
        <f>IF(AL279="","","kat"&amp;IF(AND(W279&lt;&gt;Q279,Q279&lt;&gt;"Open"),"(ali)",""))</f>
        <v>kat</v>
      </c>
      <c r="EG279" s="73" t="str">
        <f t="shared" si="259"/>
        <v/>
      </c>
      <c r="EH279" s="66" t="str">
        <f>IF(AL279="","",ED279&amp;IF(ED279="novo","","-"&amp;EE279&amp;"-"&amp;EF279)&amp;IF(EG279="","","-"&amp;EG279))</f>
        <v>imepre-klu-kat</v>
      </c>
      <c r="EI279" s="47" t="s">
        <v>0</v>
      </c>
      <c r="EJ279" s="58">
        <f>IF(AL279="","",MAX(EJ$12:EJ278)+1)</f>
        <v>430</v>
      </c>
      <c r="EK279" s="73">
        <f>IF(AO279="","",X279)</f>
        <v>40</v>
      </c>
      <c r="EL279" s="73">
        <f t="shared" si="288"/>
        <v>1896</v>
      </c>
      <c r="EM279" s="73" t="str">
        <f t="shared" si="260"/>
        <v/>
      </c>
      <c r="EN279" s="73">
        <f t="shared" si="261"/>
        <v>4</v>
      </c>
      <c r="EO279" s="73">
        <f t="shared" si="289"/>
        <v>1</v>
      </c>
      <c r="EP279" s="73">
        <f t="shared" si="290"/>
        <v>1</v>
      </c>
      <c r="EQ279" s="73" t="str">
        <f t="shared" si="262"/>
        <v>2</v>
      </c>
      <c r="ER279" s="73" t="str">
        <f>IF(OR(AN279="",AN279="NEMA"),BB279,AN279)</f>
        <v/>
      </c>
      <c r="ES279" s="73" t="str">
        <f>IF(AND(BN279&lt;&gt;"",BN279&lt;&gt;"NEMA"),BN279,IF(CG279&lt;&gt;"",CG279,IF(AND(CL279&lt;&gt;"",CL279&lt;&gt;"NEMA"),CL279,IF(CM279&lt;&gt;"",CM279,""))))</f>
        <v/>
      </c>
      <c r="ET279" s="53" t="str">
        <f>IF(INDEX(natKategorija_alias_Id,MATCH(S279,natKategorija_katRegId,0))="","",INDEX(natKategorija_alias_Id,MATCH(S279,natKategorija_katRegId,0)))</f>
        <v/>
      </c>
      <c r="EU279" s="47" t="s">
        <v>0</v>
      </c>
      <c r="EV279" s="19" t="str">
        <f t="shared" si="291"/>
        <v>INSERT INTO rezultat(id,stazakategorija_id,imeprezime_id,vrijeme_sec,status_id,registracija,uparivanje_id,originalstatus_id,imeprezimealias_id,klubalias_id,kategorijaalias_id) VALUES (430,40,1896,Null,4,1,1,2,Null,Null,Null);</v>
      </c>
      <c r="EW279" s="47" t="s">
        <v>0</v>
      </c>
      <c r="EX279" s="19" t="str">
        <f t="shared" si="292"/>
        <v>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79" s="47" t="s">
        <v>0</v>
      </c>
      <c r="EZ279" s="180" t="str">
        <f>AG279&amp;IF(CP279="","","
")&amp;CP279&amp;IF(CI279="","","
")&amp;CI279&amp;IF(DN279="","","
")&amp;DN279&amp;IF(DP279="","","
")&amp;DP279&amp;IF(EV279="","","
")&amp;EV279&amp;IF(EX279="","","
")&amp;EX279</f>
        <v xml:space="preserve">
INSERT INTO rezultat(id,stazakategorija_id,imeprezime_id,vrijeme_sec,status_id,registracija,uparivanje_id,originalstatus_id,imeprezimealias_id,klubalias_id,kategorijaalias_id) VALUES (430,40,1896,Null,4,1,1,2,Null,Null,Null);
UPDATE
	registar
SET
	potvrda = 1
WHERE
	imeprezime_id=1896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79" s="47" t="s">
        <v>0</v>
      </c>
    </row>
    <row r="280" spans="1:157" x14ac:dyDescent="0.25">
      <c r="A280" t="s">
        <v>0</v>
      </c>
      <c r="B280" s="52" t="str">
        <f>IF(csv!F270="","",csv!T270)</f>
        <v>Ž21B</v>
      </c>
      <c r="C280" s="31" t="s">
        <v>0</v>
      </c>
      <c r="D280" s="31" t="str">
        <f>IF(csv!F270="","",csv!F270)</f>
        <v>Vacant</v>
      </c>
      <c r="E280" s="31" t="str">
        <f>IF(csv!E270="","",csv!E270)</f>
        <v/>
      </c>
      <c r="F280" s="31" t="s">
        <v>0</v>
      </c>
      <c r="G280" s="73" t="str">
        <f>IF(csv!M270="","",csv!M270)</f>
        <v/>
      </c>
      <c r="H280" s="73" t="str">
        <f>IF(csv!N270="","",csv!N270)</f>
        <v>0</v>
      </c>
      <c r="I280" s="31" t="s">
        <v>0</v>
      </c>
      <c r="J280" s="31" t="str">
        <f>IF(csv!P270="","",csv!P270)</f>
        <v/>
      </c>
      <c r="K280" s="31" t="str">
        <f>IF(csv!Q270="","",csv!Q270)</f>
        <v/>
      </c>
      <c r="L280" s="31" t="s">
        <v>0</v>
      </c>
      <c r="M280" s="66" t="str">
        <f>IF(csv!R270="","",csv!R270)</f>
        <v/>
      </c>
      <c r="N280" s="47" t="s">
        <v>0</v>
      </c>
      <c r="O280" s="243" t="str">
        <f t="shared" si="263"/>
        <v/>
      </c>
      <c r="P280" s="47"/>
      <c r="Q280" s="52" t="str">
        <f t="shared" si="264"/>
        <v>Ž21B</v>
      </c>
      <c r="R280" s="73">
        <f>IF(Q280="","",IF(COUNTIF(Q$12:Q279,Q280)=0,R279+1,R279))</f>
        <v>18</v>
      </c>
      <c r="S280" s="73">
        <f t="shared" si="265"/>
        <v>118</v>
      </c>
      <c r="T280" s="73">
        <f t="shared" si="240"/>
        <v>27</v>
      </c>
      <c r="U280" s="66" t="str">
        <f t="shared" si="241"/>
        <v>Ž21B – Ž16</v>
      </c>
      <c r="V280" s="47" t="s">
        <v>0</v>
      </c>
      <c r="W280" s="222" t="str">
        <f t="shared" si="242"/>
        <v/>
      </c>
      <c r="X280" s="223" t="str">
        <f t="shared" si="243"/>
        <v/>
      </c>
      <c r="Y280" s="47" t="s">
        <v>0</v>
      </c>
      <c r="Z280" s="52" t="str">
        <f t="shared" si="266"/>
        <v/>
      </c>
      <c r="AA280" s="73" t="str">
        <f t="shared" si="244"/>
        <v/>
      </c>
      <c r="AB280" s="31" t="str">
        <f t="shared" si="267"/>
        <v/>
      </c>
      <c r="AC280" s="66" t="str">
        <f>IF(AB280="","",MAX(AC$12:AC279)+1)</f>
        <v/>
      </c>
      <c r="AD280" s="47" t="s">
        <v>0</v>
      </c>
      <c r="AE280" s="125"/>
      <c r="AF280" s="47" t="s">
        <v>0</v>
      </c>
      <c r="AG280" s="19" t="str">
        <f t="shared" si="268"/>
        <v/>
      </c>
      <c r="AH280" s="47" t="s">
        <v>0</v>
      </c>
      <c r="AI280" s="143" t="str">
        <f t="shared" si="269"/>
        <v/>
      </c>
      <c r="AJ280" s="47"/>
      <c r="AK280" s="52" t="str">
        <f t="shared" si="270"/>
        <v/>
      </c>
      <c r="AL280" s="31" t="str">
        <f t="shared" si="271"/>
        <v/>
      </c>
      <c r="AM280" s="73" t="str">
        <f t="shared" si="272"/>
        <v/>
      </c>
      <c r="AN280" s="73" t="str">
        <f t="shared" si="273"/>
        <v/>
      </c>
      <c r="AO280" s="31" t="str">
        <f t="shared" si="245"/>
        <v/>
      </c>
      <c r="AP280" s="66" t="str">
        <f t="shared" si="246"/>
        <v/>
      </c>
      <c r="AQ280" s="47" t="s">
        <v>0</v>
      </c>
      <c r="AR280" s="82" t="str">
        <f t="shared" si="274"/>
        <v/>
      </c>
      <c r="AS280" s="47" t="s">
        <v>0</v>
      </c>
      <c r="AT280" s="19" t="str">
        <f t="shared" si="275"/>
        <v/>
      </c>
      <c r="AU280" s="47" t="s">
        <v>0</v>
      </c>
      <c r="AV280" s="103"/>
      <c r="AW280" s="105"/>
      <c r="AX280" s="47" t="s">
        <v>0</v>
      </c>
      <c r="AY280" s="256" t="str">
        <f t="shared" si="293"/>
        <v/>
      </c>
      <c r="AZ280" s="47" t="s">
        <v>0</v>
      </c>
      <c r="BA280" s="52" t="str">
        <f t="shared" si="247"/>
        <v/>
      </c>
      <c r="BB280" s="73" t="str">
        <f>IF(AV280&amp;AW280="","",MAX(BB$12:BB279)+1)</f>
        <v/>
      </c>
      <c r="BC280" s="268" t="str">
        <f t="shared" si="248"/>
        <v/>
      </c>
      <c r="BD280" s="53" t="str">
        <f>IF(AND(AM280="NEMA",AN280="NEMA",OR(AV280&amp;AW280="",BC280="NEMA")),MAX(BD$12:BD279)+1,"")</f>
        <v/>
      </c>
      <c r="BE280" s="47" t="s">
        <v>0</v>
      </c>
      <c r="BF280" s="52" t="str">
        <f t="shared" si="249"/>
        <v/>
      </c>
      <c r="BG280" s="31" t="str">
        <f t="shared" si="250"/>
        <v/>
      </c>
      <c r="BH280" s="73" t="str">
        <f t="shared" si="276"/>
        <v/>
      </c>
      <c r="BI280" s="53" t="str">
        <f t="shared" si="277"/>
        <v/>
      </c>
      <c r="BJ280" s="47" t="s">
        <v>0</v>
      </c>
      <c r="BK280" s="52" t="str">
        <f t="shared" si="251"/>
        <v/>
      </c>
      <c r="BL280" s="31" t="str">
        <f t="shared" si="252"/>
        <v/>
      </c>
      <c r="BM280" s="73" t="str">
        <f t="shared" si="253"/>
        <v/>
      </c>
      <c r="BN280" s="73" t="str">
        <f t="shared" si="254"/>
        <v/>
      </c>
      <c r="BO280" s="31" t="str" cm="1">
        <f t="array" ref="BO280">IF(BN280="",""&amp;BL280,IF(BN280="NEMA",BL280,INDEX(regKlub_naziv,MATCH(INDEX(regKlub_alias_klubId,BN280),regKlub_id,0))))</f>
        <v/>
      </c>
      <c r="BP280" s="31" t="str" cm="1">
        <f t="array" ref="BP280">IFERROR(""&amp;INDEX(regNatjecatelj_klub,DY280),"")</f>
        <v/>
      </c>
      <c r="BQ280" s="88" t="str">
        <f t="shared" si="278"/>
        <v/>
      </c>
      <c r="BR280" s="66" t="str">
        <f t="shared" si="279"/>
        <v/>
      </c>
      <c r="BS280" s="47" t="s">
        <v>0</v>
      </c>
      <c r="BT280" s="82" t="str">
        <f>IF(BN280&lt;&gt;"NEMA","",IF(IFERROR(MATCH(BL280,BL$12:BL279,0),0)&lt;&gt;0,"",BL280))</f>
        <v/>
      </c>
      <c r="BU280" s="47" t="s">
        <v>0</v>
      </c>
      <c r="BV280" s="125"/>
      <c r="BW280" s="47" t="s">
        <v>0</v>
      </c>
      <c r="BX280" s="58" t="str">
        <f t="shared" si="280"/>
        <v/>
      </c>
      <c r="BY280" s="31" t="str">
        <f t="shared" si="281"/>
        <v/>
      </c>
      <c r="BZ280" s="31" t="str">
        <f>IF(BY280="","",MAX(BZ$12:BZ279)+1)</f>
        <v/>
      </c>
      <c r="CA280" s="31" t="str">
        <f>IF(BY280="","",IF(AA280="","",IF(AA280="NEMA",AC280,AA280)))</f>
        <v/>
      </c>
      <c r="CB280" s="31" t="str">
        <f t="shared" si="282"/>
        <v/>
      </c>
      <c r="CC280" s="31" t="str">
        <f>IF(BV280="","",MAX(CC$12:CC279)+1)</f>
        <v/>
      </c>
      <c r="CD280" s="31" t="str">
        <f t="shared" si="283"/>
        <v/>
      </c>
      <c r="CE280" s="66" t="str">
        <f t="shared" si="284"/>
        <v/>
      </c>
      <c r="CF280" s="47" t="s">
        <v>0</v>
      </c>
      <c r="CG280" s="73" t="str">
        <f>IF(BN280="","",IF(BN280&lt;&gt;"NEMA","",IFERROR(INDEX(nat_klubAliasId,MATCH(BL280,nat_noviKluboviAliasi,0)),"")))</f>
        <v/>
      </c>
      <c r="CH280" s="47"/>
      <c r="CI280" s="19" t="str">
        <f t="shared" si="285"/>
        <v/>
      </c>
      <c r="CJ280" s="47" t="s">
        <v>0</v>
      </c>
      <c r="CK280" s="52" t="str">
        <f>IF(X280&lt;&gt;"NEMA","",IF(IFERROR(MATCH(W280,W$12:W279,0),0)&lt;&gt;0,"",W280))</f>
        <v/>
      </c>
      <c r="CL280" s="73" t="str">
        <f>IF(CK280="","",IFERROR(INDEX(regKlub_alias_id,MATCH(CK280,regKlub_alias_alias,0)),"NEMA"))</f>
        <v/>
      </c>
      <c r="CM280" s="31" t="str">
        <f>IF(OR(CL280="",CL280&lt;&gt;"NEMA"),"",MAX(CM$12:CM279)+1)</f>
        <v/>
      </c>
      <c r="CN280" s="66" t="str">
        <f>IF(OR(CL280="",CL280&lt;&gt;"NEMA"),"",INDEX(regKlub_id,MATCH(CK280,regKlub_naziv,0)))</f>
        <v/>
      </c>
      <c r="CO280" s="47" t="s">
        <v>0</v>
      </c>
      <c r="CP280" s="19" t="str">
        <f>IF(OR(CL280="",CL280&lt;&gt;"NEMA"),"","INSERT INTO klub_alias(id,alias,klub_id) VALUES ("&amp;CM280&amp;",'"&amp;CK280&amp;"',"&amp;CN280&amp;");")</f>
        <v/>
      </c>
      <c r="CQ280" s="47" t="s">
        <v>0</v>
      </c>
      <c r="CR280" s="143" t="str">
        <f>IF(BR280="","",IF(BV280="",IF(IFERROR(MATCH(BR280,nat_noviKluboviAliasi,0),0)&gt;0,INDEX(nat_kluboviAliasi,MATCH(BR280,nat_noviKluboviAliasi,0)),BR280),BV280))</f>
        <v/>
      </c>
      <c r="CS280" s="47" t="s">
        <v>0</v>
      </c>
      <c r="CT280" s="58" t="str">
        <f>IF(G280="","",G280)</f>
        <v/>
      </c>
      <c r="CU280" s="73" t="str">
        <f>IF(H280="","",H280)</f>
        <v>0</v>
      </c>
      <c r="CV280" s="229" t="str">
        <f>IF(CT280="",IF(OR(AL280="",CU280&lt;&gt;"0"),"","GREŠKA"),IF(AND(65535&gt;=VALUE(LEFT(CT280,SEARCH(":",CT280)-1))*60+VALUE(RIGHT(CT280,2)),OR(CU280="0",CU280="1",CU280="2",CU280="3",CU280="4")),"","GREŠKA"))</f>
        <v/>
      </c>
      <c r="CW280" s="230" t="str">
        <f t="shared" si="239"/>
        <v/>
      </c>
      <c r="CX280" s="163" t="str">
        <f t="shared" si="255"/>
        <v/>
      </c>
      <c r="CY280" s="47" t="s">
        <v>0</v>
      </c>
      <c r="CZ280" s="222" t="str">
        <f>IF(CV280&lt;&gt;"GREŠKA","",AK280&amp;" "&amp;AL280&amp;" – Molim u OEventu provjeriti i ispraviti rezultat – vrijeme ("&amp;IF(CT280="","nije upisano",CT280)&amp;") i classifier ("&amp;CU280&amp;").")&amp;IF(OR(CV280&lt;&gt;"GREŠKA",CX280&lt;&gt;5),"
","")&amp;IF(CX280&lt;&gt;5,"",AK280&amp;" "&amp;AL280&amp;" – Molim u provjeriti je li natjecatelj zaista diskvalificiran. Ako je koje je obrazloženje, ako nije molim u OEventu ispraviti rezultat")</f>
        <v xml:space="preserve">
</v>
      </c>
      <c r="DA280" s="223" t="str">
        <f t="shared" si="286"/>
        <v/>
      </c>
      <c r="DB280" s="47" t="s">
        <v>0</v>
      </c>
      <c r="DC280" s="47"/>
      <c r="DD280" s="47"/>
      <c r="DE280" s="47"/>
      <c r="DF280" s="47" t="s">
        <v>0</v>
      </c>
      <c r="DG280" s="53" t="str">
        <f>IF(BD280="","",IF(DI280="O",1,""))</f>
        <v/>
      </c>
      <c r="DH280" t="s">
        <v>0</v>
      </c>
      <c r="DI280" s="128" t="str">
        <f>IF(Q280="","",LEFT(INDEX(regKategorija_oznaka,MATCH(S280,regKategorija_id,0)),1))</f>
        <v>Ž</v>
      </c>
      <c r="DJ280" t="s">
        <v>0</v>
      </c>
      <c r="DK280" s="52" t="str">
        <f>IF(BD280="","",IF(M280&lt;&gt;"CRO","","INSERT INTO osoba (id,reg_broj,oib,spol_id,dat_rodjenja) VALUES ("&amp;BD280&amp;",(SELECT max(os.reg_broj)+1 FROM osoba AS os),Null,'"&amp;DI280&amp;"',Null); INSERT INTO osoba_log (id,reg_broj,oib,spol_id,dat_rodjenja,dnevnik_id) SELECT id,reg_broj,oib,spol_id,dat_rodjenja,"&amp;data_dnevnik_id&amp;" FROM osoba WHERE id = "&amp;BD280&amp;";"))</f>
        <v/>
      </c>
      <c r="DL280" s="66" t="str">
        <f>IF(BD280="","","INSERT INTO imeprezime (id,osoba_id,rbr,ime,prezime,klub_id,identitet_id,sintaksa_id,info,aktivno,dnevnik_id) VALUES ("&amp;BD280&amp;","&amp;IF(DK280="","Null",BD280)&amp;",1,'"&amp;IF(AV280&lt;&gt;"",AV280,AK280)&amp;"','"&amp;IF(AW280&lt;&gt;"",AW280,AL280)&amp;"',(SELECT id FROM klub WHERE naziv = '"&amp;CR280&amp;"'),Null,1,'',1,"&amp;data_dnevnik_id&amp;");")</f>
        <v/>
      </c>
      <c r="DM280" t="s">
        <v>0</v>
      </c>
      <c r="DN280" s="19" t="str">
        <f t="shared" si="294"/>
        <v/>
      </c>
      <c r="DO280" s="47" t="s">
        <v>0</v>
      </c>
      <c r="DP280" s="19" t="str">
        <f>IF(BA280="","","INSERT INTO imeprezime_alias(id,alias,imeprezime_id) VALUES ("&amp;BB280&amp;",'"&amp;BA280&amp;"',"&amp;IF(BC280="NEMA",BD280,BC280)&amp;");")</f>
        <v/>
      </c>
      <c r="DQ280" s="47" t="s">
        <v>0</v>
      </c>
      <c r="DR280" s="52" t="str">
        <f>IF(AL280="","",DU280 &amp; IF(Q280="",""," – " &amp; Q280))</f>
        <v/>
      </c>
      <c r="DS280" s="53" t="str">
        <f t="shared" si="256"/>
        <v/>
      </c>
      <c r="DT280" s="47" t="s">
        <v>0</v>
      </c>
      <c r="DU280" s="52" t="str">
        <f>IF(AL280="","",DX280 &amp; IF(CR280="",""," – " &amp; CR280))</f>
        <v/>
      </c>
      <c r="DV280" s="53" t="str">
        <f t="shared" si="257"/>
        <v/>
      </c>
      <c r="DW280" s="47" t="s">
        <v>0</v>
      </c>
      <c r="DX280" s="52" t="str">
        <f>IF(BG280="","",BF280&amp;" – "&amp;BG280)</f>
        <v/>
      </c>
      <c r="DY280" s="53" t="str">
        <f t="shared" si="258"/>
        <v/>
      </c>
      <c r="DZ280" s="47" t="s">
        <v>0</v>
      </c>
      <c r="EA280" s="58" t="str">
        <f t="shared" si="287"/>
        <v/>
      </c>
      <c r="EB280" s="53" t="str" cm="1">
        <f t="array" ref="EB280">IF(EA280&lt;&gt;"",INDEX(regNatjecatelj_id,EA280,0),IF(BD280&lt;&gt;"",BD280,""))</f>
        <v/>
      </c>
      <c r="EC280" s="47" t="s">
        <v>0</v>
      </c>
      <c r="ED280" s="58" t="str">
        <f>IF(AL280="","",IF(BD280&lt;&gt;"","novo",IF(AN280="","imepre","imepre(ali)")))</f>
        <v/>
      </c>
      <c r="EE280" s="73" t="str">
        <f>IF(AL280="","",IF(BL280="",IF(IFERROR(INDEX(regNatjecatelj_klub,MATCH(EB280,regNatjecatelj_id,0)),"NEMA")="","klu",""),IF(OR(AND(BN280&lt;&gt;"",BN280&lt;&gt;"NEMA"),CD280&lt;&gt;""),"klu(ali)",IF(AND(BP280&lt;&gt;"",BP280&lt;&gt;BO280),"(raz-klu)","klu"))))</f>
        <v/>
      </c>
      <c r="EF280" s="73" t="str">
        <f>IF(AL280="","","kat"&amp;IF(AND(W280&lt;&gt;Q280,Q280&lt;&gt;"Open"),"(ali)",""))</f>
        <v/>
      </c>
      <c r="EG280" s="73" t="str">
        <f t="shared" si="259"/>
        <v/>
      </c>
      <c r="EH280" s="66" t="str">
        <f>IF(AL280="","",ED280&amp;IF(ED280="novo","","-"&amp;EE280&amp;"-"&amp;EF280)&amp;IF(EG280="","","-"&amp;EG280))</f>
        <v/>
      </c>
      <c r="EI280" s="47" t="s">
        <v>0</v>
      </c>
      <c r="EJ280" s="58" t="str">
        <f>IF(AL280="","",MAX(EJ$12:EJ279)+1)</f>
        <v/>
      </c>
      <c r="EK280" s="73" t="str">
        <f>IF(AO280="","",X280)</f>
        <v/>
      </c>
      <c r="EL280" s="73" t="str">
        <f t="shared" si="288"/>
        <v/>
      </c>
      <c r="EM280" s="73" t="str">
        <f t="shared" si="260"/>
        <v/>
      </c>
      <c r="EN280" s="73" t="str">
        <f t="shared" si="261"/>
        <v/>
      </c>
      <c r="EO280" s="73" t="str">
        <f t="shared" si="289"/>
        <v/>
      </c>
      <c r="EP280" s="73" t="str">
        <f t="shared" si="290"/>
        <v/>
      </c>
      <c r="EQ280" s="73" t="str">
        <f t="shared" si="262"/>
        <v/>
      </c>
      <c r="ER280" s="73" t="str">
        <f>IF(OR(AN280="",AN280="NEMA"),BB280,AN280)</f>
        <v/>
      </c>
      <c r="ES280" s="73" t="str">
        <f>IF(AND(BN280&lt;&gt;"",BN280&lt;&gt;"NEMA"),BN280,IF(CG280&lt;&gt;"",CG280,IF(AND(CL280&lt;&gt;"",CL280&lt;&gt;"NEMA"),CL280,IF(CM280&lt;&gt;"",CM280,""))))</f>
        <v/>
      </c>
      <c r="ET280" s="53" t="str">
        <f>IF(INDEX(natKategorija_alias_Id,MATCH(S280,natKategorija_katRegId,0))="","",INDEX(natKategorija_alias_Id,MATCH(S280,natKategorija_katRegId,0)))</f>
        <v/>
      </c>
      <c r="EU280" s="47" t="s">
        <v>0</v>
      </c>
      <c r="EV280" s="19" t="str">
        <f t="shared" si="291"/>
        <v/>
      </c>
      <c r="EW280" s="47" t="s">
        <v>0</v>
      </c>
      <c r="EX280" s="19" t="str">
        <f t="shared" si="292"/>
        <v/>
      </c>
      <c r="EY280" s="47" t="s">
        <v>0</v>
      </c>
      <c r="EZ280" s="180" t="str">
        <f>AG280&amp;IF(CP280="","","
")&amp;CP280&amp;IF(CI280="","","
")&amp;CI280&amp;IF(DN280="","","
")&amp;DN280&amp;IF(DP280="","","
")&amp;DP280&amp;IF(EV280="","","
")&amp;EV280&amp;IF(EX280="","","
")&amp;EX280</f>
        <v/>
      </c>
      <c r="FA280" s="47" t="s">
        <v>0</v>
      </c>
    </row>
    <row r="281" spans="1:157" x14ac:dyDescent="0.25">
      <c r="A281" t="s">
        <v>0</v>
      </c>
      <c r="B281" s="52" t="str">
        <f>IF(csv!F271="","",csv!T271)</f>
        <v>Ž21B</v>
      </c>
      <c r="C281" s="31" t="s">
        <v>0</v>
      </c>
      <c r="D281" s="31" t="str">
        <f>IF(csv!F271="","",csv!F271)</f>
        <v>Iva</v>
      </c>
      <c r="E281" s="31" t="str">
        <f>IF(csv!E271="","",csv!E271)</f>
        <v>Stipeljković</v>
      </c>
      <c r="F281" s="31" t="s">
        <v>0</v>
      </c>
      <c r="G281" s="73" t="str">
        <f>IF(csv!M271="","",csv!M271)</f>
        <v/>
      </c>
      <c r="H281" s="73" t="str">
        <f>IF(csv!N271="","",csv!N271)</f>
        <v>2</v>
      </c>
      <c r="I281" s="31" t="s">
        <v>0</v>
      </c>
      <c r="J281" s="31" t="str">
        <f>IF(csv!P271="","",csv!P271)</f>
        <v>Vihor</v>
      </c>
      <c r="K281" s="31" t="str">
        <f>IF(csv!Q271="","",csv!Q271)</f>
        <v>OK Vihor</v>
      </c>
      <c r="L281" s="31" t="s">
        <v>0</v>
      </c>
      <c r="M281" s="66" t="str">
        <f>IF(csv!R271="","",csv!R271)</f>
        <v>CRO</v>
      </c>
      <c r="N281" s="47" t="s">
        <v>0</v>
      </c>
      <c r="O281" s="243" t="str">
        <f t="shared" si="263"/>
        <v>ok</v>
      </c>
      <c r="P281" s="47"/>
      <c r="Q281" s="52" t="str">
        <f t="shared" si="264"/>
        <v>Ž21B</v>
      </c>
      <c r="R281" s="73">
        <f>IF(Q281="","",IF(COUNTIF(Q$12:Q280,Q281)=0,R280+1,R280))</f>
        <v>18</v>
      </c>
      <c r="S281" s="73">
        <f t="shared" si="265"/>
        <v>118</v>
      </c>
      <c r="T281" s="73">
        <f t="shared" si="240"/>
        <v>27</v>
      </c>
      <c r="U281" s="66" t="str">
        <f t="shared" si="241"/>
        <v>Ž21B – Ž16</v>
      </c>
      <c r="V281" s="47" t="s">
        <v>0</v>
      </c>
      <c r="W281" s="222" t="str">
        <f t="shared" si="242"/>
        <v>Ž21B</v>
      </c>
      <c r="X281" s="223">
        <f t="shared" si="243"/>
        <v>40</v>
      </c>
      <c r="Y281" s="47" t="s">
        <v>0</v>
      </c>
      <c r="Z281" s="52" t="str">
        <f t="shared" si="266"/>
        <v>CRO</v>
      </c>
      <c r="AA281" s="73">
        <f t="shared" si="244"/>
        <v>1</v>
      </c>
      <c r="AB281" s="31" t="str">
        <f t="shared" si="267"/>
        <v/>
      </c>
      <c r="AC281" s="66" t="str">
        <f>IF(AB281="","",MAX(AC$12:AC280)+1)</f>
        <v/>
      </c>
      <c r="AD281" s="47" t="s">
        <v>0</v>
      </c>
      <c r="AE281" s="125"/>
      <c r="AF281" s="47" t="s">
        <v>0</v>
      </c>
      <c r="AG281" s="19" t="str">
        <f t="shared" si="268"/>
        <v/>
      </c>
      <c r="AH281" s="47" t="s">
        <v>0</v>
      </c>
      <c r="AI281" s="143" t="str">
        <f t="shared" si="269"/>
        <v>CRO</v>
      </c>
      <c r="AJ281" s="47"/>
      <c r="AK281" s="52" t="str">
        <f t="shared" si="270"/>
        <v>Iva</v>
      </c>
      <c r="AL281" s="31" t="str">
        <f t="shared" si="271"/>
        <v>Stipeljković</v>
      </c>
      <c r="AM281" s="73">
        <f t="shared" si="272"/>
        <v>1905</v>
      </c>
      <c r="AN281" s="73" t="str">
        <f t="shared" si="273"/>
        <v/>
      </c>
      <c r="AO281" s="31" t="str">
        <f t="shared" si="245"/>
        <v>Iva</v>
      </c>
      <c r="AP281" s="66" t="str">
        <f t="shared" si="246"/>
        <v>Stipeljković</v>
      </c>
      <c r="AQ281" s="47" t="s">
        <v>0</v>
      </c>
      <c r="AR281" s="82" t="str">
        <f t="shared" si="274"/>
        <v/>
      </c>
      <c r="AS281" s="47" t="s">
        <v>0</v>
      </c>
      <c r="AT281" s="19" t="str">
        <f t="shared" si="275"/>
        <v/>
      </c>
      <c r="AU281" s="47" t="s">
        <v>0</v>
      </c>
      <c r="AV281" s="103"/>
      <c r="AW281" s="105"/>
      <c r="AX281" s="47" t="s">
        <v>0</v>
      </c>
      <c r="AY281" s="256" t="str">
        <f t="shared" si="293"/>
        <v/>
      </c>
      <c r="AZ281" s="47" t="s">
        <v>0</v>
      </c>
      <c r="BA281" s="52" t="str">
        <f t="shared" si="247"/>
        <v/>
      </c>
      <c r="BB281" s="73" t="str">
        <f>IF(AV281&amp;AW281="","",MAX(BB$12:BB280)+1)</f>
        <v/>
      </c>
      <c r="BC281" s="268" t="str">
        <f t="shared" si="248"/>
        <v/>
      </c>
      <c r="BD281" s="53" t="str">
        <f>IF(AND(AM281="NEMA",AN281="NEMA",OR(AV281&amp;AW281="",BC281="NEMA")),MAX(BD$12:BD280)+1,"")</f>
        <v/>
      </c>
      <c r="BE281" s="47" t="s">
        <v>0</v>
      </c>
      <c r="BF281" s="52" t="str">
        <f t="shared" si="249"/>
        <v>Iva</v>
      </c>
      <c r="BG281" s="31" t="str">
        <f t="shared" si="250"/>
        <v>Stipeljković</v>
      </c>
      <c r="BH281" s="73" t="str">
        <f t="shared" si="276"/>
        <v/>
      </c>
      <c r="BI281" s="53">
        <f t="shared" si="277"/>
        <v>1905</v>
      </c>
      <c r="BJ281" s="47" t="s">
        <v>0</v>
      </c>
      <c r="BK281" s="52" t="str">
        <f t="shared" si="251"/>
        <v>Vihor</v>
      </c>
      <c r="BL281" s="31" t="str">
        <f t="shared" si="252"/>
        <v>OK Vihor</v>
      </c>
      <c r="BM281" s="73">
        <f t="shared" si="253"/>
        <v>12</v>
      </c>
      <c r="BN281" s="73" t="str">
        <f t="shared" si="254"/>
        <v/>
      </c>
      <c r="BO281" s="31" t="str" cm="1">
        <f t="array" ref="BO281">IF(BN281="",""&amp;BL281,IF(BN281="NEMA",BL281,INDEX(regKlub_naziv,MATCH(INDEX(regKlub_alias_klubId,BN281),regKlub_id,0))))</f>
        <v>OK Vihor</v>
      </c>
      <c r="BP281" s="31" t="str" cm="1">
        <f t="array" ref="BP281">IFERROR(""&amp;INDEX(regNatjecatelj_klub,DY281),"")</f>
        <v>OK Vihor</v>
      </c>
      <c r="BQ281" s="88" t="str">
        <f t="shared" si="278"/>
        <v/>
      </c>
      <c r="BR281" s="66" t="str">
        <f t="shared" si="279"/>
        <v>OK Vihor</v>
      </c>
      <c r="BS281" s="47" t="s">
        <v>0</v>
      </c>
      <c r="BT281" s="82" t="str">
        <f>IF(BN281&lt;&gt;"NEMA","",IF(IFERROR(MATCH(BL281,BL$12:BL280,0),0)&lt;&gt;0,"",BL281))</f>
        <v/>
      </c>
      <c r="BU281" s="47" t="s">
        <v>0</v>
      </c>
      <c r="BV281" s="125"/>
      <c r="BW281" s="47" t="s">
        <v>0</v>
      </c>
      <c r="BX281" s="58" t="str">
        <f t="shared" si="280"/>
        <v/>
      </c>
      <c r="BY281" s="31" t="str">
        <f t="shared" si="281"/>
        <v/>
      </c>
      <c r="BZ281" s="31" t="str">
        <f>IF(BY281="","",MAX(BZ$12:BZ280)+1)</f>
        <v/>
      </c>
      <c r="CA281" s="31" t="str">
        <f>IF(BY281="","",IF(AA281="","",IF(AA281="NEMA",AC281,AA281)))</f>
        <v/>
      </c>
      <c r="CB281" s="31" t="str">
        <f t="shared" si="282"/>
        <v/>
      </c>
      <c r="CC281" s="31" t="str">
        <f>IF(BV281="","",MAX(CC$12:CC280)+1)</f>
        <v/>
      </c>
      <c r="CD281" s="31" t="str">
        <f t="shared" si="283"/>
        <v/>
      </c>
      <c r="CE281" s="66" t="str">
        <f t="shared" si="284"/>
        <v/>
      </c>
      <c r="CF281" s="47" t="s">
        <v>0</v>
      </c>
      <c r="CG281" s="73" t="str">
        <f>IF(BN281="","",IF(BN281&lt;&gt;"NEMA","",IFERROR(INDEX(nat_klubAliasId,MATCH(BL281,nat_noviKluboviAliasi,0)),"")))</f>
        <v/>
      </c>
      <c r="CH281" s="47"/>
      <c r="CI281" s="19" t="str">
        <f t="shared" si="285"/>
        <v/>
      </c>
      <c r="CJ281" s="47" t="s">
        <v>0</v>
      </c>
      <c r="CK281" s="52" t="str">
        <f>IF(X281&lt;&gt;"NEMA","",IF(IFERROR(MATCH(W281,W$12:W280,0),0)&lt;&gt;0,"",W281))</f>
        <v/>
      </c>
      <c r="CL281" s="73" t="str">
        <f>IF(CK281="","",IFERROR(INDEX(regKlub_alias_id,MATCH(CK281,regKlub_alias_alias,0)),"NEMA"))</f>
        <v/>
      </c>
      <c r="CM281" s="31" t="str">
        <f>IF(OR(CL281="",CL281&lt;&gt;"NEMA"),"",MAX(CM$12:CM280)+1)</f>
        <v/>
      </c>
      <c r="CN281" s="66" t="str">
        <f>IF(OR(CL281="",CL281&lt;&gt;"NEMA"),"",INDEX(regKlub_id,MATCH(CK281,regKlub_naziv,0)))</f>
        <v/>
      </c>
      <c r="CO281" s="47" t="s">
        <v>0</v>
      </c>
      <c r="CP281" s="19" t="str">
        <f>IF(OR(CL281="",CL281&lt;&gt;"NEMA"),"","INSERT INTO klub_alias(id,alias,klub_id) VALUES ("&amp;CM281&amp;",'"&amp;CK281&amp;"',"&amp;CN281&amp;");")</f>
        <v/>
      </c>
      <c r="CQ281" s="47" t="s">
        <v>0</v>
      </c>
      <c r="CR281" s="143" t="str">
        <f>IF(BR281="","",IF(BV281="",IF(IFERROR(MATCH(BR281,nat_noviKluboviAliasi,0),0)&gt;0,INDEX(nat_kluboviAliasi,MATCH(BR281,nat_noviKluboviAliasi,0)),BR281),BV281))</f>
        <v>OK Vihor</v>
      </c>
      <c r="CS281" s="47" t="s">
        <v>0</v>
      </c>
      <c r="CT281" s="58" t="str">
        <f>IF(G281="","",G281)</f>
        <v/>
      </c>
      <c r="CU281" s="73" t="str">
        <f>IF(H281="","",H281)</f>
        <v>2</v>
      </c>
      <c r="CV281" s="229" t="str">
        <f>IF(CT281="",IF(OR(AL281="",CU281&lt;&gt;"0"),"","GREŠKA"),IF(AND(65535&gt;=VALUE(LEFT(CT281,SEARCH(":",CT281)-1))*60+VALUE(RIGHT(CT281,2)),OR(CU281="0",CU281="1",CU281="2",CU281="3",CU281="4")),"","GREŠKA"))</f>
        <v/>
      </c>
      <c r="CW281" s="230" t="str">
        <f t="shared" si="239"/>
        <v/>
      </c>
      <c r="CX281" s="163">
        <f t="shared" si="255"/>
        <v>4</v>
      </c>
      <c r="CY281" s="47" t="s">
        <v>0</v>
      </c>
      <c r="CZ281" s="222" t="str">
        <f>IF(CV281&lt;&gt;"GREŠKA","",AK281&amp;" "&amp;AL281&amp;" – Molim u OEventu provjeriti i ispraviti rezultat – vrijeme ("&amp;IF(CT281="","nije upisano",CT281)&amp;") i classifier ("&amp;CU281&amp;").")&amp;IF(OR(CV281&lt;&gt;"GREŠKA",CX281&lt;&gt;5),"
","")&amp;IF(CX281&lt;&gt;5,"",AK281&amp;" "&amp;AL281&amp;" – Molim u provjeriti je li natjecatelj zaista diskvalificiran. Ako je koje je obrazloženje, ako nije molim u OEventu ispraviti rezultat")</f>
        <v xml:space="preserve">
</v>
      </c>
      <c r="DA281" s="223">
        <f t="shared" si="286"/>
        <v>5</v>
      </c>
      <c r="DB281" s="47" t="s">
        <v>0</v>
      </c>
      <c r="DC281" s="47"/>
      <c r="DD281" s="47"/>
      <c r="DE281" s="47"/>
      <c r="DF281" s="47" t="s">
        <v>0</v>
      </c>
      <c r="DG281" s="53" t="str">
        <f>IF(BD281="","",IF(DI281="O",1,""))</f>
        <v/>
      </c>
      <c r="DH281" t="s">
        <v>0</v>
      </c>
      <c r="DI281" s="128" t="str">
        <f>IF(Q281="","",LEFT(INDEX(regKategorija_oznaka,MATCH(S281,regKategorija_id,0)),1))</f>
        <v>Ž</v>
      </c>
      <c r="DJ281" t="s">
        <v>0</v>
      </c>
      <c r="DK281" s="52" t="str">
        <f>IF(BD281="","",IF(M281&lt;&gt;"CRO","","INSERT INTO osoba (id,reg_broj,oib,spol_id,dat_rodjenja) VALUES ("&amp;BD281&amp;",(SELECT max(os.reg_broj)+1 FROM osoba AS os),Null,'"&amp;DI281&amp;"',Null); INSERT INTO osoba_log (id,reg_broj,oib,spol_id,dat_rodjenja,dnevnik_id) SELECT id,reg_broj,oib,spol_id,dat_rodjenja,"&amp;data_dnevnik_id&amp;" FROM osoba WHERE id = "&amp;BD281&amp;";"))</f>
        <v/>
      </c>
      <c r="DL281" s="66" t="str">
        <f>IF(BD281="","","INSERT INTO imeprezime (id,osoba_id,rbr,ime,prezime,klub_id,identitet_id,sintaksa_id,info,aktivno,dnevnik_id) VALUES ("&amp;BD281&amp;","&amp;IF(DK281="","Null",BD281)&amp;",1,'"&amp;IF(AV281&lt;&gt;"",AV281,AK281)&amp;"','"&amp;IF(AW281&lt;&gt;"",AW281,AL281)&amp;"',(SELECT id FROM klub WHERE naziv = '"&amp;CR281&amp;"'),Null,1,'',1,"&amp;data_dnevnik_id&amp;");")</f>
        <v/>
      </c>
      <c r="DM281" t="s">
        <v>0</v>
      </c>
      <c r="DN281" s="19" t="str">
        <f t="shared" si="294"/>
        <v/>
      </c>
      <c r="DO281" s="47" t="s">
        <v>0</v>
      </c>
      <c r="DP281" s="19" t="str">
        <f>IF(BA281="","","INSERT INTO imeprezime_alias(id,alias,imeprezime_id) VALUES ("&amp;BB281&amp;",'"&amp;BA281&amp;"',"&amp;IF(BC281="NEMA",BD281,BC281)&amp;");")</f>
        <v/>
      </c>
      <c r="DQ281" s="47" t="s">
        <v>0</v>
      </c>
      <c r="DR281" s="52" t="str">
        <f>IF(AL281="","",DU281 &amp; IF(Q281="",""," – " &amp; Q281))</f>
        <v>Iva – Stipeljković – OK Vihor – Ž21B</v>
      </c>
      <c r="DS281" s="53">
        <f t="shared" si="256"/>
        <v>910</v>
      </c>
      <c r="DT281" s="47" t="s">
        <v>0</v>
      </c>
      <c r="DU281" s="52" t="str">
        <f>IF(AL281="","",DX281 &amp; IF(CR281="",""," – " &amp; CR281))</f>
        <v>Iva – Stipeljković – OK Vihor</v>
      </c>
      <c r="DV281" s="53">
        <f t="shared" si="257"/>
        <v>910</v>
      </c>
      <c r="DW281" s="47" t="s">
        <v>0</v>
      </c>
      <c r="DX281" s="52" t="str">
        <f>IF(BG281="","",BF281&amp;" – "&amp;BG281)</f>
        <v>Iva – Stipeljković</v>
      </c>
      <c r="DY281" s="53">
        <f t="shared" si="258"/>
        <v>910</v>
      </c>
      <c r="DZ281" s="47" t="s">
        <v>0</v>
      </c>
      <c r="EA281" s="58">
        <f t="shared" si="287"/>
        <v>910</v>
      </c>
      <c r="EB281" s="53" cm="1">
        <f t="array" ref="EB281">IF(EA281&lt;&gt;"",INDEX(regNatjecatelj_id,EA281,0),IF(BD281&lt;&gt;"",BD281,""))</f>
        <v>1905</v>
      </c>
      <c r="EC281" s="47" t="s">
        <v>0</v>
      </c>
      <c r="ED281" s="58" t="str">
        <f>IF(AL281="","",IF(BD281&lt;&gt;"","novo",IF(AN281="","imepre","imepre(ali)")))</f>
        <v>imepre</v>
      </c>
      <c r="EE281" s="73" t="str">
        <f>IF(AL281="","",IF(BL281="",IF(IFERROR(INDEX(regNatjecatelj_klub,MATCH(EB281,regNatjecatelj_id,0)),"NEMA")="","klu",""),IF(OR(AND(BN281&lt;&gt;"",BN281&lt;&gt;"NEMA"),CD281&lt;&gt;""),"klu(ali)",IF(AND(BP281&lt;&gt;"",BP281&lt;&gt;BO281),"(raz-klu)","klu"))))</f>
        <v>klu</v>
      </c>
      <c r="EF281" s="73" t="str">
        <f>IF(AL281="","","kat"&amp;IF(AND(W281&lt;&gt;Q281,Q281&lt;&gt;"Open"),"(ali)",""))</f>
        <v>kat</v>
      </c>
      <c r="EG281" s="73" t="str">
        <f t="shared" si="259"/>
        <v/>
      </c>
      <c r="EH281" s="66" t="str">
        <f>IF(AL281="","",ED281&amp;IF(ED281="novo","","-"&amp;EE281&amp;"-"&amp;EF281)&amp;IF(EG281="","","-"&amp;EG281))</f>
        <v>imepre-klu-kat</v>
      </c>
      <c r="EI281" s="47" t="s">
        <v>0</v>
      </c>
      <c r="EJ281" s="58">
        <f>IF(AL281="","",MAX(EJ$12:EJ280)+1)</f>
        <v>431</v>
      </c>
      <c r="EK281" s="73">
        <f>IF(AO281="","",X281)</f>
        <v>40</v>
      </c>
      <c r="EL281" s="73">
        <f t="shared" si="288"/>
        <v>1905</v>
      </c>
      <c r="EM281" s="73" t="str">
        <f t="shared" si="260"/>
        <v/>
      </c>
      <c r="EN281" s="73">
        <f t="shared" si="261"/>
        <v>4</v>
      </c>
      <c r="EO281" s="73">
        <f t="shared" si="289"/>
        <v>1</v>
      </c>
      <c r="EP281" s="73">
        <f t="shared" si="290"/>
        <v>1</v>
      </c>
      <c r="EQ281" s="73" t="str">
        <f t="shared" si="262"/>
        <v>2</v>
      </c>
      <c r="ER281" s="73" t="str">
        <f>IF(OR(AN281="",AN281="NEMA"),BB281,AN281)</f>
        <v/>
      </c>
      <c r="ES281" s="73" t="str">
        <f>IF(AND(BN281&lt;&gt;"",BN281&lt;&gt;"NEMA"),BN281,IF(CG281&lt;&gt;"",CG281,IF(AND(CL281&lt;&gt;"",CL281&lt;&gt;"NEMA"),CL281,IF(CM281&lt;&gt;"",CM281,""))))</f>
        <v/>
      </c>
      <c r="ET281" s="53" t="str">
        <f>IF(INDEX(natKategorija_alias_Id,MATCH(S281,natKategorija_katRegId,0))="","",INDEX(natKategorija_alias_Id,MATCH(S281,natKategorija_katRegId,0)))</f>
        <v/>
      </c>
      <c r="EU281" s="47" t="s">
        <v>0</v>
      </c>
      <c r="EV281" s="19" t="str">
        <f t="shared" si="291"/>
        <v>INSERT INTO rezultat(id,stazakategorija_id,imeprezime_id,vrijeme_sec,status_id,registracija,uparivanje_id,originalstatus_id,imeprezimealias_id,klubalias_id,kategorijaalias_id) VALUES (431,40,1905,Null,4,1,1,2,Null,Null,Null);</v>
      </c>
      <c r="EW281" s="47" t="s">
        <v>0</v>
      </c>
      <c r="EX281" s="19" t="str">
        <f t="shared" si="292"/>
        <v>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1" s="47" t="s">
        <v>0</v>
      </c>
      <c r="EZ281" s="180" t="str">
        <f>AG281&amp;IF(CP281="","","
")&amp;CP281&amp;IF(CI281="","","
")&amp;CI281&amp;IF(DN281="","","
")&amp;DN281&amp;IF(DP281="","","
")&amp;DP281&amp;IF(EV281="","","
")&amp;EV281&amp;IF(EX281="","","
")&amp;EX281</f>
        <v xml:space="preserve">
INSERT INTO rezultat(id,stazakategorija_id,imeprezime_id,vrijeme_sec,status_id,registracija,uparivanje_id,originalstatus_id,imeprezimealias_id,klubalias_id,kategorijaalias_id) VALUES (431,40,1905,Null,4,1,1,2,Null,Null,Null);
UPDATE
	registar
SET
	potvrda = 1
WHERE
	imeprezime_id=1905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1" s="47" t="s">
        <v>0</v>
      </c>
    </row>
    <row r="282" spans="1:157" x14ac:dyDescent="0.25">
      <c r="A282" t="s">
        <v>0</v>
      </c>
      <c r="B282" s="52" t="str">
        <f>IF(csv!F272="","",csv!T272)</f>
        <v>Ž21B</v>
      </c>
      <c r="C282" s="31" t="s">
        <v>0</v>
      </c>
      <c r="D282" s="31" t="str">
        <f>IF(csv!F272="","",csv!F272)</f>
        <v>Martina</v>
      </c>
      <c r="E282" s="31" t="str">
        <f>IF(csv!E272="","",csv!E272)</f>
        <v>Martin</v>
      </c>
      <c r="F282" s="31" t="s">
        <v>0</v>
      </c>
      <c r="G282" s="73" t="str">
        <f>IF(csv!M272="","",csv!M272)</f>
        <v/>
      </c>
      <c r="H282" s="73" t="str">
        <f>IF(csv!N272="","",csv!N272)</f>
        <v>1</v>
      </c>
      <c r="I282" s="31" t="s">
        <v>0</v>
      </c>
      <c r="J282" s="31" t="str">
        <f>IF(csv!P272="","",csv!P272)</f>
        <v>KAP</v>
      </c>
      <c r="K282" s="31" t="str">
        <f>IF(csv!Q272="","",csv!Q272)</f>
        <v>OK Kapela</v>
      </c>
      <c r="L282" s="31" t="s">
        <v>0</v>
      </c>
      <c r="M282" s="66" t="str">
        <f>IF(csv!R272="","",csv!R272)</f>
        <v>CRO</v>
      </c>
      <c r="N282" s="47" t="s">
        <v>0</v>
      </c>
      <c r="O282" s="243" t="str">
        <f t="shared" si="263"/>
        <v>ok</v>
      </c>
      <c r="P282" s="47"/>
      <c r="Q282" s="52" t="str">
        <f t="shared" si="264"/>
        <v>Ž21B</v>
      </c>
      <c r="R282" s="73">
        <f>IF(Q282="","",IF(COUNTIF(Q$12:Q281,Q282)=0,R281+1,R281))</f>
        <v>18</v>
      </c>
      <c r="S282" s="73">
        <f t="shared" si="265"/>
        <v>118</v>
      </c>
      <c r="T282" s="73">
        <f t="shared" si="240"/>
        <v>27</v>
      </c>
      <c r="U282" s="66" t="str">
        <f t="shared" si="241"/>
        <v>Ž21B – Ž16</v>
      </c>
      <c r="V282" s="47" t="s">
        <v>0</v>
      </c>
      <c r="W282" s="222" t="str">
        <f t="shared" si="242"/>
        <v>Ž21B</v>
      </c>
      <c r="X282" s="223">
        <f t="shared" si="243"/>
        <v>40</v>
      </c>
      <c r="Y282" s="47" t="s">
        <v>0</v>
      </c>
      <c r="Z282" s="52" t="str">
        <f t="shared" si="266"/>
        <v>CRO</v>
      </c>
      <c r="AA282" s="73">
        <f t="shared" si="244"/>
        <v>1</v>
      </c>
      <c r="AB282" s="31" t="str">
        <f t="shared" si="267"/>
        <v/>
      </c>
      <c r="AC282" s="66" t="str">
        <f>IF(AB282="","",MAX(AC$12:AC281)+1)</f>
        <v/>
      </c>
      <c r="AD282" s="47" t="s">
        <v>0</v>
      </c>
      <c r="AE282" s="125"/>
      <c r="AF282" s="47" t="s">
        <v>0</v>
      </c>
      <c r="AG282" s="19" t="str">
        <f t="shared" si="268"/>
        <v/>
      </c>
      <c r="AH282" s="47" t="s">
        <v>0</v>
      </c>
      <c r="AI282" s="143" t="str">
        <f t="shared" si="269"/>
        <v>CRO</v>
      </c>
      <c r="AJ282" s="47"/>
      <c r="AK282" s="52" t="str">
        <f t="shared" si="270"/>
        <v>Martina</v>
      </c>
      <c r="AL282" s="31" t="str">
        <f t="shared" si="271"/>
        <v>Martin</v>
      </c>
      <c r="AM282" s="73">
        <f t="shared" si="272"/>
        <v>1866</v>
      </c>
      <c r="AN282" s="73" t="str">
        <f t="shared" si="273"/>
        <v/>
      </c>
      <c r="AO282" s="31" t="str">
        <f t="shared" si="245"/>
        <v>Martina</v>
      </c>
      <c r="AP282" s="66" t="str">
        <f t="shared" si="246"/>
        <v>Martin</v>
      </c>
      <c r="AQ282" s="47" t="s">
        <v>0</v>
      </c>
      <c r="AR282" s="82" t="str">
        <f t="shared" si="274"/>
        <v/>
      </c>
      <c r="AS282" s="47" t="s">
        <v>0</v>
      </c>
      <c r="AT282" s="19" t="str">
        <f t="shared" si="275"/>
        <v/>
      </c>
      <c r="AU282" s="47" t="s">
        <v>0</v>
      </c>
      <c r="AV282" s="103"/>
      <c r="AW282" s="105"/>
      <c r="AX282" s="47" t="s">
        <v>0</v>
      </c>
      <c r="AY282" s="256" t="str">
        <f t="shared" si="293"/>
        <v/>
      </c>
      <c r="AZ282" s="47" t="s">
        <v>0</v>
      </c>
      <c r="BA282" s="52" t="str">
        <f t="shared" si="247"/>
        <v/>
      </c>
      <c r="BB282" s="73" t="str">
        <f>IF(AV282&amp;AW282="","",MAX(BB$12:BB281)+1)</f>
        <v/>
      </c>
      <c r="BC282" s="268" t="str">
        <f t="shared" si="248"/>
        <v/>
      </c>
      <c r="BD282" s="53" t="str">
        <f>IF(AND(AM282="NEMA",AN282="NEMA",OR(AV282&amp;AW282="",BC282="NEMA")),MAX(BD$12:BD281)+1,"")</f>
        <v/>
      </c>
      <c r="BE282" s="47" t="s">
        <v>0</v>
      </c>
      <c r="BF282" s="52" t="str">
        <f t="shared" si="249"/>
        <v>Martina</v>
      </c>
      <c r="BG282" s="31" t="str">
        <f t="shared" si="250"/>
        <v>Martin</v>
      </c>
      <c r="BH282" s="73" t="str">
        <f t="shared" si="276"/>
        <v/>
      </c>
      <c r="BI282" s="53">
        <f t="shared" si="277"/>
        <v>1866</v>
      </c>
      <c r="BJ282" s="47" t="s">
        <v>0</v>
      </c>
      <c r="BK282" s="52" t="str">
        <f t="shared" si="251"/>
        <v>KAP</v>
      </c>
      <c r="BL282" s="31" t="str">
        <f t="shared" si="252"/>
        <v>OK Kapela</v>
      </c>
      <c r="BM282" s="73">
        <f t="shared" si="253"/>
        <v>5</v>
      </c>
      <c r="BN282" s="73" t="str">
        <f t="shared" si="254"/>
        <v/>
      </c>
      <c r="BO282" s="31" t="str" cm="1">
        <f t="array" ref="BO282">IF(BN282="",""&amp;BL282,IF(BN282="NEMA",BL282,INDEX(regKlub_naziv,MATCH(INDEX(regKlub_alias_klubId,BN282),regKlub_id,0))))</f>
        <v>OK Kapela</v>
      </c>
      <c r="BP282" s="31" t="str" cm="1">
        <f t="array" ref="BP282">IFERROR(""&amp;INDEX(regNatjecatelj_klub,DY282),"")</f>
        <v>OK Kapela</v>
      </c>
      <c r="BQ282" s="88" t="str">
        <f t="shared" si="278"/>
        <v/>
      </c>
      <c r="BR282" s="66" t="str">
        <f t="shared" si="279"/>
        <v>OK Kapela</v>
      </c>
      <c r="BS282" s="47" t="s">
        <v>0</v>
      </c>
      <c r="BT282" s="82" t="str">
        <f>IF(BN282&lt;&gt;"NEMA","",IF(IFERROR(MATCH(BL282,BL$12:BL281,0),0)&lt;&gt;0,"",BL282))</f>
        <v/>
      </c>
      <c r="BU282" s="47" t="s">
        <v>0</v>
      </c>
      <c r="BV282" s="125"/>
      <c r="BW282" s="47" t="s">
        <v>0</v>
      </c>
      <c r="BX282" s="58" t="str">
        <f t="shared" si="280"/>
        <v/>
      </c>
      <c r="BY282" s="31" t="str">
        <f t="shared" si="281"/>
        <v/>
      </c>
      <c r="BZ282" s="31" t="str">
        <f>IF(BY282="","",MAX(BZ$12:BZ281)+1)</f>
        <v/>
      </c>
      <c r="CA282" s="31" t="str">
        <f>IF(BY282="","",IF(AA282="","",IF(AA282="NEMA",AC282,AA282)))</f>
        <v/>
      </c>
      <c r="CB282" s="31" t="str">
        <f t="shared" si="282"/>
        <v/>
      </c>
      <c r="CC282" s="31" t="str">
        <f>IF(BV282="","",MAX(CC$12:CC281)+1)</f>
        <v/>
      </c>
      <c r="CD282" s="31" t="str">
        <f t="shared" si="283"/>
        <v/>
      </c>
      <c r="CE282" s="66" t="str">
        <f t="shared" si="284"/>
        <v/>
      </c>
      <c r="CF282" s="47" t="s">
        <v>0</v>
      </c>
      <c r="CG282" s="73" t="str">
        <f>IF(BN282="","",IF(BN282&lt;&gt;"NEMA","",IFERROR(INDEX(nat_klubAliasId,MATCH(BL282,nat_noviKluboviAliasi,0)),"")))</f>
        <v/>
      </c>
      <c r="CH282" s="47"/>
      <c r="CI282" s="19" t="str">
        <f t="shared" si="285"/>
        <v/>
      </c>
      <c r="CJ282" s="47" t="s">
        <v>0</v>
      </c>
      <c r="CK282" s="52" t="str">
        <f>IF(X282&lt;&gt;"NEMA","",IF(IFERROR(MATCH(W282,W$12:W281,0),0)&lt;&gt;0,"",W282))</f>
        <v/>
      </c>
      <c r="CL282" s="73" t="str">
        <f>IF(CK282="","",IFERROR(INDEX(regKlub_alias_id,MATCH(CK282,regKlub_alias_alias,0)),"NEMA"))</f>
        <v/>
      </c>
      <c r="CM282" s="31" t="str">
        <f>IF(OR(CL282="",CL282&lt;&gt;"NEMA"),"",MAX(CM$12:CM281)+1)</f>
        <v/>
      </c>
      <c r="CN282" s="66" t="str">
        <f>IF(OR(CL282="",CL282&lt;&gt;"NEMA"),"",INDEX(regKlub_id,MATCH(CK282,regKlub_naziv,0)))</f>
        <v/>
      </c>
      <c r="CO282" s="47" t="s">
        <v>0</v>
      </c>
      <c r="CP282" s="19" t="str">
        <f>IF(OR(CL282="",CL282&lt;&gt;"NEMA"),"","INSERT INTO klub_alias(id,alias,klub_id) VALUES ("&amp;CM282&amp;",'"&amp;CK282&amp;"',"&amp;CN282&amp;");")</f>
        <v/>
      </c>
      <c r="CQ282" s="47" t="s">
        <v>0</v>
      </c>
      <c r="CR282" s="143" t="str">
        <f>IF(BR282="","",IF(BV282="",IF(IFERROR(MATCH(BR282,nat_noviKluboviAliasi,0),0)&gt;0,INDEX(nat_kluboviAliasi,MATCH(BR282,nat_noviKluboviAliasi,0)),BR282),BV282))</f>
        <v>OK Kapela</v>
      </c>
      <c r="CS282" s="47" t="s">
        <v>0</v>
      </c>
      <c r="CT282" s="58" t="str">
        <f>IF(G282="","",G282)</f>
        <v/>
      </c>
      <c r="CU282" s="73" t="str">
        <f>IF(H282="","",H282)</f>
        <v>1</v>
      </c>
      <c r="CV282" s="229" t="str">
        <f>IF(CT282="",IF(OR(AL282="",CU282&lt;&gt;"0"),"","GREŠKA"),IF(AND(65535&gt;=VALUE(LEFT(CT282,SEARCH(":",CT282)-1))*60+VALUE(RIGHT(CT282,2)),OR(CU282="0",CU282="1",CU282="2",CU282="3",CU282="4")),"","GREŠKA"))</f>
        <v/>
      </c>
      <c r="CW282" s="230" t="str">
        <f t="shared" si="239"/>
        <v/>
      </c>
      <c r="CX282" s="163">
        <f t="shared" si="255"/>
        <v>6</v>
      </c>
      <c r="CY282" s="47" t="s">
        <v>0</v>
      </c>
      <c r="CZ282" s="222" t="str">
        <f>IF(CV282&lt;&gt;"GREŠKA","",AK282&amp;" "&amp;AL282&amp;" – Molim u OEventu provjeriti i ispraviti rezultat – vrijeme ("&amp;IF(CT282="","nije upisano",CT282)&amp;") i classifier ("&amp;CU282&amp;").")&amp;IF(OR(CV282&lt;&gt;"GREŠKA",CX282&lt;&gt;5),"
","")&amp;IF(CX282&lt;&gt;5,"",AK282&amp;" "&amp;AL282&amp;" – Molim u provjeriti je li natjecatelj zaista diskvalificiran. Ako je koje je obrazloženje, ako nije molim u OEventu ispraviti rezultat")</f>
        <v xml:space="preserve">
</v>
      </c>
      <c r="DA282" s="223" t="e">
        <f t="shared" si="286"/>
        <v>#N/A</v>
      </c>
      <c r="DB282" s="47" t="s">
        <v>0</v>
      </c>
      <c r="DC282" s="47"/>
      <c r="DD282" s="47"/>
      <c r="DE282" s="47"/>
      <c r="DF282" s="47" t="s">
        <v>0</v>
      </c>
      <c r="DG282" s="53" t="str">
        <f>IF(BD282="","",IF(DI282="O",1,""))</f>
        <v/>
      </c>
      <c r="DH282" t="s">
        <v>0</v>
      </c>
      <c r="DI282" s="128" t="str">
        <f>IF(Q282="","",LEFT(INDEX(regKategorija_oznaka,MATCH(S282,regKategorija_id,0)),1))</f>
        <v>Ž</v>
      </c>
      <c r="DJ282" t="s">
        <v>0</v>
      </c>
      <c r="DK282" s="52" t="str">
        <f>IF(BD282="","",IF(M282&lt;&gt;"CRO","","INSERT INTO osoba (id,reg_broj,oib,spol_id,dat_rodjenja) VALUES ("&amp;BD282&amp;",(SELECT max(os.reg_broj)+1 FROM osoba AS os),Null,'"&amp;DI282&amp;"',Null); INSERT INTO osoba_log (id,reg_broj,oib,spol_id,dat_rodjenja,dnevnik_id) SELECT id,reg_broj,oib,spol_id,dat_rodjenja,"&amp;data_dnevnik_id&amp;" FROM osoba WHERE id = "&amp;BD282&amp;";"))</f>
        <v/>
      </c>
      <c r="DL282" s="66" t="str">
        <f>IF(BD282="","","INSERT INTO imeprezime (id,osoba_id,rbr,ime,prezime,klub_id,identitet_id,sintaksa_id,info,aktivno,dnevnik_id) VALUES ("&amp;BD282&amp;","&amp;IF(DK282="","Null",BD282)&amp;",1,'"&amp;IF(AV282&lt;&gt;"",AV282,AK282)&amp;"','"&amp;IF(AW282&lt;&gt;"",AW282,AL282)&amp;"',(SELECT id FROM klub WHERE naziv = '"&amp;CR282&amp;"'),Null,1,'',1,"&amp;data_dnevnik_id&amp;");")</f>
        <v/>
      </c>
      <c r="DM282" t="s">
        <v>0</v>
      </c>
      <c r="DN282" s="19" t="str">
        <f t="shared" si="294"/>
        <v/>
      </c>
      <c r="DO282" s="47" t="s">
        <v>0</v>
      </c>
      <c r="DP282" s="19" t="str">
        <f>IF(BA282="","","INSERT INTO imeprezime_alias(id,alias,imeprezime_id) VALUES ("&amp;BB282&amp;",'"&amp;BA282&amp;"',"&amp;IF(BC282="NEMA",BD282,BC282)&amp;");")</f>
        <v/>
      </c>
      <c r="DQ282" s="47" t="s">
        <v>0</v>
      </c>
      <c r="DR282" s="52" t="str">
        <f>IF(AL282="","",DU282 &amp; IF(Q282="",""," – " &amp; Q282))</f>
        <v>Martina – Martin – OK Kapela – Ž21B</v>
      </c>
      <c r="DS282" s="53">
        <f t="shared" si="256"/>
        <v>278</v>
      </c>
      <c r="DT282" s="47" t="s">
        <v>0</v>
      </c>
      <c r="DU282" s="52" t="str">
        <f>IF(AL282="","",DX282 &amp; IF(CR282="",""," – " &amp; CR282))</f>
        <v>Martina – Martin – OK Kapela</v>
      </c>
      <c r="DV282" s="53">
        <f t="shared" si="257"/>
        <v>278</v>
      </c>
      <c r="DW282" s="47" t="s">
        <v>0</v>
      </c>
      <c r="DX282" s="52" t="str">
        <f>IF(BG282="","",BF282&amp;" – "&amp;BG282)</f>
        <v>Martina – Martin</v>
      </c>
      <c r="DY282" s="53">
        <f t="shared" si="258"/>
        <v>278</v>
      </c>
      <c r="DZ282" s="47" t="s">
        <v>0</v>
      </c>
      <c r="EA282" s="58">
        <f t="shared" si="287"/>
        <v>278</v>
      </c>
      <c r="EB282" s="53" cm="1">
        <f t="array" ref="EB282">IF(EA282&lt;&gt;"",INDEX(regNatjecatelj_id,EA282,0),IF(BD282&lt;&gt;"",BD282,""))</f>
        <v>1866</v>
      </c>
      <c r="EC282" s="47" t="s">
        <v>0</v>
      </c>
      <c r="ED282" s="58" t="str">
        <f>IF(AL282="","",IF(BD282&lt;&gt;"","novo",IF(AN282="","imepre","imepre(ali)")))</f>
        <v>imepre</v>
      </c>
      <c r="EE282" s="73" t="str">
        <f>IF(AL282="","",IF(BL282="",IF(IFERROR(INDEX(regNatjecatelj_klub,MATCH(EB282,regNatjecatelj_id,0)),"NEMA")="","klu",""),IF(OR(AND(BN282&lt;&gt;"",BN282&lt;&gt;"NEMA"),CD282&lt;&gt;""),"klu(ali)",IF(AND(BP282&lt;&gt;"",BP282&lt;&gt;BO282),"(raz-klu)","klu"))))</f>
        <v>klu</v>
      </c>
      <c r="EF282" s="73" t="str">
        <f>IF(AL282="","","kat"&amp;IF(AND(W282&lt;&gt;Q282,Q282&lt;&gt;"Open"),"(ali)",""))</f>
        <v>kat</v>
      </c>
      <c r="EG282" s="73" t="str">
        <f t="shared" si="259"/>
        <v/>
      </c>
      <c r="EH282" s="66" t="str">
        <f>IF(AL282="","",ED282&amp;IF(ED282="novo","","-"&amp;EE282&amp;"-"&amp;EF282)&amp;IF(EG282="","","-"&amp;EG282))</f>
        <v>imepre-klu-kat</v>
      </c>
      <c r="EI282" s="47" t="s">
        <v>0</v>
      </c>
      <c r="EJ282" s="58">
        <f>IF(AL282="","",MAX(EJ$12:EJ281)+1)</f>
        <v>432</v>
      </c>
      <c r="EK282" s="73">
        <f>IF(AO282="","",X282)</f>
        <v>40</v>
      </c>
      <c r="EL282" s="73">
        <f t="shared" si="288"/>
        <v>1866</v>
      </c>
      <c r="EM282" s="73" t="str">
        <f t="shared" si="260"/>
        <v/>
      </c>
      <c r="EN282" s="73">
        <f t="shared" si="261"/>
        <v>6</v>
      </c>
      <c r="EO282" s="73">
        <f t="shared" si="289"/>
        <v>1</v>
      </c>
      <c r="EP282" s="73">
        <f t="shared" si="290"/>
        <v>1</v>
      </c>
      <c r="EQ282" s="73" t="str">
        <f t="shared" si="262"/>
        <v>1</v>
      </c>
      <c r="ER282" s="73" t="str">
        <f>IF(OR(AN282="",AN282="NEMA"),BB282,AN282)</f>
        <v/>
      </c>
      <c r="ES282" s="73" t="str">
        <f>IF(AND(BN282&lt;&gt;"",BN282&lt;&gt;"NEMA"),BN282,IF(CG282&lt;&gt;"",CG282,IF(AND(CL282&lt;&gt;"",CL282&lt;&gt;"NEMA"),CL282,IF(CM282&lt;&gt;"",CM282,""))))</f>
        <v/>
      </c>
      <c r="ET282" s="53" t="str">
        <f>IF(INDEX(natKategorija_alias_Id,MATCH(S282,natKategorija_katRegId,0))="","",INDEX(natKategorija_alias_Id,MATCH(S282,natKategorija_katRegId,0)))</f>
        <v/>
      </c>
      <c r="EU282" s="47" t="s">
        <v>0</v>
      </c>
      <c r="EV282" s="19" t="str">
        <f t="shared" si="291"/>
        <v>INSERT INTO rezultat(id,stazakategorija_id,imeprezime_id,vrijeme_sec,status_id,registracija,uparivanje_id,originalstatus_id,imeprezimealias_id,klubalias_id,kategorijaalias_id) VALUES (432,40,1866,Null,6,1,1,1,Null,Null,Null);</v>
      </c>
      <c r="EW282" s="47" t="s">
        <v>0</v>
      </c>
      <c r="EX282" s="19" t="str">
        <f t="shared" si="292"/>
        <v>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2" s="47" t="s">
        <v>0</v>
      </c>
      <c r="EZ282" s="180" t="str">
        <f>AG282&amp;IF(CP282="","","
")&amp;CP282&amp;IF(CI282="","","
")&amp;CI282&amp;IF(DN282="","","
")&amp;DN282&amp;IF(DP282="","","
")&amp;DP282&amp;IF(EV282="","","
")&amp;EV282&amp;IF(EX282="","","
")&amp;EX282</f>
        <v xml:space="preserve">
INSERT INTO rezultat(id,stazakategorija_id,imeprezime_id,vrijeme_sec,status_id,registracija,uparivanje_id,originalstatus_id,imeprezimealias_id,klubalias_id,kategorijaalias_id) VALUES (432,40,1866,Null,6,1,1,1,Null,Null,Null);
UPDATE
	registar
SET
	potvrda = 1
WHERE
	imeprezime_id=1866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2" s="47" t="s">
        <v>0</v>
      </c>
    </row>
    <row r="283" spans="1:157" x14ac:dyDescent="0.25">
      <c r="A283" t="s">
        <v>0</v>
      </c>
      <c r="B283" s="52" t="str">
        <f>IF(csv!F273="","",csv!T273)</f>
        <v>Ž21B</v>
      </c>
      <c r="C283" s="31" t="s">
        <v>0</v>
      </c>
      <c r="D283" s="31" t="str">
        <f>IF(csv!F273="","",csv!F273)</f>
        <v>Ines</v>
      </c>
      <c r="E283" s="31" t="str">
        <f>IF(csv!E273="","",csv!E273)</f>
        <v>Jurač</v>
      </c>
      <c r="F283" s="31" t="s">
        <v>0</v>
      </c>
      <c r="G283" s="73" t="str">
        <f>IF(csv!M273="","",csv!M273)</f>
        <v/>
      </c>
      <c r="H283" s="73" t="str">
        <f>IF(csv!N273="","",csv!N273)</f>
        <v>1</v>
      </c>
      <c r="I283" s="31" t="s">
        <v>0</v>
      </c>
      <c r="J283" s="31" t="str">
        <f>IF(csv!P273="","",csv!P273)</f>
        <v>Vihor</v>
      </c>
      <c r="K283" s="31" t="str">
        <f>IF(csv!Q273="","",csv!Q273)</f>
        <v>OK Vihor</v>
      </c>
      <c r="L283" s="31" t="s">
        <v>0</v>
      </c>
      <c r="M283" s="66" t="str">
        <f>IF(csv!R273="","",csv!R273)</f>
        <v>CRO</v>
      </c>
      <c r="N283" s="47" t="s">
        <v>0</v>
      </c>
      <c r="O283" s="243" t="str">
        <f t="shared" si="263"/>
        <v>ok</v>
      </c>
      <c r="P283" s="47"/>
      <c r="Q283" s="52" t="str">
        <f t="shared" si="264"/>
        <v>Ž21B</v>
      </c>
      <c r="R283" s="73">
        <f>IF(Q283="","",IF(COUNTIF(Q$12:Q282,Q283)=0,R282+1,R282))</f>
        <v>18</v>
      </c>
      <c r="S283" s="73">
        <f t="shared" si="265"/>
        <v>118</v>
      </c>
      <c r="T283" s="73">
        <f t="shared" si="240"/>
        <v>27</v>
      </c>
      <c r="U283" s="66" t="str">
        <f t="shared" si="241"/>
        <v>Ž21B – Ž16</v>
      </c>
      <c r="V283" s="47" t="s">
        <v>0</v>
      </c>
      <c r="W283" s="222" t="str">
        <f t="shared" si="242"/>
        <v>Ž21B</v>
      </c>
      <c r="X283" s="223">
        <f t="shared" si="243"/>
        <v>40</v>
      </c>
      <c r="Y283" s="47" t="s">
        <v>0</v>
      </c>
      <c r="Z283" s="52" t="str">
        <f t="shared" si="266"/>
        <v>CRO</v>
      </c>
      <c r="AA283" s="73">
        <f t="shared" si="244"/>
        <v>1</v>
      </c>
      <c r="AB283" s="31" t="str">
        <f t="shared" si="267"/>
        <v/>
      </c>
      <c r="AC283" s="66" t="str">
        <f>IF(AB283="","",MAX(AC$12:AC282)+1)</f>
        <v/>
      </c>
      <c r="AD283" s="47" t="s">
        <v>0</v>
      </c>
      <c r="AE283" s="125"/>
      <c r="AF283" s="47" t="s">
        <v>0</v>
      </c>
      <c r="AG283" s="19" t="str">
        <f t="shared" si="268"/>
        <v/>
      </c>
      <c r="AH283" s="47" t="s">
        <v>0</v>
      </c>
      <c r="AI283" s="143" t="str">
        <f t="shared" si="269"/>
        <v>CRO</v>
      </c>
      <c r="AJ283" s="47"/>
      <c r="AK283" s="52" t="str">
        <f t="shared" si="270"/>
        <v>Ines</v>
      </c>
      <c r="AL283" s="31" t="str">
        <f t="shared" si="271"/>
        <v>Jurač</v>
      </c>
      <c r="AM283" s="73">
        <f t="shared" si="272"/>
        <v>1550</v>
      </c>
      <c r="AN283" s="73" t="str">
        <f t="shared" si="273"/>
        <v/>
      </c>
      <c r="AO283" s="31" t="str">
        <f t="shared" si="245"/>
        <v>Ines</v>
      </c>
      <c r="AP283" s="66" t="str">
        <f t="shared" si="246"/>
        <v>Jurač</v>
      </c>
      <c r="AQ283" s="47" t="s">
        <v>0</v>
      </c>
      <c r="AR283" s="82" t="str">
        <f t="shared" si="274"/>
        <v/>
      </c>
      <c r="AS283" s="47" t="s">
        <v>0</v>
      </c>
      <c r="AT283" s="19" t="str">
        <f t="shared" si="275"/>
        <v/>
      </c>
      <c r="AU283" s="47" t="s">
        <v>0</v>
      </c>
      <c r="AV283" s="103"/>
      <c r="AW283" s="105"/>
      <c r="AX283" s="47" t="s">
        <v>0</v>
      </c>
      <c r="AY283" s="256" t="str">
        <f t="shared" si="293"/>
        <v/>
      </c>
      <c r="AZ283" s="47" t="s">
        <v>0</v>
      </c>
      <c r="BA283" s="52" t="str">
        <f t="shared" si="247"/>
        <v/>
      </c>
      <c r="BB283" s="73" t="str">
        <f>IF(AV283&amp;AW283="","",MAX(BB$12:BB282)+1)</f>
        <v/>
      </c>
      <c r="BC283" s="268" t="str">
        <f t="shared" si="248"/>
        <v/>
      </c>
      <c r="BD283" s="53" t="str">
        <f>IF(AND(AM283="NEMA",AN283="NEMA",OR(AV283&amp;AW283="",BC283="NEMA")),MAX(BD$12:BD282)+1,"")</f>
        <v/>
      </c>
      <c r="BE283" s="47" t="s">
        <v>0</v>
      </c>
      <c r="BF283" s="52" t="str">
        <f t="shared" si="249"/>
        <v>Ines</v>
      </c>
      <c r="BG283" s="31" t="str">
        <f t="shared" si="250"/>
        <v>Jurač</v>
      </c>
      <c r="BH283" s="73" t="str">
        <f t="shared" si="276"/>
        <v/>
      </c>
      <c r="BI283" s="53">
        <f t="shared" si="277"/>
        <v>1550</v>
      </c>
      <c r="BJ283" s="47" t="s">
        <v>0</v>
      </c>
      <c r="BK283" s="52" t="str">
        <f t="shared" si="251"/>
        <v>Vihor</v>
      </c>
      <c r="BL283" s="31" t="str">
        <f t="shared" si="252"/>
        <v>OK Vihor</v>
      </c>
      <c r="BM283" s="73">
        <f t="shared" si="253"/>
        <v>12</v>
      </c>
      <c r="BN283" s="73" t="str">
        <f t="shared" si="254"/>
        <v/>
      </c>
      <c r="BO283" s="31" t="str" cm="1">
        <f t="array" ref="BO283">IF(BN283="",""&amp;BL283,IF(BN283="NEMA",BL283,INDEX(regKlub_naziv,MATCH(INDEX(regKlub_alias_klubId,BN283),regKlub_id,0))))</f>
        <v>OK Vihor</v>
      </c>
      <c r="BP283" s="31" t="str" cm="1">
        <f t="array" ref="BP283">IFERROR(""&amp;INDEX(regNatjecatelj_klub,DY283),"")</f>
        <v>OK Vihor</v>
      </c>
      <c r="BQ283" s="88" t="str">
        <f t="shared" si="278"/>
        <v/>
      </c>
      <c r="BR283" s="66" t="str">
        <f t="shared" si="279"/>
        <v>OK Vihor</v>
      </c>
      <c r="BS283" s="47" t="s">
        <v>0</v>
      </c>
      <c r="BT283" s="82" t="str">
        <f>IF(BN283&lt;&gt;"NEMA","",IF(IFERROR(MATCH(BL283,BL$12:BL282,0),0)&lt;&gt;0,"",BL283))</f>
        <v/>
      </c>
      <c r="BU283" s="47" t="s">
        <v>0</v>
      </c>
      <c r="BV283" s="125"/>
      <c r="BW283" s="47" t="s">
        <v>0</v>
      </c>
      <c r="BX283" s="58" t="str">
        <f t="shared" si="280"/>
        <v/>
      </c>
      <c r="BY283" s="31" t="str">
        <f t="shared" si="281"/>
        <v/>
      </c>
      <c r="BZ283" s="31" t="str">
        <f>IF(BY283="","",MAX(BZ$12:BZ282)+1)</f>
        <v/>
      </c>
      <c r="CA283" s="31" t="str">
        <f>IF(BY283="","",IF(AA283="","",IF(AA283="NEMA",AC283,AA283)))</f>
        <v/>
      </c>
      <c r="CB283" s="31" t="str">
        <f t="shared" si="282"/>
        <v/>
      </c>
      <c r="CC283" s="31" t="str">
        <f>IF(BV283="","",MAX(CC$12:CC282)+1)</f>
        <v/>
      </c>
      <c r="CD283" s="31" t="str">
        <f t="shared" si="283"/>
        <v/>
      </c>
      <c r="CE283" s="66" t="str">
        <f t="shared" si="284"/>
        <v/>
      </c>
      <c r="CF283" s="47" t="s">
        <v>0</v>
      </c>
      <c r="CG283" s="73" t="str">
        <f>IF(BN283="","",IF(BN283&lt;&gt;"NEMA","",IFERROR(INDEX(nat_klubAliasId,MATCH(BL283,nat_noviKluboviAliasi,0)),"")))</f>
        <v/>
      </c>
      <c r="CH283" s="47"/>
      <c r="CI283" s="19" t="str">
        <f t="shared" si="285"/>
        <v/>
      </c>
      <c r="CJ283" s="47" t="s">
        <v>0</v>
      </c>
      <c r="CK283" s="52" t="str">
        <f>IF(X283&lt;&gt;"NEMA","",IF(IFERROR(MATCH(W283,W$12:W282,0),0)&lt;&gt;0,"",W283))</f>
        <v/>
      </c>
      <c r="CL283" s="73" t="str">
        <f>IF(CK283="","",IFERROR(INDEX(regKlub_alias_id,MATCH(CK283,regKlub_alias_alias,0)),"NEMA"))</f>
        <v/>
      </c>
      <c r="CM283" s="31" t="str">
        <f>IF(OR(CL283="",CL283&lt;&gt;"NEMA"),"",MAX(CM$12:CM282)+1)</f>
        <v/>
      </c>
      <c r="CN283" s="66" t="str">
        <f>IF(OR(CL283="",CL283&lt;&gt;"NEMA"),"",INDEX(regKlub_id,MATCH(CK283,regKlub_naziv,0)))</f>
        <v/>
      </c>
      <c r="CO283" s="47" t="s">
        <v>0</v>
      </c>
      <c r="CP283" s="19" t="str">
        <f>IF(OR(CL283="",CL283&lt;&gt;"NEMA"),"","INSERT INTO klub_alias(id,alias,klub_id) VALUES ("&amp;CM283&amp;",'"&amp;CK283&amp;"',"&amp;CN283&amp;");")</f>
        <v/>
      </c>
      <c r="CQ283" s="47" t="s">
        <v>0</v>
      </c>
      <c r="CR283" s="143" t="str">
        <f>IF(BR283="","",IF(BV283="",IF(IFERROR(MATCH(BR283,nat_noviKluboviAliasi,0),0)&gt;0,INDEX(nat_kluboviAliasi,MATCH(BR283,nat_noviKluboviAliasi,0)),BR283),BV283))</f>
        <v>OK Vihor</v>
      </c>
      <c r="CS283" s="47" t="s">
        <v>0</v>
      </c>
      <c r="CT283" s="58" t="str">
        <f>IF(G283="","",G283)</f>
        <v/>
      </c>
      <c r="CU283" s="73" t="str">
        <f>IF(H283="","",H283)</f>
        <v>1</v>
      </c>
      <c r="CV283" s="229" t="str">
        <f>IF(CT283="",IF(OR(AL283="",CU283&lt;&gt;"0"),"","GREŠKA"),IF(AND(65535&gt;=VALUE(LEFT(CT283,SEARCH(":",CT283)-1))*60+VALUE(RIGHT(CT283,2)),OR(CU283="0",CU283="1",CU283="2",CU283="3",CU283="4")),"","GREŠKA"))</f>
        <v/>
      </c>
      <c r="CW283" s="230" t="str">
        <f t="shared" si="239"/>
        <v/>
      </c>
      <c r="CX283" s="163">
        <f t="shared" si="255"/>
        <v>6</v>
      </c>
      <c r="CY283" s="47" t="s">
        <v>0</v>
      </c>
      <c r="CZ283" s="222" t="str">
        <f>IF(CV283&lt;&gt;"GREŠKA","",AK283&amp;" "&amp;AL283&amp;" – Molim u OEventu provjeriti i ispraviti rezultat – vrijeme ("&amp;IF(CT283="","nije upisano",CT283)&amp;") i classifier ("&amp;CU283&amp;").")&amp;IF(OR(CV283&lt;&gt;"GREŠKA",CX283&lt;&gt;5),"
","")&amp;IF(CX283&lt;&gt;5,"",AK283&amp;" "&amp;AL283&amp;" – Molim u provjeriti je li natjecatelj zaista diskvalificiran. Ako je koje je obrazloženje, ako nije molim u OEventu ispraviti rezultat")</f>
        <v xml:space="preserve">
</v>
      </c>
      <c r="DA283" s="223" t="e">
        <f t="shared" si="286"/>
        <v>#N/A</v>
      </c>
      <c r="DB283" s="47" t="s">
        <v>0</v>
      </c>
      <c r="DC283" s="47"/>
      <c r="DD283" s="47"/>
      <c r="DE283" s="47"/>
      <c r="DF283" s="47" t="s">
        <v>0</v>
      </c>
      <c r="DG283" s="53" t="str">
        <f>IF(BD283="","",IF(DI283="O",1,""))</f>
        <v/>
      </c>
      <c r="DH283" t="s">
        <v>0</v>
      </c>
      <c r="DI283" s="128" t="str">
        <f>IF(Q283="","",LEFT(INDEX(regKategorija_oznaka,MATCH(S283,regKategorija_id,0)),1))</f>
        <v>Ž</v>
      </c>
      <c r="DJ283" t="s">
        <v>0</v>
      </c>
      <c r="DK283" s="52" t="str">
        <f>IF(BD283="","",IF(M283&lt;&gt;"CRO","","INSERT INTO osoba (id,reg_broj,oib,spol_id,dat_rodjenja) VALUES ("&amp;BD283&amp;",(SELECT max(os.reg_broj)+1 FROM osoba AS os),Null,'"&amp;DI283&amp;"',Null); INSERT INTO osoba_log (id,reg_broj,oib,spol_id,dat_rodjenja,dnevnik_id) SELECT id,reg_broj,oib,spol_id,dat_rodjenja,"&amp;data_dnevnik_id&amp;" FROM osoba WHERE id = "&amp;BD283&amp;";"))</f>
        <v/>
      </c>
      <c r="DL283" s="66" t="str">
        <f>IF(BD283="","","INSERT INTO imeprezime (id,osoba_id,rbr,ime,prezime,klub_id,identitet_id,sintaksa_id,info,aktivno,dnevnik_id) VALUES ("&amp;BD283&amp;","&amp;IF(DK283="","Null",BD283)&amp;",1,'"&amp;IF(AV283&lt;&gt;"",AV283,AK283)&amp;"','"&amp;IF(AW283&lt;&gt;"",AW283,AL283)&amp;"',(SELECT id FROM klub WHERE naziv = '"&amp;CR283&amp;"'),Null,1,'',1,"&amp;data_dnevnik_id&amp;");")</f>
        <v/>
      </c>
      <c r="DM283" t="s">
        <v>0</v>
      </c>
      <c r="DN283" s="19" t="str">
        <f t="shared" si="294"/>
        <v/>
      </c>
      <c r="DO283" s="47" t="s">
        <v>0</v>
      </c>
      <c r="DP283" s="19" t="str">
        <f>IF(BA283="","","INSERT INTO imeprezime_alias(id,alias,imeprezime_id) VALUES ("&amp;BB283&amp;",'"&amp;BA283&amp;"',"&amp;IF(BC283="NEMA",BD283,BC283)&amp;");")</f>
        <v/>
      </c>
      <c r="DQ283" s="47" t="s">
        <v>0</v>
      </c>
      <c r="DR283" s="52" t="str">
        <f>IF(AL283="","",DU283 &amp; IF(Q283="",""," – " &amp; Q283))</f>
        <v>Ines – Jurač – OK Vihor – Ž21B</v>
      </c>
      <c r="DS283" s="53">
        <f t="shared" si="256"/>
        <v>718</v>
      </c>
      <c r="DT283" s="47" t="s">
        <v>0</v>
      </c>
      <c r="DU283" s="52" t="str">
        <f>IF(AL283="","",DX283 &amp; IF(CR283="",""," – " &amp; CR283))</f>
        <v>Ines – Jurač – OK Vihor</v>
      </c>
      <c r="DV283" s="53">
        <f t="shared" si="257"/>
        <v>718</v>
      </c>
      <c r="DW283" s="47" t="s">
        <v>0</v>
      </c>
      <c r="DX283" s="52" t="str">
        <f>IF(BG283="","",BF283&amp;" – "&amp;BG283)</f>
        <v>Ines – Jurač</v>
      </c>
      <c r="DY283" s="53">
        <f t="shared" si="258"/>
        <v>718</v>
      </c>
      <c r="DZ283" s="47" t="s">
        <v>0</v>
      </c>
      <c r="EA283" s="58">
        <f t="shared" si="287"/>
        <v>718</v>
      </c>
      <c r="EB283" s="53" cm="1">
        <f t="array" ref="EB283">IF(EA283&lt;&gt;"",INDEX(regNatjecatelj_id,EA283,0),IF(BD283&lt;&gt;"",BD283,""))</f>
        <v>1550</v>
      </c>
      <c r="EC283" s="47" t="s">
        <v>0</v>
      </c>
      <c r="ED283" s="58" t="str">
        <f>IF(AL283="","",IF(BD283&lt;&gt;"","novo",IF(AN283="","imepre","imepre(ali)")))</f>
        <v>imepre</v>
      </c>
      <c r="EE283" s="73" t="str">
        <f>IF(AL283="","",IF(BL283="",IF(IFERROR(INDEX(regNatjecatelj_klub,MATCH(EB283,regNatjecatelj_id,0)),"NEMA")="","klu",""),IF(OR(AND(BN283&lt;&gt;"",BN283&lt;&gt;"NEMA"),CD283&lt;&gt;""),"klu(ali)",IF(AND(BP283&lt;&gt;"",BP283&lt;&gt;BO283),"(raz-klu)","klu"))))</f>
        <v>klu</v>
      </c>
      <c r="EF283" s="73" t="str">
        <f>IF(AL283="","","kat"&amp;IF(AND(W283&lt;&gt;Q283,Q283&lt;&gt;"Open"),"(ali)",""))</f>
        <v>kat</v>
      </c>
      <c r="EG283" s="73" t="str">
        <f t="shared" si="259"/>
        <v/>
      </c>
      <c r="EH283" s="66" t="str">
        <f>IF(AL283="","",ED283&amp;IF(ED283="novo","","-"&amp;EE283&amp;"-"&amp;EF283)&amp;IF(EG283="","","-"&amp;EG283))</f>
        <v>imepre-klu-kat</v>
      </c>
      <c r="EI283" s="47" t="s">
        <v>0</v>
      </c>
      <c r="EJ283" s="58">
        <f>IF(AL283="","",MAX(EJ$12:EJ282)+1)</f>
        <v>433</v>
      </c>
      <c r="EK283" s="73">
        <f>IF(AO283="","",X283)</f>
        <v>40</v>
      </c>
      <c r="EL283" s="73">
        <f t="shared" si="288"/>
        <v>1550</v>
      </c>
      <c r="EM283" s="73" t="str">
        <f t="shared" si="260"/>
        <v/>
      </c>
      <c r="EN283" s="73">
        <f t="shared" si="261"/>
        <v>6</v>
      </c>
      <c r="EO283" s="73">
        <f t="shared" si="289"/>
        <v>1</v>
      </c>
      <c r="EP283" s="73">
        <f t="shared" si="290"/>
        <v>1</v>
      </c>
      <c r="EQ283" s="73" t="str">
        <f t="shared" si="262"/>
        <v>1</v>
      </c>
      <c r="ER283" s="73" t="str">
        <f>IF(OR(AN283="",AN283="NEMA"),BB283,AN283)</f>
        <v/>
      </c>
      <c r="ES283" s="73" t="str">
        <f>IF(AND(BN283&lt;&gt;"",BN283&lt;&gt;"NEMA"),BN283,IF(CG283&lt;&gt;"",CG283,IF(AND(CL283&lt;&gt;"",CL283&lt;&gt;"NEMA"),CL283,IF(CM283&lt;&gt;"",CM283,""))))</f>
        <v/>
      </c>
      <c r="ET283" s="53" t="str">
        <f>IF(INDEX(natKategorija_alias_Id,MATCH(S283,natKategorija_katRegId,0))="","",INDEX(natKategorija_alias_Id,MATCH(S283,natKategorija_katRegId,0)))</f>
        <v/>
      </c>
      <c r="EU283" s="47" t="s">
        <v>0</v>
      </c>
      <c r="EV283" s="19" t="str">
        <f t="shared" si="291"/>
        <v>INSERT INTO rezultat(id,stazakategorija_id,imeprezime_id,vrijeme_sec,status_id,registracija,uparivanje_id,originalstatus_id,imeprezimealias_id,klubalias_id,kategorijaalias_id) VALUES (433,40,1550,Null,6,1,1,1,Null,Null,Null);</v>
      </c>
      <c r="EW283" s="47" t="s">
        <v>0</v>
      </c>
      <c r="EX283" s="19" t="str">
        <f t="shared" si="292"/>
        <v>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3" s="47" t="s">
        <v>0</v>
      </c>
      <c r="EZ283" s="180" t="str">
        <f>AG283&amp;IF(CP283="","","
")&amp;CP283&amp;IF(CI283="","","
")&amp;CI283&amp;IF(DN283="","","
")&amp;DN283&amp;IF(DP283="","","
")&amp;DP283&amp;IF(EV283="","","
")&amp;EV283&amp;IF(EX283="","","
")&amp;EX283</f>
        <v xml:space="preserve">
INSERT INTO rezultat(id,stazakategorija_id,imeprezime_id,vrijeme_sec,status_id,registracija,uparivanje_id,originalstatus_id,imeprezimealias_id,klubalias_id,kategorijaalias_id) VALUES (433,40,1550,Null,6,1,1,1,Null,Null,Null);
UPDATE
	registar
SET
	potvrda = 1
WHERE
	imeprezime_id=1550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3" s="47" t="s">
        <v>0</v>
      </c>
    </row>
    <row r="284" spans="1:157" x14ac:dyDescent="0.25">
      <c r="A284" t="s">
        <v>0</v>
      </c>
      <c r="B284" s="52" t="str">
        <f>IF(csv!F274="","",csv!T274)</f>
        <v>Ž21B</v>
      </c>
      <c r="C284" s="31" t="s">
        <v>0</v>
      </c>
      <c r="D284" s="31" t="str">
        <f>IF(csv!F274="","",csv!F274)</f>
        <v>Ljiljana</v>
      </c>
      <c r="E284" s="31" t="str">
        <f>IF(csv!E274="","",csv!E274)</f>
        <v>Oršulić</v>
      </c>
      <c r="F284" s="31" t="s">
        <v>0</v>
      </c>
      <c r="G284" s="73" t="str">
        <f>IF(csv!M274="","",csv!M274)</f>
        <v/>
      </c>
      <c r="H284" s="73" t="str">
        <f>IF(csv!N274="","",csv!N274)</f>
        <v>2</v>
      </c>
      <c r="I284" s="31" t="s">
        <v>0</v>
      </c>
      <c r="J284" s="31" t="str">
        <f>IF(csv!P274="","",csv!P274)</f>
        <v>Vihor</v>
      </c>
      <c r="K284" s="31" t="str">
        <f>IF(csv!Q274="","",csv!Q274)</f>
        <v>OK Vihor</v>
      </c>
      <c r="L284" s="31" t="s">
        <v>0</v>
      </c>
      <c r="M284" s="66" t="str">
        <f>IF(csv!R274="","",csv!R274)</f>
        <v>CRO</v>
      </c>
      <c r="N284" s="47" t="s">
        <v>0</v>
      </c>
      <c r="O284" s="243" t="str">
        <f t="shared" si="263"/>
        <v>ok</v>
      </c>
      <c r="P284" s="47"/>
      <c r="Q284" s="52" t="str">
        <f t="shared" si="264"/>
        <v>Ž21B</v>
      </c>
      <c r="R284" s="73">
        <f>IF(Q284="","",IF(COUNTIF(Q$12:Q283,Q284)=0,R283+1,R283))</f>
        <v>18</v>
      </c>
      <c r="S284" s="73">
        <f t="shared" si="265"/>
        <v>118</v>
      </c>
      <c r="T284" s="73">
        <f t="shared" si="240"/>
        <v>27</v>
      </c>
      <c r="U284" s="66" t="str">
        <f t="shared" si="241"/>
        <v>Ž21B – Ž16</v>
      </c>
      <c r="V284" s="47" t="s">
        <v>0</v>
      </c>
      <c r="W284" s="222" t="str">
        <f t="shared" si="242"/>
        <v>Ž21B</v>
      </c>
      <c r="X284" s="223">
        <f t="shared" si="243"/>
        <v>40</v>
      </c>
      <c r="Y284" s="47" t="s">
        <v>0</v>
      </c>
      <c r="Z284" s="52" t="str">
        <f t="shared" si="266"/>
        <v>CRO</v>
      </c>
      <c r="AA284" s="73">
        <f t="shared" si="244"/>
        <v>1</v>
      </c>
      <c r="AB284" s="31" t="str">
        <f t="shared" si="267"/>
        <v/>
      </c>
      <c r="AC284" s="66" t="str">
        <f>IF(AB284="","",MAX(AC$12:AC283)+1)</f>
        <v/>
      </c>
      <c r="AD284" s="47" t="s">
        <v>0</v>
      </c>
      <c r="AE284" s="125"/>
      <c r="AF284" s="47" t="s">
        <v>0</v>
      </c>
      <c r="AG284" s="19" t="str">
        <f t="shared" si="268"/>
        <v/>
      </c>
      <c r="AH284" s="47" t="s">
        <v>0</v>
      </c>
      <c r="AI284" s="143" t="str">
        <f t="shared" si="269"/>
        <v>CRO</v>
      </c>
      <c r="AJ284" s="47"/>
      <c r="AK284" s="52" t="str">
        <f t="shared" si="270"/>
        <v>Ljiljana</v>
      </c>
      <c r="AL284" s="31" t="str">
        <f t="shared" si="271"/>
        <v>Oršulić</v>
      </c>
      <c r="AM284" s="73">
        <f t="shared" si="272"/>
        <v>1924</v>
      </c>
      <c r="AN284" s="73" t="str">
        <f t="shared" si="273"/>
        <v/>
      </c>
      <c r="AO284" s="31" t="str">
        <f t="shared" si="245"/>
        <v>Ljiljana</v>
      </c>
      <c r="AP284" s="66" t="str">
        <f t="shared" si="246"/>
        <v>Oršulić</v>
      </c>
      <c r="AQ284" s="47" t="s">
        <v>0</v>
      </c>
      <c r="AR284" s="82" t="str">
        <f t="shared" si="274"/>
        <v/>
      </c>
      <c r="AS284" s="47" t="s">
        <v>0</v>
      </c>
      <c r="AT284" s="19" t="str">
        <f t="shared" si="275"/>
        <v/>
      </c>
      <c r="AU284" s="47" t="s">
        <v>0</v>
      </c>
      <c r="AV284" s="103"/>
      <c r="AW284" s="105"/>
      <c r="AX284" s="47" t="s">
        <v>0</v>
      </c>
      <c r="AY284" s="256" t="str">
        <f t="shared" si="293"/>
        <v/>
      </c>
      <c r="AZ284" s="47" t="s">
        <v>0</v>
      </c>
      <c r="BA284" s="52" t="str">
        <f t="shared" si="247"/>
        <v/>
      </c>
      <c r="BB284" s="73" t="str">
        <f>IF(AV284&amp;AW284="","",MAX(BB$12:BB283)+1)</f>
        <v/>
      </c>
      <c r="BC284" s="268" t="str">
        <f t="shared" si="248"/>
        <v/>
      </c>
      <c r="BD284" s="53" t="str">
        <f>IF(AND(AM284="NEMA",AN284="NEMA",OR(AV284&amp;AW284="",BC284="NEMA")),MAX(BD$12:BD283)+1,"")</f>
        <v/>
      </c>
      <c r="BE284" s="47" t="s">
        <v>0</v>
      </c>
      <c r="BF284" s="52" t="str">
        <f t="shared" si="249"/>
        <v>Ljiljana</v>
      </c>
      <c r="BG284" s="31" t="str">
        <f t="shared" si="250"/>
        <v>Oršulić</v>
      </c>
      <c r="BH284" s="73" t="str">
        <f t="shared" si="276"/>
        <v/>
      </c>
      <c r="BI284" s="53">
        <f t="shared" si="277"/>
        <v>1924</v>
      </c>
      <c r="BJ284" s="47" t="s">
        <v>0</v>
      </c>
      <c r="BK284" s="52" t="str">
        <f t="shared" si="251"/>
        <v>Vihor</v>
      </c>
      <c r="BL284" s="31" t="str">
        <f t="shared" si="252"/>
        <v>OK Vihor</v>
      </c>
      <c r="BM284" s="73">
        <f t="shared" si="253"/>
        <v>12</v>
      </c>
      <c r="BN284" s="73" t="str">
        <f t="shared" si="254"/>
        <v/>
      </c>
      <c r="BO284" s="31" t="str" cm="1">
        <f t="array" ref="BO284">IF(BN284="",""&amp;BL284,IF(BN284="NEMA",BL284,INDEX(regKlub_naziv,MATCH(INDEX(regKlub_alias_klubId,BN284),regKlub_id,0))))</f>
        <v>OK Vihor</v>
      </c>
      <c r="BP284" s="31" t="str" cm="1">
        <f t="array" ref="BP284">IFERROR(""&amp;INDEX(regNatjecatelj_klub,DY284),"")</f>
        <v>OK Vihor</v>
      </c>
      <c r="BQ284" s="88" t="str">
        <f t="shared" si="278"/>
        <v/>
      </c>
      <c r="BR284" s="66" t="str">
        <f t="shared" si="279"/>
        <v>OK Vihor</v>
      </c>
      <c r="BS284" s="47" t="s">
        <v>0</v>
      </c>
      <c r="BT284" s="82" t="str">
        <f>IF(BN284&lt;&gt;"NEMA","",IF(IFERROR(MATCH(BL284,BL$12:BL283,0),0)&lt;&gt;0,"",BL284))</f>
        <v/>
      </c>
      <c r="BU284" s="47" t="s">
        <v>0</v>
      </c>
      <c r="BV284" s="125"/>
      <c r="BW284" s="47" t="s">
        <v>0</v>
      </c>
      <c r="BX284" s="58" t="str">
        <f t="shared" si="280"/>
        <v/>
      </c>
      <c r="BY284" s="31" t="str">
        <f t="shared" si="281"/>
        <v/>
      </c>
      <c r="BZ284" s="31" t="str">
        <f>IF(BY284="","",MAX(BZ$12:BZ283)+1)</f>
        <v/>
      </c>
      <c r="CA284" s="31" t="str">
        <f>IF(BY284="","",IF(AA284="","",IF(AA284="NEMA",AC284,AA284)))</f>
        <v/>
      </c>
      <c r="CB284" s="31" t="str">
        <f t="shared" si="282"/>
        <v/>
      </c>
      <c r="CC284" s="31" t="str">
        <f>IF(BV284="","",MAX(CC$12:CC283)+1)</f>
        <v/>
      </c>
      <c r="CD284" s="31" t="str">
        <f t="shared" si="283"/>
        <v/>
      </c>
      <c r="CE284" s="66" t="str">
        <f t="shared" si="284"/>
        <v/>
      </c>
      <c r="CF284" s="47" t="s">
        <v>0</v>
      </c>
      <c r="CG284" s="73" t="str">
        <f>IF(BN284="","",IF(BN284&lt;&gt;"NEMA","",IFERROR(INDEX(nat_klubAliasId,MATCH(BL284,nat_noviKluboviAliasi,0)),"")))</f>
        <v/>
      </c>
      <c r="CH284" s="47"/>
      <c r="CI284" s="19" t="str">
        <f t="shared" si="285"/>
        <v/>
      </c>
      <c r="CJ284" s="47" t="s">
        <v>0</v>
      </c>
      <c r="CK284" s="52" t="str">
        <f>IF(X284&lt;&gt;"NEMA","",IF(IFERROR(MATCH(W284,W$12:W283,0),0)&lt;&gt;0,"",W284))</f>
        <v/>
      </c>
      <c r="CL284" s="73" t="str">
        <f>IF(CK284="","",IFERROR(INDEX(regKlub_alias_id,MATCH(CK284,regKlub_alias_alias,0)),"NEMA"))</f>
        <v/>
      </c>
      <c r="CM284" s="31" t="str">
        <f>IF(OR(CL284="",CL284&lt;&gt;"NEMA"),"",MAX(CM$12:CM283)+1)</f>
        <v/>
      </c>
      <c r="CN284" s="66" t="str">
        <f>IF(OR(CL284="",CL284&lt;&gt;"NEMA"),"",INDEX(regKlub_id,MATCH(CK284,regKlub_naziv,0)))</f>
        <v/>
      </c>
      <c r="CO284" s="47" t="s">
        <v>0</v>
      </c>
      <c r="CP284" s="19" t="str">
        <f>IF(OR(CL284="",CL284&lt;&gt;"NEMA"),"","INSERT INTO klub_alias(id,alias,klub_id) VALUES ("&amp;CM284&amp;",'"&amp;CK284&amp;"',"&amp;CN284&amp;");")</f>
        <v/>
      </c>
      <c r="CQ284" s="47" t="s">
        <v>0</v>
      </c>
      <c r="CR284" s="143" t="str">
        <f>IF(BR284="","",IF(BV284="",IF(IFERROR(MATCH(BR284,nat_noviKluboviAliasi,0),0)&gt;0,INDEX(nat_kluboviAliasi,MATCH(BR284,nat_noviKluboviAliasi,0)),BR284),BV284))</f>
        <v>OK Vihor</v>
      </c>
      <c r="CS284" s="47" t="s">
        <v>0</v>
      </c>
      <c r="CT284" s="58" t="str">
        <f>IF(G284="","",G284)</f>
        <v/>
      </c>
      <c r="CU284" s="73" t="str">
        <f>IF(H284="","",H284)</f>
        <v>2</v>
      </c>
      <c r="CV284" s="229" t="str">
        <f>IF(CT284="",IF(OR(AL284="",CU284&lt;&gt;"0"),"","GREŠKA"),IF(AND(65535&gt;=VALUE(LEFT(CT284,SEARCH(":",CT284)-1))*60+VALUE(RIGHT(CT284,2)),OR(CU284="0",CU284="1",CU284="2",CU284="3",CU284="4")),"","GREŠKA"))</f>
        <v/>
      </c>
      <c r="CW284" s="230" t="str">
        <f t="shared" si="239"/>
        <v/>
      </c>
      <c r="CX284" s="163">
        <f t="shared" si="255"/>
        <v>4</v>
      </c>
      <c r="CY284" s="47" t="s">
        <v>0</v>
      </c>
      <c r="CZ284" s="222" t="str">
        <f>IF(CV284&lt;&gt;"GREŠKA","",AK284&amp;" "&amp;AL284&amp;" – Molim u OEventu provjeriti i ispraviti rezultat – vrijeme ("&amp;IF(CT284="","nije upisano",CT284)&amp;") i classifier ("&amp;CU284&amp;").")&amp;IF(OR(CV284&lt;&gt;"GREŠKA",CX284&lt;&gt;5),"
","")&amp;IF(CX284&lt;&gt;5,"",AK284&amp;" "&amp;AL284&amp;" – Molim u provjeriti je li natjecatelj zaista diskvalificiran. Ako je koje je obrazloženje, ako nije molim u OEventu ispraviti rezultat")</f>
        <v xml:space="preserve">
</v>
      </c>
      <c r="DA284" s="223">
        <f t="shared" si="286"/>
        <v>5</v>
      </c>
      <c r="DB284" s="47" t="s">
        <v>0</v>
      </c>
      <c r="DC284" s="47"/>
      <c r="DD284" s="47"/>
      <c r="DE284" s="47"/>
      <c r="DF284" s="47" t="s">
        <v>0</v>
      </c>
      <c r="DG284" s="53" t="str">
        <f>IF(BD284="","",IF(DI284="O",1,""))</f>
        <v/>
      </c>
      <c r="DH284" t="s">
        <v>0</v>
      </c>
      <c r="DI284" s="128" t="str">
        <f>IF(Q284="","",LEFT(INDEX(regKategorija_oznaka,MATCH(S284,regKategorija_id,0)),1))</f>
        <v>Ž</v>
      </c>
      <c r="DJ284" t="s">
        <v>0</v>
      </c>
      <c r="DK284" s="52" t="str">
        <f>IF(BD284="","",IF(M284&lt;&gt;"CRO","","INSERT INTO osoba (id,reg_broj,oib,spol_id,dat_rodjenja) VALUES ("&amp;BD284&amp;",(SELECT max(os.reg_broj)+1 FROM osoba AS os),Null,'"&amp;DI284&amp;"',Null); INSERT INTO osoba_log (id,reg_broj,oib,spol_id,dat_rodjenja,dnevnik_id) SELECT id,reg_broj,oib,spol_id,dat_rodjenja,"&amp;data_dnevnik_id&amp;" FROM osoba WHERE id = "&amp;BD284&amp;";"))</f>
        <v/>
      </c>
      <c r="DL284" s="66" t="str">
        <f>IF(BD284="","","INSERT INTO imeprezime (id,osoba_id,rbr,ime,prezime,klub_id,identitet_id,sintaksa_id,info,aktivno,dnevnik_id) VALUES ("&amp;BD284&amp;","&amp;IF(DK284="","Null",BD284)&amp;",1,'"&amp;IF(AV284&lt;&gt;"",AV284,AK284)&amp;"','"&amp;IF(AW284&lt;&gt;"",AW284,AL284)&amp;"',(SELECT id FROM klub WHERE naziv = '"&amp;CR284&amp;"'),Null,1,'',1,"&amp;data_dnevnik_id&amp;");")</f>
        <v/>
      </c>
      <c r="DM284" t="s">
        <v>0</v>
      </c>
      <c r="DN284" s="19" t="str">
        <f t="shared" si="294"/>
        <v/>
      </c>
      <c r="DO284" s="47" t="s">
        <v>0</v>
      </c>
      <c r="DP284" s="19" t="str">
        <f>IF(BA284="","","INSERT INTO imeprezime_alias(id,alias,imeprezime_id) VALUES ("&amp;BB284&amp;",'"&amp;BA284&amp;"',"&amp;IF(BC284="NEMA",BD284,BC284)&amp;");")</f>
        <v/>
      </c>
      <c r="DQ284" s="47" t="s">
        <v>0</v>
      </c>
      <c r="DR284" s="52" t="str">
        <f>IF(AL284="","",DU284 &amp; IF(Q284="",""," – " &amp; Q284))</f>
        <v>Ljiljana – Oršulić – OK Vihor – Ž21B</v>
      </c>
      <c r="DS284" s="53">
        <f t="shared" si="256"/>
        <v>830</v>
      </c>
      <c r="DT284" s="47" t="s">
        <v>0</v>
      </c>
      <c r="DU284" s="52" t="str">
        <f>IF(AL284="","",DX284 &amp; IF(CR284="",""," – " &amp; CR284))</f>
        <v>Ljiljana – Oršulić – OK Vihor</v>
      </c>
      <c r="DV284" s="53">
        <f t="shared" si="257"/>
        <v>830</v>
      </c>
      <c r="DW284" s="47" t="s">
        <v>0</v>
      </c>
      <c r="DX284" s="52" t="str">
        <f>IF(BG284="","",BF284&amp;" – "&amp;BG284)</f>
        <v>Ljiljana – Oršulić</v>
      </c>
      <c r="DY284" s="53">
        <f t="shared" si="258"/>
        <v>830</v>
      </c>
      <c r="DZ284" s="47" t="s">
        <v>0</v>
      </c>
      <c r="EA284" s="58">
        <f t="shared" si="287"/>
        <v>830</v>
      </c>
      <c r="EB284" s="53" cm="1">
        <f t="array" ref="EB284">IF(EA284&lt;&gt;"",INDEX(regNatjecatelj_id,EA284,0),IF(BD284&lt;&gt;"",BD284,""))</f>
        <v>1924</v>
      </c>
      <c r="EC284" s="47" t="s">
        <v>0</v>
      </c>
      <c r="ED284" s="58" t="str">
        <f>IF(AL284="","",IF(BD284&lt;&gt;"","novo",IF(AN284="","imepre","imepre(ali)")))</f>
        <v>imepre</v>
      </c>
      <c r="EE284" s="73" t="str">
        <f>IF(AL284="","",IF(BL284="",IF(IFERROR(INDEX(regNatjecatelj_klub,MATCH(EB284,regNatjecatelj_id,0)),"NEMA")="","klu",""),IF(OR(AND(BN284&lt;&gt;"",BN284&lt;&gt;"NEMA"),CD284&lt;&gt;""),"klu(ali)",IF(AND(BP284&lt;&gt;"",BP284&lt;&gt;BO284),"(raz-klu)","klu"))))</f>
        <v>klu</v>
      </c>
      <c r="EF284" s="73" t="str">
        <f>IF(AL284="","","kat"&amp;IF(AND(W284&lt;&gt;Q284,Q284&lt;&gt;"Open"),"(ali)",""))</f>
        <v>kat</v>
      </c>
      <c r="EG284" s="73" t="str">
        <f t="shared" si="259"/>
        <v/>
      </c>
      <c r="EH284" s="66" t="str">
        <f>IF(AL284="","",ED284&amp;IF(ED284="novo","","-"&amp;EE284&amp;"-"&amp;EF284)&amp;IF(EG284="","","-"&amp;EG284))</f>
        <v>imepre-klu-kat</v>
      </c>
      <c r="EI284" s="47" t="s">
        <v>0</v>
      </c>
      <c r="EJ284" s="58">
        <f>IF(AL284="","",MAX(EJ$12:EJ283)+1)</f>
        <v>434</v>
      </c>
      <c r="EK284" s="73">
        <f>IF(AO284="","",X284)</f>
        <v>40</v>
      </c>
      <c r="EL284" s="73">
        <f t="shared" si="288"/>
        <v>1924</v>
      </c>
      <c r="EM284" s="73" t="str">
        <f t="shared" si="260"/>
        <v/>
      </c>
      <c r="EN284" s="73">
        <f t="shared" si="261"/>
        <v>4</v>
      </c>
      <c r="EO284" s="73">
        <f t="shared" si="289"/>
        <v>1</v>
      </c>
      <c r="EP284" s="73">
        <f t="shared" si="290"/>
        <v>1</v>
      </c>
      <c r="EQ284" s="73" t="str">
        <f t="shared" si="262"/>
        <v>2</v>
      </c>
      <c r="ER284" s="73" t="str">
        <f>IF(OR(AN284="",AN284="NEMA"),BB284,AN284)</f>
        <v/>
      </c>
      <c r="ES284" s="73" t="str">
        <f>IF(AND(BN284&lt;&gt;"",BN284&lt;&gt;"NEMA"),BN284,IF(CG284&lt;&gt;"",CG284,IF(AND(CL284&lt;&gt;"",CL284&lt;&gt;"NEMA"),CL284,IF(CM284&lt;&gt;"",CM284,""))))</f>
        <v/>
      </c>
      <c r="ET284" s="53" t="str">
        <f>IF(INDEX(natKategorija_alias_Id,MATCH(S284,natKategorija_katRegId,0))="","",INDEX(natKategorija_alias_Id,MATCH(S284,natKategorija_katRegId,0)))</f>
        <v/>
      </c>
      <c r="EU284" s="47" t="s">
        <v>0</v>
      </c>
      <c r="EV284" s="19" t="str">
        <f t="shared" si="291"/>
        <v>INSERT INTO rezultat(id,stazakategorija_id,imeprezime_id,vrijeme_sec,status_id,registracija,uparivanje_id,originalstatus_id,imeprezimealias_id,klubalias_id,kategorijaalias_id) VALUES (434,40,1924,Null,4,1,1,2,Null,Null,Null);</v>
      </c>
      <c r="EW284" s="47" t="s">
        <v>0</v>
      </c>
      <c r="EX284" s="19" t="str">
        <f t="shared" si="292"/>
        <v>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4" s="47" t="s">
        <v>0</v>
      </c>
      <c r="EZ284" s="180" t="str">
        <f>AG284&amp;IF(CP284="","","
")&amp;CP284&amp;IF(CI284="","","
")&amp;CI284&amp;IF(DN284="","","
")&amp;DN284&amp;IF(DP284="","","
")&amp;DP284&amp;IF(EV284="","","
")&amp;EV284&amp;IF(EX284="","","
")&amp;EX284</f>
        <v xml:space="preserve">
INSERT INTO rezultat(id,stazakategorija_id,imeprezime_id,vrijeme_sec,status_id,registracija,uparivanje_id,originalstatus_id,imeprezimealias_id,klubalias_id,kategorijaalias_id) VALUES (434,40,1924,Null,4,1,1,2,Null,Null,Null);
UPDATE
	registar
SET
	potvrda = 1
WHERE
	imeprezime_id=1924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4" s="47" t="s">
        <v>0</v>
      </c>
    </row>
    <row r="285" spans="1:157" x14ac:dyDescent="0.25">
      <c r="A285" t="s">
        <v>0</v>
      </c>
      <c r="B285" s="52" t="str">
        <f>IF(csv!F275="","",csv!T275)</f>
        <v>Ž21B</v>
      </c>
      <c r="C285" s="31" t="s">
        <v>0</v>
      </c>
      <c r="D285" s="31" t="str">
        <f>IF(csv!F275="","",csv!F275)</f>
        <v>Melita</v>
      </c>
      <c r="E285" s="31" t="str">
        <f>IF(csv!E275="","",csv!E275)</f>
        <v>Sučić</v>
      </c>
      <c r="F285" s="31" t="s">
        <v>0</v>
      </c>
      <c r="G285" s="73" t="str">
        <f>IF(csv!M275="","",csv!M275)</f>
        <v/>
      </c>
      <c r="H285" s="73" t="str">
        <f>IF(csv!N275="","",csv!N275)</f>
        <v>2</v>
      </c>
      <c r="I285" s="31" t="s">
        <v>0</v>
      </c>
      <c r="J285" s="31" t="str">
        <f>IF(csv!P275="","",csv!P275)</f>
        <v>Vihor</v>
      </c>
      <c r="K285" s="31" t="str">
        <f>IF(csv!Q275="","",csv!Q275)</f>
        <v>OK Vihor</v>
      </c>
      <c r="L285" s="31" t="s">
        <v>0</v>
      </c>
      <c r="M285" s="66" t="str">
        <f>IF(csv!R275="","",csv!R275)</f>
        <v>CRO</v>
      </c>
      <c r="N285" s="47" t="s">
        <v>0</v>
      </c>
      <c r="O285" s="243" t="str">
        <f t="shared" si="263"/>
        <v>ok</v>
      </c>
      <c r="P285" s="47"/>
      <c r="Q285" s="52" t="str">
        <f t="shared" si="264"/>
        <v>Ž21B</v>
      </c>
      <c r="R285" s="73">
        <f>IF(Q285="","",IF(COUNTIF(Q$12:Q284,Q285)=0,R284+1,R284))</f>
        <v>18</v>
      </c>
      <c r="S285" s="73">
        <f t="shared" si="265"/>
        <v>118</v>
      </c>
      <c r="T285" s="73">
        <f t="shared" si="240"/>
        <v>27</v>
      </c>
      <c r="U285" s="66" t="str">
        <f t="shared" si="241"/>
        <v>Ž21B – Ž16</v>
      </c>
      <c r="V285" s="47" t="s">
        <v>0</v>
      </c>
      <c r="W285" s="222" t="str">
        <f t="shared" si="242"/>
        <v>Ž21B</v>
      </c>
      <c r="X285" s="223">
        <f t="shared" si="243"/>
        <v>40</v>
      </c>
      <c r="Y285" s="47" t="s">
        <v>0</v>
      </c>
      <c r="Z285" s="52" t="str">
        <f t="shared" si="266"/>
        <v>CRO</v>
      </c>
      <c r="AA285" s="73">
        <f t="shared" si="244"/>
        <v>1</v>
      </c>
      <c r="AB285" s="31" t="str">
        <f t="shared" si="267"/>
        <v/>
      </c>
      <c r="AC285" s="66" t="str">
        <f>IF(AB285="","",MAX(AC$12:AC284)+1)</f>
        <v/>
      </c>
      <c r="AD285" s="47" t="s">
        <v>0</v>
      </c>
      <c r="AE285" s="125"/>
      <c r="AF285" s="47" t="s">
        <v>0</v>
      </c>
      <c r="AG285" s="19" t="str">
        <f t="shared" si="268"/>
        <v/>
      </c>
      <c r="AH285" s="47" t="s">
        <v>0</v>
      </c>
      <c r="AI285" s="143" t="str">
        <f t="shared" si="269"/>
        <v>CRO</v>
      </c>
      <c r="AJ285" s="47"/>
      <c r="AK285" s="52" t="str">
        <f t="shared" si="270"/>
        <v>Melita</v>
      </c>
      <c r="AL285" s="31" t="str">
        <f t="shared" si="271"/>
        <v>Sučić</v>
      </c>
      <c r="AM285" s="73">
        <f t="shared" si="272"/>
        <v>1141</v>
      </c>
      <c r="AN285" s="73" t="str">
        <f t="shared" si="273"/>
        <v/>
      </c>
      <c r="AO285" s="31" t="str">
        <f t="shared" si="245"/>
        <v>Melita</v>
      </c>
      <c r="AP285" s="66" t="str">
        <f t="shared" si="246"/>
        <v>Sučić</v>
      </c>
      <c r="AQ285" s="47" t="s">
        <v>0</v>
      </c>
      <c r="AR285" s="82" t="str">
        <f t="shared" si="274"/>
        <v/>
      </c>
      <c r="AS285" s="47" t="s">
        <v>0</v>
      </c>
      <c r="AT285" s="19" t="str">
        <f t="shared" si="275"/>
        <v/>
      </c>
      <c r="AU285" s="47" t="s">
        <v>0</v>
      </c>
      <c r="AV285" s="103"/>
      <c r="AW285" s="105"/>
      <c r="AX285" s="47" t="s">
        <v>0</v>
      </c>
      <c r="AY285" s="256" t="str">
        <f t="shared" si="293"/>
        <v/>
      </c>
      <c r="AZ285" s="47" t="s">
        <v>0</v>
      </c>
      <c r="BA285" s="52" t="str">
        <f t="shared" si="247"/>
        <v/>
      </c>
      <c r="BB285" s="73" t="str">
        <f>IF(AV285&amp;AW285="","",MAX(BB$12:BB284)+1)</f>
        <v/>
      </c>
      <c r="BC285" s="268" t="str">
        <f t="shared" si="248"/>
        <v/>
      </c>
      <c r="BD285" s="53" t="str">
        <f>IF(AND(AM285="NEMA",AN285="NEMA",OR(AV285&amp;AW285="",BC285="NEMA")),MAX(BD$12:BD284)+1,"")</f>
        <v/>
      </c>
      <c r="BE285" s="47" t="s">
        <v>0</v>
      </c>
      <c r="BF285" s="52" t="str">
        <f t="shared" si="249"/>
        <v>Melita</v>
      </c>
      <c r="BG285" s="31" t="str">
        <f t="shared" si="250"/>
        <v>Sučić</v>
      </c>
      <c r="BH285" s="73" t="str">
        <f t="shared" si="276"/>
        <v/>
      </c>
      <c r="BI285" s="53">
        <f t="shared" si="277"/>
        <v>1141</v>
      </c>
      <c r="BJ285" s="47" t="s">
        <v>0</v>
      </c>
      <c r="BK285" s="52" t="str">
        <f t="shared" si="251"/>
        <v>Vihor</v>
      </c>
      <c r="BL285" s="31" t="str">
        <f t="shared" si="252"/>
        <v>OK Vihor</v>
      </c>
      <c r="BM285" s="73">
        <f t="shared" si="253"/>
        <v>12</v>
      </c>
      <c r="BN285" s="73" t="str">
        <f t="shared" si="254"/>
        <v/>
      </c>
      <c r="BO285" s="31" t="str" cm="1">
        <f t="array" ref="BO285">IF(BN285="",""&amp;BL285,IF(BN285="NEMA",BL285,INDEX(regKlub_naziv,MATCH(INDEX(regKlub_alias_klubId,BN285),regKlub_id,0))))</f>
        <v>OK Vihor</v>
      </c>
      <c r="BP285" s="31" t="str" cm="1">
        <f t="array" ref="BP285">IFERROR(""&amp;INDEX(regNatjecatelj_klub,DY285),"")</f>
        <v>OK Vihor</v>
      </c>
      <c r="BQ285" s="88" t="str">
        <f t="shared" si="278"/>
        <v/>
      </c>
      <c r="BR285" s="66" t="str">
        <f t="shared" si="279"/>
        <v>OK Vihor</v>
      </c>
      <c r="BS285" s="47" t="s">
        <v>0</v>
      </c>
      <c r="BT285" s="82" t="str">
        <f>IF(BN285&lt;&gt;"NEMA","",IF(IFERROR(MATCH(BL285,BL$12:BL284,0),0)&lt;&gt;0,"",BL285))</f>
        <v/>
      </c>
      <c r="BU285" s="47" t="s">
        <v>0</v>
      </c>
      <c r="BV285" s="125"/>
      <c r="BW285" s="47" t="s">
        <v>0</v>
      </c>
      <c r="BX285" s="58" t="str">
        <f t="shared" si="280"/>
        <v/>
      </c>
      <c r="BY285" s="31" t="str">
        <f t="shared" si="281"/>
        <v/>
      </c>
      <c r="BZ285" s="31" t="str">
        <f>IF(BY285="","",MAX(BZ$12:BZ284)+1)</f>
        <v/>
      </c>
      <c r="CA285" s="31" t="str">
        <f>IF(BY285="","",IF(AA285="","",IF(AA285="NEMA",AC285,AA285)))</f>
        <v/>
      </c>
      <c r="CB285" s="31" t="str">
        <f t="shared" si="282"/>
        <v/>
      </c>
      <c r="CC285" s="31" t="str">
        <f>IF(BV285="","",MAX(CC$12:CC284)+1)</f>
        <v/>
      </c>
      <c r="CD285" s="31" t="str">
        <f t="shared" si="283"/>
        <v/>
      </c>
      <c r="CE285" s="66" t="str">
        <f t="shared" si="284"/>
        <v/>
      </c>
      <c r="CF285" s="47" t="s">
        <v>0</v>
      </c>
      <c r="CG285" s="73" t="str">
        <f>IF(BN285="","",IF(BN285&lt;&gt;"NEMA","",IFERROR(INDEX(nat_klubAliasId,MATCH(BL285,nat_noviKluboviAliasi,0)),"")))</f>
        <v/>
      </c>
      <c r="CH285" s="47"/>
      <c r="CI285" s="19" t="str">
        <f t="shared" si="285"/>
        <v/>
      </c>
      <c r="CJ285" s="47" t="s">
        <v>0</v>
      </c>
      <c r="CK285" s="52" t="str">
        <f>IF(X285&lt;&gt;"NEMA","",IF(IFERROR(MATCH(W285,W$12:W284,0),0)&lt;&gt;0,"",W285))</f>
        <v/>
      </c>
      <c r="CL285" s="73" t="str">
        <f>IF(CK285="","",IFERROR(INDEX(regKlub_alias_id,MATCH(CK285,regKlub_alias_alias,0)),"NEMA"))</f>
        <v/>
      </c>
      <c r="CM285" s="31" t="str">
        <f>IF(OR(CL285="",CL285&lt;&gt;"NEMA"),"",MAX(CM$12:CM284)+1)</f>
        <v/>
      </c>
      <c r="CN285" s="66" t="str">
        <f>IF(OR(CL285="",CL285&lt;&gt;"NEMA"),"",INDEX(regKlub_id,MATCH(CK285,regKlub_naziv,0)))</f>
        <v/>
      </c>
      <c r="CO285" s="47" t="s">
        <v>0</v>
      </c>
      <c r="CP285" s="19" t="str">
        <f>IF(OR(CL285="",CL285&lt;&gt;"NEMA"),"","INSERT INTO klub_alias(id,alias,klub_id) VALUES ("&amp;CM285&amp;",'"&amp;CK285&amp;"',"&amp;CN285&amp;");")</f>
        <v/>
      </c>
      <c r="CQ285" s="47" t="s">
        <v>0</v>
      </c>
      <c r="CR285" s="143" t="str">
        <f>IF(BR285="","",IF(BV285="",IF(IFERROR(MATCH(BR285,nat_noviKluboviAliasi,0),0)&gt;0,INDEX(nat_kluboviAliasi,MATCH(BR285,nat_noviKluboviAliasi,0)),BR285),BV285))</f>
        <v>OK Vihor</v>
      </c>
      <c r="CS285" s="47" t="s">
        <v>0</v>
      </c>
      <c r="CT285" s="58" t="str">
        <f>IF(G285="","",G285)</f>
        <v/>
      </c>
      <c r="CU285" s="73" t="str">
        <f>IF(H285="","",H285)</f>
        <v>2</v>
      </c>
      <c r="CV285" s="229" t="str">
        <f>IF(CT285="",IF(OR(AL285="",CU285&lt;&gt;"0"),"","GREŠKA"),IF(AND(65535&gt;=VALUE(LEFT(CT285,SEARCH(":",CT285)-1))*60+VALUE(RIGHT(CT285,2)),OR(CU285="0",CU285="1",CU285="2",CU285="3",CU285="4")),"","GREŠKA"))</f>
        <v/>
      </c>
      <c r="CW285" s="230" t="str">
        <f t="shared" si="239"/>
        <v/>
      </c>
      <c r="CX285" s="163">
        <f t="shared" si="255"/>
        <v>4</v>
      </c>
      <c r="CY285" s="47" t="s">
        <v>0</v>
      </c>
      <c r="CZ285" s="222" t="str">
        <f>IF(CV285&lt;&gt;"GREŠKA","",AK285&amp;" "&amp;AL285&amp;" – Molim u OEventu provjeriti i ispraviti rezultat – vrijeme ("&amp;IF(CT285="","nije upisano",CT285)&amp;") i classifier ("&amp;CU285&amp;").")&amp;IF(OR(CV285&lt;&gt;"GREŠKA",CX285&lt;&gt;5),"
","")&amp;IF(CX285&lt;&gt;5,"",AK285&amp;" "&amp;AL285&amp;" – Molim u provjeriti je li natjecatelj zaista diskvalificiran. Ako je koje je obrazloženje, ako nije molim u OEventu ispraviti rezultat")</f>
        <v xml:space="preserve">
</v>
      </c>
      <c r="DA285" s="223">
        <f t="shared" si="286"/>
        <v>5</v>
      </c>
      <c r="DB285" s="47" t="s">
        <v>0</v>
      </c>
      <c r="DC285" s="47"/>
      <c r="DD285" s="47"/>
      <c r="DE285" s="47"/>
      <c r="DF285" s="47" t="s">
        <v>0</v>
      </c>
      <c r="DG285" s="53" t="str">
        <f>IF(BD285="","",IF(DI285="O",1,""))</f>
        <v/>
      </c>
      <c r="DH285" t="s">
        <v>0</v>
      </c>
      <c r="DI285" s="128" t="str">
        <f>IF(Q285="","",LEFT(INDEX(regKategorija_oznaka,MATCH(S285,regKategorija_id,0)),1))</f>
        <v>Ž</v>
      </c>
      <c r="DJ285" t="s">
        <v>0</v>
      </c>
      <c r="DK285" s="52" t="str">
        <f>IF(BD285="","",IF(M285&lt;&gt;"CRO","","INSERT INTO osoba (id,reg_broj,oib,spol_id,dat_rodjenja) VALUES ("&amp;BD285&amp;",(SELECT max(os.reg_broj)+1 FROM osoba AS os),Null,'"&amp;DI285&amp;"',Null); INSERT INTO osoba_log (id,reg_broj,oib,spol_id,dat_rodjenja,dnevnik_id) SELECT id,reg_broj,oib,spol_id,dat_rodjenja,"&amp;data_dnevnik_id&amp;" FROM osoba WHERE id = "&amp;BD285&amp;";"))</f>
        <v/>
      </c>
      <c r="DL285" s="66" t="str">
        <f>IF(BD285="","","INSERT INTO imeprezime (id,osoba_id,rbr,ime,prezime,klub_id,identitet_id,sintaksa_id,info,aktivno,dnevnik_id) VALUES ("&amp;BD285&amp;","&amp;IF(DK285="","Null",BD285)&amp;",1,'"&amp;IF(AV285&lt;&gt;"",AV285,AK285)&amp;"','"&amp;IF(AW285&lt;&gt;"",AW285,AL285)&amp;"',(SELECT id FROM klub WHERE naziv = '"&amp;CR285&amp;"'),Null,1,'',1,"&amp;data_dnevnik_id&amp;");")</f>
        <v/>
      </c>
      <c r="DM285" t="s">
        <v>0</v>
      </c>
      <c r="DN285" s="19" t="str">
        <f t="shared" si="294"/>
        <v/>
      </c>
      <c r="DO285" s="47" t="s">
        <v>0</v>
      </c>
      <c r="DP285" s="19" t="str">
        <f>IF(BA285="","","INSERT INTO imeprezime_alias(id,alias,imeprezime_id) VALUES ("&amp;BB285&amp;",'"&amp;BA285&amp;"',"&amp;IF(BC285="NEMA",BD285,BC285)&amp;");")</f>
        <v/>
      </c>
      <c r="DQ285" s="47" t="s">
        <v>0</v>
      </c>
      <c r="DR285" s="52" t="str">
        <f>IF(AL285="","",DU285 &amp; IF(Q285="",""," – " &amp; Q285))</f>
        <v>Melita – Sučić – OK Vihor – Ž21B</v>
      </c>
      <c r="DS285" s="53">
        <f t="shared" si="256"/>
        <v>915</v>
      </c>
      <c r="DT285" s="47" t="s">
        <v>0</v>
      </c>
      <c r="DU285" s="52" t="str">
        <f>IF(AL285="","",DX285 &amp; IF(CR285="",""," – " &amp; CR285))</f>
        <v>Melita – Sučić – OK Vihor</v>
      </c>
      <c r="DV285" s="53">
        <f t="shared" si="257"/>
        <v>915</v>
      </c>
      <c r="DW285" s="47" t="s">
        <v>0</v>
      </c>
      <c r="DX285" s="52" t="str">
        <f>IF(BG285="","",BF285&amp;" – "&amp;BG285)</f>
        <v>Melita – Sučić</v>
      </c>
      <c r="DY285" s="53">
        <f t="shared" si="258"/>
        <v>915</v>
      </c>
      <c r="DZ285" s="47" t="s">
        <v>0</v>
      </c>
      <c r="EA285" s="58">
        <f t="shared" si="287"/>
        <v>915</v>
      </c>
      <c r="EB285" s="53" cm="1">
        <f t="array" ref="EB285">IF(EA285&lt;&gt;"",INDEX(regNatjecatelj_id,EA285,0),IF(BD285&lt;&gt;"",BD285,""))</f>
        <v>1141</v>
      </c>
      <c r="EC285" s="47" t="s">
        <v>0</v>
      </c>
      <c r="ED285" s="58" t="str">
        <f>IF(AL285="","",IF(BD285&lt;&gt;"","novo",IF(AN285="","imepre","imepre(ali)")))</f>
        <v>imepre</v>
      </c>
      <c r="EE285" s="73" t="str">
        <f>IF(AL285="","",IF(BL285="",IF(IFERROR(INDEX(regNatjecatelj_klub,MATCH(EB285,regNatjecatelj_id,0)),"NEMA")="","klu",""),IF(OR(AND(BN285&lt;&gt;"",BN285&lt;&gt;"NEMA"),CD285&lt;&gt;""),"klu(ali)",IF(AND(BP285&lt;&gt;"",BP285&lt;&gt;BO285),"(raz-klu)","klu"))))</f>
        <v>klu</v>
      </c>
      <c r="EF285" s="73" t="str">
        <f>IF(AL285="","","kat"&amp;IF(AND(W285&lt;&gt;Q285,Q285&lt;&gt;"Open"),"(ali)",""))</f>
        <v>kat</v>
      </c>
      <c r="EG285" s="73" t="str">
        <f t="shared" si="259"/>
        <v/>
      </c>
      <c r="EH285" s="66" t="str">
        <f>IF(AL285="","",ED285&amp;IF(ED285="novo","","-"&amp;EE285&amp;"-"&amp;EF285)&amp;IF(EG285="","","-"&amp;EG285))</f>
        <v>imepre-klu-kat</v>
      </c>
      <c r="EI285" s="47" t="s">
        <v>0</v>
      </c>
      <c r="EJ285" s="58">
        <f>IF(AL285="","",MAX(EJ$12:EJ284)+1)</f>
        <v>435</v>
      </c>
      <c r="EK285" s="73">
        <f>IF(AO285="","",X285)</f>
        <v>40</v>
      </c>
      <c r="EL285" s="73">
        <f t="shared" si="288"/>
        <v>1141</v>
      </c>
      <c r="EM285" s="73" t="str">
        <f t="shared" si="260"/>
        <v/>
      </c>
      <c r="EN285" s="73">
        <f t="shared" si="261"/>
        <v>4</v>
      </c>
      <c r="EO285" s="73">
        <f t="shared" si="289"/>
        <v>1</v>
      </c>
      <c r="EP285" s="73">
        <f t="shared" si="290"/>
        <v>1</v>
      </c>
      <c r="EQ285" s="73" t="str">
        <f t="shared" si="262"/>
        <v>2</v>
      </c>
      <c r="ER285" s="73" t="str">
        <f>IF(OR(AN285="",AN285="NEMA"),BB285,AN285)</f>
        <v/>
      </c>
      <c r="ES285" s="73" t="str">
        <f>IF(AND(BN285&lt;&gt;"",BN285&lt;&gt;"NEMA"),BN285,IF(CG285&lt;&gt;"",CG285,IF(AND(CL285&lt;&gt;"",CL285&lt;&gt;"NEMA"),CL285,IF(CM285&lt;&gt;"",CM285,""))))</f>
        <v/>
      </c>
      <c r="ET285" s="53" t="str">
        <f>IF(INDEX(natKategorija_alias_Id,MATCH(S285,natKategorija_katRegId,0))="","",INDEX(natKategorija_alias_Id,MATCH(S285,natKategorija_katRegId,0)))</f>
        <v/>
      </c>
      <c r="EU285" s="47" t="s">
        <v>0</v>
      </c>
      <c r="EV285" s="19" t="str">
        <f t="shared" si="291"/>
        <v>INSERT INTO rezultat(id,stazakategorija_id,imeprezime_id,vrijeme_sec,status_id,registracija,uparivanje_id,originalstatus_id,imeprezimealias_id,klubalias_id,kategorijaalias_id) VALUES (435,40,1141,Null,4,1,1,2,Null,Null,Null);</v>
      </c>
      <c r="EW285" s="47" t="s">
        <v>0</v>
      </c>
      <c r="EX285" s="19" t="str">
        <f t="shared" si="292"/>
        <v>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5" s="47" t="s">
        <v>0</v>
      </c>
      <c r="EZ285" s="180" t="str">
        <f>AG285&amp;IF(CP285="","","
")&amp;CP285&amp;IF(CI285="","","
")&amp;CI285&amp;IF(DN285="","","
")&amp;DN285&amp;IF(DP285="","","
")&amp;DP285&amp;IF(EV285="","","
")&amp;EV285&amp;IF(EX285="","","
")&amp;EX285</f>
        <v xml:space="preserve">
INSERT INTO rezultat(id,stazakategorija_id,imeprezime_id,vrijeme_sec,status_id,registracija,uparivanje_id,originalstatus_id,imeprezimealias_id,klubalias_id,kategorijaalias_id) VALUES (435,40,1141,Null,4,1,1,2,Null,Null,Null);
UPDATE
	registar
SET
	potvrda = 1
WHERE
	imeprezime_id=1141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5" s="47" t="s">
        <v>0</v>
      </c>
    </row>
    <row r="286" spans="1:157" x14ac:dyDescent="0.25">
      <c r="A286" t="s">
        <v>0</v>
      </c>
      <c r="B286" s="52" t="str">
        <f>IF(csv!F276="","",csv!T276)</f>
        <v>Ž21B</v>
      </c>
      <c r="C286" s="31" t="s">
        <v>0</v>
      </c>
      <c r="D286" s="31" t="str">
        <f>IF(csv!F276="","",csv!F276)</f>
        <v>Ana</v>
      </c>
      <c r="E286" s="31" t="str">
        <f>IF(csv!E276="","",csv!E276)</f>
        <v>Markulin</v>
      </c>
      <c r="F286" s="31" t="s">
        <v>0</v>
      </c>
      <c r="G286" s="73" t="str">
        <f>IF(csv!M276="","",csv!M276)</f>
        <v/>
      </c>
      <c r="H286" s="73" t="str">
        <f>IF(csv!N276="","",csv!N276)</f>
        <v>1</v>
      </c>
      <c r="I286" s="31" t="s">
        <v>0</v>
      </c>
      <c r="J286" s="31" t="str">
        <f>IF(csv!P276="","",csv!P276)</f>
        <v>Vihor</v>
      </c>
      <c r="K286" s="31" t="str">
        <f>IF(csv!Q276="","",csv!Q276)</f>
        <v>OK Vihor</v>
      </c>
      <c r="L286" s="31" t="s">
        <v>0</v>
      </c>
      <c r="M286" s="66" t="str">
        <f>IF(csv!R276="","",csv!R276)</f>
        <v>CRO</v>
      </c>
      <c r="N286" s="47" t="s">
        <v>0</v>
      </c>
      <c r="O286" s="243" t="str">
        <f t="shared" si="263"/>
        <v>ok</v>
      </c>
      <c r="P286" s="47"/>
      <c r="Q286" s="52" t="str">
        <f t="shared" si="264"/>
        <v>Ž21B</v>
      </c>
      <c r="R286" s="73">
        <f>IF(Q286="","",IF(COUNTIF(Q$12:Q285,Q286)=0,R285+1,R285))</f>
        <v>18</v>
      </c>
      <c r="S286" s="73">
        <f t="shared" si="265"/>
        <v>118</v>
      </c>
      <c r="T286" s="73">
        <f t="shared" si="240"/>
        <v>27</v>
      </c>
      <c r="U286" s="66" t="str">
        <f t="shared" si="241"/>
        <v>Ž21B – Ž16</v>
      </c>
      <c r="V286" s="47" t="s">
        <v>0</v>
      </c>
      <c r="W286" s="222" t="str">
        <f t="shared" si="242"/>
        <v>Ž21B</v>
      </c>
      <c r="X286" s="223">
        <f t="shared" si="243"/>
        <v>40</v>
      </c>
      <c r="Y286" s="47" t="s">
        <v>0</v>
      </c>
      <c r="Z286" s="52" t="str">
        <f t="shared" si="266"/>
        <v>CRO</v>
      </c>
      <c r="AA286" s="73">
        <f t="shared" si="244"/>
        <v>1</v>
      </c>
      <c r="AB286" s="31" t="str">
        <f t="shared" si="267"/>
        <v/>
      </c>
      <c r="AC286" s="66" t="str">
        <f>IF(AB286="","",MAX(AC$12:AC285)+1)</f>
        <v/>
      </c>
      <c r="AD286" s="47" t="s">
        <v>0</v>
      </c>
      <c r="AE286" s="125"/>
      <c r="AF286" s="47" t="s">
        <v>0</v>
      </c>
      <c r="AG286" s="19" t="str">
        <f t="shared" si="268"/>
        <v/>
      </c>
      <c r="AH286" s="47" t="s">
        <v>0</v>
      </c>
      <c r="AI286" s="143" t="str">
        <f t="shared" si="269"/>
        <v>CRO</v>
      </c>
      <c r="AJ286" s="47"/>
      <c r="AK286" s="52" t="str">
        <f t="shared" si="270"/>
        <v>Ana</v>
      </c>
      <c r="AL286" s="31" t="str">
        <f t="shared" si="271"/>
        <v>Markulin</v>
      </c>
      <c r="AM286" s="73">
        <f t="shared" si="272"/>
        <v>1190</v>
      </c>
      <c r="AN286" s="73" t="str">
        <f t="shared" si="273"/>
        <v/>
      </c>
      <c r="AO286" s="31" t="str">
        <f t="shared" si="245"/>
        <v>Ana</v>
      </c>
      <c r="AP286" s="66" t="str">
        <f t="shared" si="246"/>
        <v>Markulin</v>
      </c>
      <c r="AQ286" s="47" t="s">
        <v>0</v>
      </c>
      <c r="AR286" s="82" t="str">
        <f t="shared" si="274"/>
        <v/>
      </c>
      <c r="AS286" s="47" t="s">
        <v>0</v>
      </c>
      <c r="AT286" s="19" t="str">
        <f t="shared" si="275"/>
        <v/>
      </c>
      <c r="AU286" s="47" t="s">
        <v>0</v>
      </c>
      <c r="AV286" s="103"/>
      <c r="AW286" s="105"/>
      <c r="AX286" s="47" t="s">
        <v>0</v>
      </c>
      <c r="AY286" s="256" t="str">
        <f t="shared" si="293"/>
        <v/>
      </c>
      <c r="AZ286" s="47" t="s">
        <v>0</v>
      </c>
      <c r="BA286" s="52" t="str">
        <f t="shared" si="247"/>
        <v/>
      </c>
      <c r="BB286" s="73" t="str">
        <f>IF(AV286&amp;AW286="","",MAX(BB$12:BB285)+1)</f>
        <v/>
      </c>
      <c r="BC286" s="268" t="str">
        <f t="shared" si="248"/>
        <v/>
      </c>
      <c r="BD286" s="53" t="str">
        <f>IF(AND(AM286="NEMA",AN286="NEMA",OR(AV286&amp;AW286="",BC286="NEMA")),MAX(BD$12:BD285)+1,"")</f>
        <v/>
      </c>
      <c r="BE286" s="47" t="s">
        <v>0</v>
      </c>
      <c r="BF286" s="52" t="str">
        <f t="shared" si="249"/>
        <v>Ana</v>
      </c>
      <c r="BG286" s="31" t="str">
        <f t="shared" si="250"/>
        <v>Markulin</v>
      </c>
      <c r="BH286" s="73" t="str">
        <f t="shared" si="276"/>
        <v/>
      </c>
      <c r="BI286" s="53">
        <f t="shared" si="277"/>
        <v>1190</v>
      </c>
      <c r="BJ286" s="47" t="s">
        <v>0</v>
      </c>
      <c r="BK286" s="52" t="str">
        <f t="shared" si="251"/>
        <v>Vihor</v>
      </c>
      <c r="BL286" s="31" t="str">
        <f t="shared" si="252"/>
        <v>OK Vihor</v>
      </c>
      <c r="BM286" s="73">
        <f t="shared" si="253"/>
        <v>12</v>
      </c>
      <c r="BN286" s="73" t="str">
        <f t="shared" si="254"/>
        <v/>
      </c>
      <c r="BO286" s="31" t="str" cm="1">
        <f t="array" ref="BO286">IF(BN286="",""&amp;BL286,IF(BN286="NEMA",BL286,INDEX(regKlub_naziv,MATCH(INDEX(regKlub_alias_klubId,BN286),regKlub_id,0))))</f>
        <v>OK Vihor</v>
      </c>
      <c r="BP286" s="31" t="str" cm="1">
        <f t="array" ref="BP286">IFERROR(""&amp;INDEX(regNatjecatelj_klub,DY286),"")</f>
        <v>OK Vihor</v>
      </c>
      <c r="BQ286" s="88" t="str">
        <f t="shared" si="278"/>
        <v/>
      </c>
      <c r="BR286" s="66" t="str">
        <f t="shared" si="279"/>
        <v>OK Vihor</v>
      </c>
      <c r="BS286" s="47" t="s">
        <v>0</v>
      </c>
      <c r="BT286" s="82" t="str">
        <f>IF(BN286&lt;&gt;"NEMA","",IF(IFERROR(MATCH(BL286,BL$12:BL285,0),0)&lt;&gt;0,"",BL286))</f>
        <v/>
      </c>
      <c r="BU286" s="47" t="s">
        <v>0</v>
      </c>
      <c r="BV286" s="125"/>
      <c r="BW286" s="47" t="s">
        <v>0</v>
      </c>
      <c r="BX286" s="58" t="str">
        <f t="shared" si="280"/>
        <v/>
      </c>
      <c r="BY286" s="31" t="str">
        <f t="shared" si="281"/>
        <v/>
      </c>
      <c r="BZ286" s="31" t="str">
        <f>IF(BY286="","",MAX(BZ$12:BZ285)+1)</f>
        <v/>
      </c>
      <c r="CA286" s="31" t="str">
        <f>IF(BY286="","",IF(AA286="","",IF(AA286="NEMA",AC286,AA286)))</f>
        <v/>
      </c>
      <c r="CB286" s="31" t="str">
        <f t="shared" si="282"/>
        <v/>
      </c>
      <c r="CC286" s="31" t="str">
        <f>IF(BV286="","",MAX(CC$12:CC285)+1)</f>
        <v/>
      </c>
      <c r="CD286" s="31" t="str">
        <f t="shared" si="283"/>
        <v/>
      </c>
      <c r="CE286" s="66" t="str">
        <f t="shared" si="284"/>
        <v/>
      </c>
      <c r="CF286" s="47" t="s">
        <v>0</v>
      </c>
      <c r="CG286" s="73" t="str">
        <f>IF(BN286="","",IF(BN286&lt;&gt;"NEMA","",IFERROR(INDEX(nat_klubAliasId,MATCH(BL286,nat_noviKluboviAliasi,0)),"")))</f>
        <v/>
      </c>
      <c r="CH286" s="47"/>
      <c r="CI286" s="19" t="str">
        <f t="shared" si="285"/>
        <v/>
      </c>
      <c r="CJ286" s="47" t="s">
        <v>0</v>
      </c>
      <c r="CK286" s="52" t="str">
        <f>IF(X286&lt;&gt;"NEMA","",IF(IFERROR(MATCH(W286,W$12:W285,0),0)&lt;&gt;0,"",W286))</f>
        <v/>
      </c>
      <c r="CL286" s="73" t="str">
        <f>IF(CK286="","",IFERROR(INDEX(regKlub_alias_id,MATCH(CK286,regKlub_alias_alias,0)),"NEMA"))</f>
        <v/>
      </c>
      <c r="CM286" s="31" t="str">
        <f>IF(OR(CL286="",CL286&lt;&gt;"NEMA"),"",MAX(CM$12:CM285)+1)</f>
        <v/>
      </c>
      <c r="CN286" s="66" t="str">
        <f>IF(OR(CL286="",CL286&lt;&gt;"NEMA"),"",INDEX(regKlub_id,MATCH(CK286,regKlub_naziv,0)))</f>
        <v/>
      </c>
      <c r="CO286" s="47" t="s">
        <v>0</v>
      </c>
      <c r="CP286" s="19" t="str">
        <f>IF(OR(CL286="",CL286&lt;&gt;"NEMA"),"","INSERT INTO klub_alias(id,alias,klub_id) VALUES ("&amp;CM286&amp;",'"&amp;CK286&amp;"',"&amp;CN286&amp;");")</f>
        <v/>
      </c>
      <c r="CQ286" s="47" t="s">
        <v>0</v>
      </c>
      <c r="CR286" s="143" t="str">
        <f>IF(BR286="","",IF(BV286="",IF(IFERROR(MATCH(BR286,nat_noviKluboviAliasi,0),0)&gt;0,INDEX(nat_kluboviAliasi,MATCH(BR286,nat_noviKluboviAliasi,0)),BR286),BV286))</f>
        <v>OK Vihor</v>
      </c>
      <c r="CS286" s="47" t="s">
        <v>0</v>
      </c>
      <c r="CT286" s="58" t="str">
        <f>IF(G286="","",G286)</f>
        <v/>
      </c>
      <c r="CU286" s="73" t="str">
        <f>IF(H286="","",H286)</f>
        <v>1</v>
      </c>
      <c r="CV286" s="229" t="str">
        <f>IF(CT286="",IF(OR(AL286="",CU286&lt;&gt;"0"),"","GREŠKA"),IF(AND(65535&gt;=VALUE(LEFT(CT286,SEARCH(":",CT286)-1))*60+VALUE(RIGHT(CT286,2)),OR(CU286="0",CU286="1",CU286="2",CU286="3",CU286="4")),"","GREŠKA"))</f>
        <v/>
      </c>
      <c r="CW286" s="230" t="str">
        <f t="shared" si="239"/>
        <v/>
      </c>
      <c r="CX286" s="163">
        <f t="shared" si="255"/>
        <v>6</v>
      </c>
      <c r="CY286" s="47" t="s">
        <v>0</v>
      </c>
      <c r="CZ286" s="222" t="str">
        <f>IF(CV286&lt;&gt;"GREŠKA","",AK286&amp;" "&amp;AL286&amp;" – Molim u OEventu provjeriti i ispraviti rezultat – vrijeme ("&amp;IF(CT286="","nije upisano",CT286)&amp;") i classifier ("&amp;CU286&amp;").")&amp;IF(OR(CV286&lt;&gt;"GREŠKA",CX286&lt;&gt;5),"
","")&amp;IF(CX286&lt;&gt;5,"",AK286&amp;" "&amp;AL286&amp;" – Molim u provjeriti je li natjecatelj zaista diskvalificiran. Ako je koje je obrazloženje, ako nije molim u OEventu ispraviti rezultat")</f>
        <v xml:space="preserve">
</v>
      </c>
      <c r="DA286" s="223" t="e">
        <f t="shared" si="286"/>
        <v>#N/A</v>
      </c>
      <c r="DB286" s="47" t="s">
        <v>0</v>
      </c>
      <c r="DC286" s="47"/>
      <c r="DD286" s="47"/>
      <c r="DE286" s="47"/>
      <c r="DF286" s="47" t="s">
        <v>0</v>
      </c>
      <c r="DG286" s="53" t="str">
        <f>IF(BD286="","",IF(DI286="O",1,""))</f>
        <v/>
      </c>
      <c r="DH286" t="s">
        <v>0</v>
      </c>
      <c r="DI286" s="128" t="str">
        <f>IF(Q286="","",LEFT(INDEX(regKategorija_oznaka,MATCH(S286,regKategorija_id,0)),1))</f>
        <v>Ž</v>
      </c>
      <c r="DJ286" t="s">
        <v>0</v>
      </c>
      <c r="DK286" s="52" t="str">
        <f>IF(BD286="","",IF(M286&lt;&gt;"CRO","","INSERT INTO osoba (id,reg_broj,oib,spol_id,dat_rodjenja) VALUES ("&amp;BD286&amp;",(SELECT max(os.reg_broj)+1 FROM osoba AS os),Null,'"&amp;DI286&amp;"',Null); INSERT INTO osoba_log (id,reg_broj,oib,spol_id,dat_rodjenja,dnevnik_id) SELECT id,reg_broj,oib,spol_id,dat_rodjenja,"&amp;data_dnevnik_id&amp;" FROM osoba WHERE id = "&amp;BD286&amp;";"))</f>
        <v/>
      </c>
      <c r="DL286" s="66" t="str">
        <f>IF(BD286="","","INSERT INTO imeprezime (id,osoba_id,rbr,ime,prezime,klub_id,identitet_id,sintaksa_id,info,aktivno,dnevnik_id) VALUES ("&amp;BD286&amp;","&amp;IF(DK286="","Null",BD286)&amp;",1,'"&amp;IF(AV286&lt;&gt;"",AV286,AK286)&amp;"','"&amp;IF(AW286&lt;&gt;"",AW286,AL286)&amp;"',(SELECT id FROM klub WHERE naziv = '"&amp;CR286&amp;"'),Null,1,'',1,"&amp;data_dnevnik_id&amp;");")</f>
        <v/>
      </c>
      <c r="DM286" t="s">
        <v>0</v>
      </c>
      <c r="DN286" s="19" t="str">
        <f t="shared" si="294"/>
        <v/>
      </c>
      <c r="DO286" s="47" t="s">
        <v>0</v>
      </c>
      <c r="DP286" s="19" t="str">
        <f>IF(BA286="","","INSERT INTO imeprezime_alias(id,alias,imeprezime_id) VALUES ("&amp;BB286&amp;",'"&amp;BA286&amp;"',"&amp;IF(BC286="NEMA",BD286,BC286)&amp;");")</f>
        <v/>
      </c>
      <c r="DQ286" s="47" t="s">
        <v>0</v>
      </c>
      <c r="DR286" s="52" t="str">
        <f>IF(AL286="","",DU286 &amp; IF(Q286="",""," – " &amp; Q286))</f>
        <v>Ana – Markulin – OK Vihor – Ž21B</v>
      </c>
      <c r="DS286" s="53">
        <f t="shared" si="256"/>
        <v>792</v>
      </c>
      <c r="DT286" s="47" t="s">
        <v>0</v>
      </c>
      <c r="DU286" s="52" t="str">
        <f>IF(AL286="","",DX286 &amp; IF(CR286="",""," – " &amp; CR286))</f>
        <v>Ana – Markulin – OK Vihor</v>
      </c>
      <c r="DV286" s="53">
        <f t="shared" si="257"/>
        <v>792</v>
      </c>
      <c r="DW286" s="47" t="s">
        <v>0</v>
      </c>
      <c r="DX286" s="52" t="str">
        <f>IF(BG286="","",BF286&amp;" – "&amp;BG286)</f>
        <v>Ana – Markulin</v>
      </c>
      <c r="DY286" s="53">
        <f t="shared" si="258"/>
        <v>792</v>
      </c>
      <c r="DZ286" s="47" t="s">
        <v>0</v>
      </c>
      <c r="EA286" s="58">
        <f t="shared" si="287"/>
        <v>792</v>
      </c>
      <c r="EB286" s="53" cm="1">
        <f t="array" ref="EB286">IF(EA286&lt;&gt;"",INDEX(regNatjecatelj_id,EA286,0),IF(BD286&lt;&gt;"",BD286,""))</f>
        <v>1190</v>
      </c>
      <c r="EC286" s="47" t="s">
        <v>0</v>
      </c>
      <c r="ED286" s="58" t="str">
        <f>IF(AL286="","",IF(BD286&lt;&gt;"","novo",IF(AN286="","imepre","imepre(ali)")))</f>
        <v>imepre</v>
      </c>
      <c r="EE286" s="73" t="str">
        <f>IF(AL286="","",IF(BL286="",IF(IFERROR(INDEX(regNatjecatelj_klub,MATCH(EB286,regNatjecatelj_id,0)),"NEMA")="","klu",""),IF(OR(AND(BN286&lt;&gt;"",BN286&lt;&gt;"NEMA"),CD286&lt;&gt;""),"klu(ali)",IF(AND(BP286&lt;&gt;"",BP286&lt;&gt;BO286),"(raz-klu)","klu"))))</f>
        <v>klu</v>
      </c>
      <c r="EF286" s="73" t="str">
        <f>IF(AL286="","","kat"&amp;IF(AND(W286&lt;&gt;Q286,Q286&lt;&gt;"Open"),"(ali)",""))</f>
        <v>kat</v>
      </c>
      <c r="EG286" s="73" t="str">
        <f t="shared" si="259"/>
        <v/>
      </c>
      <c r="EH286" s="66" t="str">
        <f>IF(AL286="","",ED286&amp;IF(ED286="novo","","-"&amp;EE286&amp;"-"&amp;EF286)&amp;IF(EG286="","","-"&amp;EG286))</f>
        <v>imepre-klu-kat</v>
      </c>
      <c r="EI286" s="47" t="s">
        <v>0</v>
      </c>
      <c r="EJ286" s="58">
        <f>IF(AL286="","",MAX(EJ$12:EJ285)+1)</f>
        <v>436</v>
      </c>
      <c r="EK286" s="73">
        <f>IF(AO286="","",X286)</f>
        <v>40</v>
      </c>
      <c r="EL286" s="73">
        <f t="shared" si="288"/>
        <v>1190</v>
      </c>
      <c r="EM286" s="73" t="str">
        <f t="shared" si="260"/>
        <v/>
      </c>
      <c r="EN286" s="73">
        <f t="shared" si="261"/>
        <v>6</v>
      </c>
      <c r="EO286" s="73">
        <f t="shared" si="289"/>
        <v>1</v>
      </c>
      <c r="EP286" s="73">
        <f t="shared" si="290"/>
        <v>1</v>
      </c>
      <c r="EQ286" s="73" t="str">
        <f t="shared" si="262"/>
        <v>1</v>
      </c>
      <c r="ER286" s="73" t="str">
        <f>IF(OR(AN286="",AN286="NEMA"),BB286,AN286)</f>
        <v/>
      </c>
      <c r="ES286" s="73" t="str">
        <f>IF(AND(BN286&lt;&gt;"",BN286&lt;&gt;"NEMA"),BN286,IF(CG286&lt;&gt;"",CG286,IF(AND(CL286&lt;&gt;"",CL286&lt;&gt;"NEMA"),CL286,IF(CM286&lt;&gt;"",CM286,""))))</f>
        <v/>
      </c>
      <c r="ET286" s="53" t="str">
        <f>IF(INDEX(natKategorija_alias_Id,MATCH(S286,natKategorija_katRegId,0))="","",INDEX(natKategorija_alias_Id,MATCH(S286,natKategorija_katRegId,0)))</f>
        <v/>
      </c>
      <c r="EU286" s="47" t="s">
        <v>0</v>
      </c>
      <c r="EV286" s="19" t="str">
        <f t="shared" si="291"/>
        <v>INSERT INTO rezultat(id,stazakategorija_id,imeprezime_id,vrijeme_sec,status_id,registracija,uparivanje_id,originalstatus_id,imeprezimealias_id,klubalias_id,kategorijaalias_id) VALUES (436,40,1190,Null,6,1,1,1,Null,Null,Null);</v>
      </c>
      <c r="EW286" s="47" t="s">
        <v>0</v>
      </c>
      <c r="EX286" s="19" t="str">
        <f t="shared" si="292"/>
        <v>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6" s="47" t="s">
        <v>0</v>
      </c>
      <c r="EZ286" s="180" t="str">
        <f>AG286&amp;IF(CP286="","","
")&amp;CP286&amp;IF(CI286="","","
")&amp;CI286&amp;IF(DN286="","","
")&amp;DN286&amp;IF(DP286="","","
")&amp;DP286&amp;IF(EV286="","","
")&amp;EV286&amp;IF(EX286="","","
")&amp;EX286</f>
        <v xml:space="preserve">
INSERT INTO rezultat(id,stazakategorija_id,imeprezime_id,vrijeme_sec,status_id,registracija,uparivanje_id,originalstatus_id,imeprezimealias_id,klubalias_id,kategorijaalias_id) VALUES (436,40,1190,Null,6,1,1,1,Null,Null,Null);
UPDATE
	registar
SET
	potvrda = 1
WHERE
	imeprezime_id=1190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6" s="47" t="s">
        <v>0</v>
      </c>
    </row>
    <row r="287" spans="1:157" x14ac:dyDescent="0.25">
      <c r="A287" t="s">
        <v>0</v>
      </c>
      <c r="B287" s="52" t="str">
        <f>IF(csv!F277="","",csv!T277)</f>
        <v>Ž21B</v>
      </c>
      <c r="C287" s="31" t="s">
        <v>0</v>
      </c>
      <c r="D287" s="31" t="str">
        <f>IF(csv!F277="","",csv!F277)</f>
        <v>Ivana</v>
      </c>
      <c r="E287" s="31" t="str">
        <f>IF(csv!E277="","",csv!E277)</f>
        <v>Stankovski</v>
      </c>
      <c r="F287" s="31" t="s">
        <v>0</v>
      </c>
      <c r="G287" s="73" t="str">
        <f>IF(csv!M277="","",csv!M277)</f>
        <v/>
      </c>
      <c r="H287" s="73" t="str">
        <f>IF(csv!N277="","",csv!N277)</f>
        <v>1</v>
      </c>
      <c r="I287" s="31" t="s">
        <v>0</v>
      </c>
      <c r="J287" s="31" t="str">
        <f>IF(csv!P277="","",csv!P277)</f>
        <v>KAP</v>
      </c>
      <c r="K287" s="31" t="str">
        <f>IF(csv!Q277="","",csv!Q277)</f>
        <v>OK Kapela</v>
      </c>
      <c r="L287" s="31" t="s">
        <v>0</v>
      </c>
      <c r="M287" s="66" t="str">
        <f>IF(csv!R277="","",csv!R277)</f>
        <v>CRO</v>
      </c>
      <c r="N287" s="47" t="s">
        <v>0</v>
      </c>
      <c r="O287" s="243" t="str">
        <f t="shared" si="263"/>
        <v>ok</v>
      </c>
      <c r="P287" s="47"/>
      <c r="Q287" s="52" t="str">
        <f t="shared" si="264"/>
        <v>Ž21B</v>
      </c>
      <c r="R287" s="73">
        <f>IF(Q287="","",IF(COUNTIF(Q$12:Q286,Q287)=0,R286+1,R286))</f>
        <v>18</v>
      </c>
      <c r="S287" s="73">
        <f t="shared" si="265"/>
        <v>118</v>
      </c>
      <c r="T287" s="73">
        <f t="shared" si="240"/>
        <v>27</v>
      </c>
      <c r="U287" s="66" t="str">
        <f t="shared" si="241"/>
        <v>Ž21B – Ž16</v>
      </c>
      <c r="V287" s="47" t="s">
        <v>0</v>
      </c>
      <c r="W287" s="222" t="str">
        <f t="shared" si="242"/>
        <v>Ž21B</v>
      </c>
      <c r="X287" s="223">
        <f t="shared" si="243"/>
        <v>40</v>
      </c>
      <c r="Y287" s="47" t="s">
        <v>0</v>
      </c>
      <c r="Z287" s="52" t="str">
        <f t="shared" si="266"/>
        <v>CRO</v>
      </c>
      <c r="AA287" s="73">
        <f t="shared" si="244"/>
        <v>1</v>
      </c>
      <c r="AB287" s="31" t="str">
        <f t="shared" si="267"/>
        <v/>
      </c>
      <c r="AC287" s="66" t="str">
        <f>IF(AB287="","",MAX(AC$12:AC286)+1)</f>
        <v/>
      </c>
      <c r="AD287" s="47" t="s">
        <v>0</v>
      </c>
      <c r="AE287" s="125"/>
      <c r="AF287" s="47" t="s">
        <v>0</v>
      </c>
      <c r="AG287" s="19" t="str">
        <f t="shared" si="268"/>
        <v/>
      </c>
      <c r="AH287" s="47" t="s">
        <v>0</v>
      </c>
      <c r="AI287" s="143" t="str">
        <f t="shared" si="269"/>
        <v>CRO</v>
      </c>
      <c r="AJ287" s="47"/>
      <c r="AK287" s="52" t="str">
        <f t="shared" si="270"/>
        <v>Ivana</v>
      </c>
      <c r="AL287" s="31" t="str">
        <f t="shared" si="271"/>
        <v>Stankovski</v>
      </c>
      <c r="AM287" s="73">
        <f t="shared" si="272"/>
        <v>1872</v>
      </c>
      <c r="AN287" s="73" t="str">
        <f t="shared" si="273"/>
        <v/>
      </c>
      <c r="AO287" s="31" t="str">
        <f t="shared" si="245"/>
        <v>Ivana</v>
      </c>
      <c r="AP287" s="66" t="str">
        <f t="shared" si="246"/>
        <v>Stankovski</v>
      </c>
      <c r="AQ287" s="47" t="s">
        <v>0</v>
      </c>
      <c r="AR287" s="82" t="str">
        <f t="shared" si="274"/>
        <v/>
      </c>
      <c r="AS287" s="47" t="s">
        <v>0</v>
      </c>
      <c r="AT287" s="19" t="str">
        <f t="shared" si="275"/>
        <v/>
      </c>
      <c r="AU287" s="47" t="s">
        <v>0</v>
      </c>
      <c r="AV287" s="103"/>
      <c r="AW287" s="105"/>
      <c r="AX287" s="47" t="s">
        <v>0</v>
      </c>
      <c r="AY287" s="256" t="str">
        <f t="shared" si="293"/>
        <v/>
      </c>
      <c r="AZ287" s="47" t="s">
        <v>0</v>
      </c>
      <c r="BA287" s="52" t="str">
        <f t="shared" si="247"/>
        <v/>
      </c>
      <c r="BB287" s="73" t="str">
        <f>IF(AV287&amp;AW287="","",MAX(BB$12:BB286)+1)</f>
        <v/>
      </c>
      <c r="BC287" s="268" t="str">
        <f t="shared" si="248"/>
        <v/>
      </c>
      <c r="BD287" s="53" t="str">
        <f>IF(AND(AM287="NEMA",AN287="NEMA",OR(AV287&amp;AW287="",BC287="NEMA")),MAX(BD$12:BD286)+1,"")</f>
        <v/>
      </c>
      <c r="BE287" s="47" t="s">
        <v>0</v>
      </c>
      <c r="BF287" s="52" t="str">
        <f t="shared" si="249"/>
        <v>Ivana</v>
      </c>
      <c r="BG287" s="31" t="str">
        <f t="shared" si="250"/>
        <v>Stankovski</v>
      </c>
      <c r="BH287" s="73" t="str">
        <f t="shared" si="276"/>
        <v/>
      </c>
      <c r="BI287" s="53">
        <f t="shared" si="277"/>
        <v>1872</v>
      </c>
      <c r="BJ287" s="47" t="s">
        <v>0</v>
      </c>
      <c r="BK287" s="52" t="str">
        <f t="shared" si="251"/>
        <v>KAP</v>
      </c>
      <c r="BL287" s="31" t="str">
        <f t="shared" si="252"/>
        <v>OK Kapela</v>
      </c>
      <c r="BM287" s="73">
        <f t="shared" si="253"/>
        <v>5</v>
      </c>
      <c r="BN287" s="73" t="str">
        <f t="shared" si="254"/>
        <v/>
      </c>
      <c r="BO287" s="31" t="str" cm="1">
        <f t="array" ref="BO287">IF(BN287="",""&amp;BL287,IF(BN287="NEMA",BL287,INDEX(regKlub_naziv,MATCH(INDEX(regKlub_alias_klubId,BN287),regKlub_id,0))))</f>
        <v>OK Kapela</v>
      </c>
      <c r="BP287" s="31" t="str" cm="1">
        <f t="array" ref="BP287">IFERROR(""&amp;INDEX(regNatjecatelj_klub,DY287),"")</f>
        <v>OK Kapela</v>
      </c>
      <c r="BQ287" s="88" t="str">
        <f t="shared" si="278"/>
        <v/>
      </c>
      <c r="BR287" s="66" t="str">
        <f t="shared" si="279"/>
        <v>OK Kapela</v>
      </c>
      <c r="BS287" s="47" t="s">
        <v>0</v>
      </c>
      <c r="BT287" s="82" t="str">
        <f>IF(BN287&lt;&gt;"NEMA","",IF(IFERROR(MATCH(BL287,BL$12:BL286,0),0)&lt;&gt;0,"",BL287))</f>
        <v/>
      </c>
      <c r="BU287" s="47" t="s">
        <v>0</v>
      </c>
      <c r="BV287" s="125"/>
      <c r="BW287" s="47" t="s">
        <v>0</v>
      </c>
      <c r="BX287" s="58" t="str">
        <f t="shared" si="280"/>
        <v/>
      </c>
      <c r="BY287" s="31" t="str">
        <f t="shared" si="281"/>
        <v/>
      </c>
      <c r="BZ287" s="31" t="str">
        <f>IF(BY287="","",MAX(BZ$12:BZ286)+1)</f>
        <v/>
      </c>
      <c r="CA287" s="31" t="str">
        <f>IF(BY287="","",IF(AA287="","",IF(AA287="NEMA",AC287,AA287)))</f>
        <v/>
      </c>
      <c r="CB287" s="31" t="str">
        <f t="shared" si="282"/>
        <v/>
      </c>
      <c r="CC287" s="31" t="str">
        <f>IF(BV287="","",MAX(CC$12:CC286)+1)</f>
        <v/>
      </c>
      <c r="CD287" s="31" t="str">
        <f t="shared" si="283"/>
        <v/>
      </c>
      <c r="CE287" s="66" t="str">
        <f t="shared" si="284"/>
        <v/>
      </c>
      <c r="CF287" s="47" t="s">
        <v>0</v>
      </c>
      <c r="CG287" s="73" t="str">
        <f>IF(BN287="","",IF(BN287&lt;&gt;"NEMA","",IFERROR(INDEX(nat_klubAliasId,MATCH(BL287,nat_noviKluboviAliasi,0)),"")))</f>
        <v/>
      </c>
      <c r="CH287" s="47"/>
      <c r="CI287" s="19" t="str">
        <f t="shared" si="285"/>
        <v/>
      </c>
      <c r="CJ287" s="47" t="s">
        <v>0</v>
      </c>
      <c r="CK287" s="52" t="str">
        <f>IF(X287&lt;&gt;"NEMA","",IF(IFERROR(MATCH(W287,W$12:W286,0),0)&lt;&gt;0,"",W287))</f>
        <v/>
      </c>
      <c r="CL287" s="73" t="str">
        <f>IF(CK287="","",IFERROR(INDEX(regKlub_alias_id,MATCH(CK287,regKlub_alias_alias,0)),"NEMA"))</f>
        <v/>
      </c>
      <c r="CM287" s="31" t="str">
        <f>IF(OR(CL287="",CL287&lt;&gt;"NEMA"),"",MAX(CM$12:CM286)+1)</f>
        <v/>
      </c>
      <c r="CN287" s="66" t="str">
        <f>IF(OR(CL287="",CL287&lt;&gt;"NEMA"),"",INDEX(regKlub_id,MATCH(CK287,regKlub_naziv,0)))</f>
        <v/>
      </c>
      <c r="CO287" s="47" t="s">
        <v>0</v>
      </c>
      <c r="CP287" s="19" t="str">
        <f>IF(OR(CL287="",CL287&lt;&gt;"NEMA"),"","INSERT INTO klub_alias(id,alias,klub_id) VALUES ("&amp;CM287&amp;",'"&amp;CK287&amp;"',"&amp;CN287&amp;");")</f>
        <v/>
      </c>
      <c r="CQ287" s="47" t="s">
        <v>0</v>
      </c>
      <c r="CR287" s="143" t="str">
        <f>IF(BR287="","",IF(BV287="",IF(IFERROR(MATCH(BR287,nat_noviKluboviAliasi,0),0)&gt;0,INDEX(nat_kluboviAliasi,MATCH(BR287,nat_noviKluboviAliasi,0)),BR287),BV287))</f>
        <v>OK Kapela</v>
      </c>
      <c r="CS287" s="47" t="s">
        <v>0</v>
      </c>
      <c r="CT287" s="58" t="str">
        <f>IF(G287="","",G287)</f>
        <v/>
      </c>
      <c r="CU287" s="73" t="str">
        <f>IF(H287="","",H287)</f>
        <v>1</v>
      </c>
      <c r="CV287" s="229" t="str">
        <f>IF(CT287="",IF(OR(AL287="",CU287&lt;&gt;"0"),"","GREŠKA"),IF(AND(65535&gt;=VALUE(LEFT(CT287,SEARCH(":",CT287)-1))*60+VALUE(RIGHT(CT287,2)),OR(CU287="0",CU287="1",CU287="2",CU287="3",CU287="4")),"","GREŠKA"))</f>
        <v/>
      </c>
      <c r="CW287" s="230" t="str">
        <f t="shared" si="239"/>
        <v/>
      </c>
      <c r="CX287" s="163">
        <f t="shared" si="255"/>
        <v>6</v>
      </c>
      <c r="CY287" s="47" t="s">
        <v>0</v>
      </c>
      <c r="CZ287" s="222" t="str">
        <f>IF(CV287&lt;&gt;"GREŠKA","",AK287&amp;" "&amp;AL287&amp;" – Molim u OEventu provjeriti i ispraviti rezultat – vrijeme ("&amp;IF(CT287="","nije upisano",CT287)&amp;") i classifier ("&amp;CU287&amp;").")&amp;IF(OR(CV287&lt;&gt;"GREŠKA",CX287&lt;&gt;5),"
","")&amp;IF(CX287&lt;&gt;5,"",AK287&amp;" "&amp;AL287&amp;" – Molim u provjeriti je li natjecatelj zaista diskvalificiran. Ako je koje je obrazloženje, ako nije molim u OEventu ispraviti rezultat")</f>
        <v xml:space="preserve">
</v>
      </c>
      <c r="DA287" s="223" t="e">
        <f t="shared" si="286"/>
        <v>#N/A</v>
      </c>
      <c r="DB287" s="47" t="s">
        <v>0</v>
      </c>
      <c r="DC287" s="47"/>
      <c r="DD287" s="47"/>
      <c r="DE287" s="47"/>
      <c r="DF287" s="47" t="s">
        <v>0</v>
      </c>
      <c r="DG287" s="53" t="str">
        <f>IF(BD287="","",IF(DI287="O",1,""))</f>
        <v/>
      </c>
      <c r="DH287" t="s">
        <v>0</v>
      </c>
      <c r="DI287" s="128" t="str">
        <f>IF(Q287="","",LEFT(INDEX(regKategorija_oznaka,MATCH(S287,regKategorija_id,0)),1))</f>
        <v>Ž</v>
      </c>
      <c r="DJ287" t="s">
        <v>0</v>
      </c>
      <c r="DK287" s="52" t="str">
        <f>IF(BD287="","",IF(M287&lt;&gt;"CRO","","INSERT INTO osoba (id,reg_broj,oib,spol_id,dat_rodjenja) VALUES ("&amp;BD287&amp;",(SELECT max(os.reg_broj)+1 FROM osoba AS os),Null,'"&amp;DI287&amp;"',Null); INSERT INTO osoba_log (id,reg_broj,oib,spol_id,dat_rodjenja,dnevnik_id) SELECT id,reg_broj,oib,spol_id,dat_rodjenja,"&amp;data_dnevnik_id&amp;" FROM osoba WHERE id = "&amp;BD287&amp;";"))</f>
        <v/>
      </c>
      <c r="DL287" s="66" t="str">
        <f>IF(BD287="","","INSERT INTO imeprezime (id,osoba_id,rbr,ime,prezime,klub_id,identitet_id,sintaksa_id,info,aktivno,dnevnik_id) VALUES ("&amp;BD287&amp;","&amp;IF(DK287="","Null",BD287)&amp;",1,'"&amp;IF(AV287&lt;&gt;"",AV287,AK287)&amp;"','"&amp;IF(AW287&lt;&gt;"",AW287,AL287)&amp;"',(SELECT id FROM klub WHERE naziv = '"&amp;CR287&amp;"'),Null,1,'',1,"&amp;data_dnevnik_id&amp;");")</f>
        <v/>
      </c>
      <c r="DM287" t="s">
        <v>0</v>
      </c>
      <c r="DN287" s="19" t="str">
        <f t="shared" si="294"/>
        <v/>
      </c>
      <c r="DO287" s="47" t="s">
        <v>0</v>
      </c>
      <c r="DP287" s="19" t="str">
        <f>IF(BA287="","","INSERT INTO imeprezime_alias(id,alias,imeprezime_id) VALUES ("&amp;BB287&amp;",'"&amp;BA287&amp;"',"&amp;IF(BC287="NEMA",BD287,BC287)&amp;");")</f>
        <v/>
      </c>
      <c r="DQ287" s="47" t="s">
        <v>0</v>
      </c>
      <c r="DR287" s="52" t="str">
        <f>IF(AL287="","",DU287 &amp; IF(Q287="",""," – " &amp; Q287))</f>
        <v>Ivana – Stankovski – OK Kapela – Ž21B</v>
      </c>
      <c r="DS287" s="53">
        <f t="shared" si="256"/>
        <v>316</v>
      </c>
      <c r="DT287" s="47" t="s">
        <v>0</v>
      </c>
      <c r="DU287" s="52" t="str">
        <f>IF(AL287="","",DX287 &amp; IF(CR287="",""," – " &amp; CR287))</f>
        <v>Ivana – Stankovski – OK Kapela</v>
      </c>
      <c r="DV287" s="53">
        <f t="shared" si="257"/>
        <v>316</v>
      </c>
      <c r="DW287" s="47" t="s">
        <v>0</v>
      </c>
      <c r="DX287" s="52" t="str">
        <f>IF(BG287="","",BF287&amp;" – "&amp;BG287)</f>
        <v>Ivana – Stankovski</v>
      </c>
      <c r="DY287" s="53">
        <f t="shared" si="258"/>
        <v>316</v>
      </c>
      <c r="DZ287" s="47" t="s">
        <v>0</v>
      </c>
      <c r="EA287" s="58">
        <f t="shared" si="287"/>
        <v>316</v>
      </c>
      <c r="EB287" s="53" cm="1">
        <f t="array" ref="EB287">IF(EA287&lt;&gt;"",INDEX(regNatjecatelj_id,EA287,0),IF(BD287&lt;&gt;"",BD287,""))</f>
        <v>1872</v>
      </c>
      <c r="EC287" s="47" t="s">
        <v>0</v>
      </c>
      <c r="ED287" s="58" t="str">
        <f>IF(AL287="","",IF(BD287&lt;&gt;"","novo",IF(AN287="","imepre","imepre(ali)")))</f>
        <v>imepre</v>
      </c>
      <c r="EE287" s="73" t="str">
        <f>IF(AL287="","",IF(BL287="",IF(IFERROR(INDEX(regNatjecatelj_klub,MATCH(EB287,regNatjecatelj_id,0)),"NEMA")="","klu",""),IF(OR(AND(BN287&lt;&gt;"",BN287&lt;&gt;"NEMA"),CD287&lt;&gt;""),"klu(ali)",IF(AND(BP287&lt;&gt;"",BP287&lt;&gt;BO287),"(raz-klu)","klu"))))</f>
        <v>klu</v>
      </c>
      <c r="EF287" s="73" t="str">
        <f>IF(AL287="","","kat"&amp;IF(AND(W287&lt;&gt;Q287,Q287&lt;&gt;"Open"),"(ali)",""))</f>
        <v>kat</v>
      </c>
      <c r="EG287" s="73" t="str">
        <f t="shared" si="259"/>
        <v/>
      </c>
      <c r="EH287" s="66" t="str">
        <f>IF(AL287="","",ED287&amp;IF(ED287="novo","","-"&amp;EE287&amp;"-"&amp;EF287)&amp;IF(EG287="","","-"&amp;EG287))</f>
        <v>imepre-klu-kat</v>
      </c>
      <c r="EI287" s="47" t="s">
        <v>0</v>
      </c>
      <c r="EJ287" s="58">
        <f>IF(AL287="","",MAX(EJ$12:EJ286)+1)</f>
        <v>437</v>
      </c>
      <c r="EK287" s="73">
        <f>IF(AO287="","",X287)</f>
        <v>40</v>
      </c>
      <c r="EL287" s="73">
        <f t="shared" si="288"/>
        <v>1872</v>
      </c>
      <c r="EM287" s="73" t="str">
        <f t="shared" si="260"/>
        <v/>
      </c>
      <c r="EN287" s="73">
        <f t="shared" si="261"/>
        <v>6</v>
      </c>
      <c r="EO287" s="73">
        <f t="shared" si="289"/>
        <v>1</v>
      </c>
      <c r="EP287" s="73">
        <f t="shared" si="290"/>
        <v>1</v>
      </c>
      <c r="EQ287" s="73" t="str">
        <f t="shared" si="262"/>
        <v>1</v>
      </c>
      <c r="ER287" s="73" t="str">
        <f>IF(OR(AN287="",AN287="NEMA"),BB287,AN287)</f>
        <v/>
      </c>
      <c r="ES287" s="73" t="str">
        <f>IF(AND(BN287&lt;&gt;"",BN287&lt;&gt;"NEMA"),BN287,IF(CG287&lt;&gt;"",CG287,IF(AND(CL287&lt;&gt;"",CL287&lt;&gt;"NEMA"),CL287,IF(CM287&lt;&gt;"",CM287,""))))</f>
        <v/>
      </c>
      <c r="ET287" s="53" t="str">
        <f>IF(INDEX(natKategorija_alias_Id,MATCH(S287,natKategorija_katRegId,0))="","",INDEX(natKategorija_alias_Id,MATCH(S287,natKategorija_katRegId,0)))</f>
        <v/>
      </c>
      <c r="EU287" s="47" t="s">
        <v>0</v>
      </c>
      <c r="EV287" s="19" t="str">
        <f t="shared" si="291"/>
        <v>INSERT INTO rezultat(id,stazakategorija_id,imeprezime_id,vrijeme_sec,status_id,registracija,uparivanje_id,originalstatus_id,imeprezimealias_id,klubalias_id,kategorijaalias_id) VALUES (437,40,1872,Null,6,1,1,1,Null,Null,Null);</v>
      </c>
      <c r="EW287" s="47" t="s">
        <v>0</v>
      </c>
      <c r="EX287" s="19" t="str">
        <f t="shared" si="292"/>
        <v>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7" s="47" t="s">
        <v>0</v>
      </c>
      <c r="EZ287" s="180" t="str">
        <f>AG287&amp;IF(CP287="","","
")&amp;CP287&amp;IF(CI287="","","
")&amp;CI287&amp;IF(DN287="","","
")&amp;DN287&amp;IF(DP287="","","
")&amp;DP287&amp;IF(EV287="","","
")&amp;EV287&amp;IF(EX287="","","
")&amp;EX287</f>
        <v xml:space="preserve">
INSERT INTO rezultat(id,stazakategorija_id,imeprezime_id,vrijeme_sec,status_id,registracija,uparivanje_id,originalstatus_id,imeprezimealias_id,klubalias_id,kategorijaalias_id) VALUES (437,40,1872,Null,6,1,1,1,Null,Null,Null);
UPDATE
	registar
SET
	potvrda = 1
WHERE
	imeprezime_id=1872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7" s="47" t="s">
        <v>0</v>
      </c>
    </row>
    <row r="288" spans="1:157" x14ac:dyDescent="0.25">
      <c r="A288" t="s">
        <v>0</v>
      </c>
      <c r="B288" s="52" t="str">
        <f>IF(csv!F278="","",csv!T278)</f>
        <v>Ž21B</v>
      </c>
      <c r="C288" s="31" t="s">
        <v>0</v>
      </c>
      <c r="D288" s="31" t="str">
        <f>IF(csv!F278="","",csv!F278)</f>
        <v>Marina</v>
      </c>
      <c r="E288" s="31" t="str">
        <f>IF(csv!E278="","",csv!E278)</f>
        <v>Tomac-Rojčević</v>
      </c>
      <c r="F288" s="31" t="s">
        <v>0</v>
      </c>
      <c r="G288" s="73" t="str">
        <f>IF(csv!M278="","",csv!M278)</f>
        <v/>
      </c>
      <c r="H288" s="73" t="str">
        <f>IF(csv!N278="","",csv!N278)</f>
        <v>2</v>
      </c>
      <c r="I288" s="31" t="s">
        <v>0</v>
      </c>
      <c r="J288" s="31" t="str">
        <f>IF(csv!P278="","",csv!P278)</f>
        <v>Vihor</v>
      </c>
      <c r="K288" s="31" t="str">
        <f>IF(csv!Q278="","",csv!Q278)</f>
        <v>OK Vihor</v>
      </c>
      <c r="L288" s="31" t="s">
        <v>0</v>
      </c>
      <c r="M288" s="66" t="str">
        <f>IF(csv!R278="","",csv!R278)</f>
        <v>CRO</v>
      </c>
      <c r="N288" s="47" t="s">
        <v>0</v>
      </c>
      <c r="O288" s="243" t="str">
        <f t="shared" si="263"/>
        <v>ok</v>
      </c>
      <c r="P288" s="47"/>
      <c r="Q288" s="52" t="str">
        <f t="shared" si="264"/>
        <v>Ž21B</v>
      </c>
      <c r="R288" s="73">
        <f>IF(Q288="","",IF(COUNTIF(Q$12:Q287,Q288)=0,R287+1,R287))</f>
        <v>18</v>
      </c>
      <c r="S288" s="73">
        <f t="shared" si="265"/>
        <v>118</v>
      </c>
      <c r="T288" s="73">
        <f t="shared" si="240"/>
        <v>27</v>
      </c>
      <c r="U288" s="66" t="str">
        <f t="shared" si="241"/>
        <v>Ž21B – Ž16</v>
      </c>
      <c r="V288" s="47" t="s">
        <v>0</v>
      </c>
      <c r="W288" s="222" t="str">
        <f t="shared" si="242"/>
        <v>Ž21B</v>
      </c>
      <c r="X288" s="223">
        <f t="shared" si="243"/>
        <v>40</v>
      </c>
      <c r="Y288" s="47" t="s">
        <v>0</v>
      </c>
      <c r="Z288" s="52" t="str">
        <f t="shared" si="266"/>
        <v>CRO</v>
      </c>
      <c r="AA288" s="73">
        <f t="shared" si="244"/>
        <v>1</v>
      </c>
      <c r="AB288" s="31" t="str">
        <f t="shared" si="267"/>
        <v/>
      </c>
      <c r="AC288" s="66" t="str">
        <f>IF(AB288="","",MAX(AC$12:AC287)+1)</f>
        <v/>
      </c>
      <c r="AD288" s="47" t="s">
        <v>0</v>
      </c>
      <c r="AE288" s="125"/>
      <c r="AF288" s="47" t="s">
        <v>0</v>
      </c>
      <c r="AG288" s="19" t="str">
        <f t="shared" si="268"/>
        <v/>
      </c>
      <c r="AH288" s="47" t="s">
        <v>0</v>
      </c>
      <c r="AI288" s="143" t="str">
        <f t="shared" si="269"/>
        <v>CRO</v>
      </c>
      <c r="AJ288" s="47"/>
      <c r="AK288" s="52" t="str">
        <f t="shared" si="270"/>
        <v>Marina</v>
      </c>
      <c r="AL288" s="31" t="str">
        <f t="shared" si="271"/>
        <v>Tomac-Rojčević</v>
      </c>
      <c r="AM288" s="73">
        <f t="shared" si="272"/>
        <v>1928</v>
      </c>
      <c r="AN288" s="73" t="str">
        <f t="shared" si="273"/>
        <v/>
      </c>
      <c r="AO288" s="31" t="str">
        <f t="shared" si="245"/>
        <v>Marina</v>
      </c>
      <c r="AP288" s="66" t="str">
        <f t="shared" si="246"/>
        <v>Tomac-Rojčević</v>
      </c>
      <c r="AQ288" s="47" t="s">
        <v>0</v>
      </c>
      <c r="AR288" s="82" t="str">
        <f t="shared" si="274"/>
        <v/>
      </c>
      <c r="AS288" s="47" t="s">
        <v>0</v>
      </c>
      <c r="AT288" s="19" t="str">
        <f t="shared" si="275"/>
        <v/>
      </c>
      <c r="AU288" s="47" t="s">
        <v>0</v>
      </c>
      <c r="AV288" s="103"/>
      <c r="AW288" s="105"/>
      <c r="AX288" s="47" t="s">
        <v>0</v>
      </c>
      <c r="AY288" s="256" t="str">
        <f t="shared" si="293"/>
        <v/>
      </c>
      <c r="AZ288" s="47" t="s">
        <v>0</v>
      </c>
      <c r="BA288" s="52" t="str">
        <f t="shared" si="247"/>
        <v/>
      </c>
      <c r="BB288" s="73" t="str">
        <f>IF(AV288&amp;AW288="","",MAX(BB$12:BB287)+1)</f>
        <v/>
      </c>
      <c r="BC288" s="268" t="str">
        <f t="shared" si="248"/>
        <v/>
      </c>
      <c r="BD288" s="53" t="str">
        <f>IF(AND(AM288="NEMA",AN288="NEMA",OR(AV288&amp;AW288="",BC288="NEMA")),MAX(BD$12:BD287)+1,"")</f>
        <v/>
      </c>
      <c r="BE288" s="47" t="s">
        <v>0</v>
      </c>
      <c r="BF288" s="52" t="str">
        <f t="shared" si="249"/>
        <v>Marina</v>
      </c>
      <c r="BG288" s="31" t="str">
        <f t="shared" si="250"/>
        <v>Tomac-Rojčević</v>
      </c>
      <c r="BH288" s="73" t="str">
        <f t="shared" si="276"/>
        <v/>
      </c>
      <c r="BI288" s="53">
        <f t="shared" si="277"/>
        <v>1928</v>
      </c>
      <c r="BJ288" s="47" t="s">
        <v>0</v>
      </c>
      <c r="BK288" s="52" t="str">
        <f t="shared" si="251"/>
        <v>Vihor</v>
      </c>
      <c r="BL288" s="31" t="str">
        <f t="shared" si="252"/>
        <v>OK Vihor</v>
      </c>
      <c r="BM288" s="73">
        <f t="shared" si="253"/>
        <v>12</v>
      </c>
      <c r="BN288" s="73" t="str">
        <f t="shared" si="254"/>
        <v/>
      </c>
      <c r="BO288" s="31" t="str" cm="1">
        <f t="array" ref="BO288">IF(BN288="",""&amp;BL288,IF(BN288="NEMA",BL288,INDEX(regKlub_naziv,MATCH(INDEX(regKlub_alias_klubId,BN288),regKlub_id,0))))</f>
        <v>OK Vihor</v>
      </c>
      <c r="BP288" s="31" t="str" cm="1">
        <f t="array" ref="BP288">IFERROR(""&amp;INDEX(regNatjecatelj_klub,DY288),"")</f>
        <v>OK Vihor</v>
      </c>
      <c r="BQ288" s="88" t="str">
        <f t="shared" si="278"/>
        <v/>
      </c>
      <c r="BR288" s="66" t="str">
        <f t="shared" si="279"/>
        <v>OK Vihor</v>
      </c>
      <c r="BS288" s="47" t="s">
        <v>0</v>
      </c>
      <c r="BT288" s="82" t="str">
        <f>IF(BN288&lt;&gt;"NEMA","",IF(IFERROR(MATCH(BL288,BL$12:BL287,0),0)&lt;&gt;0,"",BL288))</f>
        <v/>
      </c>
      <c r="BU288" s="47" t="s">
        <v>0</v>
      </c>
      <c r="BV288" s="125"/>
      <c r="BW288" s="47" t="s">
        <v>0</v>
      </c>
      <c r="BX288" s="58" t="str">
        <f t="shared" si="280"/>
        <v/>
      </c>
      <c r="BY288" s="31" t="str">
        <f t="shared" si="281"/>
        <v/>
      </c>
      <c r="BZ288" s="31" t="str">
        <f>IF(BY288="","",MAX(BZ$12:BZ287)+1)</f>
        <v/>
      </c>
      <c r="CA288" s="31" t="str">
        <f>IF(BY288="","",IF(AA288="","",IF(AA288="NEMA",AC288,AA288)))</f>
        <v/>
      </c>
      <c r="CB288" s="31" t="str">
        <f t="shared" si="282"/>
        <v/>
      </c>
      <c r="CC288" s="31" t="str">
        <f>IF(BV288="","",MAX(CC$12:CC287)+1)</f>
        <v/>
      </c>
      <c r="CD288" s="31" t="str">
        <f t="shared" si="283"/>
        <v/>
      </c>
      <c r="CE288" s="66" t="str">
        <f t="shared" si="284"/>
        <v/>
      </c>
      <c r="CF288" s="47" t="s">
        <v>0</v>
      </c>
      <c r="CG288" s="73" t="str">
        <f>IF(BN288="","",IF(BN288&lt;&gt;"NEMA","",IFERROR(INDEX(nat_klubAliasId,MATCH(BL288,nat_noviKluboviAliasi,0)),"")))</f>
        <v/>
      </c>
      <c r="CH288" s="47"/>
      <c r="CI288" s="19" t="str">
        <f t="shared" si="285"/>
        <v/>
      </c>
      <c r="CJ288" s="47" t="s">
        <v>0</v>
      </c>
      <c r="CK288" s="52" t="str">
        <f>IF(X288&lt;&gt;"NEMA","",IF(IFERROR(MATCH(W288,W$12:W287,0),0)&lt;&gt;0,"",W288))</f>
        <v/>
      </c>
      <c r="CL288" s="73" t="str">
        <f>IF(CK288="","",IFERROR(INDEX(regKlub_alias_id,MATCH(CK288,regKlub_alias_alias,0)),"NEMA"))</f>
        <v/>
      </c>
      <c r="CM288" s="31" t="str">
        <f>IF(OR(CL288="",CL288&lt;&gt;"NEMA"),"",MAX(CM$12:CM287)+1)</f>
        <v/>
      </c>
      <c r="CN288" s="66" t="str">
        <f>IF(OR(CL288="",CL288&lt;&gt;"NEMA"),"",INDEX(regKlub_id,MATCH(CK288,regKlub_naziv,0)))</f>
        <v/>
      </c>
      <c r="CO288" s="47" t="s">
        <v>0</v>
      </c>
      <c r="CP288" s="19" t="str">
        <f>IF(OR(CL288="",CL288&lt;&gt;"NEMA"),"","INSERT INTO klub_alias(id,alias,klub_id) VALUES ("&amp;CM288&amp;",'"&amp;CK288&amp;"',"&amp;CN288&amp;");")</f>
        <v/>
      </c>
      <c r="CQ288" s="47" t="s">
        <v>0</v>
      </c>
      <c r="CR288" s="143" t="str">
        <f>IF(BR288="","",IF(BV288="",IF(IFERROR(MATCH(BR288,nat_noviKluboviAliasi,0),0)&gt;0,INDEX(nat_kluboviAliasi,MATCH(BR288,nat_noviKluboviAliasi,0)),BR288),BV288))</f>
        <v>OK Vihor</v>
      </c>
      <c r="CS288" s="47" t="s">
        <v>0</v>
      </c>
      <c r="CT288" s="58" t="str">
        <f>IF(G288="","",G288)</f>
        <v/>
      </c>
      <c r="CU288" s="73" t="str">
        <f>IF(H288="","",H288)</f>
        <v>2</v>
      </c>
      <c r="CV288" s="229" t="str">
        <f>IF(CT288="",IF(OR(AL288="",CU288&lt;&gt;"0"),"","GREŠKA"),IF(AND(65535&gt;=VALUE(LEFT(CT288,SEARCH(":",CT288)-1))*60+VALUE(RIGHT(CT288,2)),OR(CU288="0",CU288="1",CU288="2",CU288="3",CU288="4")),"","GREŠKA"))</f>
        <v/>
      </c>
      <c r="CW288" s="230" t="str">
        <f t="shared" si="239"/>
        <v/>
      </c>
      <c r="CX288" s="163">
        <f t="shared" si="255"/>
        <v>4</v>
      </c>
      <c r="CY288" s="47" t="s">
        <v>0</v>
      </c>
      <c r="CZ288" s="222" t="str">
        <f>IF(CV288&lt;&gt;"GREŠKA","",AK288&amp;" "&amp;AL288&amp;" – Molim u OEventu provjeriti i ispraviti rezultat – vrijeme ("&amp;IF(CT288="","nije upisano",CT288)&amp;") i classifier ("&amp;CU288&amp;").")&amp;IF(OR(CV288&lt;&gt;"GREŠKA",CX288&lt;&gt;5),"
","")&amp;IF(CX288&lt;&gt;5,"",AK288&amp;" "&amp;AL288&amp;" – Molim u provjeriti je li natjecatelj zaista diskvalificiran. Ako je koje je obrazloženje, ako nije molim u OEventu ispraviti rezultat")</f>
        <v xml:space="preserve">
</v>
      </c>
      <c r="DA288" s="223">
        <f t="shared" si="286"/>
        <v>5</v>
      </c>
      <c r="DB288" s="47" t="s">
        <v>0</v>
      </c>
      <c r="DC288" s="47"/>
      <c r="DD288" s="47"/>
      <c r="DE288" s="47"/>
      <c r="DF288" s="47" t="s">
        <v>0</v>
      </c>
      <c r="DG288" s="53" t="str">
        <f>IF(BD288="","",IF(DI288="O",1,""))</f>
        <v/>
      </c>
      <c r="DH288" t="s">
        <v>0</v>
      </c>
      <c r="DI288" s="128" t="str">
        <f>IF(Q288="","",LEFT(INDEX(regKategorija_oznaka,MATCH(S288,regKategorija_id,0)),1))</f>
        <v>Ž</v>
      </c>
      <c r="DJ288" t="s">
        <v>0</v>
      </c>
      <c r="DK288" s="52" t="str">
        <f>IF(BD288="","",IF(M288&lt;&gt;"CRO","","INSERT INTO osoba (id,reg_broj,oib,spol_id,dat_rodjenja) VALUES ("&amp;BD288&amp;",(SELECT max(os.reg_broj)+1 FROM osoba AS os),Null,'"&amp;DI288&amp;"',Null); INSERT INTO osoba_log (id,reg_broj,oib,spol_id,dat_rodjenja,dnevnik_id) SELECT id,reg_broj,oib,spol_id,dat_rodjenja,"&amp;data_dnevnik_id&amp;" FROM osoba WHERE id = "&amp;BD288&amp;";"))</f>
        <v/>
      </c>
      <c r="DL288" s="66" t="str">
        <f>IF(BD288="","","INSERT INTO imeprezime (id,osoba_id,rbr,ime,prezime,klub_id,identitet_id,sintaksa_id,info,aktivno,dnevnik_id) VALUES ("&amp;BD288&amp;","&amp;IF(DK288="","Null",BD288)&amp;",1,'"&amp;IF(AV288&lt;&gt;"",AV288,AK288)&amp;"','"&amp;IF(AW288&lt;&gt;"",AW288,AL288)&amp;"',(SELECT id FROM klub WHERE naziv = '"&amp;CR288&amp;"'),Null,1,'',1,"&amp;data_dnevnik_id&amp;");")</f>
        <v/>
      </c>
      <c r="DM288" t="s">
        <v>0</v>
      </c>
      <c r="DN288" s="19" t="str">
        <f t="shared" si="294"/>
        <v/>
      </c>
      <c r="DO288" s="47" t="s">
        <v>0</v>
      </c>
      <c r="DP288" s="19" t="str">
        <f>IF(BA288="","","INSERT INTO imeprezime_alias(id,alias,imeprezime_id) VALUES ("&amp;BB288&amp;",'"&amp;BA288&amp;"',"&amp;IF(BC288="NEMA",BD288,BC288)&amp;");")</f>
        <v/>
      </c>
      <c r="DQ288" s="47" t="s">
        <v>0</v>
      </c>
      <c r="DR288" s="52" t="str">
        <f>IF(AL288="","",DU288 &amp; IF(Q288="",""," – " &amp; Q288))</f>
        <v>Marina – Tomac-Rojčević – OK Vihor – Ž21B</v>
      </c>
      <c r="DS288" s="53">
        <f t="shared" si="256"/>
        <v>924</v>
      </c>
      <c r="DT288" s="47" t="s">
        <v>0</v>
      </c>
      <c r="DU288" s="52" t="str">
        <f>IF(AL288="","",DX288 &amp; IF(CR288="",""," – " &amp; CR288))</f>
        <v>Marina – Tomac-Rojčević – OK Vihor</v>
      </c>
      <c r="DV288" s="53">
        <f t="shared" si="257"/>
        <v>924</v>
      </c>
      <c r="DW288" s="47" t="s">
        <v>0</v>
      </c>
      <c r="DX288" s="52" t="str">
        <f>IF(BG288="","",BF288&amp;" – "&amp;BG288)</f>
        <v>Marina – Tomac-Rojčević</v>
      </c>
      <c r="DY288" s="53">
        <f t="shared" si="258"/>
        <v>924</v>
      </c>
      <c r="DZ288" s="47" t="s">
        <v>0</v>
      </c>
      <c r="EA288" s="58">
        <f t="shared" si="287"/>
        <v>924</v>
      </c>
      <c r="EB288" s="53" cm="1">
        <f t="array" ref="EB288">IF(EA288&lt;&gt;"",INDEX(regNatjecatelj_id,EA288,0),IF(BD288&lt;&gt;"",BD288,""))</f>
        <v>1928</v>
      </c>
      <c r="EC288" s="47" t="s">
        <v>0</v>
      </c>
      <c r="ED288" s="58" t="str">
        <f>IF(AL288="","",IF(BD288&lt;&gt;"","novo",IF(AN288="","imepre","imepre(ali)")))</f>
        <v>imepre</v>
      </c>
      <c r="EE288" s="73" t="str">
        <f>IF(AL288="","",IF(BL288="",IF(IFERROR(INDEX(regNatjecatelj_klub,MATCH(EB288,regNatjecatelj_id,0)),"NEMA")="","klu",""),IF(OR(AND(BN288&lt;&gt;"",BN288&lt;&gt;"NEMA"),CD288&lt;&gt;""),"klu(ali)",IF(AND(BP288&lt;&gt;"",BP288&lt;&gt;BO288),"(raz-klu)","klu"))))</f>
        <v>klu</v>
      </c>
      <c r="EF288" s="73" t="str">
        <f>IF(AL288="","","kat"&amp;IF(AND(W288&lt;&gt;Q288,Q288&lt;&gt;"Open"),"(ali)",""))</f>
        <v>kat</v>
      </c>
      <c r="EG288" s="73" t="str">
        <f t="shared" si="259"/>
        <v/>
      </c>
      <c r="EH288" s="66" t="str">
        <f>IF(AL288="","",ED288&amp;IF(ED288="novo","","-"&amp;EE288&amp;"-"&amp;EF288)&amp;IF(EG288="","","-"&amp;EG288))</f>
        <v>imepre-klu-kat</v>
      </c>
      <c r="EI288" s="47" t="s">
        <v>0</v>
      </c>
      <c r="EJ288" s="58">
        <f>IF(AL288="","",MAX(EJ$12:EJ287)+1)</f>
        <v>438</v>
      </c>
      <c r="EK288" s="73">
        <f>IF(AO288="","",X288)</f>
        <v>40</v>
      </c>
      <c r="EL288" s="73">
        <f t="shared" si="288"/>
        <v>1928</v>
      </c>
      <c r="EM288" s="73" t="str">
        <f t="shared" si="260"/>
        <v/>
      </c>
      <c r="EN288" s="73">
        <f t="shared" si="261"/>
        <v>4</v>
      </c>
      <c r="EO288" s="73">
        <f t="shared" si="289"/>
        <v>1</v>
      </c>
      <c r="EP288" s="73">
        <f t="shared" si="290"/>
        <v>1</v>
      </c>
      <c r="EQ288" s="73" t="str">
        <f t="shared" si="262"/>
        <v>2</v>
      </c>
      <c r="ER288" s="73" t="str">
        <f>IF(OR(AN288="",AN288="NEMA"),BB288,AN288)</f>
        <v/>
      </c>
      <c r="ES288" s="73" t="str">
        <f>IF(AND(BN288&lt;&gt;"",BN288&lt;&gt;"NEMA"),BN288,IF(CG288&lt;&gt;"",CG288,IF(AND(CL288&lt;&gt;"",CL288&lt;&gt;"NEMA"),CL288,IF(CM288&lt;&gt;"",CM288,""))))</f>
        <v/>
      </c>
      <c r="ET288" s="53" t="str">
        <f>IF(INDEX(natKategorija_alias_Id,MATCH(S288,natKategorija_katRegId,0))="","",INDEX(natKategorija_alias_Id,MATCH(S288,natKategorija_katRegId,0)))</f>
        <v/>
      </c>
      <c r="EU288" s="47" t="s">
        <v>0</v>
      </c>
      <c r="EV288" s="19" t="str">
        <f t="shared" si="291"/>
        <v>INSERT INTO rezultat(id,stazakategorija_id,imeprezime_id,vrijeme_sec,status_id,registracija,uparivanje_id,originalstatus_id,imeprezimealias_id,klubalias_id,kategorijaalias_id) VALUES (438,40,1928,Null,4,1,1,2,Null,Null,Null);</v>
      </c>
      <c r="EW288" s="47" t="s">
        <v>0</v>
      </c>
      <c r="EX288" s="19" t="str">
        <f t="shared" si="292"/>
        <v>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8" s="47" t="s">
        <v>0</v>
      </c>
      <c r="EZ288" s="180" t="str">
        <f>AG288&amp;IF(CP288="","","
")&amp;CP288&amp;IF(CI288="","","
")&amp;CI288&amp;IF(DN288="","","
")&amp;DN288&amp;IF(DP288="","","
")&amp;DP288&amp;IF(EV288="","","
")&amp;EV288&amp;IF(EX288="","","
")&amp;EX288</f>
        <v xml:space="preserve">
INSERT INTO rezultat(id,stazakategorija_id,imeprezime_id,vrijeme_sec,status_id,registracija,uparivanje_id,originalstatus_id,imeprezimealias_id,klubalias_id,kategorijaalias_id) VALUES (438,40,1928,Null,4,1,1,2,Null,Null,Null);
UPDATE
	registar
SET
	potvrda = 1
WHERE
	imeprezime_id=1928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8" s="47" t="s">
        <v>0</v>
      </c>
    </row>
    <row r="289" spans="1:157" x14ac:dyDescent="0.25">
      <c r="A289" t="s">
        <v>0</v>
      </c>
      <c r="B289" s="52" t="str">
        <f>IF(csv!F279="","",csv!T279)</f>
        <v>Ž21B</v>
      </c>
      <c r="C289" s="31" t="s">
        <v>0</v>
      </c>
      <c r="D289" s="31" t="str">
        <f>IF(csv!F279="","",csv!F279)</f>
        <v>Andrea</v>
      </c>
      <c r="E289" s="31" t="str">
        <f>IF(csv!E279="","",csv!E279)</f>
        <v>Funarić</v>
      </c>
      <c r="F289" s="31" t="s">
        <v>0</v>
      </c>
      <c r="G289" s="73" t="str">
        <f>IF(csv!M279="","",csv!M279)</f>
        <v/>
      </c>
      <c r="H289" s="73" t="str">
        <f>IF(csv!N279="","",csv!N279)</f>
        <v>1</v>
      </c>
      <c r="I289" s="31" t="s">
        <v>0</v>
      </c>
      <c r="J289" s="31" t="str">
        <f>IF(csv!P279="","",csv!P279)</f>
        <v>Vihor</v>
      </c>
      <c r="K289" s="31" t="str">
        <f>IF(csv!Q279="","",csv!Q279)</f>
        <v>OK Vihor</v>
      </c>
      <c r="L289" s="31" t="s">
        <v>0</v>
      </c>
      <c r="M289" s="66" t="str">
        <f>IF(csv!R279="","",csv!R279)</f>
        <v>CRO</v>
      </c>
      <c r="N289" s="47" t="s">
        <v>0</v>
      </c>
      <c r="O289" s="243" t="str">
        <f t="shared" si="263"/>
        <v>ok</v>
      </c>
      <c r="P289" s="47"/>
      <c r="Q289" s="52" t="str">
        <f t="shared" si="264"/>
        <v>Ž21B</v>
      </c>
      <c r="R289" s="73">
        <f>IF(Q289="","",IF(COUNTIF(Q$12:Q288,Q289)=0,R288+1,R288))</f>
        <v>18</v>
      </c>
      <c r="S289" s="73">
        <f t="shared" si="265"/>
        <v>118</v>
      </c>
      <c r="T289" s="73">
        <f t="shared" si="240"/>
        <v>27</v>
      </c>
      <c r="U289" s="66" t="str">
        <f t="shared" si="241"/>
        <v>Ž21B – Ž16</v>
      </c>
      <c r="V289" s="47" t="s">
        <v>0</v>
      </c>
      <c r="W289" s="222" t="str">
        <f t="shared" si="242"/>
        <v>Ž21B</v>
      </c>
      <c r="X289" s="223">
        <f t="shared" si="243"/>
        <v>40</v>
      </c>
      <c r="Y289" s="47" t="s">
        <v>0</v>
      </c>
      <c r="Z289" s="52" t="str">
        <f t="shared" si="266"/>
        <v>CRO</v>
      </c>
      <c r="AA289" s="73">
        <f t="shared" si="244"/>
        <v>1</v>
      </c>
      <c r="AB289" s="31" t="str">
        <f t="shared" si="267"/>
        <v/>
      </c>
      <c r="AC289" s="66" t="str">
        <f>IF(AB289="","",MAX(AC$12:AC288)+1)</f>
        <v/>
      </c>
      <c r="AD289" s="47" t="s">
        <v>0</v>
      </c>
      <c r="AE289" s="125"/>
      <c r="AF289" s="47" t="s">
        <v>0</v>
      </c>
      <c r="AG289" s="19" t="str">
        <f t="shared" si="268"/>
        <v/>
      </c>
      <c r="AH289" s="47" t="s">
        <v>0</v>
      </c>
      <c r="AI289" s="143" t="str">
        <f t="shared" si="269"/>
        <v>CRO</v>
      </c>
      <c r="AJ289" s="47"/>
      <c r="AK289" s="52" t="str">
        <f t="shared" si="270"/>
        <v>Andrea</v>
      </c>
      <c r="AL289" s="31" t="str">
        <f t="shared" si="271"/>
        <v>Funarić</v>
      </c>
      <c r="AM289" s="73">
        <f t="shared" si="272"/>
        <v>1886</v>
      </c>
      <c r="AN289" s="73" t="str">
        <f t="shared" si="273"/>
        <v/>
      </c>
      <c r="AO289" s="31" t="str">
        <f t="shared" si="245"/>
        <v>Andrea</v>
      </c>
      <c r="AP289" s="66" t="str">
        <f t="shared" si="246"/>
        <v>Funarić</v>
      </c>
      <c r="AQ289" s="47" t="s">
        <v>0</v>
      </c>
      <c r="AR289" s="82" t="str">
        <f t="shared" si="274"/>
        <v/>
      </c>
      <c r="AS289" s="47" t="s">
        <v>0</v>
      </c>
      <c r="AT289" s="19" t="str">
        <f t="shared" si="275"/>
        <v/>
      </c>
      <c r="AU289" s="47" t="s">
        <v>0</v>
      </c>
      <c r="AV289" s="103"/>
      <c r="AW289" s="105"/>
      <c r="AX289" s="47" t="s">
        <v>0</v>
      </c>
      <c r="AY289" s="256" t="str">
        <f t="shared" si="293"/>
        <v/>
      </c>
      <c r="AZ289" s="47" t="s">
        <v>0</v>
      </c>
      <c r="BA289" s="52" t="str">
        <f t="shared" si="247"/>
        <v/>
      </c>
      <c r="BB289" s="73" t="str">
        <f>IF(AV289&amp;AW289="","",MAX(BB$12:BB288)+1)</f>
        <v/>
      </c>
      <c r="BC289" s="268" t="str">
        <f t="shared" si="248"/>
        <v/>
      </c>
      <c r="BD289" s="53" t="str">
        <f>IF(AND(AM289="NEMA",AN289="NEMA",OR(AV289&amp;AW289="",BC289="NEMA")),MAX(BD$12:BD288)+1,"")</f>
        <v/>
      </c>
      <c r="BE289" s="47" t="s">
        <v>0</v>
      </c>
      <c r="BF289" s="52" t="str">
        <f t="shared" si="249"/>
        <v>Andrea</v>
      </c>
      <c r="BG289" s="31" t="str">
        <f t="shared" si="250"/>
        <v>Funarić</v>
      </c>
      <c r="BH289" s="73" t="str">
        <f t="shared" si="276"/>
        <v/>
      </c>
      <c r="BI289" s="53">
        <f t="shared" si="277"/>
        <v>1886</v>
      </c>
      <c r="BJ289" s="47" t="s">
        <v>0</v>
      </c>
      <c r="BK289" s="52" t="str">
        <f t="shared" si="251"/>
        <v>Vihor</v>
      </c>
      <c r="BL289" s="31" t="str">
        <f t="shared" si="252"/>
        <v>OK Vihor</v>
      </c>
      <c r="BM289" s="73">
        <f t="shared" si="253"/>
        <v>12</v>
      </c>
      <c r="BN289" s="73" t="str">
        <f t="shared" si="254"/>
        <v/>
      </c>
      <c r="BO289" s="31" t="str" cm="1">
        <f t="array" ref="BO289">IF(BN289="",""&amp;BL289,IF(BN289="NEMA",BL289,INDEX(regKlub_naziv,MATCH(INDEX(regKlub_alias_klubId,BN289),regKlub_id,0))))</f>
        <v>OK Vihor</v>
      </c>
      <c r="BP289" s="31" t="str" cm="1">
        <f t="array" ref="BP289">IFERROR(""&amp;INDEX(regNatjecatelj_klub,DY289),"")</f>
        <v>OK Vihor</v>
      </c>
      <c r="BQ289" s="88" t="str">
        <f t="shared" si="278"/>
        <v/>
      </c>
      <c r="BR289" s="66" t="str">
        <f t="shared" si="279"/>
        <v>OK Vihor</v>
      </c>
      <c r="BS289" s="47" t="s">
        <v>0</v>
      </c>
      <c r="BT289" s="82" t="str">
        <f>IF(BN289&lt;&gt;"NEMA","",IF(IFERROR(MATCH(BL289,BL$12:BL288,0),0)&lt;&gt;0,"",BL289))</f>
        <v/>
      </c>
      <c r="BU289" s="47" t="s">
        <v>0</v>
      </c>
      <c r="BV289" s="125"/>
      <c r="BW289" s="47" t="s">
        <v>0</v>
      </c>
      <c r="BX289" s="58" t="str">
        <f t="shared" si="280"/>
        <v/>
      </c>
      <c r="BY289" s="31" t="str">
        <f t="shared" si="281"/>
        <v/>
      </c>
      <c r="BZ289" s="31" t="str">
        <f>IF(BY289="","",MAX(BZ$12:BZ288)+1)</f>
        <v/>
      </c>
      <c r="CA289" s="31" t="str">
        <f>IF(BY289="","",IF(AA289="","",IF(AA289="NEMA",AC289,AA289)))</f>
        <v/>
      </c>
      <c r="CB289" s="31" t="str">
        <f t="shared" si="282"/>
        <v/>
      </c>
      <c r="CC289" s="31" t="str">
        <f>IF(BV289="","",MAX(CC$12:CC288)+1)</f>
        <v/>
      </c>
      <c r="CD289" s="31" t="str">
        <f t="shared" si="283"/>
        <v/>
      </c>
      <c r="CE289" s="66" t="str">
        <f t="shared" si="284"/>
        <v/>
      </c>
      <c r="CF289" s="47" t="s">
        <v>0</v>
      </c>
      <c r="CG289" s="73" t="str">
        <f>IF(BN289="","",IF(BN289&lt;&gt;"NEMA","",IFERROR(INDEX(nat_klubAliasId,MATCH(BL289,nat_noviKluboviAliasi,0)),"")))</f>
        <v/>
      </c>
      <c r="CH289" s="47"/>
      <c r="CI289" s="19" t="str">
        <f t="shared" si="285"/>
        <v/>
      </c>
      <c r="CJ289" s="47" t="s">
        <v>0</v>
      </c>
      <c r="CK289" s="52" t="str">
        <f>IF(X289&lt;&gt;"NEMA","",IF(IFERROR(MATCH(W289,W$12:W288,0),0)&lt;&gt;0,"",W289))</f>
        <v/>
      </c>
      <c r="CL289" s="73" t="str">
        <f>IF(CK289="","",IFERROR(INDEX(regKlub_alias_id,MATCH(CK289,regKlub_alias_alias,0)),"NEMA"))</f>
        <v/>
      </c>
      <c r="CM289" s="31" t="str">
        <f>IF(OR(CL289="",CL289&lt;&gt;"NEMA"),"",MAX(CM$12:CM288)+1)</f>
        <v/>
      </c>
      <c r="CN289" s="66" t="str">
        <f>IF(OR(CL289="",CL289&lt;&gt;"NEMA"),"",INDEX(regKlub_id,MATCH(CK289,regKlub_naziv,0)))</f>
        <v/>
      </c>
      <c r="CO289" s="47" t="s">
        <v>0</v>
      </c>
      <c r="CP289" s="19" t="str">
        <f>IF(OR(CL289="",CL289&lt;&gt;"NEMA"),"","INSERT INTO klub_alias(id,alias,klub_id) VALUES ("&amp;CM289&amp;",'"&amp;CK289&amp;"',"&amp;CN289&amp;");")</f>
        <v/>
      </c>
      <c r="CQ289" s="47" t="s">
        <v>0</v>
      </c>
      <c r="CR289" s="143" t="str">
        <f>IF(BR289="","",IF(BV289="",IF(IFERROR(MATCH(BR289,nat_noviKluboviAliasi,0),0)&gt;0,INDEX(nat_kluboviAliasi,MATCH(BR289,nat_noviKluboviAliasi,0)),BR289),BV289))</f>
        <v>OK Vihor</v>
      </c>
      <c r="CS289" s="47" t="s">
        <v>0</v>
      </c>
      <c r="CT289" s="58" t="str">
        <f>IF(G289="","",G289)</f>
        <v/>
      </c>
      <c r="CU289" s="73" t="str">
        <f>IF(H289="","",H289)</f>
        <v>1</v>
      </c>
      <c r="CV289" s="229" t="str">
        <f>IF(CT289="",IF(OR(AL289="",CU289&lt;&gt;"0"),"","GREŠKA"),IF(AND(65535&gt;=VALUE(LEFT(CT289,SEARCH(":",CT289)-1))*60+VALUE(RIGHT(CT289,2)),OR(CU289="0",CU289="1",CU289="2",CU289="3",CU289="4")),"","GREŠKA"))</f>
        <v/>
      </c>
      <c r="CW289" s="230" t="str">
        <f t="shared" si="239"/>
        <v/>
      </c>
      <c r="CX289" s="163">
        <f t="shared" si="255"/>
        <v>6</v>
      </c>
      <c r="CY289" s="47" t="s">
        <v>0</v>
      </c>
      <c r="CZ289" s="222" t="str">
        <f>IF(CV289&lt;&gt;"GREŠKA","",AK289&amp;" "&amp;AL289&amp;" – Molim u OEventu provjeriti i ispraviti rezultat – vrijeme ("&amp;IF(CT289="","nije upisano",CT289)&amp;") i classifier ("&amp;CU289&amp;").")&amp;IF(OR(CV289&lt;&gt;"GREŠKA",CX289&lt;&gt;5),"
","")&amp;IF(CX289&lt;&gt;5,"",AK289&amp;" "&amp;AL289&amp;" – Molim u provjeriti je li natjecatelj zaista diskvalificiran. Ako je koje je obrazloženje, ako nije molim u OEventu ispraviti rezultat")</f>
        <v xml:space="preserve">
</v>
      </c>
      <c r="DA289" s="223" t="e">
        <f t="shared" si="286"/>
        <v>#N/A</v>
      </c>
      <c r="DB289" s="47" t="s">
        <v>0</v>
      </c>
      <c r="DC289" s="47"/>
      <c r="DD289" s="47"/>
      <c r="DE289" s="47"/>
      <c r="DF289" s="47" t="s">
        <v>0</v>
      </c>
      <c r="DG289" s="53" t="str">
        <f>IF(BD289="","",IF(DI289="O",1,""))</f>
        <v/>
      </c>
      <c r="DH289" t="s">
        <v>0</v>
      </c>
      <c r="DI289" s="128" t="str">
        <f>IF(Q289="","",LEFT(INDEX(regKategorija_oznaka,MATCH(S289,regKategorija_id,0)),1))</f>
        <v>Ž</v>
      </c>
      <c r="DJ289" t="s">
        <v>0</v>
      </c>
      <c r="DK289" s="52" t="str">
        <f>IF(BD289="","",IF(M289&lt;&gt;"CRO","","INSERT INTO osoba (id,reg_broj,oib,spol_id,dat_rodjenja) VALUES ("&amp;BD289&amp;",(SELECT max(os.reg_broj)+1 FROM osoba AS os),Null,'"&amp;DI289&amp;"',Null); INSERT INTO osoba_log (id,reg_broj,oib,spol_id,dat_rodjenja,dnevnik_id) SELECT id,reg_broj,oib,spol_id,dat_rodjenja,"&amp;data_dnevnik_id&amp;" FROM osoba WHERE id = "&amp;BD289&amp;";"))</f>
        <v/>
      </c>
      <c r="DL289" s="66" t="str">
        <f>IF(BD289="","","INSERT INTO imeprezime (id,osoba_id,rbr,ime,prezime,klub_id,identitet_id,sintaksa_id,info,aktivno,dnevnik_id) VALUES ("&amp;BD289&amp;","&amp;IF(DK289="","Null",BD289)&amp;",1,'"&amp;IF(AV289&lt;&gt;"",AV289,AK289)&amp;"','"&amp;IF(AW289&lt;&gt;"",AW289,AL289)&amp;"',(SELECT id FROM klub WHERE naziv = '"&amp;CR289&amp;"'),Null,1,'',1,"&amp;data_dnevnik_id&amp;");")</f>
        <v/>
      </c>
      <c r="DM289" t="s">
        <v>0</v>
      </c>
      <c r="DN289" s="19" t="str">
        <f t="shared" si="294"/>
        <v/>
      </c>
      <c r="DO289" s="47" t="s">
        <v>0</v>
      </c>
      <c r="DP289" s="19" t="str">
        <f>IF(BA289="","","INSERT INTO imeprezime_alias(id,alias,imeprezime_id) VALUES ("&amp;BB289&amp;",'"&amp;BA289&amp;"',"&amp;IF(BC289="NEMA",BD289,BC289)&amp;");")</f>
        <v/>
      </c>
      <c r="DQ289" s="47" t="s">
        <v>0</v>
      </c>
      <c r="DR289" s="52" t="str">
        <f>IF(AL289="","",DU289 &amp; IF(Q289="",""," – " &amp; Q289))</f>
        <v>Andrea – Funarić – OK Vihor – Ž21B</v>
      </c>
      <c r="DS289" s="53">
        <f t="shared" si="256"/>
        <v>669</v>
      </c>
      <c r="DT289" s="47" t="s">
        <v>0</v>
      </c>
      <c r="DU289" s="52" t="str">
        <f>IF(AL289="","",DX289 &amp; IF(CR289="",""," – " &amp; CR289))</f>
        <v>Andrea – Funarić – OK Vihor</v>
      </c>
      <c r="DV289" s="53">
        <f t="shared" si="257"/>
        <v>669</v>
      </c>
      <c r="DW289" s="47" t="s">
        <v>0</v>
      </c>
      <c r="DX289" s="52" t="str">
        <f>IF(BG289="","",BF289&amp;" – "&amp;BG289)</f>
        <v>Andrea – Funarić</v>
      </c>
      <c r="DY289" s="53">
        <f t="shared" si="258"/>
        <v>669</v>
      </c>
      <c r="DZ289" s="47" t="s">
        <v>0</v>
      </c>
      <c r="EA289" s="58">
        <f t="shared" si="287"/>
        <v>669</v>
      </c>
      <c r="EB289" s="53" cm="1">
        <f t="array" ref="EB289">IF(EA289&lt;&gt;"",INDEX(regNatjecatelj_id,EA289,0),IF(BD289&lt;&gt;"",BD289,""))</f>
        <v>1886</v>
      </c>
      <c r="EC289" s="47" t="s">
        <v>0</v>
      </c>
      <c r="ED289" s="58" t="str">
        <f>IF(AL289="","",IF(BD289&lt;&gt;"","novo",IF(AN289="","imepre","imepre(ali)")))</f>
        <v>imepre</v>
      </c>
      <c r="EE289" s="73" t="str">
        <f>IF(AL289="","",IF(BL289="",IF(IFERROR(INDEX(regNatjecatelj_klub,MATCH(EB289,regNatjecatelj_id,0)),"NEMA")="","klu",""),IF(OR(AND(BN289&lt;&gt;"",BN289&lt;&gt;"NEMA"),CD289&lt;&gt;""),"klu(ali)",IF(AND(BP289&lt;&gt;"",BP289&lt;&gt;BO289),"(raz-klu)","klu"))))</f>
        <v>klu</v>
      </c>
      <c r="EF289" s="73" t="str">
        <f>IF(AL289="","","kat"&amp;IF(AND(W289&lt;&gt;Q289,Q289&lt;&gt;"Open"),"(ali)",""))</f>
        <v>kat</v>
      </c>
      <c r="EG289" s="73" t="str">
        <f t="shared" si="259"/>
        <v/>
      </c>
      <c r="EH289" s="66" t="str">
        <f>IF(AL289="","",ED289&amp;IF(ED289="novo","","-"&amp;EE289&amp;"-"&amp;EF289)&amp;IF(EG289="","","-"&amp;EG289))</f>
        <v>imepre-klu-kat</v>
      </c>
      <c r="EI289" s="47" t="s">
        <v>0</v>
      </c>
      <c r="EJ289" s="58">
        <f>IF(AL289="","",MAX(EJ$12:EJ288)+1)</f>
        <v>439</v>
      </c>
      <c r="EK289" s="73">
        <f>IF(AO289="","",X289)</f>
        <v>40</v>
      </c>
      <c r="EL289" s="73">
        <f t="shared" si="288"/>
        <v>1886</v>
      </c>
      <c r="EM289" s="73" t="str">
        <f t="shared" si="260"/>
        <v/>
      </c>
      <c r="EN289" s="73">
        <f t="shared" si="261"/>
        <v>6</v>
      </c>
      <c r="EO289" s="73">
        <f t="shared" si="289"/>
        <v>1</v>
      </c>
      <c r="EP289" s="73">
        <f t="shared" si="290"/>
        <v>1</v>
      </c>
      <c r="EQ289" s="73" t="str">
        <f t="shared" si="262"/>
        <v>1</v>
      </c>
      <c r="ER289" s="73" t="str">
        <f>IF(OR(AN289="",AN289="NEMA"),BB289,AN289)</f>
        <v/>
      </c>
      <c r="ES289" s="73" t="str">
        <f>IF(AND(BN289&lt;&gt;"",BN289&lt;&gt;"NEMA"),BN289,IF(CG289&lt;&gt;"",CG289,IF(AND(CL289&lt;&gt;"",CL289&lt;&gt;"NEMA"),CL289,IF(CM289&lt;&gt;"",CM289,""))))</f>
        <v/>
      </c>
      <c r="ET289" s="53" t="str">
        <f>IF(INDEX(natKategorija_alias_Id,MATCH(S289,natKategorija_katRegId,0))="","",INDEX(natKategorija_alias_Id,MATCH(S289,natKategorija_katRegId,0)))</f>
        <v/>
      </c>
      <c r="EU289" s="47" t="s">
        <v>0</v>
      </c>
      <c r="EV289" s="19" t="str">
        <f t="shared" si="291"/>
        <v>INSERT INTO rezultat(id,stazakategorija_id,imeprezime_id,vrijeme_sec,status_id,registracija,uparivanje_id,originalstatus_id,imeprezimealias_id,klubalias_id,kategorijaalias_id) VALUES (439,40,1886,Null,6,1,1,1,Null,Null,Null);</v>
      </c>
      <c r="EW289" s="47" t="s">
        <v>0</v>
      </c>
      <c r="EX289" s="19" t="str">
        <f t="shared" si="292"/>
        <v>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EY289" s="47" t="s">
        <v>0</v>
      </c>
      <c r="EZ289" s="180" t="str">
        <f>AG289&amp;IF(CP289="","","
")&amp;CP289&amp;IF(CI289="","","
")&amp;CI289&amp;IF(DN289="","","
")&amp;DN289&amp;IF(DP289="","","
")&amp;DP289&amp;IF(EV289="","","
")&amp;EV289&amp;IF(EX289="","","
")&amp;EX289</f>
        <v xml:space="preserve">
INSERT INTO rezultat(id,stazakategorija_id,imeprezime_id,vrijeme_sec,status_id,registracija,uparivanje_id,originalstatus_id,imeprezimealias_id,klubalias_id,kategorijaalias_id) VALUES (439,40,1886,Null,6,1,1,1,Null,Null,Null);
UPDATE
	registar
SET
	potvrda = 1
WHERE
	imeprezime_id=1886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40)
                         		AND
                         	kategorija_liga.liga_id = 101)
		AND
	datum_od &lt;= '2021-04-18'
    	AND
    datum_do is Null;</v>
      </c>
      <c r="FA289" s="47" t="s">
        <v>0</v>
      </c>
    </row>
    <row r="290" spans="1:157" x14ac:dyDescent="0.25">
      <c r="A290" t="s">
        <v>0</v>
      </c>
      <c r="B290" s="52" t="str">
        <f>IF(csv!F280="","",csv!T280)</f>
        <v>Ž35</v>
      </c>
      <c r="C290" s="31" t="s">
        <v>0</v>
      </c>
      <c r="D290" s="31" t="str">
        <f>IF(csv!F280="","",csv!F280)</f>
        <v>Željka</v>
      </c>
      <c r="E290" s="31" t="str">
        <f>IF(csv!E280="","",csv!E280)</f>
        <v>Fištrek</v>
      </c>
      <c r="F290" s="31" t="s">
        <v>0</v>
      </c>
      <c r="G290" s="73" t="str">
        <f>IF(csv!M280="","",csv!M280)</f>
        <v>39:15</v>
      </c>
      <c r="H290" s="73" t="str">
        <f>IF(csv!N280="","",csv!N280)</f>
        <v>0</v>
      </c>
      <c r="I290" s="31" t="s">
        <v>0</v>
      </c>
      <c r="J290" s="31" t="str">
        <f>IF(csv!P280="","",csv!P280)</f>
        <v>KAP</v>
      </c>
      <c r="K290" s="31" t="str">
        <f>IF(csv!Q280="","",csv!Q280)</f>
        <v>OK Kapela</v>
      </c>
      <c r="L290" s="31" t="s">
        <v>0</v>
      </c>
      <c r="M290" s="66" t="str">
        <f>IF(csv!R280="","",csv!R280)</f>
        <v>CRO</v>
      </c>
      <c r="N290" s="47" t="s">
        <v>0</v>
      </c>
      <c r="O290" s="243" t="str">
        <f t="shared" si="263"/>
        <v>ok</v>
      </c>
      <c r="P290" s="47"/>
      <c r="Q290" s="52" t="str">
        <f t="shared" si="264"/>
        <v>Ž35</v>
      </c>
      <c r="R290" s="73">
        <f>IF(Q290="","",IF(COUNTIF(Q$12:Q289,Q290)=0,R289+1,R289))</f>
        <v>19</v>
      </c>
      <c r="S290" s="73">
        <f t="shared" si="265"/>
        <v>117</v>
      </c>
      <c r="T290" s="73">
        <f t="shared" si="240"/>
        <v>26</v>
      </c>
      <c r="U290" s="66" t="str">
        <f t="shared" si="241"/>
        <v>Ž35</v>
      </c>
      <c r="V290" s="47" t="s">
        <v>0</v>
      </c>
      <c r="W290" s="222" t="str">
        <f t="shared" si="242"/>
        <v>Ž35</v>
      </c>
      <c r="X290" s="223">
        <f t="shared" si="243"/>
        <v>41</v>
      </c>
      <c r="Y290" s="47" t="s">
        <v>0</v>
      </c>
      <c r="Z290" s="52" t="str">
        <f t="shared" si="266"/>
        <v>CRO</v>
      </c>
      <c r="AA290" s="73">
        <f t="shared" si="244"/>
        <v>1</v>
      </c>
      <c r="AB290" s="31" t="str">
        <f t="shared" si="267"/>
        <v/>
      </c>
      <c r="AC290" s="66" t="str">
        <f>IF(AB290="","",MAX(AC$12:AC289)+1)</f>
        <v/>
      </c>
      <c r="AD290" s="47" t="s">
        <v>0</v>
      </c>
      <c r="AE290" s="125"/>
      <c r="AF290" s="47" t="s">
        <v>0</v>
      </c>
      <c r="AG290" s="19" t="str">
        <f t="shared" si="268"/>
        <v/>
      </c>
      <c r="AH290" s="47" t="s">
        <v>0</v>
      </c>
      <c r="AI290" s="143" t="str">
        <f t="shared" si="269"/>
        <v>CRO</v>
      </c>
      <c r="AJ290" s="47"/>
      <c r="AK290" s="52" t="str">
        <f t="shared" si="270"/>
        <v>Željka</v>
      </c>
      <c r="AL290" s="31" t="str">
        <f t="shared" si="271"/>
        <v>Fištrek</v>
      </c>
      <c r="AM290" s="73">
        <f t="shared" si="272"/>
        <v>1193</v>
      </c>
      <c r="AN290" s="73" t="str">
        <f t="shared" si="273"/>
        <v/>
      </c>
      <c r="AO290" s="31" t="str">
        <f t="shared" si="245"/>
        <v>Željka</v>
      </c>
      <c r="AP290" s="66" t="str">
        <f t="shared" si="246"/>
        <v>Fištrek</v>
      </c>
      <c r="AQ290" s="47" t="s">
        <v>0</v>
      </c>
      <c r="AR290" s="82" t="str">
        <f t="shared" si="274"/>
        <v/>
      </c>
      <c r="AS290" s="47" t="s">
        <v>0</v>
      </c>
      <c r="AT290" s="19" t="str">
        <f t="shared" si="275"/>
        <v/>
      </c>
      <c r="AU290" s="47" t="s">
        <v>0</v>
      </c>
      <c r="AV290" s="103"/>
      <c r="AW290" s="105"/>
      <c r="AX290" s="47" t="s">
        <v>0</v>
      </c>
      <c r="AY290" s="256" t="str">
        <f t="shared" si="293"/>
        <v/>
      </c>
      <c r="AZ290" s="47" t="s">
        <v>0</v>
      </c>
      <c r="BA290" s="52" t="str">
        <f t="shared" si="247"/>
        <v/>
      </c>
      <c r="BB290" s="73" t="str">
        <f>IF(AV290&amp;AW290="","",MAX(BB$12:BB289)+1)</f>
        <v/>
      </c>
      <c r="BC290" s="268" t="str">
        <f t="shared" si="248"/>
        <v/>
      </c>
      <c r="BD290" s="53" t="str">
        <f>IF(AND(AM290="NEMA",AN290="NEMA",OR(AV290&amp;AW290="",BC290="NEMA")),MAX(BD$12:BD289)+1,"")</f>
        <v/>
      </c>
      <c r="BE290" s="47" t="s">
        <v>0</v>
      </c>
      <c r="BF290" s="52" t="str">
        <f t="shared" si="249"/>
        <v>Željka</v>
      </c>
      <c r="BG290" s="31" t="str">
        <f t="shared" si="250"/>
        <v>Fištrek</v>
      </c>
      <c r="BH290" s="73" t="str">
        <f t="shared" si="276"/>
        <v/>
      </c>
      <c r="BI290" s="53">
        <f t="shared" si="277"/>
        <v>1193</v>
      </c>
      <c r="BJ290" s="47" t="s">
        <v>0</v>
      </c>
      <c r="BK290" s="52" t="str">
        <f t="shared" si="251"/>
        <v>KAP</v>
      </c>
      <c r="BL290" s="31" t="str">
        <f t="shared" si="252"/>
        <v>OK Kapela</v>
      </c>
      <c r="BM290" s="73">
        <f t="shared" si="253"/>
        <v>5</v>
      </c>
      <c r="BN290" s="73" t="str">
        <f t="shared" si="254"/>
        <v/>
      </c>
      <c r="BO290" s="31" t="str" cm="1">
        <f t="array" ref="BO290">IF(BN290="",""&amp;BL290,IF(BN290="NEMA",BL290,INDEX(regKlub_naziv,MATCH(INDEX(regKlub_alias_klubId,BN290),regKlub_id,0))))</f>
        <v>OK Kapela</v>
      </c>
      <c r="BP290" s="31" t="str" cm="1">
        <f t="array" ref="BP290">IFERROR(""&amp;INDEX(regNatjecatelj_klub,DY290),"")</f>
        <v>OK Kapela</v>
      </c>
      <c r="BQ290" s="88" t="str">
        <f t="shared" si="278"/>
        <v/>
      </c>
      <c r="BR290" s="66" t="str">
        <f t="shared" si="279"/>
        <v>OK Kapela</v>
      </c>
      <c r="BS290" s="47" t="s">
        <v>0</v>
      </c>
      <c r="BT290" s="82" t="str">
        <f>IF(BN290&lt;&gt;"NEMA","",IF(IFERROR(MATCH(BL290,BL$12:BL289,0),0)&lt;&gt;0,"",BL290))</f>
        <v/>
      </c>
      <c r="BU290" s="47" t="s">
        <v>0</v>
      </c>
      <c r="BV290" s="125"/>
      <c r="BW290" s="47" t="s">
        <v>0</v>
      </c>
      <c r="BX290" s="58" t="str">
        <f t="shared" si="280"/>
        <v/>
      </c>
      <c r="BY290" s="31" t="str">
        <f t="shared" si="281"/>
        <v/>
      </c>
      <c r="BZ290" s="31" t="str">
        <f>IF(BY290="","",MAX(BZ$12:BZ289)+1)</f>
        <v/>
      </c>
      <c r="CA290" s="31" t="str">
        <f>IF(BY290="","",IF(AA290="","",IF(AA290="NEMA",AC290,AA290)))</f>
        <v/>
      </c>
      <c r="CB290" s="31" t="str">
        <f t="shared" si="282"/>
        <v/>
      </c>
      <c r="CC290" s="31" t="str">
        <f>IF(BV290="","",MAX(CC$12:CC289)+1)</f>
        <v/>
      </c>
      <c r="CD290" s="31" t="str">
        <f t="shared" si="283"/>
        <v/>
      </c>
      <c r="CE290" s="66" t="str">
        <f t="shared" si="284"/>
        <v/>
      </c>
      <c r="CF290" s="47" t="s">
        <v>0</v>
      </c>
      <c r="CG290" s="73" t="str">
        <f>IF(BN290="","",IF(BN290&lt;&gt;"NEMA","",IFERROR(INDEX(nat_klubAliasId,MATCH(BL290,nat_noviKluboviAliasi,0)),"")))</f>
        <v/>
      </c>
      <c r="CH290" s="47"/>
      <c r="CI290" s="19" t="str">
        <f t="shared" si="285"/>
        <v/>
      </c>
      <c r="CJ290" s="47" t="s">
        <v>0</v>
      </c>
      <c r="CK290" s="52" t="str">
        <f>IF(X290&lt;&gt;"NEMA","",IF(IFERROR(MATCH(W290,W$12:W289,0),0)&lt;&gt;0,"",W290))</f>
        <v/>
      </c>
      <c r="CL290" s="73" t="str">
        <f>IF(CK290="","",IFERROR(INDEX(regKlub_alias_id,MATCH(CK290,regKlub_alias_alias,0)),"NEMA"))</f>
        <v/>
      </c>
      <c r="CM290" s="31" t="str">
        <f>IF(OR(CL290="",CL290&lt;&gt;"NEMA"),"",MAX(CM$12:CM289)+1)</f>
        <v/>
      </c>
      <c r="CN290" s="66" t="str">
        <f>IF(OR(CL290="",CL290&lt;&gt;"NEMA"),"",INDEX(regKlub_id,MATCH(CK290,regKlub_naziv,0)))</f>
        <v/>
      </c>
      <c r="CO290" s="47" t="s">
        <v>0</v>
      </c>
      <c r="CP290" s="19" t="str">
        <f>IF(OR(CL290="",CL290&lt;&gt;"NEMA"),"","INSERT INTO klub_alias(id,alias,klub_id) VALUES ("&amp;CM290&amp;",'"&amp;CK290&amp;"',"&amp;CN290&amp;");")</f>
        <v/>
      </c>
      <c r="CQ290" s="47" t="s">
        <v>0</v>
      </c>
      <c r="CR290" s="143" t="str">
        <f>IF(BR290="","",IF(BV290="",IF(IFERROR(MATCH(BR290,nat_noviKluboviAliasi,0),0)&gt;0,INDEX(nat_kluboviAliasi,MATCH(BR290,nat_noviKluboviAliasi,0)),BR290),BV290))</f>
        <v>OK Kapela</v>
      </c>
      <c r="CS290" s="47" t="s">
        <v>0</v>
      </c>
      <c r="CT290" s="58" t="str">
        <f>IF(G290="","",G290)</f>
        <v>39:15</v>
      </c>
      <c r="CU290" s="73" t="str">
        <f>IF(H290="","",H290)</f>
        <v>0</v>
      </c>
      <c r="CV290" s="229" t="str">
        <f>IF(CT290="",IF(OR(AL290="",CU290&lt;&gt;"0"),"","GREŠKA"),IF(AND(65535&gt;=VALUE(LEFT(CT290,SEARCH(":",CT290)-1))*60+VALUE(RIGHT(CT290,2)),OR(CU290="0",CU290="1",CU290="2",CU290="3",CU290="4")),"","GREŠKA"))</f>
        <v/>
      </c>
      <c r="CW290" s="230">
        <f t="shared" si="239"/>
        <v>2355</v>
      </c>
      <c r="CX290" s="163">
        <f t="shared" si="255"/>
        <v>1</v>
      </c>
      <c r="CY290" s="47" t="s">
        <v>0</v>
      </c>
      <c r="CZ290" s="222" t="str">
        <f>IF(CV290&lt;&gt;"GREŠKA","",AK290&amp;" "&amp;AL290&amp;" – Molim u OEventu provjeriti i ispraviti rezultat – vrijeme ("&amp;IF(CT290="","nije upisano",CT290)&amp;") i classifier ("&amp;CU290&amp;").")&amp;IF(OR(CV290&lt;&gt;"GREŠKA",CX290&lt;&gt;5),"
","")&amp;IF(CX290&lt;&gt;5,"",AK290&amp;" "&amp;AL290&amp;" – Molim u provjeriti je li natjecatelj zaista diskvalificiran. Ako je koje je obrazloženje, ako nije molim u OEventu ispraviti rezultat")</f>
        <v xml:space="preserve">
</v>
      </c>
      <c r="DA290" s="223">
        <f t="shared" si="286"/>
        <v>6</v>
      </c>
      <c r="DB290" s="47" t="s">
        <v>0</v>
      </c>
      <c r="DC290" s="47"/>
      <c r="DD290" s="47"/>
      <c r="DE290" s="47"/>
      <c r="DF290" s="47" t="s">
        <v>0</v>
      </c>
      <c r="DG290" s="53" t="str">
        <f>IF(BD290="","",IF(DI290="O",1,""))</f>
        <v/>
      </c>
      <c r="DH290" t="s">
        <v>0</v>
      </c>
      <c r="DI290" s="128" t="str">
        <f>IF(Q290="","",LEFT(INDEX(regKategorija_oznaka,MATCH(S290,regKategorija_id,0)),1))</f>
        <v>Ž</v>
      </c>
      <c r="DJ290" t="s">
        <v>0</v>
      </c>
      <c r="DK290" s="52" t="str">
        <f>IF(BD290="","",IF(M290&lt;&gt;"CRO","","INSERT INTO osoba (id,reg_broj,oib,spol_id,dat_rodjenja) VALUES ("&amp;BD290&amp;",(SELECT max(os.reg_broj)+1 FROM osoba AS os),Null,'"&amp;DI290&amp;"',Null); INSERT INTO osoba_log (id,reg_broj,oib,spol_id,dat_rodjenja,dnevnik_id) SELECT id,reg_broj,oib,spol_id,dat_rodjenja,"&amp;data_dnevnik_id&amp;" FROM osoba WHERE id = "&amp;BD290&amp;";"))</f>
        <v/>
      </c>
      <c r="DL290" s="66" t="str">
        <f>IF(BD290="","","INSERT INTO imeprezime (id,osoba_id,rbr,ime,prezime,klub_id,identitet_id,sintaksa_id,info,aktivno,dnevnik_id) VALUES ("&amp;BD290&amp;","&amp;IF(DK290="","Null",BD290)&amp;",1,'"&amp;IF(AV290&lt;&gt;"",AV290,AK290)&amp;"','"&amp;IF(AW290&lt;&gt;"",AW290,AL290)&amp;"',(SELECT id FROM klub WHERE naziv = '"&amp;CR290&amp;"'),Null,1,'',1,"&amp;data_dnevnik_id&amp;");")</f>
        <v/>
      </c>
      <c r="DM290" t="s">
        <v>0</v>
      </c>
      <c r="DN290" s="19" t="str">
        <f t="shared" si="294"/>
        <v/>
      </c>
      <c r="DO290" s="47" t="s">
        <v>0</v>
      </c>
      <c r="DP290" s="19" t="str">
        <f>IF(BA290="","","INSERT INTO imeprezime_alias(id,alias,imeprezime_id) VALUES ("&amp;BB290&amp;",'"&amp;BA290&amp;"',"&amp;IF(BC290="NEMA",BD290,BC290)&amp;");")</f>
        <v/>
      </c>
      <c r="DQ290" s="47" t="s">
        <v>0</v>
      </c>
      <c r="DR290" s="52" t="str">
        <f>IF(AL290="","",DU290 &amp; IF(Q290="",""," – " &amp; Q290))</f>
        <v>Željka – Fištrek – OK Kapela – Ž35</v>
      </c>
      <c r="DS290" s="53">
        <f t="shared" si="256"/>
        <v>237</v>
      </c>
      <c r="DT290" s="47" t="s">
        <v>0</v>
      </c>
      <c r="DU290" s="52" t="str">
        <f>IF(AL290="","",DX290 &amp; IF(CR290="",""," – " &amp; CR290))</f>
        <v>Željka – Fištrek – OK Kapela</v>
      </c>
      <c r="DV290" s="53">
        <f t="shared" si="257"/>
        <v>237</v>
      </c>
      <c r="DW290" s="47" t="s">
        <v>0</v>
      </c>
      <c r="DX290" s="52" t="str">
        <f>IF(BG290="","",BF290&amp;" – "&amp;BG290)</f>
        <v>Željka – Fištrek</v>
      </c>
      <c r="DY290" s="53">
        <f t="shared" si="258"/>
        <v>237</v>
      </c>
      <c r="DZ290" s="47" t="s">
        <v>0</v>
      </c>
      <c r="EA290" s="58">
        <f t="shared" si="287"/>
        <v>237</v>
      </c>
      <c r="EB290" s="53" cm="1">
        <f t="array" ref="EB290">IF(EA290&lt;&gt;"",INDEX(regNatjecatelj_id,EA290,0),IF(BD290&lt;&gt;"",BD290,""))</f>
        <v>1193</v>
      </c>
      <c r="EC290" s="47" t="s">
        <v>0</v>
      </c>
      <c r="ED290" s="58" t="str">
        <f>IF(AL290="","",IF(BD290&lt;&gt;"","novo",IF(AN290="","imepre","imepre(ali)")))</f>
        <v>imepre</v>
      </c>
      <c r="EE290" s="73" t="str">
        <f>IF(AL290="","",IF(BL290="",IF(IFERROR(INDEX(regNatjecatelj_klub,MATCH(EB290,regNatjecatelj_id,0)),"NEMA")="","klu",""),IF(OR(AND(BN290&lt;&gt;"",BN290&lt;&gt;"NEMA"),CD290&lt;&gt;""),"klu(ali)",IF(AND(BP290&lt;&gt;"",BP290&lt;&gt;BO290),"(raz-klu)","klu"))))</f>
        <v>klu</v>
      </c>
      <c r="EF290" s="73" t="str">
        <f>IF(AL290="","","kat"&amp;IF(AND(W290&lt;&gt;Q290,Q290&lt;&gt;"Open"),"(ali)",""))</f>
        <v>kat</v>
      </c>
      <c r="EG290" s="73" t="str">
        <f t="shared" si="259"/>
        <v/>
      </c>
      <c r="EH290" s="66" t="str">
        <f>IF(AL290="","",ED290&amp;IF(ED290="novo","","-"&amp;EE290&amp;"-"&amp;EF290)&amp;IF(EG290="","","-"&amp;EG290))</f>
        <v>imepre-klu-kat</v>
      </c>
      <c r="EI290" s="47" t="s">
        <v>0</v>
      </c>
      <c r="EJ290" s="58">
        <f>IF(AL290="","",MAX(EJ$12:EJ289)+1)</f>
        <v>440</v>
      </c>
      <c r="EK290" s="73">
        <f>IF(AO290="","",X290)</f>
        <v>41</v>
      </c>
      <c r="EL290" s="73">
        <f t="shared" si="288"/>
        <v>1193</v>
      </c>
      <c r="EM290" s="73">
        <f t="shared" si="260"/>
        <v>2355</v>
      </c>
      <c r="EN290" s="73">
        <f t="shared" si="261"/>
        <v>1</v>
      </c>
      <c r="EO290" s="73">
        <f t="shared" si="289"/>
        <v>1</v>
      </c>
      <c r="EP290" s="73">
        <f t="shared" si="290"/>
        <v>1</v>
      </c>
      <c r="EQ290" s="73" t="str">
        <f t="shared" si="262"/>
        <v>0</v>
      </c>
      <c r="ER290" s="73" t="str">
        <f>IF(OR(AN290="",AN290="NEMA"),BB290,AN290)</f>
        <v/>
      </c>
      <c r="ES290" s="73" t="str">
        <f>IF(AND(BN290&lt;&gt;"",BN290&lt;&gt;"NEMA"),BN290,IF(CG290&lt;&gt;"",CG290,IF(AND(CL290&lt;&gt;"",CL290&lt;&gt;"NEMA"),CL290,IF(CM290&lt;&gt;"",CM290,""))))</f>
        <v/>
      </c>
      <c r="ET290" s="53" t="str">
        <f>IF(INDEX(natKategorija_alias_Id,MATCH(S290,natKategorija_katRegId,0))="","",INDEX(natKategorija_alias_Id,MATCH(S290,natKategorija_katRegId,0)))</f>
        <v/>
      </c>
      <c r="EU290" s="47" t="s">
        <v>0</v>
      </c>
      <c r="EV290" s="19" t="str">
        <f t="shared" si="291"/>
        <v>INSERT INTO rezultat(id,stazakategorija_id,imeprezime_id,vrijeme_sec,status_id,registracija,uparivanje_id,originalstatus_id,imeprezimealias_id,klubalias_id,kategorijaalias_id) VALUES (440,41,1193,2355,1,1,1,0,Null,Null,Null);</v>
      </c>
      <c r="EW290" s="47" t="s">
        <v>0</v>
      </c>
      <c r="EX290" s="19" t="str">
        <f t="shared" si="292"/>
        <v>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0" s="47" t="s">
        <v>0</v>
      </c>
      <c r="EZ290" s="180" t="str">
        <f>AG290&amp;IF(CP290="","","
")&amp;CP290&amp;IF(CI290="","","
")&amp;CI290&amp;IF(DN290="","","
")&amp;DN290&amp;IF(DP290="","","
")&amp;DP290&amp;IF(EV290="","","
")&amp;EV290&amp;IF(EX290="","","
")&amp;EX290</f>
        <v xml:space="preserve">
INSERT INTO rezultat(id,stazakategorija_id,imeprezime_id,vrijeme_sec,status_id,registracija,uparivanje_id,originalstatus_id,imeprezimealias_id,klubalias_id,kategorijaalias_id) VALUES (440,41,1193,2355,1,1,1,0,Null,Null,Null);
UPDATE
	registar
SET
	potvrda = 1
WHERE
	imeprezime_id=1193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0" s="47" t="s">
        <v>0</v>
      </c>
    </row>
    <row r="291" spans="1:157" x14ac:dyDescent="0.25">
      <c r="A291" t="s">
        <v>0</v>
      </c>
      <c r="B291" s="52" t="str">
        <f>IF(csv!F281="","",csv!T281)</f>
        <v>Ž35</v>
      </c>
      <c r="C291" s="31" t="s">
        <v>0</v>
      </c>
      <c r="D291" s="31" t="str">
        <f>IF(csv!F281="","",csv!F281)</f>
        <v>Sonja</v>
      </c>
      <c r="E291" s="31" t="str">
        <f>IF(csv!E281="","",csv!E281)</f>
        <v>Lesjak</v>
      </c>
      <c r="F291" s="31" t="s">
        <v>0</v>
      </c>
      <c r="G291" s="73" t="str">
        <f>IF(csv!M281="","",csv!M281)</f>
        <v>41:28</v>
      </c>
      <c r="H291" s="73" t="str">
        <f>IF(csv!N281="","",csv!N281)</f>
        <v>0</v>
      </c>
      <c r="I291" s="31" t="s">
        <v>0</v>
      </c>
      <c r="J291" s="31" t="str">
        <f>IF(csv!P281="","",csv!P281)</f>
        <v>JAP</v>
      </c>
      <c r="K291" s="31" t="str">
        <f>IF(csv!Q281="","",csv!Q281)</f>
        <v>OK Japetic</v>
      </c>
      <c r="L291" s="31" t="s">
        <v>0</v>
      </c>
      <c r="M291" s="66" t="str">
        <f>IF(csv!R281="","",csv!R281)</f>
        <v>CRO</v>
      </c>
      <c r="N291" s="47" t="s">
        <v>0</v>
      </c>
      <c r="O291" s="243" t="str">
        <f t="shared" si="263"/>
        <v>ok</v>
      </c>
      <c r="P291" s="47"/>
      <c r="Q291" s="52" t="str">
        <f t="shared" si="264"/>
        <v>Ž35</v>
      </c>
      <c r="R291" s="73">
        <f>IF(Q291="","",IF(COUNTIF(Q$12:Q290,Q291)=0,R290+1,R290))</f>
        <v>19</v>
      </c>
      <c r="S291" s="73">
        <f t="shared" si="265"/>
        <v>117</v>
      </c>
      <c r="T291" s="73">
        <f t="shared" si="240"/>
        <v>26</v>
      </c>
      <c r="U291" s="66" t="str">
        <f t="shared" si="241"/>
        <v>Ž35</v>
      </c>
      <c r="V291" s="47" t="s">
        <v>0</v>
      </c>
      <c r="W291" s="222" t="str">
        <f t="shared" si="242"/>
        <v>Ž35</v>
      </c>
      <c r="X291" s="223">
        <f t="shared" si="243"/>
        <v>41</v>
      </c>
      <c r="Y291" s="47" t="s">
        <v>0</v>
      </c>
      <c r="Z291" s="52" t="str">
        <f t="shared" si="266"/>
        <v>CRO</v>
      </c>
      <c r="AA291" s="73">
        <f t="shared" si="244"/>
        <v>1</v>
      </c>
      <c r="AB291" s="31" t="str">
        <f t="shared" si="267"/>
        <v/>
      </c>
      <c r="AC291" s="66" t="str">
        <f>IF(AB291="","",MAX(AC$12:AC290)+1)</f>
        <v/>
      </c>
      <c r="AD291" s="47" t="s">
        <v>0</v>
      </c>
      <c r="AE291" s="125"/>
      <c r="AF291" s="47" t="s">
        <v>0</v>
      </c>
      <c r="AG291" s="19" t="str">
        <f t="shared" si="268"/>
        <v/>
      </c>
      <c r="AH291" s="47" t="s">
        <v>0</v>
      </c>
      <c r="AI291" s="143" t="str">
        <f t="shared" si="269"/>
        <v>CRO</v>
      </c>
      <c r="AJ291" s="47"/>
      <c r="AK291" s="52" t="str">
        <f t="shared" si="270"/>
        <v>Sonja</v>
      </c>
      <c r="AL291" s="31" t="str">
        <f t="shared" si="271"/>
        <v>Lesjak</v>
      </c>
      <c r="AM291" s="73">
        <f t="shared" si="272"/>
        <v>1543</v>
      </c>
      <c r="AN291" s="73" t="str">
        <f t="shared" si="273"/>
        <v/>
      </c>
      <c r="AO291" s="31" t="str">
        <f t="shared" si="245"/>
        <v>Sonja</v>
      </c>
      <c r="AP291" s="66" t="str">
        <f t="shared" si="246"/>
        <v>Lesjak</v>
      </c>
      <c r="AQ291" s="47" t="s">
        <v>0</v>
      </c>
      <c r="AR291" s="82" t="str">
        <f t="shared" si="274"/>
        <v/>
      </c>
      <c r="AS291" s="47" t="s">
        <v>0</v>
      </c>
      <c r="AT291" s="19" t="str">
        <f t="shared" si="275"/>
        <v/>
      </c>
      <c r="AU291" s="47" t="s">
        <v>0</v>
      </c>
      <c r="AV291" s="103"/>
      <c r="AW291" s="105"/>
      <c r="AX291" s="47" t="s">
        <v>0</v>
      </c>
      <c r="AY291" s="256" t="str">
        <f t="shared" si="293"/>
        <v/>
      </c>
      <c r="AZ291" s="47" t="s">
        <v>0</v>
      </c>
      <c r="BA291" s="52" t="str">
        <f t="shared" si="247"/>
        <v/>
      </c>
      <c r="BB291" s="73" t="str">
        <f>IF(AV291&amp;AW291="","",MAX(BB$12:BB290)+1)</f>
        <v/>
      </c>
      <c r="BC291" s="268" t="str">
        <f t="shared" si="248"/>
        <v/>
      </c>
      <c r="BD291" s="53" t="str">
        <f>IF(AND(AM291="NEMA",AN291="NEMA",OR(AV291&amp;AW291="",BC291="NEMA")),MAX(BD$12:BD290)+1,"")</f>
        <v/>
      </c>
      <c r="BE291" s="47" t="s">
        <v>0</v>
      </c>
      <c r="BF291" s="52" t="str">
        <f t="shared" si="249"/>
        <v>Sonja</v>
      </c>
      <c r="BG291" s="31" t="str">
        <f t="shared" si="250"/>
        <v>Lesjak</v>
      </c>
      <c r="BH291" s="73" t="str">
        <f t="shared" si="276"/>
        <v/>
      </c>
      <c r="BI291" s="53">
        <f t="shared" si="277"/>
        <v>1543</v>
      </c>
      <c r="BJ291" s="47" t="s">
        <v>0</v>
      </c>
      <c r="BK291" s="52" t="str">
        <f t="shared" si="251"/>
        <v>JAP</v>
      </c>
      <c r="BL291" s="31" t="str">
        <f t="shared" si="252"/>
        <v>OK Japetic</v>
      </c>
      <c r="BM291" s="73" t="str">
        <f t="shared" si="253"/>
        <v>NEMA</v>
      </c>
      <c r="BN291" s="73">
        <f t="shared" si="254"/>
        <v>1</v>
      </c>
      <c r="BO291" s="31" t="str" cm="1">
        <f t="array" ref="BO291">IF(BN291="",""&amp;BL291,IF(BN291="NEMA",BL291,INDEX(regKlub_naziv,MATCH(INDEX(regKlub_alias_klubId,BN291),regKlub_id,0))))</f>
        <v>OK Japetić</v>
      </c>
      <c r="BP291" s="31" t="str" cm="1">
        <f t="array" ref="BP291">IFERROR(""&amp;INDEX(regNatjecatelj_klub,DY291),"")</f>
        <v>OK Japetić</v>
      </c>
      <c r="BQ291" s="88" t="str">
        <f t="shared" si="278"/>
        <v/>
      </c>
      <c r="BR291" s="66" t="str">
        <f t="shared" si="279"/>
        <v>OK Japetić</v>
      </c>
      <c r="BS291" s="47" t="s">
        <v>0</v>
      </c>
      <c r="BT291" s="82" t="str">
        <f>IF(BN291&lt;&gt;"NEMA","",IF(IFERROR(MATCH(BL291,BL$12:BL290,0),0)&lt;&gt;0,"",BL291))</f>
        <v/>
      </c>
      <c r="BU291" s="47" t="s">
        <v>0</v>
      </c>
      <c r="BV291" s="125"/>
      <c r="BW291" s="47" t="s">
        <v>0</v>
      </c>
      <c r="BX291" s="58" t="str">
        <f t="shared" si="280"/>
        <v/>
      </c>
      <c r="BY291" s="31" t="str">
        <f t="shared" si="281"/>
        <v/>
      </c>
      <c r="BZ291" s="31" t="str">
        <f>IF(BY291="","",MAX(BZ$12:BZ290)+1)</f>
        <v/>
      </c>
      <c r="CA291" s="31" t="str">
        <f>IF(BY291="","",IF(AA291="","",IF(AA291="NEMA",AC291,AA291)))</f>
        <v/>
      </c>
      <c r="CB291" s="31" t="str">
        <f t="shared" si="282"/>
        <v/>
      </c>
      <c r="CC291" s="31" t="str">
        <f>IF(BV291="","",MAX(CC$12:CC290)+1)</f>
        <v/>
      </c>
      <c r="CD291" s="31" t="str">
        <f t="shared" si="283"/>
        <v/>
      </c>
      <c r="CE291" s="66" t="str">
        <f t="shared" si="284"/>
        <v/>
      </c>
      <c r="CF291" s="47" t="s">
        <v>0</v>
      </c>
      <c r="CG291" s="73" t="str">
        <f>IF(BN291="","",IF(BN291&lt;&gt;"NEMA","",IFERROR(INDEX(nat_klubAliasId,MATCH(BL291,nat_noviKluboviAliasi,0)),"")))</f>
        <v/>
      </c>
      <c r="CH291" s="47"/>
      <c r="CI291" s="19" t="str">
        <f t="shared" si="285"/>
        <v/>
      </c>
      <c r="CJ291" s="47" t="s">
        <v>0</v>
      </c>
      <c r="CK291" s="52" t="str">
        <f>IF(X291&lt;&gt;"NEMA","",IF(IFERROR(MATCH(W291,W$12:W290,0),0)&lt;&gt;0,"",W291))</f>
        <v/>
      </c>
      <c r="CL291" s="73" t="str">
        <f>IF(CK291="","",IFERROR(INDEX(regKlub_alias_id,MATCH(CK291,regKlub_alias_alias,0)),"NEMA"))</f>
        <v/>
      </c>
      <c r="CM291" s="31" t="str">
        <f>IF(OR(CL291="",CL291&lt;&gt;"NEMA"),"",MAX(CM$12:CM290)+1)</f>
        <v/>
      </c>
      <c r="CN291" s="66" t="str">
        <f>IF(OR(CL291="",CL291&lt;&gt;"NEMA"),"",INDEX(regKlub_id,MATCH(CK291,regKlub_naziv,0)))</f>
        <v/>
      </c>
      <c r="CO291" s="47" t="s">
        <v>0</v>
      </c>
      <c r="CP291" s="19" t="str">
        <f>IF(OR(CL291="",CL291&lt;&gt;"NEMA"),"","INSERT INTO klub_alias(id,alias,klub_id) VALUES ("&amp;CM291&amp;",'"&amp;CK291&amp;"',"&amp;CN291&amp;");")</f>
        <v/>
      </c>
      <c r="CQ291" s="47" t="s">
        <v>0</v>
      </c>
      <c r="CR291" s="143" t="str">
        <f>IF(BR291="","",IF(BV291="",IF(IFERROR(MATCH(BR291,nat_noviKluboviAliasi,0),0)&gt;0,INDEX(nat_kluboviAliasi,MATCH(BR291,nat_noviKluboviAliasi,0)),BR291),BV291))</f>
        <v>OK Japetić</v>
      </c>
      <c r="CS291" s="47" t="s">
        <v>0</v>
      </c>
      <c r="CT291" s="58" t="str">
        <f>IF(G291="","",G291)</f>
        <v>41:28</v>
      </c>
      <c r="CU291" s="73" t="str">
        <f>IF(H291="","",H291)</f>
        <v>0</v>
      </c>
      <c r="CV291" s="229" t="str">
        <f>IF(CT291="",IF(OR(AL291="",CU291&lt;&gt;"0"),"","GREŠKA"),IF(AND(65535&gt;=VALUE(LEFT(CT291,SEARCH(":",CT291)-1))*60+VALUE(RIGHT(CT291,2)),OR(CU291="0",CU291="1",CU291="2",CU291="3",CU291="4")),"","GREŠKA"))</f>
        <v/>
      </c>
      <c r="CW291" s="230">
        <f t="shared" si="239"/>
        <v>2488</v>
      </c>
      <c r="CX291" s="163">
        <f t="shared" si="255"/>
        <v>1</v>
      </c>
      <c r="CY291" s="47" t="s">
        <v>0</v>
      </c>
      <c r="CZ291" s="222" t="str">
        <f>IF(CV291&lt;&gt;"GREŠKA","",AK291&amp;" "&amp;AL291&amp;" – Molim u OEventu provjeriti i ispraviti rezultat – vrijeme ("&amp;IF(CT291="","nije upisano",CT291)&amp;") i classifier ("&amp;CU291&amp;").")&amp;IF(OR(CV291&lt;&gt;"GREŠKA",CX291&lt;&gt;5),"
","")&amp;IF(CX291&lt;&gt;5,"",AK291&amp;" "&amp;AL291&amp;" – Molim u provjeriti je li natjecatelj zaista diskvalificiran. Ako je koje je obrazloženje, ako nije molim u OEventu ispraviti rezultat")</f>
        <v xml:space="preserve">
</v>
      </c>
      <c r="DA291" s="223">
        <f t="shared" si="286"/>
        <v>6</v>
      </c>
      <c r="DB291" s="47" t="s">
        <v>0</v>
      </c>
      <c r="DC291" s="47"/>
      <c r="DD291" s="47"/>
      <c r="DE291" s="47"/>
      <c r="DF291" s="47" t="s">
        <v>0</v>
      </c>
      <c r="DG291" s="53" t="str">
        <f>IF(BD291="","",IF(DI291="O",1,""))</f>
        <v/>
      </c>
      <c r="DH291" t="s">
        <v>0</v>
      </c>
      <c r="DI291" s="128" t="str">
        <f>IF(Q291="","",LEFT(INDEX(regKategorija_oznaka,MATCH(S291,regKategorija_id,0)),1))</f>
        <v>Ž</v>
      </c>
      <c r="DJ291" t="s">
        <v>0</v>
      </c>
      <c r="DK291" s="52" t="str">
        <f>IF(BD291="","",IF(M291&lt;&gt;"CRO","","INSERT INTO osoba (id,reg_broj,oib,spol_id,dat_rodjenja) VALUES ("&amp;BD291&amp;",(SELECT max(os.reg_broj)+1 FROM osoba AS os),Null,'"&amp;DI291&amp;"',Null); INSERT INTO osoba_log (id,reg_broj,oib,spol_id,dat_rodjenja,dnevnik_id) SELECT id,reg_broj,oib,spol_id,dat_rodjenja,"&amp;data_dnevnik_id&amp;" FROM osoba WHERE id = "&amp;BD291&amp;";"))</f>
        <v/>
      </c>
      <c r="DL291" s="66" t="str">
        <f>IF(BD291="","","INSERT INTO imeprezime (id,osoba_id,rbr,ime,prezime,klub_id,identitet_id,sintaksa_id,info,aktivno,dnevnik_id) VALUES ("&amp;BD291&amp;","&amp;IF(DK291="","Null",BD291)&amp;",1,'"&amp;IF(AV291&lt;&gt;"",AV291,AK291)&amp;"','"&amp;IF(AW291&lt;&gt;"",AW291,AL291)&amp;"',(SELECT id FROM klub WHERE naziv = '"&amp;CR291&amp;"'),Null,1,'',1,"&amp;data_dnevnik_id&amp;");")</f>
        <v/>
      </c>
      <c r="DM291" t="s">
        <v>0</v>
      </c>
      <c r="DN291" s="19" t="str">
        <f t="shared" si="294"/>
        <v/>
      </c>
      <c r="DO291" s="47" t="s">
        <v>0</v>
      </c>
      <c r="DP291" s="19" t="str">
        <f>IF(BA291="","","INSERT INTO imeprezime_alias(id,alias,imeprezime_id) VALUES ("&amp;BB291&amp;",'"&amp;BA291&amp;"',"&amp;IF(BC291="NEMA",BD291,BC291)&amp;");")</f>
        <v/>
      </c>
      <c r="DQ291" s="47" t="s">
        <v>0</v>
      </c>
      <c r="DR291" s="52" t="str">
        <f>IF(AL291="","",DU291 &amp; IF(Q291="",""," – " &amp; Q291))</f>
        <v>Sonja – Lesjak – OK Japetić – Ž35</v>
      </c>
      <c r="DS291" s="53">
        <f t="shared" si="256"/>
        <v>108</v>
      </c>
      <c r="DT291" s="47" t="s">
        <v>0</v>
      </c>
      <c r="DU291" s="52" t="str">
        <f>IF(AL291="","",DX291 &amp; IF(CR291="",""," – " &amp; CR291))</f>
        <v>Sonja – Lesjak – OK Japetić</v>
      </c>
      <c r="DV291" s="53">
        <f t="shared" si="257"/>
        <v>108</v>
      </c>
      <c r="DW291" s="47" t="s">
        <v>0</v>
      </c>
      <c r="DX291" s="52" t="str">
        <f>IF(BG291="","",BF291&amp;" – "&amp;BG291)</f>
        <v>Sonja – Lesjak</v>
      </c>
      <c r="DY291" s="53">
        <f t="shared" si="258"/>
        <v>108</v>
      </c>
      <c r="DZ291" s="47" t="s">
        <v>0</v>
      </c>
      <c r="EA291" s="58">
        <f t="shared" si="287"/>
        <v>108</v>
      </c>
      <c r="EB291" s="53" cm="1">
        <f t="array" ref="EB291">IF(EA291&lt;&gt;"",INDEX(regNatjecatelj_id,EA291,0),IF(BD291&lt;&gt;"",BD291,""))</f>
        <v>1543</v>
      </c>
      <c r="EC291" s="47" t="s">
        <v>0</v>
      </c>
      <c r="ED291" s="58" t="str">
        <f>IF(AL291="","",IF(BD291&lt;&gt;"","novo",IF(AN291="","imepre","imepre(ali)")))</f>
        <v>imepre</v>
      </c>
      <c r="EE291" s="73" t="str">
        <f>IF(AL291="","",IF(BL291="",IF(IFERROR(INDEX(regNatjecatelj_klub,MATCH(EB291,regNatjecatelj_id,0)),"NEMA")="","klu",""),IF(OR(AND(BN291&lt;&gt;"",BN291&lt;&gt;"NEMA"),CD291&lt;&gt;""),"klu(ali)",IF(AND(BP291&lt;&gt;"",BP291&lt;&gt;BO291),"(raz-klu)","klu"))))</f>
        <v>klu(ali)</v>
      </c>
      <c r="EF291" s="73" t="str">
        <f>IF(AL291="","","kat"&amp;IF(AND(W291&lt;&gt;Q291,Q291&lt;&gt;"Open"),"(ali)",""))</f>
        <v>kat</v>
      </c>
      <c r="EG291" s="73" t="str">
        <f t="shared" si="259"/>
        <v/>
      </c>
      <c r="EH291" s="66" t="str">
        <f>IF(AL291="","",ED291&amp;IF(ED291="novo","","-"&amp;EE291&amp;"-"&amp;EF291)&amp;IF(EG291="","","-"&amp;EG291))</f>
        <v>imepre-klu(ali)-kat</v>
      </c>
      <c r="EI291" s="47" t="s">
        <v>0</v>
      </c>
      <c r="EJ291" s="58">
        <f>IF(AL291="","",MAX(EJ$12:EJ290)+1)</f>
        <v>441</v>
      </c>
      <c r="EK291" s="73">
        <f>IF(AO291="","",X291)</f>
        <v>41</v>
      </c>
      <c r="EL291" s="73">
        <f t="shared" si="288"/>
        <v>1543</v>
      </c>
      <c r="EM291" s="73">
        <f t="shared" si="260"/>
        <v>2488</v>
      </c>
      <c r="EN291" s="73">
        <f t="shared" si="261"/>
        <v>1</v>
      </c>
      <c r="EO291" s="73">
        <f t="shared" si="289"/>
        <v>1</v>
      </c>
      <c r="EP291" s="73">
        <f t="shared" si="290"/>
        <v>3</v>
      </c>
      <c r="EQ291" s="73" t="str">
        <f t="shared" si="262"/>
        <v>0</v>
      </c>
      <c r="ER291" s="73" t="str">
        <f>IF(OR(AN291="",AN291="NEMA"),BB291,AN291)</f>
        <v/>
      </c>
      <c r="ES291" s="73">
        <f>IF(AND(BN291&lt;&gt;"",BN291&lt;&gt;"NEMA"),BN291,IF(CG291&lt;&gt;"",CG291,IF(AND(CL291&lt;&gt;"",CL291&lt;&gt;"NEMA"),CL291,IF(CM291&lt;&gt;"",CM291,""))))</f>
        <v>1</v>
      </c>
      <c r="ET291" s="53" t="str">
        <f>IF(INDEX(natKategorija_alias_Id,MATCH(S291,natKategorija_katRegId,0))="","",INDEX(natKategorija_alias_Id,MATCH(S291,natKategorija_katRegId,0)))</f>
        <v/>
      </c>
      <c r="EU291" s="47" t="s">
        <v>0</v>
      </c>
      <c r="EV291" s="19" t="str">
        <f t="shared" si="291"/>
        <v>INSERT INTO rezultat(id,stazakategorija_id,imeprezime_id,vrijeme_sec,status_id,registracija,uparivanje_id,originalstatus_id,imeprezimealias_id,klubalias_id,kategorijaalias_id) VALUES (441,41,1543,2488,1,1,3,0,Null,1,Null);</v>
      </c>
      <c r="EW291" s="47" t="s">
        <v>0</v>
      </c>
      <c r="EX291" s="19" t="str">
        <f t="shared" si="292"/>
        <v>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1" s="47" t="s">
        <v>0</v>
      </c>
      <c r="EZ291" s="180" t="str">
        <f>AG291&amp;IF(CP291="","","
")&amp;CP291&amp;IF(CI291="","","
")&amp;CI291&amp;IF(DN291="","","
")&amp;DN291&amp;IF(DP291="","","
")&amp;DP291&amp;IF(EV291="","","
")&amp;EV291&amp;IF(EX291="","","
")&amp;EX291</f>
        <v xml:space="preserve">
INSERT INTO rezultat(id,stazakategorija_id,imeprezime_id,vrijeme_sec,status_id,registracija,uparivanje_id,originalstatus_id,imeprezimealias_id,klubalias_id,kategorijaalias_id) VALUES (441,41,1543,2488,1,1,3,0,Null,1,Null);
UPDATE
	registar
SET
	potvrda = 1
WHERE
	imeprezime_id=1543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1" s="47" t="s">
        <v>0</v>
      </c>
    </row>
    <row r="292" spans="1:157" x14ac:dyDescent="0.25">
      <c r="A292" t="s">
        <v>0</v>
      </c>
      <c r="B292" s="52" t="str">
        <f>IF(csv!F282="","",csv!T282)</f>
        <v>Ž35</v>
      </c>
      <c r="C292" s="31" t="s">
        <v>0</v>
      </c>
      <c r="D292" s="31" t="str">
        <f>IF(csv!F282="","",csv!F282)</f>
        <v>Martina</v>
      </c>
      <c r="E292" s="31" t="str">
        <f>IF(csv!E282="","",csv!E282)</f>
        <v>Bedeković Tanković</v>
      </c>
      <c r="F292" s="31" t="s">
        <v>0</v>
      </c>
      <c r="G292" s="73" t="str">
        <f>IF(csv!M282="","",csv!M282)</f>
        <v>45:20</v>
      </c>
      <c r="H292" s="73" t="str">
        <f>IF(csv!N282="","",csv!N282)</f>
        <v>0</v>
      </c>
      <c r="I292" s="31" t="s">
        <v>0</v>
      </c>
      <c r="J292" s="31" t="str">
        <f>IF(csv!P282="","",csv!P282)</f>
        <v>OK Jelen</v>
      </c>
      <c r="K292" s="31" t="str">
        <f>IF(csv!Q282="","",csv!Q282)</f>
        <v>OK Jelen</v>
      </c>
      <c r="L292" s="31" t="s">
        <v>0</v>
      </c>
      <c r="M292" s="66" t="str">
        <f>IF(csv!R282="","",csv!R282)</f>
        <v>CRO</v>
      </c>
      <c r="N292" s="47" t="s">
        <v>0</v>
      </c>
      <c r="O292" s="243" t="str">
        <f t="shared" si="263"/>
        <v>ok</v>
      </c>
      <c r="P292" s="47"/>
      <c r="Q292" s="52" t="str">
        <f t="shared" si="264"/>
        <v>Ž35</v>
      </c>
      <c r="R292" s="73">
        <f>IF(Q292="","",IF(COUNTIF(Q$12:Q291,Q292)=0,R291+1,R291))</f>
        <v>19</v>
      </c>
      <c r="S292" s="73">
        <f t="shared" si="265"/>
        <v>117</v>
      </c>
      <c r="T292" s="73">
        <f t="shared" si="240"/>
        <v>26</v>
      </c>
      <c r="U292" s="66" t="str">
        <f t="shared" si="241"/>
        <v>Ž35</v>
      </c>
      <c r="V292" s="47" t="s">
        <v>0</v>
      </c>
      <c r="W292" s="222" t="str">
        <f t="shared" si="242"/>
        <v>Ž35</v>
      </c>
      <c r="X292" s="223">
        <f t="shared" si="243"/>
        <v>41</v>
      </c>
      <c r="Y292" s="47" t="s">
        <v>0</v>
      </c>
      <c r="Z292" s="52" t="str">
        <f t="shared" si="266"/>
        <v>CRO</v>
      </c>
      <c r="AA292" s="73">
        <f t="shared" si="244"/>
        <v>1</v>
      </c>
      <c r="AB292" s="31" t="str">
        <f t="shared" si="267"/>
        <v/>
      </c>
      <c r="AC292" s="66" t="str">
        <f>IF(AB292="","",MAX(AC$12:AC291)+1)</f>
        <v/>
      </c>
      <c r="AD292" s="47" t="s">
        <v>0</v>
      </c>
      <c r="AE292" s="125"/>
      <c r="AF292" s="47" t="s">
        <v>0</v>
      </c>
      <c r="AG292" s="19" t="str">
        <f t="shared" si="268"/>
        <v/>
      </c>
      <c r="AH292" s="47" t="s">
        <v>0</v>
      </c>
      <c r="AI292" s="143" t="str">
        <f t="shared" si="269"/>
        <v>CRO</v>
      </c>
      <c r="AJ292" s="47"/>
      <c r="AK292" s="52" t="str">
        <f t="shared" si="270"/>
        <v>Martina</v>
      </c>
      <c r="AL292" s="31" t="str">
        <f t="shared" si="271"/>
        <v>Bedeković Tanković</v>
      </c>
      <c r="AM292" s="73">
        <f t="shared" si="272"/>
        <v>1473</v>
      </c>
      <c r="AN292" s="73" t="str">
        <f t="shared" si="273"/>
        <v/>
      </c>
      <c r="AO292" s="31" t="str">
        <f t="shared" si="245"/>
        <v>Martina</v>
      </c>
      <c r="AP292" s="66" t="str">
        <f t="shared" si="246"/>
        <v>Bedeković Tanković</v>
      </c>
      <c r="AQ292" s="47" t="s">
        <v>0</v>
      </c>
      <c r="AR292" s="82" t="str">
        <f t="shared" si="274"/>
        <v/>
      </c>
      <c r="AS292" s="47" t="s">
        <v>0</v>
      </c>
      <c r="AT292" s="19" t="str">
        <f t="shared" si="275"/>
        <v/>
      </c>
      <c r="AU292" s="47" t="s">
        <v>0</v>
      </c>
      <c r="AV292" s="103"/>
      <c r="AW292" s="105"/>
      <c r="AX292" s="47" t="s">
        <v>0</v>
      </c>
      <c r="AY292" s="256" t="str">
        <f t="shared" si="293"/>
        <v/>
      </c>
      <c r="AZ292" s="47" t="s">
        <v>0</v>
      </c>
      <c r="BA292" s="52" t="str">
        <f t="shared" si="247"/>
        <v/>
      </c>
      <c r="BB292" s="73" t="str">
        <f>IF(AV292&amp;AW292="","",MAX(BB$12:BB291)+1)</f>
        <v/>
      </c>
      <c r="BC292" s="268" t="str">
        <f t="shared" si="248"/>
        <v/>
      </c>
      <c r="BD292" s="53" t="str">
        <f>IF(AND(AM292="NEMA",AN292="NEMA",OR(AV292&amp;AW292="",BC292="NEMA")),MAX(BD$12:BD291)+1,"")</f>
        <v/>
      </c>
      <c r="BE292" s="47" t="s">
        <v>0</v>
      </c>
      <c r="BF292" s="52" t="str">
        <f t="shared" si="249"/>
        <v>Martina</v>
      </c>
      <c r="BG292" s="31" t="str">
        <f t="shared" si="250"/>
        <v>Bedeković Tanković</v>
      </c>
      <c r="BH292" s="73" t="str">
        <f t="shared" si="276"/>
        <v/>
      </c>
      <c r="BI292" s="53">
        <f t="shared" si="277"/>
        <v>1473</v>
      </c>
      <c r="BJ292" s="47" t="s">
        <v>0</v>
      </c>
      <c r="BK292" s="52" t="str">
        <f t="shared" si="251"/>
        <v>OK Jelen</v>
      </c>
      <c r="BL292" s="31" t="str">
        <f t="shared" si="252"/>
        <v>OK Jelen</v>
      </c>
      <c r="BM292" s="73">
        <f t="shared" si="253"/>
        <v>4</v>
      </c>
      <c r="BN292" s="73" t="str">
        <f t="shared" si="254"/>
        <v/>
      </c>
      <c r="BO292" s="31" t="str" cm="1">
        <f t="array" ref="BO292">IF(BN292="",""&amp;BL292,IF(BN292="NEMA",BL292,INDEX(regKlub_naziv,MATCH(INDEX(regKlub_alias_klubId,BN292),regKlub_id,0))))</f>
        <v>OK Jelen</v>
      </c>
      <c r="BP292" s="31" t="str" cm="1">
        <f t="array" ref="BP292">IFERROR(""&amp;INDEX(regNatjecatelj_klub,DY292),"")</f>
        <v>OK Jelen</v>
      </c>
      <c r="BQ292" s="88" t="str">
        <f t="shared" si="278"/>
        <v/>
      </c>
      <c r="BR292" s="66" t="str">
        <f t="shared" si="279"/>
        <v>OK Jelen</v>
      </c>
      <c r="BS292" s="47" t="s">
        <v>0</v>
      </c>
      <c r="BT292" s="82" t="str">
        <f>IF(BN292&lt;&gt;"NEMA","",IF(IFERROR(MATCH(BL292,BL$12:BL291,0),0)&lt;&gt;0,"",BL292))</f>
        <v/>
      </c>
      <c r="BU292" s="47" t="s">
        <v>0</v>
      </c>
      <c r="BV292" s="125"/>
      <c r="BW292" s="47" t="s">
        <v>0</v>
      </c>
      <c r="BX292" s="58" t="str">
        <f t="shared" si="280"/>
        <v/>
      </c>
      <c r="BY292" s="31" t="str">
        <f t="shared" si="281"/>
        <v/>
      </c>
      <c r="BZ292" s="31" t="str">
        <f>IF(BY292="","",MAX(BZ$12:BZ291)+1)</f>
        <v/>
      </c>
      <c r="CA292" s="31" t="str">
        <f>IF(BY292="","",IF(AA292="","",IF(AA292="NEMA",AC292,AA292)))</f>
        <v/>
      </c>
      <c r="CB292" s="31" t="str">
        <f t="shared" si="282"/>
        <v/>
      </c>
      <c r="CC292" s="31" t="str">
        <f>IF(BV292="","",MAX(CC$12:CC291)+1)</f>
        <v/>
      </c>
      <c r="CD292" s="31" t="str">
        <f t="shared" si="283"/>
        <v/>
      </c>
      <c r="CE292" s="66" t="str">
        <f t="shared" si="284"/>
        <v/>
      </c>
      <c r="CF292" s="47" t="s">
        <v>0</v>
      </c>
      <c r="CG292" s="73" t="str">
        <f>IF(BN292="","",IF(BN292&lt;&gt;"NEMA","",IFERROR(INDEX(nat_klubAliasId,MATCH(BL292,nat_noviKluboviAliasi,0)),"")))</f>
        <v/>
      </c>
      <c r="CH292" s="47"/>
      <c r="CI292" s="19" t="str">
        <f t="shared" si="285"/>
        <v/>
      </c>
      <c r="CJ292" s="47" t="s">
        <v>0</v>
      </c>
      <c r="CK292" s="52" t="str">
        <f>IF(X292&lt;&gt;"NEMA","",IF(IFERROR(MATCH(W292,W$12:W291,0),0)&lt;&gt;0,"",W292))</f>
        <v/>
      </c>
      <c r="CL292" s="73" t="str">
        <f>IF(CK292="","",IFERROR(INDEX(regKlub_alias_id,MATCH(CK292,regKlub_alias_alias,0)),"NEMA"))</f>
        <v/>
      </c>
      <c r="CM292" s="31" t="str">
        <f>IF(OR(CL292="",CL292&lt;&gt;"NEMA"),"",MAX(CM$12:CM291)+1)</f>
        <v/>
      </c>
      <c r="CN292" s="66" t="str">
        <f>IF(OR(CL292="",CL292&lt;&gt;"NEMA"),"",INDEX(regKlub_id,MATCH(CK292,regKlub_naziv,0)))</f>
        <v/>
      </c>
      <c r="CO292" s="47" t="s">
        <v>0</v>
      </c>
      <c r="CP292" s="19" t="str">
        <f>IF(OR(CL292="",CL292&lt;&gt;"NEMA"),"","INSERT INTO klub_alias(id,alias,klub_id) VALUES ("&amp;CM292&amp;",'"&amp;CK292&amp;"',"&amp;CN292&amp;");")</f>
        <v/>
      </c>
      <c r="CQ292" s="47" t="s">
        <v>0</v>
      </c>
      <c r="CR292" s="143" t="str">
        <f>IF(BR292="","",IF(BV292="",IF(IFERROR(MATCH(BR292,nat_noviKluboviAliasi,0),0)&gt;0,INDEX(nat_kluboviAliasi,MATCH(BR292,nat_noviKluboviAliasi,0)),BR292),BV292))</f>
        <v>OK Jelen</v>
      </c>
      <c r="CS292" s="47" t="s">
        <v>0</v>
      </c>
      <c r="CT292" s="58" t="str">
        <f>IF(G292="","",G292)</f>
        <v>45:20</v>
      </c>
      <c r="CU292" s="73" t="str">
        <f>IF(H292="","",H292)</f>
        <v>0</v>
      </c>
      <c r="CV292" s="229" t="str">
        <f>IF(CT292="",IF(OR(AL292="",CU292&lt;&gt;"0"),"","GREŠKA"),IF(AND(65535&gt;=VALUE(LEFT(CT292,SEARCH(":",CT292)-1))*60+VALUE(RIGHT(CT292,2)),OR(CU292="0",CU292="1",CU292="2",CU292="3",CU292="4")),"","GREŠKA"))</f>
        <v/>
      </c>
      <c r="CW292" s="230">
        <f t="shared" si="239"/>
        <v>2720</v>
      </c>
      <c r="CX292" s="163">
        <f t="shared" si="255"/>
        <v>1</v>
      </c>
      <c r="CY292" s="47" t="s">
        <v>0</v>
      </c>
      <c r="CZ292" s="222" t="str">
        <f>IF(CV292&lt;&gt;"GREŠKA","",AK292&amp;" "&amp;AL292&amp;" – Molim u OEventu provjeriti i ispraviti rezultat – vrijeme ("&amp;IF(CT292="","nije upisano",CT292)&amp;") i classifier ("&amp;CU292&amp;").")&amp;IF(OR(CV292&lt;&gt;"GREŠKA",CX292&lt;&gt;5),"
","")&amp;IF(CX292&lt;&gt;5,"",AK292&amp;" "&amp;AL292&amp;" – Molim u provjeriti je li natjecatelj zaista diskvalificiran. Ako je koje je obrazloženje, ako nije molim u OEventu ispraviti rezultat")</f>
        <v xml:space="preserve">
</v>
      </c>
      <c r="DA292" s="223">
        <f t="shared" si="286"/>
        <v>6</v>
      </c>
      <c r="DB292" s="47" t="s">
        <v>0</v>
      </c>
      <c r="DC292" s="47"/>
      <c r="DD292" s="47"/>
      <c r="DE292" s="47"/>
      <c r="DF292" s="47" t="s">
        <v>0</v>
      </c>
      <c r="DG292" s="53" t="str">
        <f>IF(BD292="","",IF(DI292="O",1,""))</f>
        <v/>
      </c>
      <c r="DH292" t="s">
        <v>0</v>
      </c>
      <c r="DI292" s="128" t="str">
        <f>IF(Q292="","",LEFT(INDEX(regKategorija_oznaka,MATCH(S292,regKategorija_id,0)),1))</f>
        <v>Ž</v>
      </c>
      <c r="DJ292" t="s">
        <v>0</v>
      </c>
      <c r="DK292" s="52" t="str">
        <f>IF(BD292="","",IF(M292&lt;&gt;"CRO","","INSERT INTO osoba (id,reg_broj,oib,spol_id,dat_rodjenja) VALUES ("&amp;BD292&amp;",(SELECT max(os.reg_broj)+1 FROM osoba AS os),Null,'"&amp;DI292&amp;"',Null); INSERT INTO osoba_log (id,reg_broj,oib,spol_id,dat_rodjenja,dnevnik_id) SELECT id,reg_broj,oib,spol_id,dat_rodjenja,"&amp;data_dnevnik_id&amp;" FROM osoba WHERE id = "&amp;BD292&amp;";"))</f>
        <v/>
      </c>
      <c r="DL292" s="66" t="str">
        <f>IF(BD292="","","INSERT INTO imeprezime (id,osoba_id,rbr,ime,prezime,klub_id,identitet_id,sintaksa_id,info,aktivno,dnevnik_id) VALUES ("&amp;BD292&amp;","&amp;IF(DK292="","Null",BD292)&amp;",1,'"&amp;IF(AV292&lt;&gt;"",AV292,AK292)&amp;"','"&amp;IF(AW292&lt;&gt;"",AW292,AL292)&amp;"',(SELECT id FROM klub WHERE naziv = '"&amp;CR292&amp;"'),Null,1,'',1,"&amp;data_dnevnik_id&amp;");")</f>
        <v/>
      </c>
      <c r="DM292" t="s">
        <v>0</v>
      </c>
      <c r="DN292" s="19" t="str">
        <f t="shared" si="294"/>
        <v/>
      </c>
      <c r="DO292" s="47" t="s">
        <v>0</v>
      </c>
      <c r="DP292" s="19" t="str">
        <f>IF(BA292="","","INSERT INTO imeprezime_alias(id,alias,imeprezime_id) VALUES ("&amp;BB292&amp;",'"&amp;BA292&amp;"',"&amp;IF(BC292="NEMA",BD292,BC292)&amp;");")</f>
        <v/>
      </c>
      <c r="DQ292" s="47" t="s">
        <v>0</v>
      </c>
      <c r="DR292" s="52" t="str">
        <f>IF(AL292="","",DU292 &amp; IF(Q292="",""," – " &amp; Q292))</f>
        <v>Martina – Bedeković Tanković – OK Jelen – Ž35</v>
      </c>
      <c r="DS292" s="53">
        <f t="shared" si="256"/>
        <v>150</v>
      </c>
      <c r="DT292" s="47" t="s">
        <v>0</v>
      </c>
      <c r="DU292" s="52" t="str">
        <f>IF(AL292="","",DX292 &amp; IF(CR292="",""," – " &amp; CR292))</f>
        <v>Martina – Bedeković Tanković – OK Jelen</v>
      </c>
      <c r="DV292" s="53">
        <f t="shared" si="257"/>
        <v>150</v>
      </c>
      <c r="DW292" s="47" t="s">
        <v>0</v>
      </c>
      <c r="DX292" s="52" t="str">
        <f>IF(BG292="","",BF292&amp;" – "&amp;BG292)</f>
        <v>Martina – Bedeković Tanković</v>
      </c>
      <c r="DY292" s="53">
        <f t="shared" si="258"/>
        <v>150</v>
      </c>
      <c r="DZ292" s="47" t="s">
        <v>0</v>
      </c>
      <c r="EA292" s="58">
        <f t="shared" si="287"/>
        <v>150</v>
      </c>
      <c r="EB292" s="53" cm="1">
        <f t="array" ref="EB292">IF(EA292&lt;&gt;"",INDEX(regNatjecatelj_id,EA292,0),IF(BD292&lt;&gt;"",BD292,""))</f>
        <v>1473</v>
      </c>
      <c r="EC292" s="47" t="s">
        <v>0</v>
      </c>
      <c r="ED292" s="58" t="str">
        <f>IF(AL292="","",IF(BD292&lt;&gt;"","novo",IF(AN292="","imepre","imepre(ali)")))</f>
        <v>imepre</v>
      </c>
      <c r="EE292" s="73" t="str">
        <f>IF(AL292="","",IF(BL292="",IF(IFERROR(INDEX(regNatjecatelj_klub,MATCH(EB292,regNatjecatelj_id,0)),"NEMA")="","klu",""),IF(OR(AND(BN292&lt;&gt;"",BN292&lt;&gt;"NEMA"),CD292&lt;&gt;""),"klu(ali)",IF(AND(BP292&lt;&gt;"",BP292&lt;&gt;BO292),"(raz-klu)","klu"))))</f>
        <v>klu</v>
      </c>
      <c r="EF292" s="73" t="str">
        <f>IF(AL292="","","kat"&amp;IF(AND(W292&lt;&gt;Q292,Q292&lt;&gt;"Open"),"(ali)",""))</f>
        <v>kat</v>
      </c>
      <c r="EG292" s="73" t="str">
        <f t="shared" si="259"/>
        <v/>
      </c>
      <c r="EH292" s="66" t="str">
        <f>IF(AL292="","",ED292&amp;IF(ED292="novo","","-"&amp;EE292&amp;"-"&amp;EF292)&amp;IF(EG292="","","-"&amp;EG292))</f>
        <v>imepre-klu-kat</v>
      </c>
      <c r="EI292" s="47" t="s">
        <v>0</v>
      </c>
      <c r="EJ292" s="58">
        <f>IF(AL292="","",MAX(EJ$12:EJ291)+1)</f>
        <v>442</v>
      </c>
      <c r="EK292" s="73">
        <f>IF(AO292="","",X292)</f>
        <v>41</v>
      </c>
      <c r="EL292" s="73">
        <f t="shared" si="288"/>
        <v>1473</v>
      </c>
      <c r="EM292" s="73">
        <f t="shared" si="260"/>
        <v>2720</v>
      </c>
      <c r="EN292" s="73">
        <f t="shared" si="261"/>
        <v>1</v>
      </c>
      <c r="EO292" s="73">
        <f t="shared" si="289"/>
        <v>1</v>
      </c>
      <c r="EP292" s="73">
        <f t="shared" si="290"/>
        <v>1</v>
      </c>
      <c r="EQ292" s="73" t="str">
        <f t="shared" si="262"/>
        <v>0</v>
      </c>
      <c r="ER292" s="73" t="str">
        <f>IF(OR(AN292="",AN292="NEMA"),BB292,AN292)</f>
        <v/>
      </c>
      <c r="ES292" s="73" t="str">
        <f>IF(AND(BN292&lt;&gt;"",BN292&lt;&gt;"NEMA"),BN292,IF(CG292&lt;&gt;"",CG292,IF(AND(CL292&lt;&gt;"",CL292&lt;&gt;"NEMA"),CL292,IF(CM292&lt;&gt;"",CM292,""))))</f>
        <v/>
      </c>
      <c r="ET292" s="53" t="str">
        <f>IF(INDEX(natKategorija_alias_Id,MATCH(S292,natKategorija_katRegId,0))="","",INDEX(natKategorija_alias_Id,MATCH(S292,natKategorija_katRegId,0)))</f>
        <v/>
      </c>
      <c r="EU292" s="47" t="s">
        <v>0</v>
      </c>
      <c r="EV292" s="19" t="str">
        <f t="shared" si="291"/>
        <v>INSERT INTO rezultat(id,stazakategorija_id,imeprezime_id,vrijeme_sec,status_id,registracija,uparivanje_id,originalstatus_id,imeprezimealias_id,klubalias_id,kategorijaalias_id) VALUES (442,41,1473,2720,1,1,1,0,Null,Null,Null);</v>
      </c>
      <c r="EW292" s="47" t="s">
        <v>0</v>
      </c>
      <c r="EX292" s="19" t="str">
        <f t="shared" si="292"/>
        <v>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2" s="47" t="s">
        <v>0</v>
      </c>
      <c r="EZ292" s="180" t="str">
        <f>AG292&amp;IF(CP292="","","
")&amp;CP292&amp;IF(CI292="","","
")&amp;CI292&amp;IF(DN292="","","
")&amp;DN292&amp;IF(DP292="","","
")&amp;DP292&amp;IF(EV292="","","
")&amp;EV292&amp;IF(EX292="","","
")&amp;EX292</f>
        <v xml:space="preserve">
INSERT INTO rezultat(id,stazakategorija_id,imeprezime_id,vrijeme_sec,status_id,registracija,uparivanje_id,originalstatus_id,imeprezimealias_id,klubalias_id,kategorijaalias_id) VALUES (442,41,1473,2720,1,1,1,0,Null,Null,Null);
UPDATE
	registar
SET
	potvrda = 1
WHERE
	imeprezime_id=1473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2" s="47" t="s">
        <v>0</v>
      </c>
    </row>
    <row r="293" spans="1:157" x14ac:dyDescent="0.25">
      <c r="A293" t="s">
        <v>0</v>
      </c>
      <c r="B293" s="52" t="str">
        <f>IF(csv!F283="","",csv!T283)</f>
        <v>Ž35</v>
      </c>
      <c r="C293" s="31" t="s">
        <v>0</v>
      </c>
      <c r="D293" s="31" t="str">
        <f>IF(csv!F283="","",csv!F283)</f>
        <v>Sanda</v>
      </c>
      <c r="E293" s="31" t="str">
        <f>IF(csv!E283="","",csv!E283)</f>
        <v>Berženji</v>
      </c>
      <c r="F293" s="31" t="s">
        <v>0</v>
      </c>
      <c r="G293" s="73" t="str">
        <f>IF(csv!M283="","",csv!M283)</f>
        <v>47:41</v>
      </c>
      <c r="H293" s="73" t="str">
        <f>IF(csv!N283="","",csv!N283)</f>
        <v>0</v>
      </c>
      <c r="I293" s="31" t="s">
        <v>0</v>
      </c>
      <c r="J293" s="31" t="str">
        <f>IF(csv!P283="","",csv!P283)</f>
        <v>KAP</v>
      </c>
      <c r="K293" s="31" t="str">
        <f>IF(csv!Q283="","",csv!Q283)</f>
        <v>OK Kapela</v>
      </c>
      <c r="L293" s="31" t="s">
        <v>0</v>
      </c>
      <c r="M293" s="66" t="str">
        <f>IF(csv!R283="","",csv!R283)</f>
        <v>CRO</v>
      </c>
      <c r="N293" s="47" t="s">
        <v>0</v>
      </c>
      <c r="O293" s="243" t="str">
        <f t="shared" si="263"/>
        <v>ok</v>
      </c>
      <c r="P293" s="47"/>
      <c r="Q293" s="52" t="str">
        <f t="shared" si="264"/>
        <v>Ž35</v>
      </c>
      <c r="R293" s="73">
        <f>IF(Q293="","",IF(COUNTIF(Q$12:Q292,Q293)=0,R292+1,R292))</f>
        <v>19</v>
      </c>
      <c r="S293" s="73">
        <f t="shared" si="265"/>
        <v>117</v>
      </c>
      <c r="T293" s="73">
        <f t="shared" si="240"/>
        <v>26</v>
      </c>
      <c r="U293" s="66" t="str">
        <f t="shared" si="241"/>
        <v>Ž35</v>
      </c>
      <c r="V293" s="47" t="s">
        <v>0</v>
      </c>
      <c r="W293" s="222" t="str">
        <f t="shared" si="242"/>
        <v>Ž35</v>
      </c>
      <c r="X293" s="223">
        <f t="shared" si="243"/>
        <v>41</v>
      </c>
      <c r="Y293" s="47" t="s">
        <v>0</v>
      </c>
      <c r="Z293" s="52" t="str">
        <f t="shared" si="266"/>
        <v>CRO</v>
      </c>
      <c r="AA293" s="73">
        <f t="shared" si="244"/>
        <v>1</v>
      </c>
      <c r="AB293" s="31" t="str">
        <f t="shared" si="267"/>
        <v/>
      </c>
      <c r="AC293" s="66" t="str">
        <f>IF(AB293="","",MAX(AC$12:AC292)+1)</f>
        <v/>
      </c>
      <c r="AD293" s="47" t="s">
        <v>0</v>
      </c>
      <c r="AE293" s="125"/>
      <c r="AF293" s="47" t="s">
        <v>0</v>
      </c>
      <c r="AG293" s="19" t="str">
        <f t="shared" si="268"/>
        <v/>
      </c>
      <c r="AH293" s="47" t="s">
        <v>0</v>
      </c>
      <c r="AI293" s="143" t="str">
        <f t="shared" si="269"/>
        <v>CRO</v>
      </c>
      <c r="AJ293" s="47"/>
      <c r="AK293" s="52" t="str">
        <f t="shared" si="270"/>
        <v>Sanda</v>
      </c>
      <c r="AL293" s="31" t="str">
        <f t="shared" si="271"/>
        <v>Berženji</v>
      </c>
      <c r="AM293" s="73">
        <f t="shared" si="272"/>
        <v>1368</v>
      </c>
      <c r="AN293" s="73" t="str">
        <f t="shared" si="273"/>
        <v/>
      </c>
      <c r="AO293" s="31" t="str">
        <f t="shared" si="245"/>
        <v>Sanda</v>
      </c>
      <c r="AP293" s="66" t="str">
        <f t="shared" si="246"/>
        <v>Berženji</v>
      </c>
      <c r="AQ293" s="47" t="s">
        <v>0</v>
      </c>
      <c r="AR293" s="82" t="str">
        <f t="shared" si="274"/>
        <v/>
      </c>
      <c r="AS293" s="47" t="s">
        <v>0</v>
      </c>
      <c r="AT293" s="19" t="str">
        <f t="shared" si="275"/>
        <v/>
      </c>
      <c r="AU293" s="47" t="s">
        <v>0</v>
      </c>
      <c r="AV293" s="103"/>
      <c r="AW293" s="105"/>
      <c r="AX293" s="47" t="s">
        <v>0</v>
      </c>
      <c r="AY293" s="256" t="str">
        <f t="shared" si="293"/>
        <v/>
      </c>
      <c r="AZ293" s="47" t="s">
        <v>0</v>
      </c>
      <c r="BA293" s="52" t="str">
        <f t="shared" si="247"/>
        <v/>
      </c>
      <c r="BB293" s="73" t="str">
        <f>IF(AV293&amp;AW293="","",MAX(BB$12:BB292)+1)</f>
        <v/>
      </c>
      <c r="BC293" s="268" t="str">
        <f t="shared" si="248"/>
        <v/>
      </c>
      <c r="BD293" s="53" t="str">
        <f>IF(AND(AM293="NEMA",AN293="NEMA",OR(AV293&amp;AW293="",BC293="NEMA")),MAX(BD$12:BD292)+1,"")</f>
        <v/>
      </c>
      <c r="BE293" s="47" t="s">
        <v>0</v>
      </c>
      <c r="BF293" s="52" t="str">
        <f t="shared" si="249"/>
        <v>Sanda</v>
      </c>
      <c r="BG293" s="31" t="str">
        <f t="shared" si="250"/>
        <v>Berženji</v>
      </c>
      <c r="BH293" s="73" t="str">
        <f t="shared" si="276"/>
        <v/>
      </c>
      <c r="BI293" s="53">
        <f t="shared" si="277"/>
        <v>1368</v>
      </c>
      <c r="BJ293" s="47" t="s">
        <v>0</v>
      </c>
      <c r="BK293" s="52" t="str">
        <f t="shared" si="251"/>
        <v>KAP</v>
      </c>
      <c r="BL293" s="31" t="str">
        <f t="shared" si="252"/>
        <v>OK Kapela</v>
      </c>
      <c r="BM293" s="73">
        <f t="shared" si="253"/>
        <v>5</v>
      </c>
      <c r="BN293" s="73" t="str">
        <f t="shared" si="254"/>
        <v/>
      </c>
      <c r="BO293" s="31" t="str" cm="1">
        <f t="array" ref="BO293">IF(BN293="",""&amp;BL293,IF(BN293="NEMA",BL293,INDEX(regKlub_naziv,MATCH(INDEX(regKlub_alias_klubId,BN293),regKlub_id,0))))</f>
        <v>OK Kapela</v>
      </c>
      <c r="BP293" s="31" t="str" cm="1">
        <f t="array" ref="BP293">IFERROR(""&amp;INDEX(regNatjecatelj_klub,DY293),"")</f>
        <v>OK Kapela</v>
      </c>
      <c r="BQ293" s="88" t="str">
        <f t="shared" si="278"/>
        <v/>
      </c>
      <c r="BR293" s="66" t="str">
        <f t="shared" si="279"/>
        <v>OK Kapela</v>
      </c>
      <c r="BS293" s="47" t="s">
        <v>0</v>
      </c>
      <c r="BT293" s="82" t="str">
        <f>IF(BN293&lt;&gt;"NEMA","",IF(IFERROR(MATCH(BL293,BL$12:BL292,0),0)&lt;&gt;0,"",BL293))</f>
        <v/>
      </c>
      <c r="BU293" s="47" t="s">
        <v>0</v>
      </c>
      <c r="BV293" s="125"/>
      <c r="BW293" s="47" t="s">
        <v>0</v>
      </c>
      <c r="BX293" s="58" t="str">
        <f t="shared" si="280"/>
        <v/>
      </c>
      <c r="BY293" s="31" t="str">
        <f t="shared" si="281"/>
        <v/>
      </c>
      <c r="BZ293" s="31" t="str">
        <f>IF(BY293="","",MAX(BZ$12:BZ292)+1)</f>
        <v/>
      </c>
      <c r="CA293" s="31" t="str">
        <f>IF(BY293="","",IF(AA293="","",IF(AA293="NEMA",AC293,AA293)))</f>
        <v/>
      </c>
      <c r="CB293" s="31" t="str">
        <f t="shared" si="282"/>
        <v/>
      </c>
      <c r="CC293" s="31" t="str">
        <f>IF(BV293="","",MAX(CC$12:CC292)+1)</f>
        <v/>
      </c>
      <c r="CD293" s="31" t="str">
        <f t="shared" si="283"/>
        <v/>
      </c>
      <c r="CE293" s="66" t="str">
        <f t="shared" si="284"/>
        <v/>
      </c>
      <c r="CF293" s="47" t="s">
        <v>0</v>
      </c>
      <c r="CG293" s="73" t="str">
        <f>IF(BN293="","",IF(BN293&lt;&gt;"NEMA","",IFERROR(INDEX(nat_klubAliasId,MATCH(BL293,nat_noviKluboviAliasi,0)),"")))</f>
        <v/>
      </c>
      <c r="CH293" s="47"/>
      <c r="CI293" s="19" t="str">
        <f t="shared" si="285"/>
        <v/>
      </c>
      <c r="CJ293" s="47" t="s">
        <v>0</v>
      </c>
      <c r="CK293" s="52" t="str">
        <f>IF(X293&lt;&gt;"NEMA","",IF(IFERROR(MATCH(W293,W$12:W292,0),0)&lt;&gt;0,"",W293))</f>
        <v/>
      </c>
      <c r="CL293" s="73" t="str">
        <f>IF(CK293="","",IFERROR(INDEX(regKlub_alias_id,MATCH(CK293,regKlub_alias_alias,0)),"NEMA"))</f>
        <v/>
      </c>
      <c r="CM293" s="31" t="str">
        <f>IF(OR(CL293="",CL293&lt;&gt;"NEMA"),"",MAX(CM$12:CM292)+1)</f>
        <v/>
      </c>
      <c r="CN293" s="66" t="str">
        <f>IF(OR(CL293="",CL293&lt;&gt;"NEMA"),"",INDEX(regKlub_id,MATCH(CK293,regKlub_naziv,0)))</f>
        <v/>
      </c>
      <c r="CO293" s="47" t="s">
        <v>0</v>
      </c>
      <c r="CP293" s="19" t="str">
        <f>IF(OR(CL293="",CL293&lt;&gt;"NEMA"),"","INSERT INTO klub_alias(id,alias,klub_id) VALUES ("&amp;CM293&amp;",'"&amp;CK293&amp;"',"&amp;CN293&amp;");")</f>
        <v/>
      </c>
      <c r="CQ293" s="47" t="s">
        <v>0</v>
      </c>
      <c r="CR293" s="143" t="str">
        <f>IF(BR293="","",IF(BV293="",IF(IFERROR(MATCH(BR293,nat_noviKluboviAliasi,0),0)&gt;0,INDEX(nat_kluboviAliasi,MATCH(BR293,nat_noviKluboviAliasi,0)),BR293),BV293))</f>
        <v>OK Kapela</v>
      </c>
      <c r="CS293" s="47" t="s">
        <v>0</v>
      </c>
      <c r="CT293" s="58" t="str">
        <f>IF(G293="","",G293)</f>
        <v>47:41</v>
      </c>
      <c r="CU293" s="73" t="str">
        <f>IF(H293="","",H293)</f>
        <v>0</v>
      </c>
      <c r="CV293" s="229" t="str">
        <f>IF(CT293="",IF(OR(AL293="",CU293&lt;&gt;"0"),"","GREŠKA"),IF(AND(65535&gt;=VALUE(LEFT(CT293,SEARCH(":",CT293)-1))*60+VALUE(RIGHT(CT293,2)),OR(CU293="0",CU293="1",CU293="2",CU293="3",CU293="4")),"","GREŠKA"))</f>
        <v/>
      </c>
      <c r="CW293" s="230">
        <f t="shared" si="239"/>
        <v>2861</v>
      </c>
      <c r="CX293" s="163">
        <f t="shared" si="255"/>
        <v>1</v>
      </c>
      <c r="CY293" s="47" t="s">
        <v>0</v>
      </c>
      <c r="CZ293" s="222" t="str">
        <f>IF(CV293&lt;&gt;"GREŠKA","",AK293&amp;" "&amp;AL293&amp;" – Molim u OEventu provjeriti i ispraviti rezultat – vrijeme ("&amp;IF(CT293="","nije upisano",CT293)&amp;") i classifier ("&amp;CU293&amp;").")&amp;IF(OR(CV293&lt;&gt;"GREŠKA",CX293&lt;&gt;5),"
","")&amp;IF(CX293&lt;&gt;5,"",AK293&amp;" "&amp;AL293&amp;" – Molim u provjeriti je li natjecatelj zaista diskvalificiran. Ako je koje je obrazloženje, ako nije molim u OEventu ispraviti rezultat")</f>
        <v xml:space="preserve">
</v>
      </c>
      <c r="DA293" s="223">
        <f t="shared" si="286"/>
        <v>6</v>
      </c>
      <c r="DB293" s="47" t="s">
        <v>0</v>
      </c>
      <c r="DC293" s="47"/>
      <c r="DD293" s="47"/>
      <c r="DE293" s="47"/>
      <c r="DF293" s="47" t="s">
        <v>0</v>
      </c>
      <c r="DG293" s="53" t="str">
        <f>IF(BD293="","",IF(DI293="O",1,""))</f>
        <v/>
      </c>
      <c r="DH293" t="s">
        <v>0</v>
      </c>
      <c r="DI293" s="128" t="str">
        <f>IF(Q293="","",LEFT(INDEX(regKategorija_oznaka,MATCH(S293,regKategorija_id,0)),1))</f>
        <v>Ž</v>
      </c>
      <c r="DJ293" t="s">
        <v>0</v>
      </c>
      <c r="DK293" s="52" t="str">
        <f>IF(BD293="","",IF(M293&lt;&gt;"CRO","","INSERT INTO osoba (id,reg_broj,oib,spol_id,dat_rodjenja) VALUES ("&amp;BD293&amp;",(SELECT max(os.reg_broj)+1 FROM osoba AS os),Null,'"&amp;DI293&amp;"',Null); INSERT INTO osoba_log (id,reg_broj,oib,spol_id,dat_rodjenja,dnevnik_id) SELECT id,reg_broj,oib,spol_id,dat_rodjenja,"&amp;data_dnevnik_id&amp;" FROM osoba WHERE id = "&amp;BD293&amp;";"))</f>
        <v/>
      </c>
      <c r="DL293" s="66" t="str">
        <f>IF(BD293="","","INSERT INTO imeprezime (id,osoba_id,rbr,ime,prezime,klub_id,identitet_id,sintaksa_id,info,aktivno,dnevnik_id) VALUES ("&amp;BD293&amp;","&amp;IF(DK293="","Null",BD293)&amp;",1,'"&amp;IF(AV293&lt;&gt;"",AV293,AK293)&amp;"','"&amp;IF(AW293&lt;&gt;"",AW293,AL293)&amp;"',(SELECT id FROM klub WHERE naziv = '"&amp;CR293&amp;"'),Null,1,'',1,"&amp;data_dnevnik_id&amp;");")</f>
        <v/>
      </c>
      <c r="DM293" t="s">
        <v>0</v>
      </c>
      <c r="DN293" s="19" t="str">
        <f t="shared" si="294"/>
        <v/>
      </c>
      <c r="DO293" s="47" t="s">
        <v>0</v>
      </c>
      <c r="DP293" s="19" t="str">
        <f>IF(BA293="","","INSERT INTO imeprezime_alias(id,alias,imeprezime_id) VALUES ("&amp;BB293&amp;",'"&amp;BA293&amp;"',"&amp;IF(BC293="NEMA",BD293,BC293)&amp;");")</f>
        <v/>
      </c>
      <c r="DQ293" s="47" t="s">
        <v>0</v>
      </c>
      <c r="DR293" s="52" t="str">
        <f>IF(AL293="","",DU293 &amp; IF(Q293="",""," – " &amp; Q293))</f>
        <v>Sanda – Berženji – OK Kapela – Ž35</v>
      </c>
      <c r="DS293" s="53">
        <f t="shared" si="256"/>
        <v>212</v>
      </c>
      <c r="DT293" s="47" t="s">
        <v>0</v>
      </c>
      <c r="DU293" s="52" t="str">
        <f>IF(AL293="","",DX293 &amp; IF(CR293="",""," – " &amp; CR293))</f>
        <v>Sanda – Berženji – OK Kapela</v>
      </c>
      <c r="DV293" s="53">
        <f t="shared" si="257"/>
        <v>212</v>
      </c>
      <c r="DW293" s="47" t="s">
        <v>0</v>
      </c>
      <c r="DX293" s="52" t="str">
        <f>IF(BG293="","",BF293&amp;" – "&amp;BG293)</f>
        <v>Sanda – Berženji</v>
      </c>
      <c r="DY293" s="53">
        <f t="shared" si="258"/>
        <v>212</v>
      </c>
      <c r="DZ293" s="47" t="s">
        <v>0</v>
      </c>
      <c r="EA293" s="58">
        <f t="shared" si="287"/>
        <v>212</v>
      </c>
      <c r="EB293" s="53" cm="1">
        <f t="array" ref="EB293">IF(EA293&lt;&gt;"",INDEX(regNatjecatelj_id,EA293,0),IF(BD293&lt;&gt;"",BD293,""))</f>
        <v>1368</v>
      </c>
      <c r="EC293" s="47" t="s">
        <v>0</v>
      </c>
      <c r="ED293" s="58" t="str">
        <f>IF(AL293="","",IF(BD293&lt;&gt;"","novo",IF(AN293="","imepre","imepre(ali)")))</f>
        <v>imepre</v>
      </c>
      <c r="EE293" s="73" t="str">
        <f>IF(AL293="","",IF(BL293="",IF(IFERROR(INDEX(regNatjecatelj_klub,MATCH(EB293,regNatjecatelj_id,0)),"NEMA")="","klu",""),IF(OR(AND(BN293&lt;&gt;"",BN293&lt;&gt;"NEMA"),CD293&lt;&gt;""),"klu(ali)",IF(AND(BP293&lt;&gt;"",BP293&lt;&gt;BO293),"(raz-klu)","klu"))))</f>
        <v>klu</v>
      </c>
      <c r="EF293" s="73" t="str">
        <f>IF(AL293="","","kat"&amp;IF(AND(W293&lt;&gt;Q293,Q293&lt;&gt;"Open"),"(ali)",""))</f>
        <v>kat</v>
      </c>
      <c r="EG293" s="73" t="str">
        <f t="shared" si="259"/>
        <v/>
      </c>
      <c r="EH293" s="66" t="str">
        <f>IF(AL293="","",ED293&amp;IF(ED293="novo","","-"&amp;EE293&amp;"-"&amp;EF293)&amp;IF(EG293="","","-"&amp;EG293))</f>
        <v>imepre-klu-kat</v>
      </c>
      <c r="EI293" s="47" t="s">
        <v>0</v>
      </c>
      <c r="EJ293" s="58">
        <f>IF(AL293="","",MAX(EJ$12:EJ292)+1)</f>
        <v>443</v>
      </c>
      <c r="EK293" s="73">
        <f>IF(AO293="","",X293)</f>
        <v>41</v>
      </c>
      <c r="EL293" s="73">
        <f t="shared" si="288"/>
        <v>1368</v>
      </c>
      <c r="EM293" s="73">
        <f t="shared" si="260"/>
        <v>2861</v>
      </c>
      <c r="EN293" s="73">
        <f t="shared" si="261"/>
        <v>1</v>
      </c>
      <c r="EO293" s="73">
        <f t="shared" si="289"/>
        <v>1</v>
      </c>
      <c r="EP293" s="73">
        <f t="shared" si="290"/>
        <v>1</v>
      </c>
      <c r="EQ293" s="73" t="str">
        <f t="shared" si="262"/>
        <v>0</v>
      </c>
      <c r="ER293" s="73" t="str">
        <f>IF(OR(AN293="",AN293="NEMA"),BB293,AN293)</f>
        <v/>
      </c>
      <c r="ES293" s="73" t="str">
        <f>IF(AND(BN293&lt;&gt;"",BN293&lt;&gt;"NEMA"),BN293,IF(CG293&lt;&gt;"",CG293,IF(AND(CL293&lt;&gt;"",CL293&lt;&gt;"NEMA"),CL293,IF(CM293&lt;&gt;"",CM293,""))))</f>
        <v/>
      </c>
      <c r="ET293" s="53" t="str">
        <f>IF(INDEX(natKategorija_alias_Id,MATCH(S293,natKategorija_katRegId,0))="","",INDEX(natKategorija_alias_Id,MATCH(S293,natKategorija_katRegId,0)))</f>
        <v/>
      </c>
      <c r="EU293" s="47" t="s">
        <v>0</v>
      </c>
      <c r="EV293" s="19" t="str">
        <f t="shared" si="291"/>
        <v>INSERT INTO rezultat(id,stazakategorija_id,imeprezime_id,vrijeme_sec,status_id,registracija,uparivanje_id,originalstatus_id,imeprezimealias_id,klubalias_id,kategorijaalias_id) VALUES (443,41,1368,2861,1,1,1,0,Null,Null,Null);</v>
      </c>
      <c r="EW293" s="47" t="s">
        <v>0</v>
      </c>
      <c r="EX293" s="19" t="str">
        <f t="shared" si="292"/>
        <v>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3" s="47" t="s">
        <v>0</v>
      </c>
      <c r="EZ293" s="180" t="str">
        <f>AG293&amp;IF(CP293="","","
")&amp;CP293&amp;IF(CI293="","","
")&amp;CI293&amp;IF(DN293="","","
")&amp;DN293&amp;IF(DP293="","","
")&amp;DP293&amp;IF(EV293="","","
")&amp;EV293&amp;IF(EX293="","","
")&amp;EX293</f>
        <v xml:space="preserve">
INSERT INTO rezultat(id,stazakategorija_id,imeprezime_id,vrijeme_sec,status_id,registracija,uparivanje_id,originalstatus_id,imeprezimealias_id,klubalias_id,kategorijaalias_id) VALUES (443,41,1368,2861,1,1,1,0,Null,Null,Null);
UPDATE
	registar
SET
	potvrda = 1
WHERE
	imeprezime_id=1368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3" s="47" t="s">
        <v>0</v>
      </c>
    </row>
    <row r="294" spans="1:157" x14ac:dyDescent="0.25">
      <c r="A294" t="s">
        <v>0</v>
      </c>
      <c r="B294" s="52" t="str">
        <f>IF(csv!F284="","",csv!T284)</f>
        <v>Ž35</v>
      </c>
      <c r="C294" s="31" t="s">
        <v>0</v>
      </c>
      <c r="D294" s="31" t="str">
        <f>IF(csv!F284="","",csv!F284)</f>
        <v>Antea</v>
      </c>
      <c r="E294" s="31" t="str">
        <f>IF(csv!E284="","",csv!E284)</f>
        <v>Popović</v>
      </c>
      <c r="F294" s="31" t="s">
        <v>0</v>
      </c>
      <c r="G294" s="73" t="str">
        <f>IF(csv!M284="","",csv!M284)</f>
        <v>51:11</v>
      </c>
      <c r="H294" s="73" t="str">
        <f>IF(csv!N284="","",csv!N284)</f>
        <v>0</v>
      </c>
      <c r="I294" s="31" t="s">
        <v>0</v>
      </c>
      <c r="J294" s="31" t="str">
        <f>IF(csv!P284="","",csv!P284)</f>
        <v>KAP</v>
      </c>
      <c r="K294" s="31" t="str">
        <f>IF(csv!Q284="","",csv!Q284)</f>
        <v>OK Kapela</v>
      </c>
      <c r="L294" s="31" t="s">
        <v>0</v>
      </c>
      <c r="M294" s="66" t="str">
        <f>IF(csv!R284="","",csv!R284)</f>
        <v>CRO</v>
      </c>
      <c r="N294" s="47" t="s">
        <v>0</v>
      </c>
      <c r="O294" s="243" t="str">
        <f t="shared" si="263"/>
        <v>ok</v>
      </c>
      <c r="P294" s="47"/>
      <c r="Q294" s="52" t="str">
        <f t="shared" si="264"/>
        <v>Ž35</v>
      </c>
      <c r="R294" s="73">
        <f>IF(Q294="","",IF(COUNTIF(Q$12:Q293,Q294)=0,R293+1,R293))</f>
        <v>19</v>
      </c>
      <c r="S294" s="73">
        <f t="shared" si="265"/>
        <v>117</v>
      </c>
      <c r="T294" s="73">
        <f t="shared" si="240"/>
        <v>26</v>
      </c>
      <c r="U294" s="66" t="str">
        <f t="shared" si="241"/>
        <v>Ž35</v>
      </c>
      <c r="V294" s="47" t="s">
        <v>0</v>
      </c>
      <c r="W294" s="222" t="str">
        <f t="shared" si="242"/>
        <v>Ž35</v>
      </c>
      <c r="X294" s="223">
        <f t="shared" si="243"/>
        <v>41</v>
      </c>
      <c r="Y294" s="47" t="s">
        <v>0</v>
      </c>
      <c r="Z294" s="52" t="str">
        <f t="shared" si="266"/>
        <v>CRO</v>
      </c>
      <c r="AA294" s="73">
        <f t="shared" si="244"/>
        <v>1</v>
      </c>
      <c r="AB294" s="31" t="str">
        <f t="shared" si="267"/>
        <v/>
      </c>
      <c r="AC294" s="66" t="str">
        <f>IF(AB294="","",MAX(AC$12:AC293)+1)</f>
        <v/>
      </c>
      <c r="AD294" s="47" t="s">
        <v>0</v>
      </c>
      <c r="AE294" s="125"/>
      <c r="AF294" s="47" t="s">
        <v>0</v>
      </c>
      <c r="AG294" s="19" t="str">
        <f t="shared" si="268"/>
        <v/>
      </c>
      <c r="AH294" s="47" t="s">
        <v>0</v>
      </c>
      <c r="AI294" s="143" t="str">
        <f t="shared" si="269"/>
        <v>CRO</v>
      </c>
      <c r="AJ294" s="47"/>
      <c r="AK294" s="52" t="str">
        <f t="shared" si="270"/>
        <v>Antea</v>
      </c>
      <c r="AL294" s="31" t="str">
        <f t="shared" si="271"/>
        <v>Popović</v>
      </c>
      <c r="AM294" s="73">
        <f t="shared" si="272"/>
        <v>1222</v>
      </c>
      <c r="AN294" s="73" t="str">
        <f t="shared" si="273"/>
        <v/>
      </c>
      <c r="AO294" s="31" t="str">
        <f t="shared" si="245"/>
        <v>Antea</v>
      </c>
      <c r="AP294" s="66" t="str">
        <f t="shared" si="246"/>
        <v>Popović</v>
      </c>
      <c r="AQ294" s="47" t="s">
        <v>0</v>
      </c>
      <c r="AR294" s="82" t="str">
        <f t="shared" si="274"/>
        <v/>
      </c>
      <c r="AS294" s="47" t="s">
        <v>0</v>
      </c>
      <c r="AT294" s="19" t="str">
        <f t="shared" si="275"/>
        <v/>
      </c>
      <c r="AU294" s="47" t="s">
        <v>0</v>
      </c>
      <c r="AV294" s="103"/>
      <c r="AW294" s="105"/>
      <c r="AX294" s="47" t="s">
        <v>0</v>
      </c>
      <c r="AY294" s="256" t="str">
        <f t="shared" si="293"/>
        <v/>
      </c>
      <c r="AZ294" s="47" t="s">
        <v>0</v>
      </c>
      <c r="BA294" s="52" t="str">
        <f t="shared" si="247"/>
        <v/>
      </c>
      <c r="BB294" s="73" t="str">
        <f>IF(AV294&amp;AW294="","",MAX(BB$12:BB293)+1)</f>
        <v/>
      </c>
      <c r="BC294" s="268" t="str">
        <f t="shared" si="248"/>
        <v/>
      </c>
      <c r="BD294" s="53" t="str">
        <f>IF(AND(AM294="NEMA",AN294="NEMA",OR(AV294&amp;AW294="",BC294="NEMA")),MAX(BD$12:BD293)+1,"")</f>
        <v/>
      </c>
      <c r="BE294" s="47" t="s">
        <v>0</v>
      </c>
      <c r="BF294" s="52" t="str">
        <f t="shared" si="249"/>
        <v>Antea</v>
      </c>
      <c r="BG294" s="31" t="str">
        <f t="shared" si="250"/>
        <v>Popović</v>
      </c>
      <c r="BH294" s="73" t="str">
        <f t="shared" si="276"/>
        <v/>
      </c>
      <c r="BI294" s="53">
        <f t="shared" si="277"/>
        <v>1222</v>
      </c>
      <c r="BJ294" s="47" t="s">
        <v>0</v>
      </c>
      <c r="BK294" s="52" t="str">
        <f t="shared" si="251"/>
        <v>KAP</v>
      </c>
      <c r="BL294" s="31" t="str">
        <f t="shared" si="252"/>
        <v>OK Kapela</v>
      </c>
      <c r="BM294" s="73">
        <f t="shared" si="253"/>
        <v>5</v>
      </c>
      <c r="BN294" s="73" t="str">
        <f t="shared" si="254"/>
        <v/>
      </c>
      <c r="BO294" s="31" t="str" cm="1">
        <f t="array" ref="BO294">IF(BN294="",""&amp;BL294,IF(BN294="NEMA",BL294,INDEX(regKlub_naziv,MATCH(INDEX(regKlub_alias_klubId,BN294),regKlub_id,0))))</f>
        <v>OK Kapela</v>
      </c>
      <c r="BP294" s="31" t="str" cm="1">
        <f t="array" ref="BP294">IFERROR(""&amp;INDEX(regNatjecatelj_klub,DY294),"")</f>
        <v>OK Kapela</v>
      </c>
      <c r="BQ294" s="88" t="str">
        <f t="shared" si="278"/>
        <v/>
      </c>
      <c r="BR294" s="66" t="str">
        <f t="shared" si="279"/>
        <v>OK Kapela</v>
      </c>
      <c r="BS294" s="47" t="s">
        <v>0</v>
      </c>
      <c r="BT294" s="82" t="str">
        <f>IF(BN294&lt;&gt;"NEMA","",IF(IFERROR(MATCH(BL294,BL$12:BL293,0),0)&lt;&gt;0,"",BL294))</f>
        <v/>
      </c>
      <c r="BU294" s="47" t="s">
        <v>0</v>
      </c>
      <c r="BV294" s="125"/>
      <c r="BW294" s="47" t="s">
        <v>0</v>
      </c>
      <c r="BX294" s="58" t="str">
        <f t="shared" si="280"/>
        <v/>
      </c>
      <c r="BY294" s="31" t="str">
        <f t="shared" si="281"/>
        <v/>
      </c>
      <c r="BZ294" s="31" t="str">
        <f>IF(BY294="","",MAX(BZ$12:BZ293)+1)</f>
        <v/>
      </c>
      <c r="CA294" s="31" t="str">
        <f>IF(BY294="","",IF(AA294="","",IF(AA294="NEMA",AC294,AA294)))</f>
        <v/>
      </c>
      <c r="CB294" s="31" t="str">
        <f t="shared" si="282"/>
        <v/>
      </c>
      <c r="CC294" s="31" t="str">
        <f>IF(BV294="","",MAX(CC$12:CC293)+1)</f>
        <v/>
      </c>
      <c r="CD294" s="31" t="str">
        <f t="shared" si="283"/>
        <v/>
      </c>
      <c r="CE294" s="66" t="str">
        <f t="shared" si="284"/>
        <v/>
      </c>
      <c r="CF294" s="47" t="s">
        <v>0</v>
      </c>
      <c r="CG294" s="73" t="str">
        <f>IF(BN294="","",IF(BN294&lt;&gt;"NEMA","",IFERROR(INDEX(nat_klubAliasId,MATCH(BL294,nat_noviKluboviAliasi,0)),"")))</f>
        <v/>
      </c>
      <c r="CH294" s="47"/>
      <c r="CI294" s="19" t="str">
        <f t="shared" si="285"/>
        <v/>
      </c>
      <c r="CJ294" s="47" t="s">
        <v>0</v>
      </c>
      <c r="CK294" s="52" t="str">
        <f>IF(X294&lt;&gt;"NEMA","",IF(IFERROR(MATCH(W294,W$12:W293,0),0)&lt;&gt;0,"",W294))</f>
        <v/>
      </c>
      <c r="CL294" s="73" t="str">
        <f>IF(CK294="","",IFERROR(INDEX(regKlub_alias_id,MATCH(CK294,regKlub_alias_alias,0)),"NEMA"))</f>
        <v/>
      </c>
      <c r="CM294" s="31" t="str">
        <f>IF(OR(CL294="",CL294&lt;&gt;"NEMA"),"",MAX(CM$12:CM293)+1)</f>
        <v/>
      </c>
      <c r="CN294" s="66" t="str">
        <f>IF(OR(CL294="",CL294&lt;&gt;"NEMA"),"",INDEX(regKlub_id,MATCH(CK294,regKlub_naziv,0)))</f>
        <v/>
      </c>
      <c r="CO294" s="47" t="s">
        <v>0</v>
      </c>
      <c r="CP294" s="19" t="str">
        <f>IF(OR(CL294="",CL294&lt;&gt;"NEMA"),"","INSERT INTO klub_alias(id,alias,klub_id) VALUES ("&amp;CM294&amp;",'"&amp;CK294&amp;"',"&amp;CN294&amp;");")</f>
        <v/>
      </c>
      <c r="CQ294" s="47" t="s">
        <v>0</v>
      </c>
      <c r="CR294" s="143" t="str">
        <f>IF(BR294="","",IF(BV294="",IF(IFERROR(MATCH(BR294,nat_noviKluboviAliasi,0),0)&gt;0,INDEX(nat_kluboviAliasi,MATCH(BR294,nat_noviKluboviAliasi,0)),BR294),BV294))</f>
        <v>OK Kapela</v>
      </c>
      <c r="CS294" s="47" t="s">
        <v>0</v>
      </c>
      <c r="CT294" s="58" t="str">
        <f>IF(G294="","",G294)</f>
        <v>51:11</v>
      </c>
      <c r="CU294" s="73" t="str">
        <f>IF(H294="","",H294)</f>
        <v>0</v>
      </c>
      <c r="CV294" s="229" t="str">
        <f>IF(CT294="",IF(OR(AL294="",CU294&lt;&gt;"0"),"","GREŠKA"),IF(AND(65535&gt;=VALUE(LEFT(CT294,SEARCH(":",CT294)-1))*60+VALUE(RIGHT(CT294,2)),OR(CU294="0",CU294="1",CU294="2",CU294="3",CU294="4")),"","GREŠKA"))</f>
        <v/>
      </c>
      <c r="CW294" s="230">
        <f t="shared" si="239"/>
        <v>3071</v>
      </c>
      <c r="CX294" s="163">
        <f t="shared" si="255"/>
        <v>1</v>
      </c>
      <c r="CY294" s="47" t="s">
        <v>0</v>
      </c>
      <c r="CZ294" s="222" t="str">
        <f>IF(CV294&lt;&gt;"GREŠKA","",AK294&amp;" "&amp;AL294&amp;" – Molim u OEventu provjeriti i ispraviti rezultat – vrijeme ("&amp;IF(CT294="","nije upisano",CT294)&amp;") i classifier ("&amp;CU294&amp;").")&amp;IF(OR(CV294&lt;&gt;"GREŠKA",CX294&lt;&gt;5),"
","")&amp;IF(CX294&lt;&gt;5,"",AK294&amp;" "&amp;AL294&amp;" – Molim u provjeriti je li natjecatelj zaista diskvalificiran. Ako je koje je obrazloženje, ako nije molim u OEventu ispraviti rezultat")</f>
        <v xml:space="preserve">
</v>
      </c>
      <c r="DA294" s="223">
        <f t="shared" si="286"/>
        <v>6</v>
      </c>
      <c r="DB294" s="47" t="s">
        <v>0</v>
      </c>
      <c r="DC294" s="47"/>
      <c r="DD294" s="47"/>
      <c r="DE294" s="47"/>
      <c r="DF294" s="47" t="s">
        <v>0</v>
      </c>
      <c r="DG294" s="53" t="str">
        <f>IF(BD294="","",IF(DI294="O",1,""))</f>
        <v/>
      </c>
      <c r="DH294" t="s">
        <v>0</v>
      </c>
      <c r="DI294" s="128" t="str">
        <f>IF(Q294="","",LEFT(INDEX(regKategorija_oznaka,MATCH(S294,regKategorija_id,0)),1))</f>
        <v>Ž</v>
      </c>
      <c r="DJ294" t="s">
        <v>0</v>
      </c>
      <c r="DK294" s="52" t="str">
        <f>IF(BD294="","",IF(M294&lt;&gt;"CRO","","INSERT INTO osoba (id,reg_broj,oib,spol_id,dat_rodjenja) VALUES ("&amp;BD294&amp;",(SELECT max(os.reg_broj)+1 FROM osoba AS os),Null,'"&amp;DI294&amp;"',Null); INSERT INTO osoba_log (id,reg_broj,oib,spol_id,dat_rodjenja,dnevnik_id) SELECT id,reg_broj,oib,spol_id,dat_rodjenja,"&amp;data_dnevnik_id&amp;" FROM osoba WHERE id = "&amp;BD294&amp;";"))</f>
        <v/>
      </c>
      <c r="DL294" s="66" t="str">
        <f>IF(BD294="","","INSERT INTO imeprezime (id,osoba_id,rbr,ime,prezime,klub_id,identitet_id,sintaksa_id,info,aktivno,dnevnik_id) VALUES ("&amp;BD294&amp;","&amp;IF(DK294="","Null",BD294)&amp;",1,'"&amp;IF(AV294&lt;&gt;"",AV294,AK294)&amp;"','"&amp;IF(AW294&lt;&gt;"",AW294,AL294)&amp;"',(SELECT id FROM klub WHERE naziv = '"&amp;CR294&amp;"'),Null,1,'',1,"&amp;data_dnevnik_id&amp;");")</f>
        <v/>
      </c>
      <c r="DM294" t="s">
        <v>0</v>
      </c>
      <c r="DN294" s="19" t="str">
        <f t="shared" si="294"/>
        <v/>
      </c>
      <c r="DO294" s="47" t="s">
        <v>0</v>
      </c>
      <c r="DP294" s="19" t="str">
        <f>IF(BA294="","","INSERT INTO imeprezime_alias(id,alias,imeprezime_id) VALUES ("&amp;BB294&amp;",'"&amp;BA294&amp;"',"&amp;IF(BC294="NEMA",BD294,BC294)&amp;");")</f>
        <v/>
      </c>
      <c r="DQ294" s="47" t="s">
        <v>0</v>
      </c>
      <c r="DR294" s="52" t="str">
        <f>IF(AL294="","",DU294 &amp; IF(Q294="",""," – " &amp; Q294))</f>
        <v>Antea – Popović – OK Kapela – Ž35</v>
      </c>
      <c r="DS294" s="53">
        <f t="shared" si="256"/>
        <v>297</v>
      </c>
      <c r="DT294" s="47" t="s">
        <v>0</v>
      </c>
      <c r="DU294" s="52" t="str">
        <f>IF(AL294="","",DX294 &amp; IF(CR294="",""," – " &amp; CR294))</f>
        <v>Antea – Popović – OK Kapela</v>
      </c>
      <c r="DV294" s="53">
        <f t="shared" si="257"/>
        <v>297</v>
      </c>
      <c r="DW294" s="47" t="s">
        <v>0</v>
      </c>
      <c r="DX294" s="52" t="str">
        <f>IF(BG294="","",BF294&amp;" – "&amp;BG294)</f>
        <v>Antea – Popović</v>
      </c>
      <c r="DY294" s="53">
        <f t="shared" si="258"/>
        <v>297</v>
      </c>
      <c r="DZ294" s="47" t="s">
        <v>0</v>
      </c>
      <c r="EA294" s="58">
        <f t="shared" si="287"/>
        <v>297</v>
      </c>
      <c r="EB294" s="53" cm="1">
        <f t="array" ref="EB294">IF(EA294&lt;&gt;"",INDEX(regNatjecatelj_id,EA294,0),IF(BD294&lt;&gt;"",BD294,""))</f>
        <v>1222</v>
      </c>
      <c r="EC294" s="47" t="s">
        <v>0</v>
      </c>
      <c r="ED294" s="58" t="str">
        <f>IF(AL294="","",IF(BD294&lt;&gt;"","novo",IF(AN294="","imepre","imepre(ali)")))</f>
        <v>imepre</v>
      </c>
      <c r="EE294" s="73" t="str">
        <f>IF(AL294="","",IF(BL294="",IF(IFERROR(INDEX(regNatjecatelj_klub,MATCH(EB294,regNatjecatelj_id,0)),"NEMA")="","klu",""),IF(OR(AND(BN294&lt;&gt;"",BN294&lt;&gt;"NEMA"),CD294&lt;&gt;""),"klu(ali)",IF(AND(BP294&lt;&gt;"",BP294&lt;&gt;BO294),"(raz-klu)","klu"))))</f>
        <v>klu</v>
      </c>
      <c r="EF294" s="73" t="str">
        <f>IF(AL294="","","kat"&amp;IF(AND(W294&lt;&gt;Q294,Q294&lt;&gt;"Open"),"(ali)",""))</f>
        <v>kat</v>
      </c>
      <c r="EG294" s="73" t="str">
        <f t="shared" si="259"/>
        <v/>
      </c>
      <c r="EH294" s="66" t="str">
        <f>IF(AL294="","",ED294&amp;IF(ED294="novo","","-"&amp;EE294&amp;"-"&amp;EF294)&amp;IF(EG294="","","-"&amp;EG294))</f>
        <v>imepre-klu-kat</v>
      </c>
      <c r="EI294" s="47" t="s">
        <v>0</v>
      </c>
      <c r="EJ294" s="58">
        <f>IF(AL294="","",MAX(EJ$12:EJ293)+1)</f>
        <v>444</v>
      </c>
      <c r="EK294" s="73">
        <f>IF(AO294="","",X294)</f>
        <v>41</v>
      </c>
      <c r="EL294" s="73">
        <f t="shared" si="288"/>
        <v>1222</v>
      </c>
      <c r="EM294" s="73">
        <f t="shared" si="260"/>
        <v>3071</v>
      </c>
      <c r="EN294" s="73">
        <f t="shared" si="261"/>
        <v>1</v>
      </c>
      <c r="EO294" s="73">
        <f t="shared" si="289"/>
        <v>1</v>
      </c>
      <c r="EP294" s="73">
        <f t="shared" si="290"/>
        <v>1</v>
      </c>
      <c r="EQ294" s="73" t="str">
        <f t="shared" si="262"/>
        <v>0</v>
      </c>
      <c r="ER294" s="73" t="str">
        <f>IF(OR(AN294="",AN294="NEMA"),BB294,AN294)</f>
        <v/>
      </c>
      <c r="ES294" s="73" t="str">
        <f>IF(AND(BN294&lt;&gt;"",BN294&lt;&gt;"NEMA"),BN294,IF(CG294&lt;&gt;"",CG294,IF(AND(CL294&lt;&gt;"",CL294&lt;&gt;"NEMA"),CL294,IF(CM294&lt;&gt;"",CM294,""))))</f>
        <v/>
      </c>
      <c r="ET294" s="53" t="str">
        <f>IF(INDEX(natKategorija_alias_Id,MATCH(S294,natKategorija_katRegId,0))="","",INDEX(natKategorija_alias_Id,MATCH(S294,natKategorija_katRegId,0)))</f>
        <v/>
      </c>
      <c r="EU294" s="47" t="s">
        <v>0</v>
      </c>
      <c r="EV294" s="19" t="str">
        <f t="shared" si="291"/>
        <v>INSERT INTO rezultat(id,stazakategorija_id,imeprezime_id,vrijeme_sec,status_id,registracija,uparivanje_id,originalstatus_id,imeprezimealias_id,klubalias_id,kategorijaalias_id) VALUES (444,41,1222,3071,1,1,1,0,Null,Null,Null);</v>
      </c>
      <c r="EW294" s="47" t="s">
        <v>0</v>
      </c>
      <c r="EX294" s="19" t="str">
        <f t="shared" si="292"/>
        <v>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4" s="47" t="s">
        <v>0</v>
      </c>
      <c r="EZ294" s="180" t="str">
        <f>AG294&amp;IF(CP294="","","
")&amp;CP294&amp;IF(CI294="","","
")&amp;CI294&amp;IF(DN294="","","
")&amp;DN294&amp;IF(DP294="","","
")&amp;DP294&amp;IF(EV294="","","
")&amp;EV294&amp;IF(EX294="","","
")&amp;EX294</f>
        <v xml:space="preserve">
INSERT INTO rezultat(id,stazakategorija_id,imeprezime_id,vrijeme_sec,status_id,registracija,uparivanje_id,originalstatus_id,imeprezimealias_id,klubalias_id,kategorijaalias_id) VALUES (444,41,1222,3071,1,1,1,0,Null,Null,Null);
UPDATE
	registar
SET
	potvrda = 1
WHERE
	imeprezime_id=1222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4" s="47" t="s">
        <v>0</v>
      </c>
    </row>
    <row r="295" spans="1:157" x14ac:dyDescent="0.25">
      <c r="A295" t="s">
        <v>0</v>
      </c>
      <c r="B295" s="52" t="str">
        <f>IF(csv!F285="","",csv!T285)</f>
        <v>Ž35</v>
      </c>
      <c r="C295" s="31" t="s">
        <v>0</v>
      </c>
      <c r="D295" s="31" t="str">
        <f>IF(csv!F285="","",csv!F285)</f>
        <v>Fabiana</v>
      </c>
      <c r="E295" s="31" t="str">
        <f>IF(csv!E285="","",csv!E285)</f>
        <v>Cini</v>
      </c>
      <c r="F295" s="31" t="s">
        <v>0</v>
      </c>
      <c r="G295" s="73" t="str">
        <f>IF(csv!M285="","",csv!M285)</f>
        <v>52:40</v>
      </c>
      <c r="H295" s="73" t="str">
        <f>IF(csv!N285="","",csv!N285)</f>
        <v>0</v>
      </c>
      <c r="I295" s="31" t="s">
        <v>0</v>
      </c>
      <c r="J295" s="31" t="str">
        <f>IF(csv!P285="","",csv!P285)</f>
        <v>Maksimir</v>
      </c>
      <c r="K295" s="31" t="str">
        <f>IF(csv!Q285="","",csv!Q285)</f>
        <v>OK Maksimir</v>
      </c>
      <c r="L295" s="31" t="s">
        <v>0</v>
      </c>
      <c r="M295" s="66" t="str">
        <f>IF(csv!R285="","",csv!R285)</f>
        <v>CRO</v>
      </c>
      <c r="N295" s="47" t="s">
        <v>0</v>
      </c>
      <c r="O295" s="243" t="str">
        <f t="shared" si="263"/>
        <v>ok</v>
      </c>
      <c r="P295" s="47"/>
      <c r="Q295" s="52" t="str">
        <f t="shared" si="264"/>
        <v>Ž35</v>
      </c>
      <c r="R295" s="73">
        <f>IF(Q295="","",IF(COUNTIF(Q$12:Q294,Q295)=0,R294+1,R294))</f>
        <v>19</v>
      </c>
      <c r="S295" s="73">
        <f t="shared" si="265"/>
        <v>117</v>
      </c>
      <c r="T295" s="73">
        <f t="shared" si="240"/>
        <v>26</v>
      </c>
      <c r="U295" s="66" t="str">
        <f t="shared" si="241"/>
        <v>Ž35</v>
      </c>
      <c r="V295" s="47" t="s">
        <v>0</v>
      </c>
      <c r="W295" s="222" t="str">
        <f t="shared" si="242"/>
        <v>Ž35</v>
      </c>
      <c r="X295" s="223">
        <f t="shared" si="243"/>
        <v>41</v>
      </c>
      <c r="Y295" s="47" t="s">
        <v>0</v>
      </c>
      <c r="Z295" s="52" t="str">
        <f t="shared" si="266"/>
        <v>CRO</v>
      </c>
      <c r="AA295" s="73">
        <f t="shared" si="244"/>
        <v>1</v>
      </c>
      <c r="AB295" s="31" t="str">
        <f t="shared" si="267"/>
        <v/>
      </c>
      <c r="AC295" s="66" t="str">
        <f>IF(AB295="","",MAX(AC$12:AC294)+1)</f>
        <v/>
      </c>
      <c r="AD295" s="47" t="s">
        <v>0</v>
      </c>
      <c r="AE295" s="125"/>
      <c r="AF295" s="47" t="s">
        <v>0</v>
      </c>
      <c r="AG295" s="19" t="str">
        <f t="shared" si="268"/>
        <v/>
      </c>
      <c r="AH295" s="47" t="s">
        <v>0</v>
      </c>
      <c r="AI295" s="143" t="str">
        <f t="shared" si="269"/>
        <v>CRO</v>
      </c>
      <c r="AJ295" s="47"/>
      <c r="AK295" s="52" t="str">
        <f t="shared" si="270"/>
        <v>Fabiana</v>
      </c>
      <c r="AL295" s="31" t="str">
        <f t="shared" si="271"/>
        <v>Cini</v>
      </c>
      <c r="AM295" s="73">
        <f t="shared" si="272"/>
        <v>1062</v>
      </c>
      <c r="AN295" s="73" t="str">
        <f t="shared" si="273"/>
        <v/>
      </c>
      <c r="AO295" s="31" t="str">
        <f t="shared" si="245"/>
        <v>Fabiana</v>
      </c>
      <c r="AP295" s="66" t="str">
        <f t="shared" si="246"/>
        <v>Cini</v>
      </c>
      <c r="AQ295" s="47" t="s">
        <v>0</v>
      </c>
      <c r="AR295" s="82" t="str">
        <f t="shared" si="274"/>
        <v/>
      </c>
      <c r="AS295" s="47" t="s">
        <v>0</v>
      </c>
      <c r="AT295" s="19" t="str">
        <f t="shared" si="275"/>
        <v/>
      </c>
      <c r="AU295" s="47" t="s">
        <v>0</v>
      </c>
      <c r="AV295" s="103"/>
      <c r="AW295" s="105"/>
      <c r="AX295" s="47" t="s">
        <v>0</v>
      </c>
      <c r="AY295" s="256" t="str">
        <f t="shared" si="293"/>
        <v/>
      </c>
      <c r="AZ295" s="47" t="s">
        <v>0</v>
      </c>
      <c r="BA295" s="52" t="str">
        <f t="shared" si="247"/>
        <v/>
      </c>
      <c r="BB295" s="73" t="str">
        <f>IF(AV295&amp;AW295="","",MAX(BB$12:BB294)+1)</f>
        <v/>
      </c>
      <c r="BC295" s="268" t="str">
        <f t="shared" si="248"/>
        <v/>
      </c>
      <c r="BD295" s="53" t="str">
        <f>IF(AND(AM295="NEMA",AN295="NEMA",OR(AV295&amp;AW295="",BC295="NEMA")),MAX(BD$12:BD294)+1,"")</f>
        <v/>
      </c>
      <c r="BE295" s="47" t="s">
        <v>0</v>
      </c>
      <c r="BF295" s="52" t="str">
        <f t="shared" si="249"/>
        <v>Fabiana</v>
      </c>
      <c r="BG295" s="31" t="str">
        <f t="shared" si="250"/>
        <v>Cini</v>
      </c>
      <c r="BH295" s="73" t="str">
        <f t="shared" si="276"/>
        <v/>
      </c>
      <c r="BI295" s="53">
        <f t="shared" si="277"/>
        <v>1062</v>
      </c>
      <c r="BJ295" s="47" t="s">
        <v>0</v>
      </c>
      <c r="BK295" s="52" t="str">
        <f t="shared" si="251"/>
        <v>Maksimir</v>
      </c>
      <c r="BL295" s="31" t="str">
        <f t="shared" si="252"/>
        <v>OK Maksimir</v>
      </c>
      <c r="BM295" s="73">
        <f t="shared" si="253"/>
        <v>6</v>
      </c>
      <c r="BN295" s="73" t="str">
        <f t="shared" si="254"/>
        <v/>
      </c>
      <c r="BO295" s="31" t="str" cm="1">
        <f t="array" ref="BO295">IF(BN295="",""&amp;BL295,IF(BN295="NEMA",BL295,INDEX(regKlub_naziv,MATCH(INDEX(regKlub_alias_klubId,BN295),regKlub_id,0))))</f>
        <v>OK Maksimir</v>
      </c>
      <c r="BP295" s="31" t="str" cm="1">
        <f t="array" ref="BP295">IFERROR(""&amp;INDEX(regNatjecatelj_klub,DY295),"")</f>
        <v>OK Maksimir</v>
      </c>
      <c r="BQ295" s="88" t="str">
        <f t="shared" si="278"/>
        <v/>
      </c>
      <c r="BR295" s="66" t="str">
        <f t="shared" si="279"/>
        <v>OK Maksimir</v>
      </c>
      <c r="BS295" s="47" t="s">
        <v>0</v>
      </c>
      <c r="BT295" s="82" t="str">
        <f>IF(BN295&lt;&gt;"NEMA","",IF(IFERROR(MATCH(BL295,BL$12:BL294,0),0)&lt;&gt;0,"",BL295))</f>
        <v/>
      </c>
      <c r="BU295" s="47" t="s">
        <v>0</v>
      </c>
      <c r="BV295" s="125"/>
      <c r="BW295" s="47" t="s">
        <v>0</v>
      </c>
      <c r="BX295" s="58" t="str">
        <f t="shared" si="280"/>
        <v/>
      </c>
      <c r="BY295" s="31" t="str">
        <f t="shared" si="281"/>
        <v/>
      </c>
      <c r="BZ295" s="31" t="str">
        <f>IF(BY295="","",MAX(BZ$12:BZ294)+1)</f>
        <v/>
      </c>
      <c r="CA295" s="31" t="str">
        <f>IF(BY295="","",IF(AA295="","",IF(AA295="NEMA",AC295,AA295)))</f>
        <v/>
      </c>
      <c r="CB295" s="31" t="str">
        <f t="shared" si="282"/>
        <v/>
      </c>
      <c r="CC295" s="31" t="str">
        <f>IF(BV295="","",MAX(CC$12:CC294)+1)</f>
        <v/>
      </c>
      <c r="CD295" s="31" t="str">
        <f t="shared" si="283"/>
        <v/>
      </c>
      <c r="CE295" s="66" t="str">
        <f t="shared" si="284"/>
        <v/>
      </c>
      <c r="CF295" s="47" t="s">
        <v>0</v>
      </c>
      <c r="CG295" s="73" t="str">
        <f>IF(BN295="","",IF(BN295&lt;&gt;"NEMA","",IFERROR(INDEX(nat_klubAliasId,MATCH(BL295,nat_noviKluboviAliasi,0)),"")))</f>
        <v/>
      </c>
      <c r="CH295" s="47"/>
      <c r="CI295" s="19" t="str">
        <f t="shared" si="285"/>
        <v/>
      </c>
      <c r="CJ295" s="47" t="s">
        <v>0</v>
      </c>
      <c r="CK295" s="52" t="str">
        <f>IF(X295&lt;&gt;"NEMA","",IF(IFERROR(MATCH(W295,W$12:W294,0),0)&lt;&gt;0,"",W295))</f>
        <v/>
      </c>
      <c r="CL295" s="73" t="str">
        <f>IF(CK295="","",IFERROR(INDEX(regKlub_alias_id,MATCH(CK295,regKlub_alias_alias,0)),"NEMA"))</f>
        <v/>
      </c>
      <c r="CM295" s="31" t="str">
        <f>IF(OR(CL295="",CL295&lt;&gt;"NEMA"),"",MAX(CM$12:CM294)+1)</f>
        <v/>
      </c>
      <c r="CN295" s="66" t="str">
        <f>IF(OR(CL295="",CL295&lt;&gt;"NEMA"),"",INDEX(regKlub_id,MATCH(CK295,regKlub_naziv,0)))</f>
        <v/>
      </c>
      <c r="CO295" s="47" t="s">
        <v>0</v>
      </c>
      <c r="CP295" s="19" t="str">
        <f>IF(OR(CL295="",CL295&lt;&gt;"NEMA"),"","INSERT INTO klub_alias(id,alias,klub_id) VALUES ("&amp;CM295&amp;",'"&amp;CK295&amp;"',"&amp;CN295&amp;");")</f>
        <v/>
      </c>
      <c r="CQ295" s="47" t="s">
        <v>0</v>
      </c>
      <c r="CR295" s="143" t="str">
        <f>IF(BR295="","",IF(BV295="",IF(IFERROR(MATCH(BR295,nat_noviKluboviAliasi,0),0)&gt;0,INDEX(nat_kluboviAliasi,MATCH(BR295,nat_noviKluboviAliasi,0)),BR295),BV295))</f>
        <v>OK Maksimir</v>
      </c>
      <c r="CS295" s="47" t="s">
        <v>0</v>
      </c>
      <c r="CT295" s="58" t="str">
        <f>IF(G295="","",G295)</f>
        <v>52:40</v>
      </c>
      <c r="CU295" s="73" t="str">
        <f>IF(H295="","",H295)</f>
        <v>0</v>
      </c>
      <c r="CV295" s="229" t="str">
        <f>IF(CT295="",IF(OR(AL295="",CU295&lt;&gt;"0"),"","GREŠKA"),IF(AND(65535&gt;=VALUE(LEFT(CT295,SEARCH(":",CT295)-1))*60+VALUE(RIGHT(CT295,2)),OR(CU295="0",CU295="1",CU295="2",CU295="3",CU295="4")),"","GREŠKA"))</f>
        <v/>
      </c>
      <c r="CW295" s="230">
        <f t="shared" si="239"/>
        <v>3160</v>
      </c>
      <c r="CX295" s="163">
        <f t="shared" si="255"/>
        <v>1</v>
      </c>
      <c r="CY295" s="47" t="s">
        <v>0</v>
      </c>
      <c r="CZ295" s="222" t="str">
        <f>IF(CV295&lt;&gt;"GREŠKA","",AK295&amp;" "&amp;AL295&amp;" – Molim u OEventu provjeriti i ispraviti rezultat – vrijeme ("&amp;IF(CT295="","nije upisano",CT295)&amp;") i classifier ("&amp;CU295&amp;").")&amp;IF(OR(CV295&lt;&gt;"GREŠKA",CX295&lt;&gt;5),"
","")&amp;IF(CX295&lt;&gt;5,"",AK295&amp;" "&amp;AL295&amp;" – Molim u provjeriti je li natjecatelj zaista diskvalificiran. Ako je koje je obrazloženje, ako nije molim u OEventu ispraviti rezultat")</f>
        <v xml:space="preserve">
</v>
      </c>
      <c r="DA295" s="223">
        <f t="shared" si="286"/>
        <v>6</v>
      </c>
      <c r="DB295" s="47" t="s">
        <v>0</v>
      </c>
      <c r="DC295" s="47"/>
      <c r="DD295" s="47"/>
      <c r="DE295" s="47"/>
      <c r="DF295" s="47" t="s">
        <v>0</v>
      </c>
      <c r="DG295" s="53" t="str">
        <f>IF(BD295="","",IF(DI295="O",1,""))</f>
        <v/>
      </c>
      <c r="DH295" t="s">
        <v>0</v>
      </c>
      <c r="DI295" s="128" t="str">
        <f>IF(Q295="","",LEFT(INDEX(regKategorija_oznaka,MATCH(S295,regKategorija_id,0)),1))</f>
        <v>Ž</v>
      </c>
      <c r="DJ295" t="s">
        <v>0</v>
      </c>
      <c r="DK295" s="52" t="str">
        <f>IF(BD295="","",IF(M295&lt;&gt;"CRO","","INSERT INTO osoba (id,reg_broj,oib,spol_id,dat_rodjenja) VALUES ("&amp;BD295&amp;",(SELECT max(os.reg_broj)+1 FROM osoba AS os),Null,'"&amp;DI295&amp;"',Null); INSERT INTO osoba_log (id,reg_broj,oib,spol_id,dat_rodjenja,dnevnik_id) SELECT id,reg_broj,oib,spol_id,dat_rodjenja,"&amp;data_dnevnik_id&amp;" FROM osoba WHERE id = "&amp;BD295&amp;";"))</f>
        <v/>
      </c>
      <c r="DL295" s="66" t="str">
        <f>IF(BD295="","","INSERT INTO imeprezime (id,osoba_id,rbr,ime,prezime,klub_id,identitet_id,sintaksa_id,info,aktivno,dnevnik_id) VALUES ("&amp;BD295&amp;","&amp;IF(DK295="","Null",BD295)&amp;",1,'"&amp;IF(AV295&lt;&gt;"",AV295,AK295)&amp;"','"&amp;IF(AW295&lt;&gt;"",AW295,AL295)&amp;"',(SELECT id FROM klub WHERE naziv = '"&amp;CR295&amp;"'),Null,1,'',1,"&amp;data_dnevnik_id&amp;");")</f>
        <v/>
      </c>
      <c r="DM295" t="s">
        <v>0</v>
      </c>
      <c r="DN295" s="19" t="str">
        <f t="shared" si="294"/>
        <v/>
      </c>
      <c r="DO295" s="47" t="s">
        <v>0</v>
      </c>
      <c r="DP295" s="19" t="str">
        <f>IF(BA295="","","INSERT INTO imeprezime_alias(id,alias,imeprezime_id) VALUES ("&amp;BB295&amp;",'"&amp;BA295&amp;"',"&amp;IF(BC295="NEMA",BD295,BC295)&amp;");")</f>
        <v/>
      </c>
      <c r="DQ295" s="47" t="s">
        <v>0</v>
      </c>
      <c r="DR295" s="52" t="str">
        <f>IF(AL295="","",DU295 &amp; IF(Q295="",""," – " &amp; Q295))</f>
        <v>Fabiana – Cini – OK Maksimir – Ž35</v>
      </c>
      <c r="DS295" s="53">
        <f t="shared" si="256"/>
        <v>340</v>
      </c>
      <c r="DT295" s="47" t="s">
        <v>0</v>
      </c>
      <c r="DU295" s="52" t="str">
        <f>IF(AL295="","",DX295 &amp; IF(CR295="",""," – " &amp; CR295))</f>
        <v>Fabiana – Cini – OK Maksimir</v>
      </c>
      <c r="DV295" s="53">
        <f t="shared" si="257"/>
        <v>340</v>
      </c>
      <c r="DW295" s="47" t="s">
        <v>0</v>
      </c>
      <c r="DX295" s="52" t="str">
        <f>IF(BG295="","",BF295&amp;" – "&amp;BG295)</f>
        <v>Fabiana – Cini</v>
      </c>
      <c r="DY295" s="53">
        <f t="shared" si="258"/>
        <v>340</v>
      </c>
      <c r="DZ295" s="47" t="s">
        <v>0</v>
      </c>
      <c r="EA295" s="58">
        <f t="shared" si="287"/>
        <v>340</v>
      </c>
      <c r="EB295" s="53" cm="1">
        <f t="array" ref="EB295">IF(EA295&lt;&gt;"",INDEX(regNatjecatelj_id,EA295,0),IF(BD295&lt;&gt;"",BD295,""))</f>
        <v>1062</v>
      </c>
      <c r="EC295" s="47" t="s">
        <v>0</v>
      </c>
      <c r="ED295" s="58" t="str">
        <f>IF(AL295="","",IF(BD295&lt;&gt;"","novo",IF(AN295="","imepre","imepre(ali)")))</f>
        <v>imepre</v>
      </c>
      <c r="EE295" s="73" t="str">
        <f>IF(AL295="","",IF(BL295="",IF(IFERROR(INDEX(regNatjecatelj_klub,MATCH(EB295,regNatjecatelj_id,0)),"NEMA")="","klu",""),IF(OR(AND(BN295&lt;&gt;"",BN295&lt;&gt;"NEMA"),CD295&lt;&gt;""),"klu(ali)",IF(AND(BP295&lt;&gt;"",BP295&lt;&gt;BO295),"(raz-klu)","klu"))))</f>
        <v>klu</v>
      </c>
      <c r="EF295" s="73" t="str">
        <f>IF(AL295="","","kat"&amp;IF(AND(W295&lt;&gt;Q295,Q295&lt;&gt;"Open"),"(ali)",""))</f>
        <v>kat</v>
      </c>
      <c r="EG295" s="73" t="str">
        <f t="shared" si="259"/>
        <v/>
      </c>
      <c r="EH295" s="66" t="str">
        <f>IF(AL295="","",ED295&amp;IF(ED295="novo","","-"&amp;EE295&amp;"-"&amp;EF295)&amp;IF(EG295="","","-"&amp;EG295))</f>
        <v>imepre-klu-kat</v>
      </c>
      <c r="EI295" s="47" t="s">
        <v>0</v>
      </c>
      <c r="EJ295" s="58">
        <f>IF(AL295="","",MAX(EJ$12:EJ294)+1)</f>
        <v>445</v>
      </c>
      <c r="EK295" s="73">
        <f>IF(AO295="","",X295)</f>
        <v>41</v>
      </c>
      <c r="EL295" s="73">
        <f t="shared" si="288"/>
        <v>1062</v>
      </c>
      <c r="EM295" s="73">
        <f t="shared" si="260"/>
        <v>3160</v>
      </c>
      <c r="EN295" s="73">
        <f t="shared" si="261"/>
        <v>1</v>
      </c>
      <c r="EO295" s="73">
        <f t="shared" si="289"/>
        <v>1</v>
      </c>
      <c r="EP295" s="73">
        <f t="shared" si="290"/>
        <v>1</v>
      </c>
      <c r="EQ295" s="73" t="str">
        <f t="shared" si="262"/>
        <v>0</v>
      </c>
      <c r="ER295" s="73" t="str">
        <f>IF(OR(AN295="",AN295="NEMA"),BB295,AN295)</f>
        <v/>
      </c>
      <c r="ES295" s="73" t="str">
        <f>IF(AND(BN295&lt;&gt;"",BN295&lt;&gt;"NEMA"),BN295,IF(CG295&lt;&gt;"",CG295,IF(AND(CL295&lt;&gt;"",CL295&lt;&gt;"NEMA"),CL295,IF(CM295&lt;&gt;"",CM295,""))))</f>
        <v/>
      </c>
      <c r="ET295" s="53" t="str">
        <f>IF(INDEX(natKategorija_alias_Id,MATCH(S295,natKategorija_katRegId,0))="","",INDEX(natKategorija_alias_Id,MATCH(S295,natKategorija_katRegId,0)))</f>
        <v/>
      </c>
      <c r="EU295" s="47" t="s">
        <v>0</v>
      </c>
      <c r="EV295" s="19" t="str">
        <f t="shared" si="291"/>
        <v>INSERT INTO rezultat(id,stazakategorija_id,imeprezime_id,vrijeme_sec,status_id,registracija,uparivanje_id,originalstatus_id,imeprezimealias_id,klubalias_id,kategorijaalias_id) VALUES (445,41,1062,3160,1,1,1,0,Null,Null,Null);</v>
      </c>
      <c r="EW295" s="47" t="s">
        <v>0</v>
      </c>
      <c r="EX295" s="19" t="str">
        <f t="shared" si="292"/>
        <v>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5" s="47" t="s">
        <v>0</v>
      </c>
      <c r="EZ295" s="180" t="str">
        <f>AG295&amp;IF(CP295="","","
")&amp;CP295&amp;IF(CI295="","","
")&amp;CI295&amp;IF(DN295="","","
")&amp;DN295&amp;IF(DP295="","","
")&amp;DP295&amp;IF(EV295="","","
")&amp;EV295&amp;IF(EX295="","","
")&amp;EX295</f>
        <v xml:space="preserve">
INSERT INTO rezultat(id,stazakategorija_id,imeprezime_id,vrijeme_sec,status_id,registracija,uparivanje_id,originalstatus_id,imeprezimealias_id,klubalias_id,kategorijaalias_id) VALUES (445,41,1062,3160,1,1,1,0,Null,Null,Null);
UPDATE
	registar
SET
	potvrda = 1
WHERE
	imeprezime_id=1062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5" s="47" t="s">
        <v>0</v>
      </c>
    </row>
    <row r="296" spans="1:157" x14ac:dyDescent="0.25">
      <c r="A296" t="s">
        <v>0</v>
      </c>
      <c r="B296" s="52" t="str">
        <f>IF(csv!F286="","",csv!T286)</f>
        <v>Ž35</v>
      </c>
      <c r="C296" s="31" t="s">
        <v>0</v>
      </c>
      <c r="D296" s="31" t="str">
        <f>IF(csv!F286="","",csv!F286)</f>
        <v>Nikolina</v>
      </c>
      <c r="E296" s="31" t="str">
        <f>IF(csv!E286="","",csv!E286)</f>
        <v>Šantić</v>
      </c>
      <c r="F296" s="31" t="s">
        <v>0</v>
      </c>
      <c r="G296" s="73" t="str">
        <f>IF(csv!M286="","",csv!M286)</f>
        <v>56:50</v>
      </c>
      <c r="H296" s="73" t="str">
        <f>IF(csv!N286="","",csv!N286)</f>
        <v>0</v>
      </c>
      <c r="I296" s="31" t="s">
        <v>0</v>
      </c>
      <c r="J296" s="31" t="str">
        <f>IF(csv!P286="","",csv!P286)</f>
        <v>BJE</v>
      </c>
      <c r="K296" s="31" t="str">
        <f>IF(csv!Q286="","",csv!Q286)</f>
        <v>OK Bjelovar</v>
      </c>
      <c r="L296" s="31" t="s">
        <v>0</v>
      </c>
      <c r="M296" s="66" t="str">
        <f>IF(csv!R286="","",csv!R286)</f>
        <v>CRO</v>
      </c>
      <c r="N296" s="47" t="s">
        <v>0</v>
      </c>
      <c r="O296" s="243" t="str">
        <f t="shared" si="263"/>
        <v>ok</v>
      </c>
      <c r="P296" s="47"/>
      <c r="Q296" s="52" t="str">
        <f t="shared" si="264"/>
        <v>Ž35</v>
      </c>
      <c r="R296" s="73">
        <f>IF(Q296="","",IF(COUNTIF(Q$12:Q295,Q296)=0,R295+1,R295))</f>
        <v>19</v>
      </c>
      <c r="S296" s="73">
        <f t="shared" si="265"/>
        <v>117</v>
      </c>
      <c r="T296" s="73">
        <f t="shared" si="240"/>
        <v>26</v>
      </c>
      <c r="U296" s="66" t="str">
        <f t="shared" si="241"/>
        <v>Ž35</v>
      </c>
      <c r="V296" s="47" t="s">
        <v>0</v>
      </c>
      <c r="W296" s="222" t="str">
        <f t="shared" si="242"/>
        <v>Ž35</v>
      </c>
      <c r="X296" s="223">
        <f t="shared" si="243"/>
        <v>41</v>
      </c>
      <c r="Y296" s="47" t="s">
        <v>0</v>
      </c>
      <c r="Z296" s="52" t="str">
        <f t="shared" si="266"/>
        <v>CRO</v>
      </c>
      <c r="AA296" s="73">
        <f t="shared" si="244"/>
        <v>1</v>
      </c>
      <c r="AB296" s="31" t="str">
        <f t="shared" si="267"/>
        <v/>
      </c>
      <c r="AC296" s="66" t="str">
        <f>IF(AB296="","",MAX(AC$12:AC295)+1)</f>
        <v/>
      </c>
      <c r="AD296" s="47" t="s">
        <v>0</v>
      </c>
      <c r="AE296" s="125"/>
      <c r="AF296" s="47" t="s">
        <v>0</v>
      </c>
      <c r="AG296" s="19" t="str">
        <f t="shared" si="268"/>
        <v/>
      </c>
      <c r="AH296" s="47" t="s">
        <v>0</v>
      </c>
      <c r="AI296" s="143" t="str">
        <f t="shared" si="269"/>
        <v>CRO</v>
      </c>
      <c r="AJ296" s="47"/>
      <c r="AK296" s="52" t="str">
        <f t="shared" si="270"/>
        <v>Nikolina</v>
      </c>
      <c r="AL296" s="31" t="str">
        <f t="shared" si="271"/>
        <v>Šantić</v>
      </c>
      <c r="AM296" s="73">
        <f t="shared" si="272"/>
        <v>1466</v>
      </c>
      <c r="AN296" s="73" t="str">
        <f t="shared" si="273"/>
        <v/>
      </c>
      <c r="AO296" s="31" t="str">
        <f t="shared" si="245"/>
        <v>Nikolina</v>
      </c>
      <c r="AP296" s="66" t="str">
        <f t="shared" si="246"/>
        <v>Šantić</v>
      </c>
      <c r="AQ296" s="47" t="s">
        <v>0</v>
      </c>
      <c r="AR296" s="82" t="str">
        <f t="shared" si="274"/>
        <v/>
      </c>
      <c r="AS296" s="47" t="s">
        <v>0</v>
      </c>
      <c r="AT296" s="19" t="str">
        <f t="shared" si="275"/>
        <v/>
      </c>
      <c r="AU296" s="47" t="s">
        <v>0</v>
      </c>
      <c r="AV296" s="103"/>
      <c r="AW296" s="105"/>
      <c r="AX296" s="47" t="s">
        <v>0</v>
      </c>
      <c r="AY296" s="256" t="str">
        <f t="shared" si="293"/>
        <v/>
      </c>
      <c r="AZ296" s="47" t="s">
        <v>0</v>
      </c>
      <c r="BA296" s="52" t="str">
        <f t="shared" si="247"/>
        <v/>
      </c>
      <c r="BB296" s="73" t="str">
        <f>IF(AV296&amp;AW296="","",MAX(BB$12:BB295)+1)</f>
        <v/>
      </c>
      <c r="BC296" s="268" t="str">
        <f t="shared" si="248"/>
        <v/>
      </c>
      <c r="BD296" s="53" t="str">
        <f>IF(AND(AM296="NEMA",AN296="NEMA",OR(AV296&amp;AW296="",BC296="NEMA")),MAX(BD$12:BD295)+1,"")</f>
        <v/>
      </c>
      <c r="BE296" s="47" t="s">
        <v>0</v>
      </c>
      <c r="BF296" s="52" t="str">
        <f t="shared" si="249"/>
        <v>Nikolina</v>
      </c>
      <c r="BG296" s="31" t="str">
        <f t="shared" si="250"/>
        <v>Šantić</v>
      </c>
      <c r="BH296" s="73" t="str">
        <f t="shared" si="276"/>
        <v/>
      </c>
      <c r="BI296" s="53">
        <f t="shared" si="277"/>
        <v>1466</v>
      </c>
      <c r="BJ296" s="47" t="s">
        <v>0</v>
      </c>
      <c r="BK296" s="52" t="str">
        <f t="shared" si="251"/>
        <v>BJE</v>
      </c>
      <c r="BL296" s="31" t="str">
        <f t="shared" si="252"/>
        <v>OK Bjelovar</v>
      </c>
      <c r="BM296" s="73">
        <f t="shared" si="253"/>
        <v>1</v>
      </c>
      <c r="BN296" s="73" t="str">
        <f t="shared" si="254"/>
        <v/>
      </c>
      <c r="BO296" s="31" t="str" cm="1">
        <f t="array" ref="BO296">IF(BN296="",""&amp;BL296,IF(BN296="NEMA",BL296,INDEX(regKlub_naziv,MATCH(INDEX(regKlub_alias_klubId,BN296),regKlub_id,0))))</f>
        <v>OK Bjelovar</v>
      </c>
      <c r="BP296" s="31" t="str" cm="1">
        <f t="array" ref="BP296">IFERROR(""&amp;INDEX(regNatjecatelj_klub,DY296),"")</f>
        <v>OK Bjelovar</v>
      </c>
      <c r="BQ296" s="88" t="str">
        <f t="shared" si="278"/>
        <v/>
      </c>
      <c r="BR296" s="66" t="str">
        <f t="shared" si="279"/>
        <v>OK Bjelovar</v>
      </c>
      <c r="BS296" s="47" t="s">
        <v>0</v>
      </c>
      <c r="BT296" s="82" t="str">
        <f>IF(BN296&lt;&gt;"NEMA","",IF(IFERROR(MATCH(BL296,BL$12:BL295,0),0)&lt;&gt;0,"",BL296))</f>
        <v/>
      </c>
      <c r="BU296" s="47" t="s">
        <v>0</v>
      </c>
      <c r="BV296" s="125"/>
      <c r="BW296" s="47" t="s">
        <v>0</v>
      </c>
      <c r="BX296" s="58" t="str">
        <f t="shared" si="280"/>
        <v/>
      </c>
      <c r="BY296" s="31" t="str">
        <f t="shared" si="281"/>
        <v/>
      </c>
      <c r="BZ296" s="31" t="str">
        <f>IF(BY296="","",MAX(BZ$12:BZ295)+1)</f>
        <v/>
      </c>
      <c r="CA296" s="31" t="str">
        <f>IF(BY296="","",IF(AA296="","",IF(AA296="NEMA",AC296,AA296)))</f>
        <v/>
      </c>
      <c r="CB296" s="31" t="str">
        <f t="shared" si="282"/>
        <v/>
      </c>
      <c r="CC296" s="31" t="str">
        <f>IF(BV296="","",MAX(CC$12:CC295)+1)</f>
        <v/>
      </c>
      <c r="CD296" s="31" t="str">
        <f t="shared" si="283"/>
        <v/>
      </c>
      <c r="CE296" s="66" t="str">
        <f t="shared" si="284"/>
        <v/>
      </c>
      <c r="CF296" s="47" t="s">
        <v>0</v>
      </c>
      <c r="CG296" s="73" t="str">
        <f>IF(BN296="","",IF(BN296&lt;&gt;"NEMA","",IFERROR(INDEX(nat_klubAliasId,MATCH(BL296,nat_noviKluboviAliasi,0)),"")))</f>
        <v/>
      </c>
      <c r="CH296" s="47"/>
      <c r="CI296" s="19" t="str">
        <f t="shared" si="285"/>
        <v/>
      </c>
      <c r="CJ296" s="47" t="s">
        <v>0</v>
      </c>
      <c r="CK296" s="52" t="str">
        <f>IF(X296&lt;&gt;"NEMA","",IF(IFERROR(MATCH(W296,W$12:W295,0),0)&lt;&gt;0,"",W296))</f>
        <v/>
      </c>
      <c r="CL296" s="73" t="str">
        <f>IF(CK296="","",IFERROR(INDEX(regKlub_alias_id,MATCH(CK296,regKlub_alias_alias,0)),"NEMA"))</f>
        <v/>
      </c>
      <c r="CM296" s="31" t="str">
        <f>IF(OR(CL296="",CL296&lt;&gt;"NEMA"),"",MAX(CM$12:CM295)+1)</f>
        <v/>
      </c>
      <c r="CN296" s="66" t="str">
        <f>IF(OR(CL296="",CL296&lt;&gt;"NEMA"),"",INDEX(regKlub_id,MATCH(CK296,regKlub_naziv,0)))</f>
        <v/>
      </c>
      <c r="CO296" s="47" t="s">
        <v>0</v>
      </c>
      <c r="CP296" s="19" t="str">
        <f>IF(OR(CL296="",CL296&lt;&gt;"NEMA"),"","INSERT INTO klub_alias(id,alias,klub_id) VALUES ("&amp;CM296&amp;",'"&amp;CK296&amp;"',"&amp;CN296&amp;");")</f>
        <v/>
      </c>
      <c r="CQ296" s="47" t="s">
        <v>0</v>
      </c>
      <c r="CR296" s="143" t="str">
        <f>IF(BR296="","",IF(BV296="",IF(IFERROR(MATCH(BR296,nat_noviKluboviAliasi,0),0)&gt;0,INDEX(nat_kluboviAliasi,MATCH(BR296,nat_noviKluboviAliasi,0)),BR296),BV296))</f>
        <v>OK Bjelovar</v>
      </c>
      <c r="CS296" s="47" t="s">
        <v>0</v>
      </c>
      <c r="CT296" s="58" t="str">
        <f>IF(G296="","",G296)</f>
        <v>56:50</v>
      </c>
      <c r="CU296" s="73" t="str">
        <f>IF(H296="","",H296)</f>
        <v>0</v>
      </c>
      <c r="CV296" s="229" t="str">
        <f>IF(CT296="",IF(OR(AL296="",CU296&lt;&gt;"0"),"","GREŠKA"),IF(AND(65535&gt;=VALUE(LEFT(CT296,SEARCH(":",CT296)-1))*60+VALUE(RIGHT(CT296,2)),OR(CU296="0",CU296="1",CU296="2",CU296="3",CU296="4")),"","GREŠKA"))</f>
        <v/>
      </c>
      <c r="CW296" s="230">
        <f t="shared" si="239"/>
        <v>3410</v>
      </c>
      <c r="CX296" s="163">
        <f t="shared" si="255"/>
        <v>1</v>
      </c>
      <c r="CY296" s="47" t="s">
        <v>0</v>
      </c>
      <c r="CZ296" s="222" t="str">
        <f>IF(CV296&lt;&gt;"GREŠKA","",AK296&amp;" "&amp;AL296&amp;" – Molim u OEventu provjeriti i ispraviti rezultat – vrijeme ("&amp;IF(CT296="","nije upisano",CT296)&amp;") i classifier ("&amp;CU296&amp;").")&amp;IF(OR(CV296&lt;&gt;"GREŠKA",CX296&lt;&gt;5),"
","")&amp;IF(CX296&lt;&gt;5,"",AK296&amp;" "&amp;AL296&amp;" – Molim u provjeriti je li natjecatelj zaista diskvalificiran. Ako je koje je obrazloženje, ako nije molim u OEventu ispraviti rezultat")</f>
        <v xml:space="preserve">
</v>
      </c>
      <c r="DA296" s="223">
        <f t="shared" si="286"/>
        <v>6</v>
      </c>
      <c r="DB296" s="47" t="s">
        <v>0</v>
      </c>
      <c r="DC296" s="47"/>
      <c r="DD296" s="47"/>
      <c r="DE296" s="47"/>
      <c r="DF296" s="47" t="s">
        <v>0</v>
      </c>
      <c r="DG296" s="53" t="str">
        <f>IF(BD296="","",IF(DI296="O",1,""))</f>
        <v/>
      </c>
      <c r="DH296" t="s">
        <v>0</v>
      </c>
      <c r="DI296" s="128" t="str">
        <f>IF(Q296="","",LEFT(INDEX(regKategorija_oznaka,MATCH(S296,regKategorija_id,0)),1))</f>
        <v>Ž</v>
      </c>
      <c r="DJ296" t="s">
        <v>0</v>
      </c>
      <c r="DK296" s="52" t="str">
        <f>IF(BD296="","",IF(M296&lt;&gt;"CRO","","INSERT INTO osoba (id,reg_broj,oib,spol_id,dat_rodjenja) VALUES ("&amp;BD296&amp;",(SELECT max(os.reg_broj)+1 FROM osoba AS os),Null,'"&amp;DI296&amp;"',Null); INSERT INTO osoba_log (id,reg_broj,oib,spol_id,dat_rodjenja,dnevnik_id) SELECT id,reg_broj,oib,spol_id,dat_rodjenja,"&amp;data_dnevnik_id&amp;" FROM osoba WHERE id = "&amp;BD296&amp;";"))</f>
        <v/>
      </c>
      <c r="DL296" s="66" t="str">
        <f>IF(BD296="","","INSERT INTO imeprezime (id,osoba_id,rbr,ime,prezime,klub_id,identitet_id,sintaksa_id,info,aktivno,dnevnik_id) VALUES ("&amp;BD296&amp;","&amp;IF(DK296="","Null",BD296)&amp;",1,'"&amp;IF(AV296&lt;&gt;"",AV296,AK296)&amp;"','"&amp;IF(AW296&lt;&gt;"",AW296,AL296)&amp;"',(SELECT id FROM klub WHERE naziv = '"&amp;CR296&amp;"'),Null,1,'',1,"&amp;data_dnevnik_id&amp;");")</f>
        <v/>
      </c>
      <c r="DM296" t="s">
        <v>0</v>
      </c>
      <c r="DN296" s="19" t="str">
        <f t="shared" si="294"/>
        <v/>
      </c>
      <c r="DO296" s="47" t="s">
        <v>0</v>
      </c>
      <c r="DP296" s="19" t="str">
        <f>IF(BA296="","","INSERT INTO imeprezime_alias(id,alias,imeprezime_id) VALUES ("&amp;BB296&amp;",'"&amp;BA296&amp;"',"&amp;IF(BC296="NEMA",BD296,BC296)&amp;");")</f>
        <v/>
      </c>
      <c r="DQ296" s="47" t="s">
        <v>0</v>
      </c>
      <c r="DR296" s="52" t="str">
        <f>IF(AL296="","",DU296 &amp; IF(Q296="",""," – " &amp; Q296))</f>
        <v>Nikolina – Šantić – OK Bjelovar – Ž35</v>
      </c>
      <c r="DS296" s="53">
        <f t="shared" si="256"/>
        <v>25</v>
      </c>
      <c r="DT296" s="47" t="s">
        <v>0</v>
      </c>
      <c r="DU296" s="52" t="str">
        <f>IF(AL296="","",DX296 &amp; IF(CR296="",""," – " &amp; CR296))</f>
        <v>Nikolina – Šantić – OK Bjelovar</v>
      </c>
      <c r="DV296" s="53">
        <f t="shared" si="257"/>
        <v>25</v>
      </c>
      <c r="DW296" s="47" t="s">
        <v>0</v>
      </c>
      <c r="DX296" s="52" t="str">
        <f>IF(BG296="","",BF296&amp;" – "&amp;BG296)</f>
        <v>Nikolina – Šantić</v>
      </c>
      <c r="DY296" s="53">
        <f t="shared" si="258"/>
        <v>25</v>
      </c>
      <c r="DZ296" s="47" t="s">
        <v>0</v>
      </c>
      <c r="EA296" s="58">
        <f t="shared" si="287"/>
        <v>25</v>
      </c>
      <c r="EB296" s="53" cm="1">
        <f t="array" ref="EB296">IF(EA296&lt;&gt;"",INDEX(regNatjecatelj_id,EA296,0),IF(BD296&lt;&gt;"",BD296,""))</f>
        <v>1466</v>
      </c>
      <c r="EC296" s="47" t="s">
        <v>0</v>
      </c>
      <c r="ED296" s="58" t="str">
        <f>IF(AL296="","",IF(BD296&lt;&gt;"","novo",IF(AN296="","imepre","imepre(ali)")))</f>
        <v>imepre</v>
      </c>
      <c r="EE296" s="73" t="str">
        <f>IF(AL296="","",IF(BL296="",IF(IFERROR(INDEX(regNatjecatelj_klub,MATCH(EB296,regNatjecatelj_id,0)),"NEMA")="","klu",""),IF(OR(AND(BN296&lt;&gt;"",BN296&lt;&gt;"NEMA"),CD296&lt;&gt;""),"klu(ali)",IF(AND(BP296&lt;&gt;"",BP296&lt;&gt;BO296),"(raz-klu)","klu"))))</f>
        <v>klu</v>
      </c>
      <c r="EF296" s="73" t="str">
        <f>IF(AL296="","","kat"&amp;IF(AND(W296&lt;&gt;Q296,Q296&lt;&gt;"Open"),"(ali)",""))</f>
        <v>kat</v>
      </c>
      <c r="EG296" s="73" t="str">
        <f t="shared" si="259"/>
        <v/>
      </c>
      <c r="EH296" s="66" t="str">
        <f>IF(AL296="","",ED296&amp;IF(ED296="novo","","-"&amp;EE296&amp;"-"&amp;EF296)&amp;IF(EG296="","","-"&amp;EG296))</f>
        <v>imepre-klu-kat</v>
      </c>
      <c r="EI296" s="47" t="s">
        <v>0</v>
      </c>
      <c r="EJ296" s="58">
        <f>IF(AL296="","",MAX(EJ$12:EJ295)+1)</f>
        <v>446</v>
      </c>
      <c r="EK296" s="73">
        <f>IF(AO296="","",X296)</f>
        <v>41</v>
      </c>
      <c r="EL296" s="73">
        <f t="shared" si="288"/>
        <v>1466</v>
      </c>
      <c r="EM296" s="73">
        <f t="shared" si="260"/>
        <v>3410</v>
      </c>
      <c r="EN296" s="73">
        <f t="shared" si="261"/>
        <v>1</v>
      </c>
      <c r="EO296" s="73">
        <f t="shared" si="289"/>
        <v>1</v>
      </c>
      <c r="EP296" s="73">
        <f t="shared" si="290"/>
        <v>1</v>
      </c>
      <c r="EQ296" s="73" t="str">
        <f t="shared" si="262"/>
        <v>0</v>
      </c>
      <c r="ER296" s="73" t="str">
        <f>IF(OR(AN296="",AN296="NEMA"),BB296,AN296)</f>
        <v/>
      </c>
      <c r="ES296" s="73" t="str">
        <f>IF(AND(BN296&lt;&gt;"",BN296&lt;&gt;"NEMA"),BN296,IF(CG296&lt;&gt;"",CG296,IF(AND(CL296&lt;&gt;"",CL296&lt;&gt;"NEMA"),CL296,IF(CM296&lt;&gt;"",CM296,""))))</f>
        <v/>
      </c>
      <c r="ET296" s="53" t="str">
        <f>IF(INDEX(natKategorija_alias_Id,MATCH(S296,natKategorija_katRegId,0))="","",INDEX(natKategorija_alias_Id,MATCH(S296,natKategorija_katRegId,0)))</f>
        <v/>
      </c>
      <c r="EU296" s="47" t="s">
        <v>0</v>
      </c>
      <c r="EV296" s="19" t="str">
        <f t="shared" si="291"/>
        <v>INSERT INTO rezultat(id,stazakategorija_id,imeprezime_id,vrijeme_sec,status_id,registracija,uparivanje_id,originalstatus_id,imeprezimealias_id,klubalias_id,kategorijaalias_id) VALUES (446,41,1466,3410,1,1,1,0,Null,Null,Null);</v>
      </c>
      <c r="EW296" s="47" t="s">
        <v>0</v>
      </c>
      <c r="EX296" s="19" t="str">
        <f t="shared" si="292"/>
        <v>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6" s="47" t="s">
        <v>0</v>
      </c>
      <c r="EZ296" s="180" t="str">
        <f>AG296&amp;IF(CP296="","","
")&amp;CP296&amp;IF(CI296="","","
")&amp;CI296&amp;IF(DN296="","","
")&amp;DN296&amp;IF(DP296="","","
")&amp;DP296&amp;IF(EV296="","","
")&amp;EV296&amp;IF(EX296="","","
")&amp;EX296</f>
        <v xml:space="preserve">
INSERT INTO rezultat(id,stazakategorija_id,imeprezime_id,vrijeme_sec,status_id,registracija,uparivanje_id,originalstatus_id,imeprezimealias_id,klubalias_id,kategorijaalias_id) VALUES (446,41,1466,3410,1,1,1,0,Null,Null,Null);
UPDATE
	registar
SET
	potvrda = 1
WHERE
	imeprezime_id=1466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6" s="47" t="s">
        <v>0</v>
      </c>
    </row>
    <row r="297" spans="1:157" x14ac:dyDescent="0.25">
      <c r="A297" t="s">
        <v>0</v>
      </c>
      <c r="B297" s="52" t="str">
        <f>IF(csv!F287="","",csv!T287)</f>
        <v>Ž35</v>
      </c>
      <c r="C297" s="31" t="s">
        <v>0</v>
      </c>
      <c r="D297" s="31" t="str">
        <f>IF(csv!F287="","",csv!F287)</f>
        <v>Sabina</v>
      </c>
      <c r="E297" s="31" t="str">
        <f>IF(csv!E287="","",csv!E287)</f>
        <v>Seražin Korper</v>
      </c>
      <c r="F297" s="31" t="s">
        <v>0</v>
      </c>
      <c r="G297" s="73" t="str">
        <f>IF(csv!M287="","",csv!M287)</f>
        <v>60:22</v>
      </c>
      <c r="H297" s="73" t="str">
        <f>IF(csv!N287="","",csv!N287)</f>
        <v>0</v>
      </c>
      <c r="I297" s="31" t="s">
        <v>0</v>
      </c>
      <c r="J297" s="31" t="str">
        <f>IF(csv!P287="","",csv!P287)</f>
        <v>OK Jelen</v>
      </c>
      <c r="K297" s="31" t="str">
        <f>IF(csv!Q287="","",csv!Q287)</f>
        <v>OK Jelen</v>
      </c>
      <c r="L297" s="31" t="s">
        <v>0</v>
      </c>
      <c r="M297" s="66" t="str">
        <f>IF(csv!R287="","",csv!R287)</f>
        <v>CRO</v>
      </c>
      <c r="N297" s="47" t="s">
        <v>0</v>
      </c>
      <c r="O297" s="243" t="str">
        <f t="shared" si="263"/>
        <v>ok</v>
      </c>
      <c r="P297" s="47"/>
      <c r="Q297" s="52" t="str">
        <f t="shared" si="264"/>
        <v>Ž35</v>
      </c>
      <c r="R297" s="73">
        <f>IF(Q297="","",IF(COUNTIF(Q$12:Q296,Q297)=0,R296+1,R296))</f>
        <v>19</v>
      </c>
      <c r="S297" s="73">
        <f t="shared" si="265"/>
        <v>117</v>
      </c>
      <c r="T297" s="73">
        <f t="shared" si="240"/>
        <v>26</v>
      </c>
      <c r="U297" s="66" t="str">
        <f t="shared" si="241"/>
        <v>Ž35</v>
      </c>
      <c r="V297" s="47" t="s">
        <v>0</v>
      </c>
      <c r="W297" s="222" t="str">
        <f t="shared" si="242"/>
        <v>Ž35</v>
      </c>
      <c r="X297" s="223">
        <f t="shared" si="243"/>
        <v>41</v>
      </c>
      <c r="Y297" s="47" t="s">
        <v>0</v>
      </c>
      <c r="Z297" s="52" t="str">
        <f t="shared" si="266"/>
        <v>CRO</v>
      </c>
      <c r="AA297" s="73">
        <f t="shared" si="244"/>
        <v>1</v>
      </c>
      <c r="AB297" s="31" t="str">
        <f t="shared" si="267"/>
        <v/>
      </c>
      <c r="AC297" s="66" t="str">
        <f>IF(AB297="","",MAX(AC$12:AC296)+1)</f>
        <v/>
      </c>
      <c r="AD297" s="47" t="s">
        <v>0</v>
      </c>
      <c r="AE297" s="125"/>
      <c r="AF297" s="47" t="s">
        <v>0</v>
      </c>
      <c r="AG297" s="19" t="str">
        <f t="shared" si="268"/>
        <v/>
      </c>
      <c r="AH297" s="47" t="s">
        <v>0</v>
      </c>
      <c r="AI297" s="143" t="str">
        <f t="shared" si="269"/>
        <v>CRO</v>
      </c>
      <c r="AJ297" s="47"/>
      <c r="AK297" s="52" t="str">
        <f t="shared" si="270"/>
        <v>Sabina</v>
      </c>
      <c r="AL297" s="31" t="str">
        <f t="shared" si="271"/>
        <v>Seražin Korper</v>
      </c>
      <c r="AM297" s="73">
        <f t="shared" si="272"/>
        <v>1381</v>
      </c>
      <c r="AN297" s="73" t="str">
        <f t="shared" si="273"/>
        <v/>
      </c>
      <c r="AO297" s="31" t="str">
        <f t="shared" si="245"/>
        <v>Sabina</v>
      </c>
      <c r="AP297" s="66" t="str">
        <f t="shared" si="246"/>
        <v>Seražin Korper</v>
      </c>
      <c r="AQ297" s="47" t="s">
        <v>0</v>
      </c>
      <c r="AR297" s="82" t="str">
        <f t="shared" si="274"/>
        <v/>
      </c>
      <c r="AS297" s="47" t="s">
        <v>0</v>
      </c>
      <c r="AT297" s="19" t="str">
        <f t="shared" si="275"/>
        <v/>
      </c>
      <c r="AU297" s="47" t="s">
        <v>0</v>
      </c>
      <c r="AV297" s="103"/>
      <c r="AW297" s="105"/>
      <c r="AX297" s="47" t="s">
        <v>0</v>
      </c>
      <c r="AY297" s="256" t="str">
        <f t="shared" si="293"/>
        <v/>
      </c>
      <c r="AZ297" s="47" t="s">
        <v>0</v>
      </c>
      <c r="BA297" s="52" t="str">
        <f t="shared" si="247"/>
        <v/>
      </c>
      <c r="BB297" s="73" t="str">
        <f>IF(AV297&amp;AW297="","",MAX(BB$12:BB296)+1)</f>
        <v/>
      </c>
      <c r="BC297" s="268" t="str">
        <f t="shared" si="248"/>
        <v/>
      </c>
      <c r="BD297" s="53" t="str">
        <f>IF(AND(AM297="NEMA",AN297="NEMA",OR(AV297&amp;AW297="",BC297="NEMA")),MAX(BD$12:BD296)+1,"")</f>
        <v/>
      </c>
      <c r="BE297" s="47" t="s">
        <v>0</v>
      </c>
      <c r="BF297" s="52" t="str">
        <f t="shared" si="249"/>
        <v>Sabina</v>
      </c>
      <c r="BG297" s="31" t="str">
        <f t="shared" si="250"/>
        <v>Seražin Korper</v>
      </c>
      <c r="BH297" s="73" t="str">
        <f t="shared" si="276"/>
        <v/>
      </c>
      <c r="BI297" s="53">
        <f t="shared" si="277"/>
        <v>1381</v>
      </c>
      <c r="BJ297" s="47" t="s">
        <v>0</v>
      </c>
      <c r="BK297" s="52" t="str">
        <f t="shared" si="251"/>
        <v>OK Jelen</v>
      </c>
      <c r="BL297" s="31" t="str">
        <f t="shared" si="252"/>
        <v>OK Jelen</v>
      </c>
      <c r="BM297" s="73">
        <f t="shared" si="253"/>
        <v>4</v>
      </c>
      <c r="BN297" s="73" t="str">
        <f t="shared" si="254"/>
        <v/>
      </c>
      <c r="BO297" s="31" t="str" cm="1">
        <f t="array" ref="BO297">IF(BN297="",""&amp;BL297,IF(BN297="NEMA",BL297,INDEX(regKlub_naziv,MATCH(INDEX(regKlub_alias_klubId,BN297),regKlub_id,0))))</f>
        <v>OK Jelen</v>
      </c>
      <c r="BP297" s="31" t="str" cm="1">
        <f t="array" ref="BP297">IFERROR(""&amp;INDEX(regNatjecatelj_klub,DY297),"")</f>
        <v>OK Jelen</v>
      </c>
      <c r="BQ297" s="88" t="str">
        <f t="shared" si="278"/>
        <v/>
      </c>
      <c r="BR297" s="66" t="str">
        <f t="shared" si="279"/>
        <v>OK Jelen</v>
      </c>
      <c r="BS297" s="47" t="s">
        <v>0</v>
      </c>
      <c r="BT297" s="82" t="str">
        <f>IF(BN297&lt;&gt;"NEMA","",IF(IFERROR(MATCH(BL297,BL$12:BL296,0),0)&lt;&gt;0,"",BL297))</f>
        <v/>
      </c>
      <c r="BU297" s="47" t="s">
        <v>0</v>
      </c>
      <c r="BV297" s="125"/>
      <c r="BW297" s="47" t="s">
        <v>0</v>
      </c>
      <c r="BX297" s="58" t="str">
        <f t="shared" si="280"/>
        <v/>
      </c>
      <c r="BY297" s="31" t="str">
        <f t="shared" si="281"/>
        <v/>
      </c>
      <c r="BZ297" s="31" t="str">
        <f>IF(BY297="","",MAX(BZ$12:BZ296)+1)</f>
        <v/>
      </c>
      <c r="CA297" s="31" t="str">
        <f>IF(BY297="","",IF(AA297="","",IF(AA297="NEMA",AC297,AA297)))</f>
        <v/>
      </c>
      <c r="CB297" s="31" t="str">
        <f t="shared" si="282"/>
        <v/>
      </c>
      <c r="CC297" s="31" t="str">
        <f>IF(BV297="","",MAX(CC$12:CC296)+1)</f>
        <v/>
      </c>
      <c r="CD297" s="31" t="str">
        <f t="shared" si="283"/>
        <v/>
      </c>
      <c r="CE297" s="66" t="str">
        <f t="shared" si="284"/>
        <v/>
      </c>
      <c r="CF297" s="47" t="s">
        <v>0</v>
      </c>
      <c r="CG297" s="73" t="str">
        <f>IF(BN297="","",IF(BN297&lt;&gt;"NEMA","",IFERROR(INDEX(nat_klubAliasId,MATCH(BL297,nat_noviKluboviAliasi,0)),"")))</f>
        <v/>
      </c>
      <c r="CH297" s="47"/>
      <c r="CI297" s="19" t="str">
        <f t="shared" si="285"/>
        <v/>
      </c>
      <c r="CJ297" s="47" t="s">
        <v>0</v>
      </c>
      <c r="CK297" s="52" t="str">
        <f>IF(X297&lt;&gt;"NEMA","",IF(IFERROR(MATCH(W297,W$12:W296,0),0)&lt;&gt;0,"",W297))</f>
        <v/>
      </c>
      <c r="CL297" s="73" t="str">
        <f>IF(CK297="","",IFERROR(INDEX(regKlub_alias_id,MATCH(CK297,regKlub_alias_alias,0)),"NEMA"))</f>
        <v/>
      </c>
      <c r="CM297" s="31" t="str">
        <f>IF(OR(CL297="",CL297&lt;&gt;"NEMA"),"",MAX(CM$12:CM296)+1)</f>
        <v/>
      </c>
      <c r="CN297" s="66" t="str">
        <f>IF(OR(CL297="",CL297&lt;&gt;"NEMA"),"",INDEX(regKlub_id,MATCH(CK297,regKlub_naziv,0)))</f>
        <v/>
      </c>
      <c r="CO297" s="47" t="s">
        <v>0</v>
      </c>
      <c r="CP297" s="19" t="str">
        <f>IF(OR(CL297="",CL297&lt;&gt;"NEMA"),"","INSERT INTO klub_alias(id,alias,klub_id) VALUES ("&amp;CM297&amp;",'"&amp;CK297&amp;"',"&amp;CN297&amp;");")</f>
        <v/>
      </c>
      <c r="CQ297" s="47" t="s">
        <v>0</v>
      </c>
      <c r="CR297" s="143" t="str">
        <f>IF(BR297="","",IF(BV297="",IF(IFERROR(MATCH(BR297,nat_noviKluboviAliasi,0),0)&gt;0,INDEX(nat_kluboviAliasi,MATCH(BR297,nat_noviKluboviAliasi,0)),BR297),BV297))</f>
        <v>OK Jelen</v>
      </c>
      <c r="CS297" s="47" t="s">
        <v>0</v>
      </c>
      <c r="CT297" s="58" t="str">
        <f>IF(G297="","",G297)</f>
        <v>60:22</v>
      </c>
      <c r="CU297" s="73" t="str">
        <f>IF(H297="","",H297)</f>
        <v>0</v>
      </c>
      <c r="CV297" s="229" t="str">
        <f>IF(CT297="",IF(OR(AL297="",CU297&lt;&gt;"0"),"","GREŠKA"),IF(AND(65535&gt;=VALUE(LEFT(CT297,SEARCH(":",CT297)-1))*60+VALUE(RIGHT(CT297,2)),OR(CU297="0",CU297="1",CU297="2",CU297="3",CU297="4")),"","GREŠKA"))</f>
        <v/>
      </c>
      <c r="CW297" s="230">
        <f t="shared" si="239"/>
        <v>3622</v>
      </c>
      <c r="CX297" s="163">
        <f t="shared" si="255"/>
        <v>1</v>
      </c>
      <c r="CY297" s="47" t="s">
        <v>0</v>
      </c>
      <c r="CZ297" s="222" t="str">
        <f>IF(CV297&lt;&gt;"GREŠKA","",AK297&amp;" "&amp;AL297&amp;" – Molim u OEventu provjeriti i ispraviti rezultat – vrijeme ("&amp;IF(CT297="","nije upisano",CT297)&amp;") i classifier ("&amp;CU297&amp;").")&amp;IF(OR(CV297&lt;&gt;"GREŠKA",CX297&lt;&gt;5),"
","")&amp;IF(CX297&lt;&gt;5,"",AK297&amp;" "&amp;AL297&amp;" – Molim u provjeriti je li natjecatelj zaista diskvalificiran. Ako je koje je obrazloženje, ako nije molim u OEventu ispraviti rezultat")</f>
        <v xml:space="preserve">
</v>
      </c>
      <c r="DA297" s="223">
        <f t="shared" si="286"/>
        <v>6</v>
      </c>
      <c r="DB297" s="47" t="s">
        <v>0</v>
      </c>
      <c r="DC297" s="47"/>
      <c r="DD297" s="47"/>
      <c r="DE297" s="47"/>
      <c r="DF297" s="47" t="s">
        <v>0</v>
      </c>
      <c r="DG297" s="53" t="str">
        <f>IF(BD297="","",IF(DI297="O",1,""))</f>
        <v/>
      </c>
      <c r="DH297" t="s">
        <v>0</v>
      </c>
      <c r="DI297" s="128" t="str">
        <f>IF(Q297="","",LEFT(INDEX(regKategorija_oznaka,MATCH(S297,regKategorija_id,0)),1))</f>
        <v>Ž</v>
      </c>
      <c r="DJ297" t="s">
        <v>0</v>
      </c>
      <c r="DK297" s="52" t="str">
        <f>IF(BD297="","",IF(M297&lt;&gt;"CRO","","INSERT INTO osoba (id,reg_broj,oib,spol_id,dat_rodjenja) VALUES ("&amp;BD297&amp;",(SELECT max(os.reg_broj)+1 FROM osoba AS os),Null,'"&amp;DI297&amp;"',Null); INSERT INTO osoba_log (id,reg_broj,oib,spol_id,dat_rodjenja,dnevnik_id) SELECT id,reg_broj,oib,spol_id,dat_rodjenja,"&amp;data_dnevnik_id&amp;" FROM osoba WHERE id = "&amp;BD297&amp;";"))</f>
        <v/>
      </c>
      <c r="DL297" s="66" t="str">
        <f>IF(BD297="","","INSERT INTO imeprezime (id,osoba_id,rbr,ime,prezime,klub_id,identitet_id,sintaksa_id,info,aktivno,dnevnik_id) VALUES ("&amp;BD297&amp;","&amp;IF(DK297="","Null",BD297)&amp;",1,'"&amp;IF(AV297&lt;&gt;"",AV297,AK297)&amp;"','"&amp;IF(AW297&lt;&gt;"",AW297,AL297)&amp;"',(SELECT id FROM klub WHERE naziv = '"&amp;CR297&amp;"'),Null,1,'',1,"&amp;data_dnevnik_id&amp;");")</f>
        <v/>
      </c>
      <c r="DM297" t="s">
        <v>0</v>
      </c>
      <c r="DN297" s="19" t="str">
        <f t="shared" si="294"/>
        <v/>
      </c>
      <c r="DO297" s="47" t="s">
        <v>0</v>
      </c>
      <c r="DP297" s="19" t="str">
        <f>IF(BA297="","","INSERT INTO imeprezime_alias(id,alias,imeprezime_id) VALUES ("&amp;BB297&amp;",'"&amp;BA297&amp;"',"&amp;IF(BC297="NEMA",BD297,BC297)&amp;");")</f>
        <v/>
      </c>
      <c r="DQ297" s="47" t="s">
        <v>0</v>
      </c>
      <c r="DR297" s="52" t="str">
        <f>IF(AL297="","",DU297 &amp; IF(Q297="",""," – " &amp; Q297))</f>
        <v>Sabina – Seražin Korper – OK Jelen – Ž35</v>
      </c>
      <c r="DS297" s="53">
        <f t="shared" si="256"/>
        <v>190</v>
      </c>
      <c r="DT297" s="47" t="s">
        <v>0</v>
      </c>
      <c r="DU297" s="52" t="str">
        <f>IF(AL297="","",DX297 &amp; IF(CR297="",""," – " &amp; CR297))</f>
        <v>Sabina – Seražin Korper – OK Jelen</v>
      </c>
      <c r="DV297" s="53">
        <f t="shared" si="257"/>
        <v>190</v>
      </c>
      <c r="DW297" s="47" t="s">
        <v>0</v>
      </c>
      <c r="DX297" s="52" t="str">
        <f>IF(BG297="","",BF297&amp;" – "&amp;BG297)</f>
        <v>Sabina – Seražin Korper</v>
      </c>
      <c r="DY297" s="53">
        <f t="shared" si="258"/>
        <v>190</v>
      </c>
      <c r="DZ297" s="47" t="s">
        <v>0</v>
      </c>
      <c r="EA297" s="58">
        <f t="shared" si="287"/>
        <v>190</v>
      </c>
      <c r="EB297" s="53" cm="1">
        <f t="array" ref="EB297">IF(EA297&lt;&gt;"",INDEX(regNatjecatelj_id,EA297,0),IF(BD297&lt;&gt;"",BD297,""))</f>
        <v>1381</v>
      </c>
      <c r="EC297" s="47" t="s">
        <v>0</v>
      </c>
      <c r="ED297" s="58" t="str">
        <f>IF(AL297="","",IF(BD297&lt;&gt;"","novo",IF(AN297="","imepre","imepre(ali)")))</f>
        <v>imepre</v>
      </c>
      <c r="EE297" s="73" t="str">
        <f>IF(AL297="","",IF(BL297="",IF(IFERROR(INDEX(regNatjecatelj_klub,MATCH(EB297,regNatjecatelj_id,0)),"NEMA")="","klu",""),IF(OR(AND(BN297&lt;&gt;"",BN297&lt;&gt;"NEMA"),CD297&lt;&gt;""),"klu(ali)",IF(AND(BP297&lt;&gt;"",BP297&lt;&gt;BO297),"(raz-klu)","klu"))))</f>
        <v>klu</v>
      </c>
      <c r="EF297" s="73" t="str">
        <f>IF(AL297="","","kat"&amp;IF(AND(W297&lt;&gt;Q297,Q297&lt;&gt;"Open"),"(ali)",""))</f>
        <v>kat</v>
      </c>
      <c r="EG297" s="73" t="str">
        <f t="shared" si="259"/>
        <v/>
      </c>
      <c r="EH297" s="66" t="str">
        <f>IF(AL297="","",ED297&amp;IF(ED297="novo","","-"&amp;EE297&amp;"-"&amp;EF297)&amp;IF(EG297="","","-"&amp;EG297))</f>
        <v>imepre-klu-kat</v>
      </c>
      <c r="EI297" s="47" t="s">
        <v>0</v>
      </c>
      <c r="EJ297" s="58">
        <f>IF(AL297="","",MAX(EJ$12:EJ296)+1)</f>
        <v>447</v>
      </c>
      <c r="EK297" s="73">
        <f>IF(AO297="","",X297)</f>
        <v>41</v>
      </c>
      <c r="EL297" s="73">
        <f t="shared" si="288"/>
        <v>1381</v>
      </c>
      <c r="EM297" s="73">
        <f t="shared" si="260"/>
        <v>3622</v>
      </c>
      <c r="EN297" s="73">
        <f t="shared" si="261"/>
        <v>1</v>
      </c>
      <c r="EO297" s="73">
        <f t="shared" si="289"/>
        <v>1</v>
      </c>
      <c r="EP297" s="73">
        <f t="shared" si="290"/>
        <v>1</v>
      </c>
      <c r="EQ297" s="73" t="str">
        <f t="shared" si="262"/>
        <v>0</v>
      </c>
      <c r="ER297" s="73" t="str">
        <f>IF(OR(AN297="",AN297="NEMA"),BB297,AN297)</f>
        <v/>
      </c>
      <c r="ES297" s="73" t="str">
        <f>IF(AND(BN297&lt;&gt;"",BN297&lt;&gt;"NEMA"),BN297,IF(CG297&lt;&gt;"",CG297,IF(AND(CL297&lt;&gt;"",CL297&lt;&gt;"NEMA"),CL297,IF(CM297&lt;&gt;"",CM297,""))))</f>
        <v/>
      </c>
      <c r="ET297" s="53" t="str">
        <f>IF(INDEX(natKategorija_alias_Id,MATCH(S297,natKategorija_katRegId,0))="","",INDEX(natKategorija_alias_Id,MATCH(S297,natKategorija_katRegId,0)))</f>
        <v/>
      </c>
      <c r="EU297" s="47" t="s">
        <v>0</v>
      </c>
      <c r="EV297" s="19" t="str">
        <f t="shared" si="291"/>
        <v>INSERT INTO rezultat(id,stazakategorija_id,imeprezime_id,vrijeme_sec,status_id,registracija,uparivanje_id,originalstatus_id,imeprezimealias_id,klubalias_id,kategorijaalias_id) VALUES (447,41,1381,3622,1,1,1,0,Null,Null,Null);</v>
      </c>
      <c r="EW297" s="47" t="s">
        <v>0</v>
      </c>
      <c r="EX297" s="19" t="str">
        <f t="shared" si="292"/>
        <v>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7" s="47" t="s">
        <v>0</v>
      </c>
      <c r="EZ297" s="180" t="str">
        <f>AG297&amp;IF(CP297="","","
")&amp;CP297&amp;IF(CI297="","","
")&amp;CI297&amp;IF(DN297="","","
")&amp;DN297&amp;IF(DP297="","","
")&amp;DP297&amp;IF(EV297="","","
")&amp;EV297&amp;IF(EX297="","","
")&amp;EX297</f>
        <v xml:space="preserve">
INSERT INTO rezultat(id,stazakategorija_id,imeprezime_id,vrijeme_sec,status_id,registracija,uparivanje_id,originalstatus_id,imeprezimealias_id,klubalias_id,kategorijaalias_id) VALUES (447,41,1381,3622,1,1,1,0,Null,Null,Null);
UPDATE
	registar
SET
	potvrda = 1
WHERE
	imeprezime_id=1381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7" s="47" t="s">
        <v>0</v>
      </c>
    </row>
    <row r="298" spans="1:157" x14ac:dyDescent="0.25">
      <c r="A298" t="s">
        <v>0</v>
      </c>
      <c r="B298" s="52" t="str">
        <f>IF(csv!F288="","",csv!T288)</f>
        <v>Ž35</v>
      </c>
      <c r="C298" s="31" t="s">
        <v>0</v>
      </c>
      <c r="D298" s="31" t="str">
        <f>IF(csv!F288="","",csv!F288)</f>
        <v>Monika</v>
      </c>
      <c r="E298" s="31" t="str">
        <f>IF(csv!E288="","",csv!E288)</f>
        <v>Kovaljesko</v>
      </c>
      <c r="F298" s="31" t="s">
        <v>0</v>
      </c>
      <c r="G298" s="73" t="str">
        <f>IF(csv!M288="","",csv!M288)</f>
        <v>60:50</v>
      </c>
      <c r="H298" s="73" t="str">
        <f>IF(csv!N288="","",csv!N288)</f>
        <v>0</v>
      </c>
      <c r="I298" s="31" t="s">
        <v>0</v>
      </c>
      <c r="J298" s="31" t="str">
        <f>IF(csv!P288="","",csv!P288)</f>
        <v>KAP</v>
      </c>
      <c r="K298" s="31" t="str">
        <f>IF(csv!Q288="","",csv!Q288)</f>
        <v>OK Kapela</v>
      </c>
      <c r="L298" s="31" t="s">
        <v>0</v>
      </c>
      <c r="M298" s="66" t="str">
        <f>IF(csv!R288="","",csv!R288)</f>
        <v>CRO</v>
      </c>
      <c r="N298" s="47" t="s">
        <v>0</v>
      </c>
      <c r="O298" s="243" t="str">
        <f t="shared" si="263"/>
        <v>ok</v>
      </c>
      <c r="P298" s="47"/>
      <c r="Q298" s="52" t="str">
        <f t="shared" si="264"/>
        <v>Ž35</v>
      </c>
      <c r="R298" s="73">
        <f>IF(Q298="","",IF(COUNTIF(Q$12:Q297,Q298)=0,R297+1,R297))</f>
        <v>19</v>
      </c>
      <c r="S298" s="73">
        <f t="shared" si="265"/>
        <v>117</v>
      </c>
      <c r="T298" s="73">
        <f t="shared" si="240"/>
        <v>26</v>
      </c>
      <c r="U298" s="66" t="str">
        <f t="shared" si="241"/>
        <v>Ž35</v>
      </c>
      <c r="V298" s="47" t="s">
        <v>0</v>
      </c>
      <c r="W298" s="222" t="str">
        <f t="shared" si="242"/>
        <v>Ž35</v>
      </c>
      <c r="X298" s="223">
        <f t="shared" si="243"/>
        <v>41</v>
      </c>
      <c r="Y298" s="47" t="s">
        <v>0</v>
      </c>
      <c r="Z298" s="52" t="str">
        <f t="shared" si="266"/>
        <v>CRO</v>
      </c>
      <c r="AA298" s="73">
        <f t="shared" si="244"/>
        <v>1</v>
      </c>
      <c r="AB298" s="31" t="str">
        <f t="shared" si="267"/>
        <v/>
      </c>
      <c r="AC298" s="66" t="str">
        <f>IF(AB298="","",MAX(AC$12:AC297)+1)</f>
        <v/>
      </c>
      <c r="AD298" s="47" t="s">
        <v>0</v>
      </c>
      <c r="AE298" s="125"/>
      <c r="AF298" s="47" t="s">
        <v>0</v>
      </c>
      <c r="AG298" s="19" t="str">
        <f t="shared" si="268"/>
        <v/>
      </c>
      <c r="AH298" s="47" t="s">
        <v>0</v>
      </c>
      <c r="AI298" s="143" t="str">
        <f t="shared" si="269"/>
        <v>CRO</v>
      </c>
      <c r="AJ298" s="47"/>
      <c r="AK298" s="52" t="str">
        <f t="shared" si="270"/>
        <v>Monika</v>
      </c>
      <c r="AL298" s="31" t="str">
        <f t="shared" si="271"/>
        <v>Kovaljesko</v>
      </c>
      <c r="AM298" s="73">
        <f t="shared" si="272"/>
        <v>1541</v>
      </c>
      <c r="AN298" s="73" t="str">
        <f t="shared" si="273"/>
        <v/>
      </c>
      <c r="AO298" s="31" t="str">
        <f t="shared" si="245"/>
        <v>Monika</v>
      </c>
      <c r="AP298" s="66" t="str">
        <f t="shared" si="246"/>
        <v>Kovaljesko</v>
      </c>
      <c r="AQ298" s="47" t="s">
        <v>0</v>
      </c>
      <c r="AR298" s="82" t="str">
        <f t="shared" si="274"/>
        <v/>
      </c>
      <c r="AS298" s="47" t="s">
        <v>0</v>
      </c>
      <c r="AT298" s="19" t="str">
        <f t="shared" si="275"/>
        <v/>
      </c>
      <c r="AU298" s="47" t="s">
        <v>0</v>
      </c>
      <c r="AV298" s="103"/>
      <c r="AW298" s="105"/>
      <c r="AX298" s="47" t="s">
        <v>0</v>
      </c>
      <c r="AY298" s="256" t="str">
        <f t="shared" si="293"/>
        <v/>
      </c>
      <c r="AZ298" s="47" t="s">
        <v>0</v>
      </c>
      <c r="BA298" s="52" t="str">
        <f t="shared" si="247"/>
        <v/>
      </c>
      <c r="BB298" s="73" t="str">
        <f>IF(AV298&amp;AW298="","",MAX(BB$12:BB297)+1)</f>
        <v/>
      </c>
      <c r="BC298" s="268" t="str">
        <f t="shared" si="248"/>
        <v/>
      </c>
      <c r="BD298" s="53" t="str">
        <f>IF(AND(AM298="NEMA",AN298="NEMA",OR(AV298&amp;AW298="",BC298="NEMA")),MAX(BD$12:BD297)+1,"")</f>
        <v/>
      </c>
      <c r="BE298" s="47" t="s">
        <v>0</v>
      </c>
      <c r="BF298" s="52" t="str">
        <f t="shared" si="249"/>
        <v>Monika</v>
      </c>
      <c r="BG298" s="31" t="str">
        <f t="shared" si="250"/>
        <v>Kovaljesko</v>
      </c>
      <c r="BH298" s="73" t="str">
        <f t="shared" si="276"/>
        <v/>
      </c>
      <c r="BI298" s="53">
        <f t="shared" si="277"/>
        <v>1541</v>
      </c>
      <c r="BJ298" s="47" t="s">
        <v>0</v>
      </c>
      <c r="BK298" s="52" t="str">
        <f t="shared" si="251"/>
        <v>KAP</v>
      </c>
      <c r="BL298" s="31" t="str">
        <f t="shared" si="252"/>
        <v>OK Kapela</v>
      </c>
      <c r="BM298" s="73">
        <f t="shared" si="253"/>
        <v>5</v>
      </c>
      <c r="BN298" s="73" t="str">
        <f t="shared" si="254"/>
        <v/>
      </c>
      <c r="BO298" s="31" t="str" cm="1">
        <f t="array" ref="BO298">IF(BN298="",""&amp;BL298,IF(BN298="NEMA",BL298,INDEX(regKlub_naziv,MATCH(INDEX(regKlub_alias_klubId,BN298),regKlub_id,0))))</f>
        <v>OK Kapela</v>
      </c>
      <c r="BP298" s="31" t="str" cm="1">
        <f t="array" ref="BP298">IFERROR(""&amp;INDEX(regNatjecatelj_klub,DY298),"")</f>
        <v>OK Kapela</v>
      </c>
      <c r="BQ298" s="88" t="str">
        <f t="shared" si="278"/>
        <v/>
      </c>
      <c r="BR298" s="66" t="str">
        <f t="shared" si="279"/>
        <v>OK Kapela</v>
      </c>
      <c r="BS298" s="47" t="s">
        <v>0</v>
      </c>
      <c r="BT298" s="82" t="str">
        <f>IF(BN298&lt;&gt;"NEMA","",IF(IFERROR(MATCH(BL298,BL$12:BL297,0),0)&lt;&gt;0,"",BL298))</f>
        <v/>
      </c>
      <c r="BU298" s="47" t="s">
        <v>0</v>
      </c>
      <c r="BV298" s="125"/>
      <c r="BW298" s="47" t="s">
        <v>0</v>
      </c>
      <c r="BX298" s="58" t="str">
        <f t="shared" si="280"/>
        <v/>
      </c>
      <c r="BY298" s="31" t="str">
        <f t="shared" si="281"/>
        <v/>
      </c>
      <c r="BZ298" s="31" t="str">
        <f>IF(BY298="","",MAX(BZ$12:BZ297)+1)</f>
        <v/>
      </c>
      <c r="CA298" s="31" t="str">
        <f>IF(BY298="","",IF(AA298="","",IF(AA298="NEMA",AC298,AA298)))</f>
        <v/>
      </c>
      <c r="CB298" s="31" t="str">
        <f t="shared" si="282"/>
        <v/>
      </c>
      <c r="CC298" s="31" t="str">
        <f>IF(BV298="","",MAX(CC$12:CC297)+1)</f>
        <v/>
      </c>
      <c r="CD298" s="31" t="str">
        <f t="shared" si="283"/>
        <v/>
      </c>
      <c r="CE298" s="66" t="str">
        <f t="shared" si="284"/>
        <v/>
      </c>
      <c r="CF298" s="47" t="s">
        <v>0</v>
      </c>
      <c r="CG298" s="73" t="str">
        <f>IF(BN298="","",IF(BN298&lt;&gt;"NEMA","",IFERROR(INDEX(nat_klubAliasId,MATCH(BL298,nat_noviKluboviAliasi,0)),"")))</f>
        <v/>
      </c>
      <c r="CH298" s="47"/>
      <c r="CI298" s="19" t="str">
        <f t="shared" si="285"/>
        <v/>
      </c>
      <c r="CJ298" s="47" t="s">
        <v>0</v>
      </c>
      <c r="CK298" s="52" t="str">
        <f>IF(X298&lt;&gt;"NEMA","",IF(IFERROR(MATCH(W298,W$12:W297,0),0)&lt;&gt;0,"",W298))</f>
        <v/>
      </c>
      <c r="CL298" s="73" t="str">
        <f>IF(CK298="","",IFERROR(INDEX(regKlub_alias_id,MATCH(CK298,regKlub_alias_alias,0)),"NEMA"))</f>
        <v/>
      </c>
      <c r="CM298" s="31" t="str">
        <f>IF(OR(CL298="",CL298&lt;&gt;"NEMA"),"",MAX(CM$12:CM297)+1)</f>
        <v/>
      </c>
      <c r="CN298" s="66" t="str">
        <f>IF(OR(CL298="",CL298&lt;&gt;"NEMA"),"",INDEX(regKlub_id,MATCH(CK298,regKlub_naziv,0)))</f>
        <v/>
      </c>
      <c r="CO298" s="47" t="s">
        <v>0</v>
      </c>
      <c r="CP298" s="19" t="str">
        <f>IF(OR(CL298="",CL298&lt;&gt;"NEMA"),"","INSERT INTO klub_alias(id,alias,klub_id) VALUES ("&amp;CM298&amp;",'"&amp;CK298&amp;"',"&amp;CN298&amp;");")</f>
        <v/>
      </c>
      <c r="CQ298" s="47" t="s">
        <v>0</v>
      </c>
      <c r="CR298" s="143" t="str">
        <f>IF(BR298="","",IF(BV298="",IF(IFERROR(MATCH(BR298,nat_noviKluboviAliasi,0),0)&gt;0,INDEX(nat_kluboviAliasi,MATCH(BR298,nat_noviKluboviAliasi,0)),BR298),BV298))</f>
        <v>OK Kapela</v>
      </c>
      <c r="CS298" s="47" t="s">
        <v>0</v>
      </c>
      <c r="CT298" s="58" t="str">
        <f>IF(G298="","",G298)</f>
        <v>60:50</v>
      </c>
      <c r="CU298" s="73" t="str">
        <f>IF(H298="","",H298)</f>
        <v>0</v>
      </c>
      <c r="CV298" s="229" t="str">
        <f>IF(CT298="",IF(OR(AL298="",CU298&lt;&gt;"0"),"","GREŠKA"),IF(AND(65535&gt;=VALUE(LEFT(CT298,SEARCH(":",CT298)-1))*60+VALUE(RIGHT(CT298,2)),OR(CU298="0",CU298="1",CU298="2",CU298="3",CU298="4")),"","GREŠKA"))</f>
        <v/>
      </c>
      <c r="CW298" s="230">
        <f t="shared" si="239"/>
        <v>3650</v>
      </c>
      <c r="CX298" s="163">
        <f t="shared" si="255"/>
        <v>1</v>
      </c>
      <c r="CY298" s="47" t="s">
        <v>0</v>
      </c>
      <c r="CZ298" s="222" t="str">
        <f>IF(CV298&lt;&gt;"GREŠKA","",AK298&amp;" "&amp;AL298&amp;" – Molim u OEventu provjeriti i ispraviti rezultat – vrijeme ("&amp;IF(CT298="","nije upisano",CT298)&amp;") i classifier ("&amp;CU298&amp;").")&amp;IF(OR(CV298&lt;&gt;"GREŠKA",CX298&lt;&gt;5),"
","")&amp;IF(CX298&lt;&gt;5,"",AK298&amp;" "&amp;AL298&amp;" – Molim u provjeriti je li natjecatelj zaista diskvalificiran. Ako je koje je obrazloženje, ako nije molim u OEventu ispraviti rezultat")</f>
        <v xml:space="preserve">
</v>
      </c>
      <c r="DA298" s="223">
        <f t="shared" si="286"/>
        <v>6</v>
      </c>
      <c r="DB298" s="47" t="s">
        <v>0</v>
      </c>
      <c r="DC298" s="47"/>
      <c r="DD298" s="47"/>
      <c r="DE298" s="47"/>
      <c r="DF298" s="47" t="s">
        <v>0</v>
      </c>
      <c r="DG298" s="53" t="str">
        <f>IF(BD298="","",IF(DI298="O",1,""))</f>
        <v/>
      </c>
      <c r="DH298" t="s">
        <v>0</v>
      </c>
      <c r="DI298" s="128" t="str">
        <f>IF(Q298="","",LEFT(INDEX(regKategorija_oznaka,MATCH(S298,regKategorija_id,0)),1))</f>
        <v>Ž</v>
      </c>
      <c r="DJ298" t="s">
        <v>0</v>
      </c>
      <c r="DK298" s="52" t="str">
        <f>IF(BD298="","",IF(M298&lt;&gt;"CRO","","INSERT INTO osoba (id,reg_broj,oib,spol_id,dat_rodjenja) VALUES ("&amp;BD298&amp;",(SELECT max(os.reg_broj)+1 FROM osoba AS os),Null,'"&amp;DI298&amp;"',Null); INSERT INTO osoba_log (id,reg_broj,oib,spol_id,dat_rodjenja,dnevnik_id) SELECT id,reg_broj,oib,spol_id,dat_rodjenja,"&amp;data_dnevnik_id&amp;" FROM osoba WHERE id = "&amp;BD298&amp;";"))</f>
        <v/>
      </c>
      <c r="DL298" s="66" t="str">
        <f>IF(BD298="","","INSERT INTO imeprezime (id,osoba_id,rbr,ime,prezime,klub_id,identitet_id,sintaksa_id,info,aktivno,dnevnik_id) VALUES ("&amp;BD298&amp;","&amp;IF(DK298="","Null",BD298)&amp;",1,'"&amp;IF(AV298&lt;&gt;"",AV298,AK298)&amp;"','"&amp;IF(AW298&lt;&gt;"",AW298,AL298)&amp;"',(SELECT id FROM klub WHERE naziv = '"&amp;CR298&amp;"'),Null,1,'',1,"&amp;data_dnevnik_id&amp;");")</f>
        <v/>
      </c>
      <c r="DM298" t="s">
        <v>0</v>
      </c>
      <c r="DN298" s="19" t="str">
        <f t="shared" si="294"/>
        <v/>
      </c>
      <c r="DO298" s="47" t="s">
        <v>0</v>
      </c>
      <c r="DP298" s="19" t="str">
        <f>IF(BA298="","","INSERT INTO imeprezime_alias(id,alias,imeprezime_id) VALUES ("&amp;BB298&amp;",'"&amp;BA298&amp;"',"&amp;IF(BC298="NEMA",BD298,BC298)&amp;");")</f>
        <v/>
      </c>
      <c r="DQ298" s="47" t="s">
        <v>0</v>
      </c>
      <c r="DR298" s="52" t="str">
        <f>IF(AL298="","",DU298 &amp; IF(Q298="",""," – " &amp; Q298))</f>
        <v>Monika – Kovaljesko – OK Kapela – Ž35</v>
      </c>
      <c r="DS298" s="53">
        <f t="shared" si="256"/>
        <v>270</v>
      </c>
      <c r="DT298" s="47" t="s">
        <v>0</v>
      </c>
      <c r="DU298" s="52" t="str">
        <f>IF(AL298="","",DX298 &amp; IF(CR298="",""," – " &amp; CR298))</f>
        <v>Monika – Kovaljesko – OK Kapela</v>
      </c>
      <c r="DV298" s="53">
        <f t="shared" si="257"/>
        <v>270</v>
      </c>
      <c r="DW298" s="47" t="s">
        <v>0</v>
      </c>
      <c r="DX298" s="52" t="str">
        <f>IF(BG298="","",BF298&amp;" – "&amp;BG298)</f>
        <v>Monika – Kovaljesko</v>
      </c>
      <c r="DY298" s="53">
        <f t="shared" si="258"/>
        <v>270</v>
      </c>
      <c r="DZ298" s="47" t="s">
        <v>0</v>
      </c>
      <c r="EA298" s="58">
        <f t="shared" si="287"/>
        <v>270</v>
      </c>
      <c r="EB298" s="53" cm="1">
        <f t="array" ref="EB298">IF(EA298&lt;&gt;"",INDEX(regNatjecatelj_id,EA298,0),IF(BD298&lt;&gt;"",BD298,""))</f>
        <v>1541</v>
      </c>
      <c r="EC298" s="47" t="s">
        <v>0</v>
      </c>
      <c r="ED298" s="58" t="str">
        <f>IF(AL298="","",IF(BD298&lt;&gt;"","novo",IF(AN298="","imepre","imepre(ali)")))</f>
        <v>imepre</v>
      </c>
      <c r="EE298" s="73" t="str">
        <f>IF(AL298="","",IF(BL298="",IF(IFERROR(INDEX(regNatjecatelj_klub,MATCH(EB298,regNatjecatelj_id,0)),"NEMA")="","klu",""),IF(OR(AND(BN298&lt;&gt;"",BN298&lt;&gt;"NEMA"),CD298&lt;&gt;""),"klu(ali)",IF(AND(BP298&lt;&gt;"",BP298&lt;&gt;BO298),"(raz-klu)","klu"))))</f>
        <v>klu</v>
      </c>
      <c r="EF298" s="73" t="str">
        <f>IF(AL298="","","kat"&amp;IF(AND(W298&lt;&gt;Q298,Q298&lt;&gt;"Open"),"(ali)",""))</f>
        <v>kat</v>
      </c>
      <c r="EG298" s="73" t="str">
        <f t="shared" si="259"/>
        <v/>
      </c>
      <c r="EH298" s="66" t="str">
        <f>IF(AL298="","",ED298&amp;IF(ED298="novo","","-"&amp;EE298&amp;"-"&amp;EF298)&amp;IF(EG298="","","-"&amp;EG298))</f>
        <v>imepre-klu-kat</v>
      </c>
      <c r="EI298" s="47" t="s">
        <v>0</v>
      </c>
      <c r="EJ298" s="58">
        <f>IF(AL298="","",MAX(EJ$12:EJ297)+1)</f>
        <v>448</v>
      </c>
      <c r="EK298" s="73">
        <f>IF(AO298="","",X298)</f>
        <v>41</v>
      </c>
      <c r="EL298" s="73">
        <f t="shared" si="288"/>
        <v>1541</v>
      </c>
      <c r="EM298" s="73">
        <f t="shared" si="260"/>
        <v>3650</v>
      </c>
      <c r="EN298" s="73">
        <f t="shared" si="261"/>
        <v>1</v>
      </c>
      <c r="EO298" s="73">
        <f t="shared" si="289"/>
        <v>1</v>
      </c>
      <c r="EP298" s="73">
        <f t="shared" si="290"/>
        <v>1</v>
      </c>
      <c r="EQ298" s="73" t="str">
        <f t="shared" si="262"/>
        <v>0</v>
      </c>
      <c r="ER298" s="73" t="str">
        <f>IF(OR(AN298="",AN298="NEMA"),BB298,AN298)</f>
        <v/>
      </c>
      <c r="ES298" s="73" t="str">
        <f>IF(AND(BN298&lt;&gt;"",BN298&lt;&gt;"NEMA"),BN298,IF(CG298&lt;&gt;"",CG298,IF(AND(CL298&lt;&gt;"",CL298&lt;&gt;"NEMA"),CL298,IF(CM298&lt;&gt;"",CM298,""))))</f>
        <v/>
      </c>
      <c r="ET298" s="53" t="str">
        <f>IF(INDEX(natKategorija_alias_Id,MATCH(S298,natKategorija_katRegId,0))="","",INDEX(natKategorija_alias_Id,MATCH(S298,natKategorija_katRegId,0)))</f>
        <v/>
      </c>
      <c r="EU298" s="47" t="s">
        <v>0</v>
      </c>
      <c r="EV298" s="19" t="str">
        <f t="shared" si="291"/>
        <v>INSERT INTO rezultat(id,stazakategorija_id,imeprezime_id,vrijeme_sec,status_id,registracija,uparivanje_id,originalstatus_id,imeprezimealias_id,klubalias_id,kategorijaalias_id) VALUES (448,41,1541,3650,1,1,1,0,Null,Null,Null);</v>
      </c>
      <c r="EW298" s="47" t="s">
        <v>0</v>
      </c>
      <c r="EX298" s="19" t="str">
        <f t="shared" si="292"/>
        <v>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8" s="47" t="s">
        <v>0</v>
      </c>
      <c r="EZ298" s="180" t="str">
        <f>AG298&amp;IF(CP298="","","
")&amp;CP298&amp;IF(CI298="","","
")&amp;CI298&amp;IF(DN298="","","
")&amp;DN298&amp;IF(DP298="","","
")&amp;DP298&amp;IF(EV298="","","
")&amp;EV298&amp;IF(EX298="","","
")&amp;EX298</f>
        <v xml:space="preserve">
INSERT INTO rezultat(id,stazakategorija_id,imeprezime_id,vrijeme_sec,status_id,registracija,uparivanje_id,originalstatus_id,imeprezimealias_id,klubalias_id,kategorijaalias_id) VALUES (448,41,1541,3650,1,1,1,0,Null,Null,Null);
UPDATE
	registar
SET
	potvrda = 1
WHERE
	imeprezime_id=1541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8" s="47" t="s">
        <v>0</v>
      </c>
    </row>
    <row r="299" spans="1:157" x14ac:dyDescent="0.25">
      <c r="A299" t="s">
        <v>0</v>
      </c>
      <c r="B299" s="52" t="str">
        <f>IF(csv!F289="","",csv!T289)</f>
        <v>Ž35</v>
      </c>
      <c r="C299" s="31" t="s">
        <v>0</v>
      </c>
      <c r="D299" s="31" t="str">
        <f>IF(csv!F289="","",csv!F289)</f>
        <v>Vlatka</v>
      </c>
      <c r="E299" s="31" t="str">
        <f>IF(csv!E289="","",csv!E289)</f>
        <v>Stupalo</v>
      </c>
      <c r="F299" s="31" t="s">
        <v>0</v>
      </c>
      <c r="G299" s="73" t="str">
        <f>IF(csv!M289="","",csv!M289)</f>
        <v>64:07</v>
      </c>
      <c r="H299" s="73" t="str">
        <f>IF(csv!N289="","",csv!N289)</f>
        <v>0</v>
      </c>
      <c r="I299" s="31" t="s">
        <v>0</v>
      </c>
      <c r="J299" s="31" t="str">
        <f>IF(csv!P289="","",csv!P289)</f>
        <v>Vihor</v>
      </c>
      <c r="K299" s="31" t="str">
        <f>IF(csv!Q289="","",csv!Q289)</f>
        <v>OK Vihor</v>
      </c>
      <c r="L299" s="31" t="s">
        <v>0</v>
      </c>
      <c r="M299" s="66" t="str">
        <f>IF(csv!R289="","",csv!R289)</f>
        <v>CRO</v>
      </c>
      <c r="N299" s="47" t="s">
        <v>0</v>
      </c>
      <c r="O299" s="243" t="str">
        <f t="shared" si="263"/>
        <v>ok</v>
      </c>
      <c r="P299" s="47"/>
      <c r="Q299" s="52" t="str">
        <f t="shared" si="264"/>
        <v>Ž35</v>
      </c>
      <c r="R299" s="73">
        <f>IF(Q299="","",IF(COUNTIF(Q$12:Q298,Q299)=0,R298+1,R298))</f>
        <v>19</v>
      </c>
      <c r="S299" s="73">
        <f t="shared" si="265"/>
        <v>117</v>
      </c>
      <c r="T299" s="73">
        <f t="shared" si="240"/>
        <v>26</v>
      </c>
      <c r="U299" s="66" t="str">
        <f t="shared" si="241"/>
        <v>Ž35</v>
      </c>
      <c r="V299" s="47" t="s">
        <v>0</v>
      </c>
      <c r="W299" s="222" t="str">
        <f t="shared" si="242"/>
        <v>Ž35</v>
      </c>
      <c r="X299" s="223">
        <f t="shared" si="243"/>
        <v>41</v>
      </c>
      <c r="Y299" s="47" t="s">
        <v>0</v>
      </c>
      <c r="Z299" s="52" t="str">
        <f t="shared" si="266"/>
        <v>CRO</v>
      </c>
      <c r="AA299" s="73">
        <f t="shared" si="244"/>
        <v>1</v>
      </c>
      <c r="AB299" s="31" t="str">
        <f t="shared" si="267"/>
        <v/>
      </c>
      <c r="AC299" s="66" t="str">
        <f>IF(AB299="","",MAX(AC$12:AC298)+1)</f>
        <v/>
      </c>
      <c r="AD299" s="47" t="s">
        <v>0</v>
      </c>
      <c r="AE299" s="125"/>
      <c r="AF299" s="47" t="s">
        <v>0</v>
      </c>
      <c r="AG299" s="19" t="str">
        <f t="shared" si="268"/>
        <v/>
      </c>
      <c r="AH299" s="47" t="s">
        <v>0</v>
      </c>
      <c r="AI299" s="143" t="str">
        <f t="shared" si="269"/>
        <v>CRO</v>
      </c>
      <c r="AJ299" s="47"/>
      <c r="AK299" s="52" t="str">
        <f t="shared" si="270"/>
        <v>Vlatka</v>
      </c>
      <c r="AL299" s="31" t="str">
        <f t="shared" si="271"/>
        <v>Stupalo</v>
      </c>
      <c r="AM299" s="73">
        <f t="shared" si="272"/>
        <v>1262</v>
      </c>
      <c r="AN299" s="73" t="str">
        <f t="shared" si="273"/>
        <v/>
      </c>
      <c r="AO299" s="31" t="str">
        <f t="shared" si="245"/>
        <v>Vlatka</v>
      </c>
      <c r="AP299" s="66" t="str">
        <f t="shared" si="246"/>
        <v>Stupalo</v>
      </c>
      <c r="AQ299" s="47" t="s">
        <v>0</v>
      </c>
      <c r="AR299" s="82" t="str">
        <f t="shared" si="274"/>
        <v/>
      </c>
      <c r="AS299" s="47" t="s">
        <v>0</v>
      </c>
      <c r="AT299" s="19" t="str">
        <f t="shared" si="275"/>
        <v/>
      </c>
      <c r="AU299" s="47" t="s">
        <v>0</v>
      </c>
      <c r="AV299" s="103"/>
      <c r="AW299" s="105"/>
      <c r="AX299" s="47" t="s">
        <v>0</v>
      </c>
      <c r="AY299" s="256" t="str">
        <f t="shared" si="293"/>
        <v/>
      </c>
      <c r="AZ299" s="47" t="s">
        <v>0</v>
      </c>
      <c r="BA299" s="52" t="str">
        <f t="shared" si="247"/>
        <v/>
      </c>
      <c r="BB299" s="73" t="str">
        <f>IF(AV299&amp;AW299="","",MAX(BB$12:BB298)+1)</f>
        <v/>
      </c>
      <c r="BC299" s="268" t="str">
        <f t="shared" si="248"/>
        <v/>
      </c>
      <c r="BD299" s="53" t="str">
        <f>IF(AND(AM299="NEMA",AN299="NEMA",OR(AV299&amp;AW299="",BC299="NEMA")),MAX(BD$12:BD298)+1,"")</f>
        <v/>
      </c>
      <c r="BE299" s="47" t="s">
        <v>0</v>
      </c>
      <c r="BF299" s="52" t="str">
        <f t="shared" si="249"/>
        <v>Vlatka</v>
      </c>
      <c r="BG299" s="31" t="str">
        <f t="shared" si="250"/>
        <v>Stupalo</v>
      </c>
      <c r="BH299" s="73" t="str">
        <f t="shared" si="276"/>
        <v/>
      </c>
      <c r="BI299" s="53">
        <f t="shared" si="277"/>
        <v>1262</v>
      </c>
      <c r="BJ299" s="47" t="s">
        <v>0</v>
      </c>
      <c r="BK299" s="52" t="str">
        <f t="shared" si="251"/>
        <v>Vihor</v>
      </c>
      <c r="BL299" s="31" t="str">
        <f t="shared" si="252"/>
        <v>OK Vihor</v>
      </c>
      <c r="BM299" s="73">
        <f t="shared" si="253"/>
        <v>12</v>
      </c>
      <c r="BN299" s="73" t="str">
        <f t="shared" si="254"/>
        <v/>
      </c>
      <c r="BO299" s="31" t="str" cm="1">
        <f t="array" ref="BO299">IF(BN299="",""&amp;BL299,IF(BN299="NEMA",BL299,INDEX(regKlub_naziv,MATCH(INDEX(regKlub_alias_klubId,BN299),regKlub_id,0))))</f>
        <v>OK Vihor</v>
      </c>
      <c r="BP299" s="31" t="str" cm="1">
        <f t="array" ref="BP299">IFERROR(""&amp;INDEX(regNatjecatelj_klub,DY299),"")</f>
        <v>OK Vihor</v>
      </c>
      <c r="BQ299" s="88" t="str">
        <f t="shared" si="278"/>
        <v/>
      </c>
      <c r="BR299" s="66" t="str">
        <f t="shared" si="279"/>
        <v>OK Vihor</v>
      </c>
      <c r="BS299" s="47" t="s">
        <v>0</v>
      </c>
      <c r="BT299" s="82" t="str">
        <f>IF(BN299&lt;&gt;"NEMA","",IF(IFERROR(MATCH(BL299,BL$12:BL298,0),0)&lt;&gt;0,"",BL299))</f>
        <v/>
      </c>
      <c r="BU299" s="47" t="s">
        <v>0</v>
      </c>
      <c r="BV299" s="125"/>
      <c r="BW299" s="47" t="s">
        <v>0</v>
      </c>
      <c r="BX299" s="58" t="str">
        <f t="shared" si="280"/>
        <v/>
      </c>
      <c r="BY299" s="31" t="str">
        <f t="shared" si="281"/>
        <v/>
      </c>
      <c r="BZ299" s="31" t="str">
        <f>IF(BY299="","",MAX(BZ$12:BZ298)+1)</f>
        <v/>
      </c>
      <c r="CA299" s="31" t="str">
        <f>IF(BY299="","",IF(AA299="","",IF(AA299="NEMA",AC299,AA299)))</f>
        <v/>
      </c>
      <c r="CB299" s="31" t="str">
        <f t="shared" si="282"/>
        <v/>
      </c>
      <c r="CC299" s="31" t="str">
        <f>IF(BV299="","",MAX(CC$12:CC298)+1)</f>
        <v/>
      </c>
      <c r="CD299" s="31" t="str">
        <f t="shared" si="283"/>
        <v/>
      </c>
      <c r="CE299" s="66" t="str">
        <f t="shared" si="284"/>
        <v/>
      </c>
      <c r="CF299" s="47" t="s">
        <v>0</v>
      </c>
      <c r="CG299" s="73" t="str">
        <f>IF(BN299="","",IF(BN299&lt;&gt;"NEMA","",IFERROR(INDEX(nat_klubAliasId,MATCH(BL299,nat_noviKluboviAliasi,0)),"")))</f>
        <v/>
      </c>
      <c r="CH299" s="47"/>
      <c r="CI299" s="19" t="str">
        <f t="shared" si="285"/>
        <v/>
      </c>
      <c r="CJ299" s="47" t="s">
        <v>0</v>
      </c>
      <c r="CK299" s="52" t="str">
        <f>IF(X299&lt;&gt;"NEMA","",IF(IFERROR(MATCH(W299,W$12:W298,0),0)&lt;&gt;0,"",W299))</f>
        <v/>
      </c>
      <c r="CL299" s="73" t="str">
        <f>IF(CK299="","",IFERROR(INDEX(regKlub_alias_id,MATCH(CK299,regKlub_alias_alias,0)),"NEMA"))</f>
        <v/>
      </c>
      <c r="CM299" s="31" t="str">
        <f>IF(OR(CL299="",CL299&lt;&gt;"NEMA"),"",MAX(CM$12:CM298)+1)</f>
        <v/>
      </c>
      <c r="CN299" s="66" t="str">
        <f>IF(OR(CL299="",CL299&lt;&gt;"NEMA"),"",INDEX(regKlub_id,MATCH(CK299,regKlub_naziv,0)))</f>
        <v/>
      </c>
      <c r="CO299" s="47" t="s">
        <v>0</v>
      </c>
      <c r="CP299" s="19" t="str">
        <f>IF(OR(CL299="",CL299&lt;&gt;"NEMA"),"","INSERT INTO klub_alias(id,alias,klub_id) VALUES ("&amp;CM299&amp;",'"&amp;CK299&amp;"',"&amp;CN299&amp;");")</f>
        <v/>
      </c>
      <c r="CQ299" s="47" t="s">
        <v>0</v>
      </c>
      <c r="CR299" s="143" t="str">
        <f>IF(BR299="","",IF(BV299="",IF(IFERROR(MATCH(BR299,nat_noviKluboviAliasi,0),0)&gt;0,INDEX(nat_kluboviAliasi,MATCH(BR299,nat_noviKluboviAliasi,0)),BR299),BV299))</f>
        <v>OK Vihor</v>
      </c>
      <c r="CS299" s="47" t="s">
        <v>0</v>
      </c>
      <c r="CT299" s="58" t="str">
        <f>IF(G299="","",G299)</f>
        <v>64:07</v>
      </c>
      <c r="CU299" s="73" t="str">
        <f>IF(H299="","",H299)</f>
        <v>0</v>
      </c>
      <c r="CV299" s="229" t="str">
        <f>IF(CT299="",IF(OR(AL299="",CU299&lt;&gt;"0"),"","GREŠKA"),IF(AND(65535&gt;=VALUE(LEFT(CT299,SEARCH(":",CT299)-1))*60+VALUE(RIGHT(CT299,2)),OR(CU299="0",CU299="1",CU299="2",CU299="3",CU299="4")),"","GREŠKA"))</f>
        <v/>
      </c>
      <c r="CW299" s="230">
        <f t="shared" si="239"/>
        <v>3847</v>
      </c>
      <c r="CX299" s="163">
        <f t="shared" si="255"/>
        <v>1</v>
      </c>
      <c r="CY299" s="47" t="s">
        <v>0</v>
      </c>
      <c r="CZ299" s="222" t="str">
        <f>IF(CV299&lt;&gt;"GREŠKA","",AK299&amp;" "&amp;AL299&amp;" – Molim u OEventu provjeriti i ispraviti rezultat – vrijeme ("&amp;IF(CT299="","nije upisano",CT299)&amp;") i classifier ("&amp;CU299&amp;").")&amp;IF(OR(CV299&lt;&gt;"GREŠKA",CX299&lt;&gt;5),"
","")&amp;IF(CX299&lt;&gt;5,"",AK299&amp;" "&amp;AL299&amp;" – Molim u provjeriti je li natjecatelj zaista diskvalificiran. Ako je koje je obrazloženje, ako nije molim u OEventu ispraviti rezultat")</f>
        <v xml:space="preserve">
</v>
      </c>
      <c r="DA299" s="223">
        <f t="shared" si="286"/>
        <v>6</v>
      </c>
      <c r="DB299" s="47" t="s">
        <v>0</v>
      </c>
      <c r="DC299" s="47"/>
      <c r="DD299" s="47"/>
      <c r="DE299" s="47"/>
      <c r="DF299" s="47" t="s">
        <v>0</v>
      </c>
      <c r="DG299" s="53" t="str">
        <f>IF(BD299="","",IF(DI299="O",1,""))</f>
        <v/>
      </c>
      <c r="DH299" t="s">
        <v>0</v>
      </c>
      <c r="DI299" s="128" t="str">
        <f>IF(Q299="","",LEFT(INDEX(regKategorija_oznaka,MATCH(S299,regKategorija_id,0)),1))</f>
        <v>Ž</v>
      </c>
      <c r="DJ299" t="s">
        <v>0</v>
      </c>
      <c r="DK299" s="52" t="str">
        <f>IF(BD299="","",IF(M299&lt;&gt;"CRO","","INSERT INTO osoba (id,reg_broj,oib,spol_id,dat_rodjenja) VALUES ("&amp;BD299&amp;",(SELECT max(os.reg_broj)+1 FROM osoba AS os),Null,'"&amp;DI299&amp;"',Null); INSERT INTO osoba_log (id,reg_broj,oib,spol_id,dat_rodjenja,dnevnik_id) SELECT id,reg_broj,oib,spol_id,dat_rodjenja,"&amp;data_dnevnik_id&amp;" FROM osoba WHERE id = "&amp;BD299&amp;";"))</f>
        <v/>
      </c>
      <c r="DL299" s="66" t="str">
        <f>IF(BD299="","","INSERT INTO imeprezime (id,osoba_id,rbr,ime,prezime,klub_id,identitet_id,sintaksa_id,info,aktivno,dnevnik_id) VALUES ("&amp;BD299&amp;","&amp;IF(DK299="","Null",BD299)&amp;",1,'"&amp;IF(AV299&lt;&gt;"",AV299,AK299)&amp;"','"&amp;IF(AW299&lt;&gt;"",AW299,AL299)&amp;"',(SELECT id FROM klub WHERE naziv = '"&amp;CR299&amp;"'),Null,1,'',1,"&amp;data_dnevnik_id&amp;");")</f>
        <v/>
      </c>
      <c r="DM299" t="s">
        <v>0</v>
      </c>
      <c r="DN299" s="19" t="str">
        <f t="shared" si="294"/>
        <v/>
      </c>
      <c r="DO299" s="47" t="s">
        <v>0</v>
      </c>
      <c r="DP299" s="19" t="str">
        <f>IF(BA299="","","INSERT INTO imeprezime_alias(id,alias,imeprezime_id) VALUES ("&amp;BB299&amp;",'"&amp;BA299&amp;"',"&amp;IF(BC299="NEMA",BD299,BC299)&amp;");")</f>
        <v/>
      </c>
      <c r="DQ299" s="47" t="s">
        <v>0</v>
      </c>
      <c r="DR299" s="52" t="str">
        <f>IF(AL299="","",DU299 &amp; IF(Q299="",""," – " &amp; Q299))</f>
        <v>Vlatka – Stupalo – OK Vihor – Ž35</v>
      </c>
      <c r="DS299" s="53">
        <f t="shared" si="256"/>
        <v>913</v>
      </c>
      <c r="DT299" s="47" t="s">
        <v>0</v>
      </c>
      <c r="DU299" s="52" t="str">
        <f>IF(AL299="","",DX299 &amp; IF(CR299="",""," – " &amp; CR299))</f>
        <v>Vlatka – Stupalo – OK Vihor</v>
      </c>
      <c r="DV299" s="53">
        <f t="shared" si="257"/>
        <v>913</v>
      </c>
      <c r="DW299" s="47" t="s">
        <v>0</v>
      </c>
      <c r="DX299" s="52" t="str">
        <f>IF(BG299="","",BF299&amp;" – "&amp;BG299)</f>
        <v>Vlatka – Stupalo</v>
      </c>
      <c r="DY299" s="53">
        <f t="shared" si="258"/>
        <v>913</v>
      </c>
      <c r="DZ299" s="47" t="s">
        <v>0</v>
      </c>
      <c r="EA299" s="58">
        <f t="shared" si="287"/>
        <v>913</v>
      </c>
      <c r="EB299" s="53" cm="1">
        <f t="array" ref="EB299">IF(EA299&lt;&gt;"",INDEX(regNatjecatelj_id,EA299,0),IF(BD299&lt;&gt;"",BD299,""))</f>
        <v>1262</v>
      </c>
      <c r="EC299" s="47" t="s">
        <v>0</v>
      </c>
      <c r="ED299" s="58" t="str">
        <f>IF(AL299="","",IF(BD299&lt;&gt;"","novo",IF(AN299="","imepre","imepre(ali)")))</f>
        <v>imepre</v>
      </c>
      <c r="EE299" s="73" t="str">
        <f>IF(AL299="","",IF(BL299="",IF(IFERROR(INDEX(regNatjecatelj_klub,MATCH(EB299,regNatjecatelj_id,0)),"NEMA")="","klu",""),IF(OR(AND(BN299&lt;&gt;"",BN299&lt;&gt;"NEMA"),CD299&lt;&gt;""),"klu(ali)",IF(AND(BP299&lt;&gt;"",BP299&lt;&gt;BO299),"(raz-klu)","klu"))))</f>
        <v>klu</v>
      </c>
      <c r="EF299" s="73" t="str">
        <f>IF(AL299="","","kat"&amp;IF(AND(W299&lt;&gt;Q299,Q299&lt;&gt;"Open"),"(ali)",""))</f>
        <v>kat</v>
      </c>
      <c r="EG299" s="73" t="str">
        <f t="shared" si="259"/>
        <v/>
      </c>
      <c r="EH299" s="66" t="str">
        <f>IF(AL299="","",ED299&amp;IF(ED299="novo","","-"&amp;EE299&amp;"-"&amp;EF299)&amp;IF(EG299="","","-"&amp;EG299))</f>
        <v>imepre-klu-kat</v>
      </c>
      <c r="EI299" s="47" t="s">
        <v>0</v>
      </c>
      <c r="EJ299" s="58">
        <f>IF(AL299="","",MAX(EJ$12:EJ298)+1)</f>
        <v>449</v>
      </c>
      <c r="EK299" s="73">
        <f>IF(AO299="","",X299)</f>
        <v>41</v>
      </c>
      <c r="EL299" s="73">
        <f t="shared" si="288"/>
        <v>1262</v>
      </c>
      <c r="EM299" s="73">
        <f t="shared" si="260"/>
        <v>3847</v>
      </c>
      <c r="EN299" s="73">
        <f t="shared" si="261"/>
        <v>1</v>
      </c>
      <c r="EO299" s="73">
        <f t="shared" si="289"/>
        <v>1</v>
      </c>
      <c r="EP299" s="73">
        <f t="shared" si="290"/>
        <v>1</v>
      </c>
      <c r="EQ299" s="73" t="str">
        <f t="shared" si="262"/>
        <v>0</v>
      </c>
      <c r="ER299" s="73" t="str">
        <f>IF(OR(AN299="",AN299="NEMA"),BB299,AN299)</f>
        <v/>
      </c>
      <c r="ES299" s="73" t="str">
        <f>IF(AND(BN299&lt;&gt;"",BN299&lt;&gt;"NEMA"),BN299,IF(CG299&lt;&gt;"",CG299,IF(AND(CL299&lt;&gt;"",CL299&lt;&gt;"NEMA"),CL299,IF(CM299&lt;&gt;"",CM299,""))))</f>
        <v/>
      </c>
      <c r="ET299" s="53" t="str">
        <f>IF(INDEX(natKategorija_alias_Id,MATCH(S299,natKategorija_katRegId,0))="","",INDEX(natKategorija_alias_Id,MATCH(S299,natKategorija_katRegId,0)))</f>
        <v/>
      </c>
      <c r="EU299" s="47" t="s">
        <v>0</v>
      </c>
      <c r="EV299" s="19" t="str">
        <f t="shared" si="291"/>
        <v>INSERT INTO rezultat(id,stazakategorija_id,imeprezime_id,vrijeme_sec,status_id,registracija,uparivanje_id,originalstatus_id,imeprezimealias_id,klubalias_id,kategorijaalias_id) VALUES (449,41,1262,3847,1,1,1,0,Null,Null,Null);</v>
      </c>
      <c r="EW299" s="47" t="s">
        <v>0</v>
      </c>
      <c r="EX299" s="19" t="str">
        <f t="shared" si="292"/>
        <v>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299" s="47" t="s">
        <v>0</v>
      </c>
      <c r="EZ299" s="180" t="str">
        <f>AG299&amp;IF(CP299="","","
")&amp;CP299&amp;IF(CI299="","","
")&amp;CI299&amp;IF(DN299="","","
")&amp;DN299&amp;IF(DP299="","","
")&amp;DP299&amp;IF(EV299="","","
")&amp;EV299&amp;IF(EX299="","","
")&amp;EX299</f>
        <v xml:space="preserve">
INSERT INTO rezultat(id,stazakategorija_id,imeprezime_id,vrijeme_sec,status_id,registracija,uparivanje_id,originalstatus_id,imeprezimealias_id,klubalias_id,kategorijaalias_id) VALUES (449,41,1262,3847,1,1,1,0,Null,Null,Null);
UPDATE
	registar
SET
	potvrda = 1
WHERE
	imeprezime_id=1262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299" s="47" t="s">
        <v>0</v>
      </c>
    </row>
    <row r="300" spans="1:157" x14ac:dyDescent="0.25">
      <c r="A300" t="s">
        <v>0</v>
      </c>
      <c r="B300" s="52" t="str">
        <f>IF(csv!F290="","",csv!T290)</f>
        <v>Ž35</v>
      </c>
      <c r="C300" s="31" t="s">
        <v>0</v>
      </c>
      <c r="D300" s="31" t="str">
        <f>IF(csv!F290="","",csv!F290)</f>
        <v>Bernardica</v>
      </c>
      <c r="E300" s="31" t="str">
        <f>IF(csv!E290="","",csv!E290)</f>
        <v>Stipić</v>
      </c>
      <c r="F300" s="31" t="s">
        <v>0</v>
      </c>
      <c r="G300" s="73" t="str">
        <f>IF(csv!M290="","",csv!M290)</f>
        <v>64:51</v>
      </c>
      <c r="H300" s="73" t="str">
        <f>IF(csv!N290="","",csv!N290)</f>
        <v>0</v>
      </c>
      <c r="I300" s="31" t="s">
        <v>0</v>
      </c>
      <c r="J300" s="31" t="str">
        <f>IF(csv!P290="","",csv!P290)</f>
        <v>Vihor</v>
      </c>
      <c r="K300" s="31" t="str">
        <f>IF(csv!Q290="","",csv!Q290)</f>
        <v>OK Vihor</v>
      </c>
      <c r="L300" s="31" t="s">
        <v>0</v>
      </c>
      <c r="M300" s="66" t="str">
        <f>IF(csv!R290="","",csv!R290)</f>
        <v>CRO</v>
      </c>
      <c r="N300" s="47" t="s">
        <v>0</v>
      </c>
      <c r="O300" s="243" t="str">
        <f t="shared" si="263"/>
        <v>ok</v>
      </c>
      <c r="P300" s="47"/>
      <c r="Q300" s="52" t="str">
        <f t="shared" si="264"/>
        <v>Ž35</v>
      </c>
      <c r="R300" s="73">
        <f>IF(Q300="","",IF(COUNTIF(Q$12:Q299,Q300)=0,R299+1,R299))</f>
        <v>19</v>
      </c>
      <c r="S300" s="73">
        <f t="shared" si="265"/>
        <v>117</v>
      </c>
      <c r="T300" s="73">
        <f t="shared" si="240"/>
        <v>26</v>
      </c>
      <c r="U300" s="66" t="str">
        <f t="shared" si="241"/>
        <v>Ž35</v>
      </c>
      <c r="V300" s="47" t="s">
        <v>0</v>
      </c>
      <c r="W300" s="222" t="str">
        <f t="shared" si="242"/>
        <v>Ž35</v>
      </c>
      <c r="X300" s="223">
        <f t="shared" si="243"/>
        <v>41</v>
      </c>
      <c r="Y300" s="47" t="s">
        <v>0</v>
      </c>
      <c r="Z300" s="52" t="str">
        <f t="shared" si="266"/>
        <v>CRO</v>
      </c>
      <c r="AA300" s="73">
        <f t="shared" si="244"/>
        <v>1</v>
      </c>
      <c r="AB300" s="31" t="str">
        <f t="shared" si="267"/>
        <v/>
      </c>
      <c r="AC300" s="66" t="str">
        <f>IF(AB300="","",MAX(AC$12:AC299)+1)</f>
        <v/>
      </c>
      <c r="AD300" s="47" t="s">
        <v>0</v>
      </c>
      <c r="AE300" s="125"/>
      <c r="AF300" s="47" t="s">
        <v>0</v>
      </c>
      <c r="AG300" s="19" t="str">
        <f t="shared" si="268"/>
        <v/>
      </c>
      <c r="AH300" s="47" t="s">
        <v>0</v>
      </c>
      <c r="AI300" s="143" t="str">
        <f t="shared" si="269"/>
        <v>CRO</v>
      </c>
      <c r="AJ300" s="47"/>
      <c r="AK300" s="52" t="str">
        <f t="shared" si="270"/>
        <v>Bernardica</v>
      </c>
      <c r="AL300" s="31" t="str">
        <f t="shared" si="271"/>
        <v>Stipić</v>
      </c>
      <c r="AM300" s="73">
        <f t="shared" si="272"/>
        <v>1326</v>
      </c>
      <c r="AN300" s="73" t="str">
        <f t="shared" si="273"/>
        <v/>
      </c>
      <c r="AO300" s="31" t="str">
        <f t="shared" si="245"/>
        <v>Bernardica</v>
      </c>
      <c r="AP300" s="66" t="str">
        <f t="shared" si="246"/>
        <v>Stipić</v>
      </c>
      <c r="AQ300" s="47" t="s">
        <v>0</v>
      </c>
      <c r="AR300" s="82" t="str">
        <f t="shared" si="274"/>
        <v/>
      </c>
      <c r="AS300" s="47" t="s">
        <v>0</v>
      </c>
      <c r="AT300" s="19" t="str">
        <f t="shared" si="275"/>
        <v/>
      </c>
      <c r="AU300" s="47" t="s">
        <v>0</v>
      </c>
      <c r="AV300" s="103"/>
      <c r="AW300" s="105"/>
      <c r="AX300" s="47" t="s">
        <v>0</v>
      </c>
      <c r="AY300" s="256" t="str">
        <f t="shared" si="293"/>
        <v/>
      </c>
      <c r="AZ300" s="47" t="s">
        <v>0</v>
      </c>
      <c r="BA300" s="52" t="str">
        <f t="shared" si="247"/>
        <v/>
      </c>
      <c r="BB300" s="73" t="str">
        <f>IF(AV300&amp;AW300="","",MAX(BB$12:BB299)+1)</f>
        <v/>
      </c>
      <c r="BC300" s="268" t="str">
        <f t="shared" si="248"/>
        <v/>
      </c>
      <c r="BD300" s="53" t="str">
        <f>IF(AND(AM300="NEMA",AN300="NEMA",OR(AV300&amp;AW300="",BC300="NEMA")),MAX(BD$12:BD299)+1,"")</f>
        <v/>
      </c>
      <c r="BE300" s="47" t="s">
        <v>0</v>
      </c>
      <c r="BF300" s="52" t="str">
        <f t="shared" si="249"/>
        <v>Bernardica</v>
      </c>
      <c r="BG300" s="31" t="str">
        <f t="shared" si="250"/>
        <v>Stipić</v>
      </c>
      <c r="BH300" s="73" t="str">
        <f t="shared" si="276"/>
        <v/>
      </c>
      <c r="BI300" s="53">
        <f t="shared" si="277"/>
        <v>1326</v>
      </c>
      <c r="BJ300" s="47" t="s">
        <v>0</v>
      </c>
      <c r="BK300" s="52" t="str">
        <f t="shared" si="251"/>
        <v>Vihor</v>
      </c>
      <c r="BL300" s="31" t="str">
        <f t="shared" si="252"/>
        <v>OK Vihor</v>
      </c>
      <c r="BM300" s="73">
        <f t="shared" si="253"/>
        <v>12</v>
      </c>
      <c r="BN300" s="73" t="str">
        <f t="shared" si="254"/>
        <v/>
      </c>
      <c r="BO300" s="31" t="str" cm="1">
        <f t="array" ref="BO300">IF(BN300="",""&amp;BL300,IF(BN300="NEMA",BL300,INDEX(regKlub_naziv,MATCH(INDEX(regKlub_alias_klubId,BN300),regKlub_id,0))))</f>
        <v>OK Vihor</v>
      </c>
      <c r="BP300" s="31" t="str" cm="1">
        <f t="array" ref="BP300">IFERROR(""&amp;INDEX(regNatjecatelj_klub,DY300),"")</f>
        <v>OK Vihor</v>
      </c>
      <c r="BQ300" s="88" t="str">
        <f t="shared" si="278"/>
        <v/>
      </c>
      <c r="BR300" s="66" t="str">
        <f t="shared" si="279"/>
        <v>OK Vihor</v>
      </c>
      <c r="BS300" s="47" t="s">
        <v>0</v>
      </c>
      <c r="BT300" s="82" t="str">
        <f>IF(BN300&lt;&gt;"NEMA","",IF(IFERROR(MATCH(BL300,BL$12:BL299,0),0)&lt;&gt;0,"",BL300))</f>
        <v/>
      </c>
      <c r="BU300" s="47" t="s">
        <v>0</v>
      </c>
      <c r="BV300" s="125"/>
      <c r="BW300" s="47" t="s">
        <v>0</v>
      </c>
      <c r="BX300" s="58" t="str">
        <f t="shared" si="280"/>
        <v/>
      </c>
      <c r="BY300" s="31" t="str">
        <f t="shared" si="281"/>
        <v/>
      </c>
      <c r="BZ300" s="31" t="str">
        <f>IF(BY300="","",MAX(BZ$12:BZ299)+1)</f>
        <v/>
      </c>
      <c r="CA300" s="31" t="str">
        <f>IF(BY300="","",IF(AA300="","",IF(AA300="NEMA",AC300,AA300)))</f>
        <v/>
      </c>
      <c r="CB300" s="31" t="str">
        <f t="shared" si="282"/>
        <v/>
      </c>
      <c r="CC300" s="31" t="str">
        <f>IF(BV300="","",MAX(CC$12:CC299)+1)</f>
        <v/>
      </c>
      <c r="CD300" s="31" t="str">
        <f t="shared" si="283"/>
        <v/>
      </c>
      <c r="CE300" s="66" t="str">
        <f t="shared" si="284"/>
        <v/>
      </c>
      <c r="CF300" s="47" t="s">
        <v>0</v>
      </c>
      <c r="CG300" s="73" t="str">
        <f>IF(BN300="","",IF(BN300&lt;&gt;"NEMA","",IFERROR(INDEX(nat_klubAliasId,MATCH(BL300,nat_noviKluboviAliasi,0)),"")))</f>
        <v/>
      </c>
      <c r="CH300" s="47"/>
      <c r="CI300" s="19" t="str">
        <f t="shared" si="285"/>
        <v/>
      </c>
      <c r="CJ300" s="47" t="s">
        <v>0</v>
      </c>
      <c r="CK300" s="52" t="str">
        <f>IF(X300&lt;&gt;"NEMA","",IF(IFERROR(MATCH(W300,W$12:W299,0),0)&lt;&gt;0,"",W300))</f>
        <v/>
      </c>
      <c r="CL300" s="73" t="str">
        <f>IF(CK300="","",IFERROR(INDEX(regKlub_alias_id,MATCH(CK300,regKlub_alias_alias,0)),"NEMA"))</f>
        <v/>
      </c>
      <c r="CM300" s="31" t="str">
        <f>IF(OR(CL300="",CL300&lt;&gt;"NEMA"),"",MAX(CM$12:CM299)+1)</f>
        <v/>
      </c>
      <c r="CN300" s="66" t="str">
        <f>IF(OR(CL300="",CL300&lt;&gt;"NEMA"),"",INDEX(regKlub_id,MATCH(CK300,regKlub_naziv,0)))</f>
        <v/>
      </c>
      <c r="CO300" s="47" t="s">
        <v>0</v>
      </c>
      <c r="CP300" s="19" t="str">
        <f>IF(OR(CL300="",CL300&lt;&gt;"NEMA"),"","INSERT INTO klub_alias(id,alias,klub_id) VALUES ("&amp;CM300&amp;",'"&amp;CK300&amp;"',"&amp;CN300&amp;");")</f>
        <v/>
      </c>
      <c r="CQ300" s="47" t="s">
        <v>0</v>
      </c>
      <c r="CR300" s="143" t="str">
        <f>IF(BR300="","",IF(BV300="",IF(IFERROR(MATCH(BR300,nat_noviKluboviAliasi,0),0)&gt;0,INDEX(nat_kluboviAliasi,MATCH(BR300,nat_noviKluboviAliasi,0)),BR300),BV300))</f>
        <v>OK Vihor</v>
      </c>
      <c r="CS300" s="47" t="s">
        <v>0</v>
      </c>
      <c r="CT300" s="58" t="str">
        <f>IF(G300="","",G300)</f>
        <v>64:51</v>
      </c>
      <c r="CU300" s="73" t="str">
        <f>IF(H300="","",H300)</f>
        <v>0</v>
      </c>
      <c r="CV300" s="229" t="str">
        <f>IF(CT300="",IF(OR(AL300="",CU300&lt;&gt;"0"),"","GREŠKA"),IF(AND(65535&gt;=VALUE(LEFT(CT300,SEARCH(":",CT300)-1))*60+VALUE(RIGHT(CT300,2)),OR(CU300="0",CU300="1",CU300="2",CU300="3",CU300="4")),"","GREŠKA"))</f>
        <v/>
      </c>
      <c r="CW300" s="230">
        <f t="shared" si="239"/>
        <v>3891</v>
      </c>
      <c r="CX300" s="163">
        <f t="shared" si="255"/>
        <v>1</v>
      </c>
      <c r="CY300" s="47" t="s">
        <v>0</v>
      </c>
      <c r="CZ300" s="222" t="str">
        <f>IF(CV300&lt;&gt;"GREŠKA","",AK300&amp;" "&amp;AL300&amp;" – Molim u OEventu provjeriti i ispraviti rezultat – vrijeme ("&amp;IF(CT300="","nije upisano",CT300)&amp;") i classifier ("&amp;CU300&amp;").")&amp;IF(OR(CV300&lt;&gt;"GREŠKA",CX300&lt;&gt;5),"
","")&amp;IF(CX300&lt;&gt;5,"",AK300&amp;" "&amp;AL300&amp;" – Molim u provjeriti je li natjecatelj zaista diskvalificiran. Ako je koje je obrazloženje, ako nije molim u OEventu ispraviti rezultat")</f>
        <v xml:space="preserve">
</v>
      </c>
      <c r="DA300" s="223">
        <f t="shared" si="286"/>
        <v>6</v>
      </c>
      <c r="DB300" s="47" t="s">
        <v>0</v>
      </c>
      <c r="DC300" s="47"/>
      <c r="DD300" s="47"/>
      <c r="DE300" s="47"/>
      <c r="DF300" s="47" t="s">
        <v>0</v>
      </c>
      <c r="DG300" s="53" t="str">
        <f>IF(BD300="","",IF(DI300="O",1,""))</f>
        <v/>
      </c>
      <c r="DH300" t="s">
        <v>0</v>
      </c>
      <c r="DI300" s="128" t="str">
        <f>IF(Q300="","",LEFT(INDEX(regKategorija_oznaka,MATCH(S300,regKategorija_id,0)),1))</f>
        <v>Ž</v>
      </c>
      <c r="DJ300" t="s">
        <v>0</v>
      </c>
      <c r="DK300" s="52" t="str">
        <f>IF(BD300="","",IF(M300&lt;&gt;"CRO","","INSERT INTO osoba (id,reg_broj,oib,spol_id,dat_rodjenja) VALUES ("&amp;BD300&amp;",(SELECT max(os.reg_broj)+1 FROM osoba AS os),Null,'"&amp;DI300&amp;"',Null); INSERT INTO osoba_log (id,reg_broj,oib,spol_id,dat_rodjenja,dnevnik_id) SELECT id,reg_broj,oib,spol_id,dat_rodjenja,"&amp;data_dnevnik_id&amp;" FROM osoba WHERE id = "&amp;BD300&amp;";"))</f>
        <v/>
      </c>
      <c r="DL300" s="66" t="str">
        <f>IF(BD300="","","INSERT INTO imeprezime (id,osoba_id,rbr,ime,prezime,klub_id,identitet_id,sintaksa_id,info,aktivno,dnevnik_id) VALUES ("&amp;BD300&amp;","&amp;IF(DK300="","Null",BD300)&amp;",1,'"&amp;IF(AV300&lt;&gt;"",AV300,AK300)&amp;"','"&amp;IF(AW300&lt;&gt;"",AW300,AL300)&amp;"',(SELECT id FROM klub WHERE naziv = '"&amp;CR300&amp;"'),Null,1,'',1,"&amp;data_dnevnik_id&amp;");")</f>
        <v/>
      </c>
      <c r="DM300" t="s">
        <v>0</v>
      </c>
      <c r="DN300" s="19" t="str">
        <f t="shared" si="294"/>
        <v/>
      </c>
      <c r="DO300" s="47" t="s">
        <v>0</v>
      </c>
      <c r="DP300" s="19" t="str">
        <f>IF(BA300="","","INSERT INTO imeprezime_alias(id,alias,imeprezime_id) VALUES ("&amp;BB300&amp;",'"&amp;BA300&amp;"',"&amp;IF(BC300="NEMA",BD300,BC300)&amp;");")</f>
        <v/>
      </c>
      <c r="DQ300" s="47" t="s">
        <v>0</v>
      </c>
      <c r="DR300" s="52" t="str">
        <f>IF(AL300="","",DU300 &amp; IF(Q300="",""," – " &amp; Q300))</f>
        <v>Bernardica – Stipić – OK Vihor – Ž35</v>
      </c>
      <c r="DS300" s="53">
        <f t="shared" si="256"/>
        <v>912</v>
      </c>
      <c r="DT300" s="47" t="s">
        <v>0</v>
      </c>
      <c r="DU300" s="52" t="str">
        <f>IF(AL300="","",DX300 &amp; IF(CR300="",""," – " &amp; CR300))</f>
        <v>Bernardica – Stipić – OK Vihor</v>
      </c>
      <c r="DV300" s="53">
        <f t="shared" si="257"/>
        <v>912</v>
      </c>
      <c r="DW300" s="47" t="s">
        <v>0</v>
      </c>
      <c r="DX300" s="52" t="str">
        <f>IF(BG300="","",BF300&amp;" – "&amp;BG300)</f>
        <v>Bernardica – Stipić</v>
      </c>
      <c r="DY300" s="53">
        <f t="shared" si="258"/>
        <v>912</v>
      </c>
      <c r="DZ300" s="47" t="s">
        <v>0</v>
      </c>
      <c r="EA300" s="58">
        <f t="shared" si="287"/>
        <v>912</v>
      </c>
      <c r="EB300" s="53" cm="1">
        <f t="array" ref="EB300">IF(EA300&lt;&gt;"",INDEX(regNatjecatelj_id,EA300,0),IF(BD300&lt;&gt;"",BD300,""))</f>
        <v>1326</v>
      </c>
      <c r="EC300" s="47" t="s">
        <v>0</v>
      </c>
      <c r="ED300" s="58" t="str">
        <f>IF(AL300="","",IF(BD300&lt;&gt;"","novo",IF(AN300="","imepre","imepre(ali)")))</f>
        <v>imepre</v>
      </c>
      <c r="EE300" s="73" t="str">
        <f>IF(AL300="","",IF(BL300="",IF(IFERROR(INDEX(regNatjecatelj_klub,MATCH(EB300,regNatjecatelj_id,0)),"NEMA")="","klu",""),IF(OR(AND(BN300&lt;&gt;"",BN300&lt;&gt;"NEMA"),CD300&lt;&gt;""),"klu(ali)",IF(AND(BP300&lt;&gt;"",BP300&lt;&gt;BO300),"(raz-klu)","klu"))))</f>
        <v>klu</v>
      </c>
      <c r="EF300" s="73" t="str">
        <f>IF(AL300="","","kat"&amp;IF(AND(W300&lt;&gt;Q300,Q300&lt;&gt;"Open"),"(ali)",""))</f>
        <v>kat</v>
      </c>
      <c r="EG300" s="73" t="str">
        <f t="shared" si="259"/>
        <v/>
      </c>
      <c r="EH300" s="66" t="str">
        <f>IF(AL300="","",ED300&amp;IF(ED300="novo","","-"&amp;EE300&amp;"-"&amp;EF300)&amp;IF(EG300="","","-"&amp;EG300))</f>
        <v>imepre-klu-kat</v>
      </c>
      <c r="EI300" s="47" t="s">
        <v>0</v>
      </c>
      <c r="EJ300" s="58">
        <f>IF(AL300="","",MAX(EJ$12:EJ299)+1)</f>
        <v>450</v>
      </c>
      <c r="EK300" s="73">
        <f>IF(AO300="","",X300)</f>
        <v>41</v>
      </c>
      <c r="EL300" s="73">
        <f t="shared" si="288"/>
        <v>1326</v>
      </c>
      <c r="EM300" s="73">
        <f t="shared" si="260"/>
        <v>3891</v>
      </c>
      <c r="EN300" s="73">
        <f t="shared" si="261"/>
        <v>1</v>
      </c>
      <c r="EO300" s="73">
        <f t="shared" si="289"/>
        <v>1</v>
      </c>
      <c r="EP300" s="73">
        <f t="shared" si="290"/>
        <v>1</v>
      </c>
      <c r="EQ300" s="73" t="str">
        <f t="shared" si="262"/>
        <v>0</v>
      </c>
      <c r="ER300" s="73" t="str">
        <f>IF(OR(AN300="",AN300="NEMA"),BB300,AN300)</f>
        <v/>
      </c>
      <c r="ES300" s="73" t="str">
        <f>IF(AND(BN300&lt;&gt;"",BN300&lt;&gt;"NEMA"),BN300,IF(CG300&lt;&gt;"",CG300,IF(AND(CL300&lt;&gt;"",CL300&lt;&gt;"NEMA"),CL300,IF(CM300&lt;&gt;"",CM300,""))))</f>
        <v/>
      </c>
      <c r="ET300" s="53" t="str">
        <f>IF(INDEX(natKategorija_alias_Id,MATCH(S300,natKategorija_katRegId,0))="","",INDEX(natKategorija_alias_Id,MATCH(S300,natKategorija_katRegId,0)))</f>
        <v/>
      </c>
      <c r="EU300" s="47" t="s">
        <v>0</v>
      </c>
      <c r="EV300" s="19" t="str">
        <f t="shared" si="291"/>
        <v>INSERT INTO rezultat(id,stazakategorija_id,imeprezime_id,vrijeme_sec,status_id,registracija,uparivanje_id,originalstatus_id,imeprezimealias_id,klubalias_id,kategorijaalias_id) VALUES (450,41,1326,3891,1,1,1,0,Null,Null,Null);</v>
      </c>
      <c r="EW300" s="47" t="s">
        <v>0</v>
      </c>
      <c r="EX300" s="19" t="str">
        <f t="shared" si="292"/>
        <v>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00" s="47" t="s">
        <v>0</v>
      </c>
      <c r="EZ300" s="180" t="str">
        <f>AG300&amp;IF(CP300="","","
")&amp;CP300&amp;IF(CI300="","","
")&amp;CI300&amp;IF(DN300="","","
")&amp;DN300&amp;IF(DP300="","","
")&amp;DP300&amp;IF(EV300="","","
")&amp;EV300&amp;IF(EX300="","","
")&amp;EX300</f>
        <v xml:space="preserve">
INSERT INTO rezultat(id,stazakategorija_id,imeprezime_id,vrijeme_sec,status_id,registracija,uparivanje_id,originalstatus_id,imeprezimealias_id,klubalias_id,kategorijaalias_id) VALUES (450,41,1326,3891,1,1,1,0,Null,Null,Null);
UPDATE
	registar
SET
	potvrda = 1
WHERE
	imeprezime_id=1326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00" s="47" t="s">
        <v>0</v>
      </c>
    </row>
    <row r="301" spans="1:157" x14ac:dyDescent="0.25">
      <c r="A301" t="s">
        <v>0</v>
      </c>
      <c r="B301" s="52" t="str">
        <f>IF(csv!F291="","",csv!T291)</f>
        <v>Ž35</v>
      </c>
      <c r="C301" s="31" t="s">
        <v>0</v>
      </c>
      <c r="D301" s="31" t="str">
        <f>IF(csv!F291="","",csv!F291)</f>
        <v>Daniela</v>
      </c>
      <c r="E301" s="31" t="str">
        <f>IF(csv!E291="","",csv!E291)</f>
        <v>Popović Budi</v>
      </c>
      <c r="F301" s="31" t="s">
        <v>0</v>
      </c>
      <c r="G301" s="73" t="str">
        <f>IF(csv!M291="","",csv!M291)</f>
        <v>67:08</v>
      </c>
      <c r="H301" s="73" t="str">
        <f>IF(csv!N291="","",csv!N291)</f>
        <v>0</v>
      </c>
      <c r="I301" s="31" t="s">
        <v>0</v>
      </c>
      <c r="J301" s="31" t="str">
        <f>IF(csv!P291="","",csv!P291)</f>
        <v>JAP</v>
      </c>
      <c r="K301" s="31" t="str">
        <f>IF(csv!Q291="","",csv!Q291)</f>
        <v>OK Japetic</v>
      </c>
      <c r="L301" s="31" t="s">
        <v>0</v>
      </c>
      <c r="M301" s="66" t="str">
        <f>IF(csv!R291="","",csv!R291)</f>
        <v>CRO</v>
      </c>
      <c r="N301" s="47" t="s">
        <v>0</v>
      </c>
      <c r="O301" s="243" t="str">
        <f t="shared" si="263"/>
        <v>ok</v>
      </c>
      <c r="P301" s="47"/>
      <c r="Q301" s="52" t="str">
        <f t="shared" si="264"/>
        <v>Ž35</v>
      </c>
      <c r="R301" s="73">
        <f>IF(Q301="","",IF(COUNTIF(Q$12:Q300,Q301)=0,R300+1,R300))</f>
        <v>19</v>
      </c>
      <c r="S301" s="73">
        <f t="shared" si="265"/>
        <v>117</v>
      </c>
      <c r="T301" s="73">
        <f t="shared" si="240"/>
        <v>26</v>
      </c>
      <c r="U301" s="66" t="str">
        <f t="shared" si="241"/>
        <v>Ž35</v>
      </c>
      <c r="V301" s="47" t="s">
        <v>0</v>
      </c>
      <c r="W301" s="222" t="str">
        <f t="shared" si="242"/>
        <v>Ž35</v>
      </c>
      <c r="X301" s="223">
        <f t="shared" si="243"/>
        <v>41</v>
      </c>
      <c r="Y301" s="47" t="s">
        <v>0</v>
      </c>
      <c r="Z301" s="52" t="str">
        <f t="shared" si="266"/>
        <v>CRO</v>
      </c>
      <c r="AA301" s="73">
        <f t="shared" si="244"/>
        <v>1</v>
      </c>
      <c r="AB301" s="31" t="str">
        <f t="shared" si="267"/>
        <v/>
      </c>
      <c r="AC301" s="66" t="str">
        <f>IF(AB301="","",MAX(AC$12:AC300)+1)</f>
        <v/>
      </c>
      <c r="AD301" s="47" t="s">
        <v>0</v>
      </c>
      <c r="AE301" s="125"/>
      <c r="AF301" s="47" t="s">
        <v>0</v>
      </c>
      <c r="AG301" s="19" t="str">
        <f t="shared" si="268"/>
        <v/>
      </c>
      <c r="AH301" s="47" t="s">
        <v>0</v>
      </c>
      <c r="AI301" s="143" t="str">
        <f t="shared" si="269"/>
        <v>CRO</v>
      </c>
      <c r="AJ301" s="47"/>
      <c r="AK301" s="52" t="str">
        <f t="shared" si="270"/>
        <v>Daniela</v>
      </c>
      <c r="AL301" s="31" t="str">
        <f t="shared" si="271"/>
        <v>Popović Budi</v>
      </c>
      <c r="AM301" s="73">
        <f t="shared" si="272"/>
        <v>1316</v>
      </c>
      <c r="AN301" s="73" t="str">
        <f t="shared" si="273"/>
        <v/>
      </c>
      <c r="AO301" s="31" t="str">
        <f t="shared" si="245"/>
        <v>Daniela</v>
      </c>
      <c r="AP301" s="66" t="str">
        <f t="shared" si="246"/>
        <v>Popović Budi</v>
      </c>
      <c r="AQ301" s="47" t="s">
        <v>0</v>
      </c>
      <c r="AR301" s="82" t="str">
        <f t="shared" si="274"/>
        <v/>
      </c>
      <c r="AS301" s="47" t="s">
        <v>0</v>
      </c>
      <c r="AT301" s="19" t="str">
        <f t="shared" si="275"/>
        <v/>
      </c>
      <c r="AU301" s="47" t="s">
        <v>0</v>
      </c>
      <c r="AV301" s="103"/>
      <c r="AW301" s="105"/>
      <c r="AX301" s="47" t="s">
        <v>0</v>
      </c>
      <c r="AY301" s="256" t="str">
        <f t="shared" si="293"/>
        <v/>
      </c>
      <c r="AZ301" s="47" t="s">
        <v>0</v>
      </c>
      <c r="BA301" s="52" t="str">
        <f t="shared" si="247"/>
        <v/>
      </c>
      <c r="BB301" s="73" t="str">
        <f>IF(AV301&amp;AW301="","",MAX(BB$12:BB300)+1)</f>
        <v/>
      </c>
      <c r="BC301" s="268" t="str">
        <f t="shared" si="248"/>
        <v/>
      </c>
      <c r="BD301" s="53" t="str">
        <f>IF(AND(AM301="NEMA",AN301="NEMA",OR(AV301&amp;AW301="",BC301="NEMA")),MAX(BD$12:BD300)+1,"")</f>
        <v/>
      </c>
      <c r="BE301" s="47" t="s">
        <v>0</v>
      </c>
      <c r="BF301" s="52" t="str">
        <f t="shared" si="249"/>
        <v>Daniela</v>
      </c>
      <c r="BG301" s="31" t="str">
        <f t="shared" si="250"/>
        <v>Popović Budi</v>
      </c>
      <c r="BH301" s="73" t="str">
        <f t="shared" si="276"/>
        <v/>
      </c>
      <c r="BI301" s="53">
        <f t="shared" si="277"/>
        <v>1316</v>
      </c>
      <c r="BJ301" s="47" t="s">
        <v>0</v>
      </c>
      <c r="BK301" s="52" t="str">
        <f t="shared" si="251"/>
        <v>JAP</v>
      </c>
      <c r="BL301" s="31" t="str">
        <f t="shared" si="252"/>
        <v>OK Japetic</v>
      </c>
      <c r="BM301" s="73" t="str">
        <f t="shared" si="253"/>
        <v>NEMA</v>
      </c>
      <c r="BN301" s="73">
        <f t="shared" si="254"/>
        <v>1</v>
      </c>
      <c r="BO301" s="31" t="str" cm="1">
        <f t="array" ref="BO301">IF(BN301="",""&amp;BL301,IF(BN301="NEMA",BL301,INDEX(regKlub_naziv,MATCH(INDEX(regKlub_alias_klubId,BN301),regKlub_id,0))))</f>
        <v>OK Japetić</v>
      </c>
      <c r="BP301" s="31" t="str" cm="1">
        <f t="array" ref="BP301">IFERROR(""&amp;INDEX(regNatjecatelj_klub,DY301),"")</f>
        <v>OK Japetić</v>
      </c>
      <c r="BQ301" s="88" t="str">
        <f t="shared" si="278"/>
        <v/>
      </c>
      <c r="BR301" s="66" t="str">
        <f t="shared" si="279"/>
        <v>OK Japetić</v>
      </c>
      <c r="BS301" s="47" t="s">
        <v>0</v>
      </c>
      <c r="BT301" s="82" t="str">
        <f>IF(BN301&lt;&gt;"NEMA","",IF(IFERROR(MATCH(BL301,BL$12:BL300,0),0)&lt;&gt;0,"",BL301))</f>
        <v/>
      </c>
      <c r="BU301" s="47" t="s">
        <v>0</v>
      </c>
      <c r="BV301" s="125"/>
      <c r="BW301" s="47" t="s">
        <v>0</v>
      </c>
      <c r="BX301" s="58" t="str">
        <f t="shared" si="280"/>
        <v/>
      </c>
      <c r="BY301" s="31" t="str">
        <f t="shared" si="281"/>
        <v/>
      </c>
      <c r="BZ301" s="31" t="str">
        <f>IF(BY301="","",MAX(BZ$12:BZ300)+1)</f>
        <v/>
      </c>
      <c r="CA301" s="31" t="str">
        <f>IF(BY301="","",IF(AA301="","",IF(AA301="NEMA",AC301,AA301)))</f>
        <v/>
      </c>
      <c r="CB301" s="31" t="str">
        <f t="shared" si="282"/>
        <v/>
      </c>
      <c r="CC301" s="31" t="str">
        <f>IF(BV301="","",MAX(CC$12:CC300)+1)</f>
        <v/>
      </c>
      <c r="CD301" s="31" t="str">
        <f t="shared" si="283"/>
        <v/>
      </c>
      <c r="CE301" s="66" t="str">
        <f t="shared" si="284"/>
        <v/>
      </c>
      <c r="CF301" s="47" t="s">
        <v>0</v>
      </c>
      <c r="CG301" s="73" t="str">
        <f>IF(BN301="","",IF(BN301&lt;&gt;"NEMA","",IFERROR(INDEX(nat_klubAliasId,MATCH(BL301,nat_noviKluboviAliasi,0)),"")))</f>
        <v/>
      </c>
      <c r="CH301" s="47"/>
      <c r="CI301" s="19" t="str">
        <f t="shared" si="285"/>
        <v/>
      </c>
      <c r="CJ301" s="47" t="s">
        <v>0</v>
      </c>
      <c r="CK301" s="52" t="str">
        <f>IF(X301&lt;&gt;"NEMA","",IF(IFERROR(MATCH(W301,W$12:W300,0),0)&lt;&gt;0,"",W301))</f>
        <v/>
      </c>
      <c r="CL301" s="73" t="str">
        <f>IF(CK301="","",IFERROR(INDEX(regKlub_alias_id,MATCH(CK301,regKlub_alias_alias,0)),"NEMA"))</f>
        <v/>
      </c>
      <c r="CM301" s="31" t="str">
        <f>IF(OR(CL301="",CL301&lt;&gt;"NEMA"),"",MAX(CM$12:CM300)+1)</f>
        <v/>
      </c>
      <c r="CN301" s="66" t="str">
        <f>IF(OR(CL301="",CL301&lt;&gt;"NEMA"),"",INDEX(regKlub_id,MATCH(CK301,regKlub_naziv,0)))</f>
        <v/>
      </c>
      <c r="CO301" s="47" t="s">
        <v>0</v>
      </c>
      <c r="CP301" s="19" t="str">
        <f>IF(OR(CL301="",CL301&lt;&gt;"NEMA"),"","INSERT INTO klub_alias(id,alias,klub_id) VALUES ("&amp;CM301&amp;",'"&amp;CK301&amp;"',"&amp;CN301&amp;");")</f>
        <v/>
      </c>
      <c r="CQ301" s="47" t="s">
        <v>0</v>
      </c>
      <c r="CR301" s="143" t="str">
        <f>IF(BR301="","",IF(BV301="",IF(IFERROR(MATCH(BR301,nat_noviKluboviAliasi,0),0)&gt;0,INDEX(nat_kluboviAliasi,MATCH(BR301,nat_noviKluboviAliasi,0)),BR301),BV301))</f>
        <v>OK Japetić</v>
      </c>
      <c r="CS301" s="47" t="s">
        <v>0</v>
      </c>
      <c r="CT301" s="58" t="str">
        <f>IF(G301="","",G301)</f>
        <v>67:08</v>
      </c>
      <c r="CU301" s="73" t="str">
        <f>IF(H301="","",H301)</f>
        <v>0</v>
      </c>
      <c r="CV301" s="229" t="str">
        <f>IF(CT301="",IF(OR(AL301="",CU301&lt;&gt;"0"),"","GREŠKA"),IF(AND(65535&gt;=VALUE(LEFT(CT301,SEARCH(":",CT301)-1))*60+VALUE(RIGHT(CT301,2)),OR(CU301="0",CU301="1",CU301="2",CU301="3",CU301="4")),"","GREŠKA"))</f>
        <v/>
      </c>
      <c r="CW301" s="230">
        <f t="shared" si="239"/>
        <v>4028</v>
      </c>
      <c r="CX301" s="163">
        <f t="shared" si="255"/>
        <v>1</v>
      </c>
      <c r="CY301" s="47" t="s">
        <v>0</v>
      </c>
      <c r="CZ301" s="222" t="str">
        <f>IF(CV301&lt;&gt;"GREŠKA","",AK301&amp;" "&amp;AL301&amp;" – Molim u OEventu provjeriti i ispraviti rezultat – vrijeme ("&amp;IF(CT301="","nije upisano",CT301)&amp;") i classifier ("&amp;CU301&amp;").")&amp;IF(OR(CV301&lt;&gt;"GREŠKA",CX301&lt;&gt;5),"
","")&amp;IF(CX301&lt;&gt;5,"",AK301&amp;" "&amp;AL301&amp;" – Molim u provjeriti je li natjecatelj zaista diskvalificiran. Ako je koje je obrazloženje, ako nije molim u OEventu ispraviti rezultat")</f>
        <v xml:space="preserve">
</v>
      </c>
      <c r="DA301" s="223">
        <f t="shared" si="286"/>
        <v>6</v>
      </c>
      <c r="DB301" s="47" t="s">
        <v>0</v>
      </c>
      <c r="DC301" s="47"/>
      <c r="DD301" s="47"/>
      <c r="DE301" s="47"/>
      <c r="DF301" s="47" t="s">
        <v>0</v>
      </c>
      <c r="DG301" s="53" t="str">
        <f>IF(BD301="","",IF(DI301="O",1,""))</f>
        <v/>
      </c>
      <c r="DH301" t="s">
        <v>0</v>
      </c>
      <c r="DI301" s="128" t="str">
        <f>IF(Q301="","",LEFT(INDEX(regKategorija_oznaka,MATCH(S301,regKategorija_id,0)),1))</f>
        <v>Ž</v>
      </c>
      <c r="DJ301" t="s">
        <v>0</v>
      </c>
      <c r="DK301" s="52" t="str">
        <f>IF(BD301="","",IF(M301&lt;&gt;"CRO","","INSERT INTO osoba (id,reg_broj,oib,spol_id,dat_rodjenja) VALUES ("&amp;BD301&amp;",(SELECT max(os.reg_broj)+1 FROM osoba AS os),Null,'"&amp;DI301&amp;"',Null); INSERT INTO osoba_log (id,reg_broj,oib,spol_id,dat_rodjenja,dnevnik_id) SELECT id,reg_broj,oib,spol_id,dat_rodjenja,"&amp;data_dnevnik_id&amp;" FROM osoba WHERE id = "&amp;BD301&amp;";"))</f>
        <v/>
      </c>
      <c r="DL301" s="66" t="str">
        <f>IF(BD301="","","INSERT INTO imeprezime (id,osoba_id,rbr,ime,prezime,klub_id,identitet_id,sintaksa_id,info,aktivno,dnevnik_id) VALUES ("&amp;BD301&amp;","&amp;IF(DK301="","Null",BD301)&amp;",1,'"&amp;IF(AV301&lt;&gt;"",AV301,AK301)&amp;"','"&amp;IF(AW301&lt;&gt;"",AW301,AL301)&amp;"',(SELECT id FROM klub WHERE naziv = '"&amp;CR301&amp;"'),Null,1,'',1,"&amp;data_dnevnik_id&amp;");")</f>
        <v/>
      </c>
      <c r="DM301" t="s">
        <v>0</v>
      </c>
      <c r="DN301" s="19" t="str">
        <f t="shared" si="294"/>
        <v/>
      </c>
      <c r="DO301" s="47" t="s">
        <v>0</v>
      </c>
      <c r="DP301" s="19" t="str">
        <f>IF(BA301="","","INSERT INTO imeprezime_alias(id,alias,imeprezime_id) VALUES ("&amp;BB301&amp;",'"&amp;BA301&amp;"',"&amp;IF(BC301="NEMA",BD301,BC301)&amp;");")</f>
        <v/>
      </c>
      <c r="DQ301" s="47" t="s">
        <v>0</v>
      </c>
      <c r="DR301" s="52" t="str">
        <f>IF(AL301="","",DU301 &amp; IF(Q301="",""," – " &amp; Q301))</f>
        <v>Daniela – Popović Budi – OK Japetić – Ž35</v>
      </c>
      <c r="DS301" s="53">
        <f t="shared" si="256"/>
        <v>133</v>
      </c>
      <c r="DT301" s="47" t="s">
        <v>0</v>
      </c>
      <c r="DU301" s="52" t="str">
        <f>IF(AL301="","",DX301 &amp; IF(CR301="",""," – " &amp; CR301))</f>
        <v>Daniela – Popović Budi – OK Japetić</v>
      </c>
      <c r="DV301" s="53">
        <f t="shared" si="257"/>
        <v>133</v>
      </c>
      <c r="DW301" s="47" t="s">
        <v>0</v>
      </c>
      <c r="DX301" s="52" t="str">
        <f>IF(BG301="","",BF301&amp;" – "&amp;BG301)</f>
        <v>Daniela – Popović Budi</v>
      </c>
      <c r="DY301" s="53">
        <f t="shared" si="258"/>
        <v>133</v>
      </c>
      <c r="DZ301" s="47" t="s">
        <v>0</v>
      </c>
      <c r="EA301" s="58">
        <f t="shared" si="287"/>
        <v>133</v>
      </c>
      <c r="EB301" s="53" cm="1">
        <f t="array" ref="EB301">IF(EA301&lt;&gt;"",INDEX(regNatjecatelj_id,EA301,0),IF(BD301&lt;&gt;"",BD301,""))</f>
        <v>1316</v>
      </c>
      <c r="EC301" s="47" t="s">
        <v>0</v>
      </c>
      <c r="ED301" s="58" t="str">
        <f>IF(AL301="","",IF(BD301&lt;&gt;"","novo",IF(AN301="","imepre","imepre(ali)")))</f>
        <v>imepre</v>
      </c>
      <c r="EE301" s="73" t="str">
        <f>IF(AL301="","",IF(BL301="",IF(IFERROR(INDEX(regNatjecatelj_klub,MATCH(EB301,regNatjecatelj_id,0)),"NEMA")="","klu",""),IF(OR(AND(BN301&lt;&gt;"",BN301&lt;&gt;"NEMA"),CD301&lt;&gt;""),"klu(ali)",IF(AND(BP301&lt;&gt;"",BP301&lt;&gt;BO301),"(raz-klu)","klu"))))</f>
        <v>klu(ali)</v>
      </c>
      <c r="EF301" s="73" t="str">
        <f>IF(AL301="","","kat"&amp;IF(AND(W301&lt;&gt;Q301,Q301&lt;&gt;"Open"),"(ali)",""))</f>
        <v>kat</v>
      </c>
      <c r="EG301" s="73" t="str">
        <f t="shared" si="259"/>
        <v/>
      </c>
      <c r="EH301" s="66" t="str">
        <f>IF(AL301="","",ED301&amp;IF(ED301="novo","","-"&amp;EE301&amp;"-"&amp;EF301)&amp;IF(EG301="","","-"&amp;EG301))</f>
        <v>imepre-klu(ali)-kat</v>
      </c>
      <c r="EI301" s="47" t="s">
        <v>0</v>
      </c>
      <c r="EJ301" s="58">
        <f>IF(AL301="","",MAX(EJ$12:EJ300)+1)</f>
        <v>451</v>
      </c>
      <c r="EK301" s="73">
        <f>IF(AO301="","",X301)</f>
        <v>41</v>
      </c>
      <c r="EL301" s="73">
        <f t="shared" si="288"/>
        <v>1316</v>
      </c>
      <c r="EM301" s="73">
        <f t="shared" si="260"/>
        <v>4028</v>
      </c>
      <c r="EN301" s="73">
        <f t="shared" si="261"/>
        <v>1</v>
      </c>
      <c r="EO301" s="73">
        <f t="shared" si="289"/>
        <v>1</v>
      </c>
      <c r="EP301" s="73">
        <f t="shared" si="290"/>
        <v>3</v>
      </c>
      <c r="EQ301" s="73" t="str">
        <f t="shared" si="262"/>
        <v>0</v>
      </c>
      <c r="ER301" s="73" t="str">
        <f>IF(OR(AN301="",AN301="NEMA"),BB301,AN301)</f>
        <v/>
      </c>
      <c r="ES301" s="73">
        <f>IF(AND(BN301&lt;&gt;"",BN301&lt;&gt;"NEMA"),BN301,IF(CG301&lt;&gt;"",CG301,IF(AND(CL301&lt;&gt;"",CL301&lt;&gt;"NEMA"),CL301,IF(CM301&lt;&gt;"",CM301,""))))</f>
        <v>1</v>
      </c>
      <c r="ET301" s="53" t="str">
        <f>IF(INDEX(natKategorija_alias_Id,MATCH(S301,natKategorija_katRegId,0))="","",INDEX(natKategorija_alias_Id,MATCH(S301,natKategorija_katRegId,0)))</f>
        <v/>
      </c>
      <c r="EU301" s="47" t="s">
        <v>0</v>
      </c>
      <c r="EV301" s="19" t="str">
        <f t="shared" si="291"/>
        <v>INSERT INTO rezultat(id,stazakategorija_id,imeprezime_id,vrijeme_sec,status_id,registracija,uparivanje_id,originalstatus_id,imeprezimealias_id,klubalias_id,kategorijaalias_id) VALUES (451,41,1316,4028,1,1,3,0,Null,1,Null);</v>
      </c>
      <c r="EW301" s="47" t="s">
        <v>0</v>
      </c>
      <c r="EX301" s="19" t="str">
        <f t="shared" si="292"/>
        <v>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01" s="47" t="s">
        <v>0</v>
      </c>
      <c r="EZ301" s="180" t="str">
        <f>AG301&amp;IF(CP301="","","
")&amp;CP301&amp;IF(CI301="","","
")&amp;CI301&amp;IF(DN301="","","
")&amp;DN301&amp;IF(DP301="","","
")&amp;DP301&amp;IF(EV301="","","
")&amp;EV301&amp;IF(EX301="","","
")&amp;EX301</f>
        <v xml:space="preserve">
INSERT INTO rezultat(id,stazakategorija_id,imeprezime_id,vrijeme_sec,status_id,registracija,uparivanje_id,originalstatus_id,imeprezimealias_id,klubalias_id,kategorijaalias_id) VALUES (451,41,1316,4028,1,1,3,0,Null,1,Null);
UPDATE
	registar
SET
	potvrda = 1
WHERE
	imeprezime_id=1316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01" s="47" t="s">
        <v>0</v>
      </c>
    </row>
    <row r="302" spans="1:157" x14ac:dyDescent="0.25">
      <c r="A302" t="s">
        <v>0</v>
      </c>
      <c r="B302" s="52" t="str">
        <f>IF(csv!F292="","",csv!T292)</f>
        <v>Ž35</v>
      </c>
      <c r="C302" s="31" t="s">
        <v>0</v>
      </c>
      <c r="D302" s="31" t="str">
        <f>IF(csv!F292="","",csv!F292)</f>
        <v>Sandra</v>
      </c>
      <c r="E302" s="31" t="str">
        <f>IF(csv!E292="","",csv!E292)</f>
        <v>Bergant Vidaković</v>
      </c>
      <c r="F302" s="31" t="s">
        <v>0</v>
      </c>
      <c r="G302" s="73" t="str">
        <f>IF(csv!M292="","",csv!M292)</f>
        <v>72:27</v>
      </c>
      <c r="H302" s="73" t="str">
        <f>IF(csv!N292="","",csv!N292)</f>
        <v>0</v>
      </c>
      <c r="I302" s="31" t="s">
        <v>0</v>
      </c>
      <c r="J302" s="31" t="str">
        <f>IF(csv!P292="","",csv!P292)</f>
        <v>KAP</v>
      </c>
      <c r="K302" s="31" t="str">
        <f>IF(csv!Q292="","",csv!Q292)</f>
        <v>OK Kapela</v>
      </c>
      <c r="L302" s="31" t="s">
        <v>0</v>
      </c>
      <c r="M302" s="66" t="str">
        <f>IF(csv!R292="","",csv!R292)</f>
        <v>CRO</v>
      </c>
      <c r="N302" s="47" t="s">
        <v>0</v>
      </c>
      <c r="O302" s="243" t="str">
        <f t="shared" si="263"/>
        <v>ok</v>
      </c>
      <c r="P302" s="47"/>
      <c r="Q302" s="52" t="str">
        <f t="shared" si="264"/>
        <v>Ž35</v>
      </c>
      <c r="R302" s="73">
        <f>IF(Q302="","",IF(COUNTIF(Q$12:Q301,Q302)=0,R301+1,R301))</f>
        <v>19</v>
      </c>
      <c r="S302" s="73">
        <f t="shared" si="265"/>
        <v>117</v>
      </c>
      <c r="T302" s="73">
        <f t="shared" si="240"/>
        <v>26</v>
      </c>
      <c r="U302" s="66" t="str">
        <f t="shared" si="241"/>
        <v>Ž35</v>
      </c>
      <c r="V302" s="47" t="s">
        <v>0</v>
      </c>
      <c r="W302" s="222" t="str">
        <f t="shared" si="242"/>
        <v>Ž35</v>
      </c>
      <c r="X302" s="223">
        <f t="shared" si="243"/>
        <v>41</v>
      </c>
      <c r="Y302" s="47" t="s">
        <v>0</v>
      </c>
      <c r="Z302" s="52" t="str">
        <f t="shared" si="266"/>
        <v>CRO</v>
      </c>
      <c r="AA302" s="73">
        <f t="shared" si="244"/>
        <v>1</v>
      </c>
      <c r="AB302" s="31" t="str">
        <f t="shared" si="267"/>
        <v/>
      </c>
      <c r="AC302" s="66" t="str">
        <f>IF(AB302="","",MAX(AC$12:AC301)+1)</f>
        <v/>
      </c>
      <c r="AD302" s="47" t="s">
        <v>0</v>
      </c>
      <c r="AE302" s="125"/>
      <c r="AF302" s="47" t="s">
        <v>0</v>
      </c>
      <c r="AG302" s="19" t="str">
        <f t="shared" si="268"/>
        <v/>
      </c>
      <c r="AH302" s="47" t="s">
        <v>0</v>
      </c>
      <c r="AI302" s="143" t="str">
        <f t="shared" si="269"/>
        <v>CRO</v>
      </c>
      <c r="AJ302" s="47"/>
      <c r="AK302" s="52" t="str">
        <f t="shared" si="270"/>
        <v>Sandra</v>
      </c>
      <c r="AL302" s="31" t="str">
        <f t="shared" si="271"/>
        <v>Bergant Vidaković</v>
      </c>
      <c r="AM302" s="73">
        <f t="shared" si="272"/>
        <v>1175</v>
      </c>
      <c r="AN302" s="73" t="str">
        <f t="shared" si="273"/>
        <v/>
      </c>
      <c r="AO302" s="31" t="str">
        <f t="shared" si="245"/>
        <v>Sandra</v>
      </c>
      <c r="AP302" s="66" t="str">
        <f t="shared" si="246"/>
        <v>Bergant Vidaković</v>
      </c>
      <c r="AQ302" s="47" t="s">
        <v>0</v>
      </c>
      <c r="AR302" s="82" t="str">
        <f t="shared" si="274"/>
        <v/>
      </c>
      <c r="AS302" s="47" t="s">
        <v>0</v>
      </c>
      <c r="AT302" s="19" t="str">
        <f t="shared" si="275"/>
        <v/>
      </c>
      <c r="AU302" s="47" t="s">
        <v>0</v>
      </c>
      <c r="AV302" s="103"/>
      <c r="AW302" s="105"/>
      <c r="AX302" s="47" t="s">
        <v>0</v>
      </c>
      <c r="AY302" s="256" t="str">
        <f t="shared" si="293"/>
        <v/>
      </c>
      <c r="AZ302" s="47" t="s">
        <v>0</v>
      </c>
      <c r="BA302" s="52" t="str">
        <f t="shared" si="247"/>
        <v/>
      </c>
      <c r="BB302" s="73" t="str">
        <f>IF(AV302&amp;AW302="","",MAX(BB$12:BB301)+1)</f>
        <v/>
      </c>
      <c r="BC302" s="268" t="str">
        <f t="shared" si="248"/>
        <v/>
      </c>
      <c r="BD302" s="53" t="str">
        <f>IF(AND(AM302="NEMA",AN302="NEMA",OR(AV302&amp;AW302="",BC302="NEMA")),MAX(BD$12:BD301)+1,"")</f>
        <v/>
      </c>
      <c r="BE302" s="47" t="s">
        <v>0</v>
      </c>
      <c r="BF302" s="52" t="str">
        <f t="shared" si="249"/>
        <v>Sandra</v>
      </c>
      <c r="BG302" s="31" t="str">
        <f t="shared" si="250"/>
        <v>Bergant Vidaković</v>
      </c>
      <c r="BH302" s="73" t="str">
        <f t="shared" si="276"/>
        <v/>
      </c>
      <c r="BI302" s="53">
        <f t="shared" si="277"/>
        <v>1175</v>
      </c>
      <c r="BJ302" s="47" t="s">
        <v>0</v>
      </c>
      <c r="BK302" s="52" t="str">
        <f t="shared" si="251"/>
        <v>KAP</v>
      </c>
      <c r="BL302" s="31" t="str">
        <f t="shared" si="252"/>
        <v>OK Kapela</v>
      </c>
      <c r="BM302" s="73">
        <f t="shared" si="253"/>
        <v>5</v>
      </c>
      <c r="BN302" s="73" t="str">
        <f t="shared" si="254"/>
        <v/>
      </c>
      <c r="BO302" s="31" t="str" cm="1">
        <f t="array" ref="BO302">IF(BN302="",""&amp;BL302,IF(BN302="NEMA",BL302,INDEX(regKlub_naziv,MATCH(INDEX(regKlub_alias_klubId,BN302),regKlub_id,0))))</f>
        <v>OK Kapela</v>
      </c>
      <c r="BP302" s="31" t="str" cm="1">
        <f t="array" ref="BP302">IFERROR(""&amp;INDEX(regNatjecatelj_klub,DY302),"")</f>
        <v>OK Kapela</v>
      </c>
      <c r="BQ302" s="88" t="str">
        <f t="shared" si="278"/>
        <v/>
      </c>
      <c r="BR302" s="66" t="str">
        <f t="shared" si="279"/>
        <v>OK Kapela</v>
      </c>
      <c r="BS302" s="47" t="s">
        <v>0</v>
      </c>
      <c r="BT302" s="82" t="str">
        <f>IF(BN302&lt;&gt;"NEMA","",IF(IFERROR(MATCH(BL302,BL$12:BL301,0),0)&lt;&gt;0,"",BL302))</f>
        <v/>
      </c>
      <c r="BU302" s="47" t="s">
        <v>0</v>
      </c>
      <c r="BV302" s="125"/>
      <c r="BW302" s="47" t="s">
        <v>0</v>
      </c>
      <c r="BX302" s="58" t="str">
        <f t="shared" si="280"/>
        <v/>
      </c>
      <c r="BY302" s="31" t="str">
        <f t="shared" si="281"/>
        <v/>
      </c>
      <c r="BZ302" s="31" t="str">
        <f>IF(BY302="","",MAX(BZ$12:BZ301)+1)</f>
        <v/>
      </c>
      <c r="CA302" s="31" t="str">
        <f>IF(BY302="","",IF(AA302="","",IF(AA302="NEMA",AC302,AA302)))</f>
        <v/>
      </c>
      <c r="CB302" s="31" t="str">
        <f t="shared" si="282"/>
        <v/>
      </c>
      <c r="CC302" s="31" t="str">
        <f>IF(BV302="","",MAX(CC$12:CC301)+1)</f>
        <v/>
      </c>
      <c r="CD302" s="31" t="str">
        <f t="shared" si="283"/>
        <v/>
      </c>
      <c r="CE302" s="66" t="str">
        <f t="shared" si="284"/>
        <v/>
      </c>
      <c r="CF302" s="47" t="s">
        <v>0</v>
      </c>
      <c r="CG302" s="73" t="str">
        <f>IF(BN302="","",IF(BN302&lt;&gt;"NEMA","",IFERROR(INDEX(nat_klubAliasId,MATCH(BL302,nat_noviKluboviAliasi,0)),"")))</f>
        <v/>
      </c>
      <c r="CH302" s="47"/>
      <c r="CI302" s="19" t="str">
        <f t="shared" si="285"/>
        <v/>
      </c>
      <c r="CJ302" s="47" t="s">
        <v>0</v>
      </c>
      <c r="CK302" s="52" t="str">
        <f>IF(X302&lt;&gt;"NEMA","",IF(IFERROR(MATCH(W302,W$12:W301,0),0)&lt;&gt;0,"",W302))</f>
        <v/>
      </c>
      <c r="CL302" s="73" t="str">
        <f>IF(CK302="","",IFERROR(INDEX(regKlub_alias_id,MATCH(CK302,regKlub_alias_alias,0)),"NEMA"))</f>
        <v/>
      </c>
      <c r="CM302" s="31" t="str">
        <f>IF(OR(CL302="",CL302&lt;&gt;"NEMA"),"",MAX(CM$12:CM301)+1)</f>
        <v/>
      </c>
      <c r="CN302" s="66" t="str">
        <f>IF(OR(CL302="",CL302&lt;&gt;"NEMA"),"",INDEX(regKlub_id,MATCH(CK302,regKlub_naziv,0)))</f>
        <v/>
      </c>
      <c r="CO302" s="47" t="s">
        <v>0</v>
      </c>
      <c r="CP302" s="19" t="str">
        <f>IF(OR(CL302="",CL302&lt;&gt;"NEMA"),"","INSERT INTO klub_alias(id,alias,klub_id) VALUES ("&amp;CM302&amp;",'"&amp;CK302&amp;"',"&amp;CN302&amp;");")</f>
        <v/>
      </c>
      <c r="CQ302" s="47" t="s">
        <v>0</v>
      </c>
      <c r="CR302" s="143" t="str">
        <f>IF(BR302="","",IF(BV302="",IF(IFERROR(MATCH(BR302,nat_noviKluboviAliasi,0),0)&gt;0,INDEX(nat_kluboviAliasi,MATCH(BR302,nat_noviKluboviAliasi,0)),BR302),BV302))</f>
        <v>OK Kapela</v>
      </c>
      <c r="CS302" s="47" t="s">
        <v>0</v>
      </c>
      <c r="CT302" s="58" t="str">
        <f>IF(G302="","",G302)</f>
        <v>72:27</v>
      </c>
      <c r="CU302" s="73" t="str">
        <f>IF(H302="","",H302)</f>
        <v>0</v>
      </c>
      <c r="CV302" s="229" t="str">
        <f>IF(CT302="",IF(OR(AL302="",CU302&lt;&gt;"0"),"","GREŠKA"),IF(AND(65535&gt;=VALUE(LEFT(CT302,SEARCH(":",CT302)-1))*60+VALUE(RIGHT(CT302,2)),OR(CU302="0",CU302="1",CU302="2",CU302="3",CU302="4")),"","GREŠKA"))</f>
        <v/>
      </c>
      <c r="CW302" s="230">
        <f t="shared" si="239"/>
        <v>4347</v>
      </c>
      <c r="CX302" s="163">
        <f t="shared" si="255"/>
        <v>1</v>
      </c>
      <c r="CY302" s="47" t="s">
        <v>0</v>
      </c>
      <c r="CZ302" s="222" t="str">
        <f>IF(CV302&lt;&gt;"GREŠKA","",AK302&amp;" "&amp;AL302&amp;" – Molim u OEventu provjeriti i ispraviti rezultat – vrijeme ("&amp;IF(CT302="","nije upisano",CT302)&amp;") i classifier ("&amp;CU302&amp;").")&amp;IF(OR(CV302&lt;&gt;"GREŠKA",CX302&lt;&gt;5),"
","")&amp;IF(CX302&lt;&gt;5,"",AK302&amp;" "&amp;AL302&amp;" – Molim u provjeriti je li natjecatelj zaista diskvalificiran. Ako je koje je obrazloženje, ako nije molim u OEventu ispraviti rezultat")</f>
        <v xml:space="preserve">
</v>
      </c>
      <c r="DA302" s="223">
        <f t="shared" si="286"/>
        <v>6</v>
      </c>
      <c r="DB302" s="47" t="s">
        <v>0</v>
      </c>
      <c r="DC302" s="47"/>
      <c r="DD302" s="47"/>
      <c r="DE302" s="47"/>
      <c r="DF302" s="47" t="s">
        <v>0</v>
      </c>
      <c r="DG302" s="53" t="str">
        <f>IF(BD302="","",IF(DI302="O",1,""))</f>
        <v/>
      </c>
      <c r="DH302" t="s">
        <v>0</v>
      </c>
      <c r="DI302" s="128" t="str">
        <f>IF(Q302="","",LEFT(INDEX(regKategorija_oznaka,MATCH(S302,regKategorija_id,0)),1))</f>
        <v>Ž</v>
      </c>
      <c r="DJ302" t="s">
        <v>0</v>
      </c>
      <c r="DK302" s="52" t="str">
        <f>IF(BD302="","",IF(M302&lt;&gt;"CRO","","INSERT INTO osoba (id,reg_broj,oib,spol_id,dat_rodjenja) VALUES ("&amp;BD302&amp;",(SELECT max(os.reg_broj)+1 FROM osoba AS os),Null,'"&amp;DI302&amp;"',Null); INSERT INTO osoba_log (id,reg_broj,oib,spol_id,dat_rodjenja,dnevnik_id) SELECT id,reg_broj,oib,spol_id,dat_rodjenja,"&amp;data_dnevnik_id&amp;" FROM osoba WHERE id = "&amp;BD302&amp;";"))</f>
        <v/>
      </c>
      <c r="DL302" s="66" t="str">
        <f>IF(BD302="","","INSERT INTO imeprezime (id,osoba_id,rbr,ime,prezime,klub_id,identitet_id,sintaksa_id,info,aktivno,dnevnik_id) VALUES ("&amp;BD302&amp;","&amp;IF(DK302="","Null",BD302)&amp;",1,'"&amp;IF(AV302&lt;&gt;"",AV302,AK302)&amp;"','"&amp;IF(AW302&lt;&gt;"",AW302,AL302)&amp;"',(SELECT id FROM klub WHERE naziv = '"&amp;CR302&amp;"'),Null,1,'',1,"&amp;data_dnevnik_id&amp;");")</f>
        <v/>
      </c>
      <c r="DM302" t="s">
        <v>0</v>
      </c>
      <c r="DN302" s="19" t="str">
        <f t="shared" si="294"/>
        <v/>
      </c>
      <c r="DO302" s="47" t="s">
        <v>0</v>
      </c>
      <c r="DP302" s="19" t="str">
        <f>IF(BA302="","","INSERT INTO imeprezime_alias(id,alias,imeprezime_id) VALUES ("&amp;BB302&amp;",'"&amp;BA302&amp;"',"&amp;IF(BC302="NEMA",BD302,BC302)&amp;");")</f>
        <v/>
      </c>
      <c r="DQ302" s="47" t="s">
        <v>0</v>
      </c>
      <c r="DR302" s="52" t="str">
        <f>IF(AL302="","",DU302 &amp; IF(Q302="",""," – " &amp; Q302))</f>
        <v>Sandra – Bergant Vidaković – OK Kapela – Ž35</v>
      </c>
      <c r="DS302" s="53">
        <f t="shared" si="256"/>
        <v>209</v>
      </c>
      <c r="DT302" s="47" t="s">
        <v>0</v>
      </c>
      <c r="DU302" s="52" t="str">
        <f>IF(AL302="","",DX302 &amp; IF(CR302="",""," – " &amp; CR302))</f>
        <v>Sandra – Bergant Vidaković – OK Kapela</v>
      </c>
      <c r="DV302" s="53">
        <f t="shared" si="257"/>
        <v>209</v>
      </c>
      <c r="DW302" s="47" t="s">
        <v>0</v>
      </c>
      <c r="DX302" s="52" t="str">
        <f>IF(BG302="","",BF302&amp;" – "&amp;BG302)</f>
        <v>Sandra – Bergant Vidaković</v>
      </c>
      <c r="DY302" s="53">
        <f t="shared" si="258"/>
        <v>209</v>
      </c>
      <c r="DZ302" s="47" t="s">
        <v>0</v>
      </c>
      <c r="EA302" s="58">
        <f t="shared" si="287"/>
        <v>209</v>
      </c>
      <c r="EB302" s="53" cm="1">
        <f t="array" ref="EB302">IF(EA302&lt;&gt;"",INDEX(regNatjecatelj_id,EA302,0),IF(BD302&lt;&gt;"",BD302,""))</f>
        <v>1175</v>
      </c>
      <c r="EC302" s="47" t="s">
        <v>0</v>
      </c>
      <c r="ED302" s="58" t="str">
        <f>IF(AL302="","",IF(BD302&lt;&gt;"","novo",IF(AN302="","imepre","imepre(ali)")))</f>
        <v>imepre</v>
      </c>
      <c r="EE302" s="73" t="str">
        <f>IF(AL302="","",IF(BL302="",IF(IFERROR(INDEX(regNatjecatelj_klub,MATCH(EB302,regNatjecatelj_id,0)),"NEMA")="","klu",""),IF(OR(AND(BN302&lt;&gt;"",BN302&lt;&gt;"NEMA"),CD302&lt;&gt;""),"klu(ali)",IF(AND(BP302&lt;&gt;"",BP302&lt;&gt;BO302),"(raz-klu)","klu"))))</f>
        <v>klu</v>
      </c>
      <c r="EF302" s="73" t="str">
        <f>IF(AL302="","","kat"&amp;IF(AND(W302&lt;&gt;Q302,Q302&lt;&gt;"Open"),"(ali)",""))</f>
        <v>kat</v>
      </c>
      <c r="EG302" s="73" t="str">
        <f t="shared" si="259"/>
        <v/>
      </c>
      <c r="EH302" s="66" t="str">
        <f>IF(AL302="","",ED302&amp;IF(ED302="novo","","-"&amp;EE302&amp;"-"&amp;EF302)&amp;IF(EG302="","","-"&amp;EG302))</f>
        <v>imepre-klu-kat</v>
      </c>
      <c r="EI302" s="47" t="s">
        <v>0</v>
      </c>
      <c r="EJ302" s="58">
        <f>IF(AL302="","",MAX(EJ$12:EJ301)+1)</f>
        <v>452</v>
      </c>
      <c r="EK302" s="73">
        <f>IF(AO302="","",X302)</f>
        <v>41</v>
      </c>
      <c r="EL302" s="73">
        <f t="shared" si="288"/>
        <v>1175</v>
      </c>
      <c r="EM302" s="73">
        <f t="shared" si="260"/>
        <v>4347</v>
      </c>
      <c r="EN302" s="73">
        <f t="shared" si="261"/>
        <v>1</v>
      </c>
      <c r="EO302" s="73">
        <f t="shared" si="289"/>
        <v>1</v>
      </c>
      <c r="EP302" s="73">
        <f t="shared" si="290"/>
        <v>1</v>
      </c>
      <c r="EQ302" s="73" t="str">
        <f t="shared" si="262"/>
        <v>0</v>
      </c>
      <c r="ER302" s="73" t="str">
        <f>IF(OR(AN302="",AN302="NEMA"),BB302,AN302)</f>
        <v/>
      </c>
      <c r="ES302" s="73" t="str">
        <f>IF(AND(BN302&lt;&gt;"",BN302&lt;&gt;"NEMA"),BN302,IF(CG302&lt;&gt;"",CG302,IF(AND(CL302&lt;&gt;"",CL302&lt;&gt;"NEMA"),CL302,IF(CM302&lt;&gt;"",CM302,""))))</f>
        <v/>
      </c>
      <c r="ET302" s="53" t="str">
        <f>IF(INDEX(natKategorija_alias_Id,MATCH(S302,natKategorija_katRegId,0))="","",INDEX(natKategorija_alias_Id,MATCH(S302,natKategorija_katRegId,0)))</f>
        <v/>
      </c>
      <c r="EU302" s="47" t="s">
        <v>0</v>
      </c>
      <c r="EV302" s="19" t="str">
        <f t="shared" si="291"/>
        <v>INSERT INTO rezultat(id,stazakategorija_id,imeprezime_id,vrijeme_sec,status_id,registracija,uparivanje_id,originalstatus_id,imeprezimealias_id,klubalias_id,kategorijaalias_id) VALUES (452,41,1175,4347,1,1,1,0,Null,Null,Null);</v>
      </c>
      <c r="EW302" s="47" t="s">
        <v>0</v>
      </c>
      <c r="EX302" s="19" t="str">
        <f t="shared" si="292"/>
        <v>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02" s="47" t="s">
        <v>0</v>
      </c>
      <c r="EZ302" s="180" t="str">
        <f>AG302&amp;IF(CP302="","","
")&amp;CP302&amp;IF(CI302="","","
")&amp;CI302&amp;IF(DN302="","","
")&amp;DN302&amp;IF(DP302="","","
")&amp;DP302&amp;IF(EV302="","","
")&amp;EV302&amp;IF(EX302="","","
")&amp;EX302</f>
        <v xml:space="preserve">
INSERT INTO rezultat(id,stazakategorija_id,imeprezime_id,vrijeme_sec,status_id,registracija,uparivanje_id,originalstatus_id,imeprezimealias_id,klubalias_id,kategorijaalias_id) VALUES (452,41,1175,4347,1,1,1,0,Null,Null,Null);
UPDATE
	registar
SET
	potvrda = 1
WHERE
	imeprezime_id=1175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02" s="47" t="s">
        <v>0</v>
      </c>
    </row>
    <row r="303" spans="1:157" x14ac:dyDescent="0.25">
      <c r="A303" t="s">
        <v>0</v>
      </c>
      <c r="B303" s="52" t="str">
        <f>IF(csv!F293="","",csv!T293)</f>
        <v>Ž35</v>
      </c>
      <c r="C303" s="31" t="s">
        <v>0</v>
      </c>
      <c r="D303" s="31" t="str">
        <f>IF(csv!F293="","",csv!F293)</f>
        <v>Aida</v>
      </c>
      <c r="E303" s="31" t="str">
        <f>IF(csv!E293="","",csv!E293)</f>
        <v>Krkić Drobić</v>
      </c>
      <c r="F303" s="31" t="s">
        <v>0</v>
      </c>
      <c r="G303" s="73" t="str">
        <f>IF(csv!M293="","",csv!M293)</f>
        <v>74:44</v>
      </c>
      <c r="H303" s="73" t="str">
        <f>IF(csv!N293="","",csv!N293)</f>
        <v>0</v>
      </c>
      <c r="I303" s="31" t="s">
        <v>0</v>
      </c>
      <c r="J303" s="31" t="str">
        <f>IF(csv!P293="","",csv!P293)</f>
        <v>KAP</v>
      </c>
      <c r="K303" s="31" t="str">
        <f>IF(csv!Q293="","",csv!Q293)</f>
        <v>OK Kapela</v>
      </c>
      <c r="L303" s="31" t="s">
        <v>0</v>
      </c>
      <c r="M303" s="66" t="str">
        <f>IF(csv!R293="","",csv!R293)</f>
        <v>CRO</v>
      </c>
      <c r="N303" s="47" t="s">
        <v>0</v>
      </c>
      <c r="O303" s="243" t="str">
        <f t="shared" si="263"/>
        <v>ok</v>
      </c>
      <c r="P303" s="47"/>
      <c r="Q303" s="52" t="str">
        <f t="shared" si="264"/>
        <v>Ž35</v>
      </c>
      <c r="R303" s="73">
        <f>IF(Q303="","",IF(COUNTIF(Q$12:Q302,Q303)=0,R302+1,R302))</f>
        <v>19</v>
      </c>
      <c r="S303" s="73">
        <f t="shared" si="265"/>
        <v>117</v>
      </c>
      <c r="T303" s="73">
        <f t="shared" si="240"/>
        <v>26</v>
      </c>
      <c r="U303" s="66" t="str">
        <f t="shared" si="241"/>
        <v>Ž35</v>
      </c>
      <c r="V303" s="47" t="s">
        <v>0</v>
      </c>
      <c r="W303" s="222" t="str">
        <f t="shared" si="242"/>
        <v>Ž35</v>
      </c>
      <c r="X303" s="223">
        <f t="shared" si="243"/>
        <v>41</v>
      </c>
      <c r="Y303" s="47" t="s">
        <v>0</v>
      </c>
      <c r="Z303" s="52" t="str">
        <f t="shared" si="266"/>
        <v>CRO</v>
      </c>
      <c r="AA303" s="73">
        <f t="shared" si="244"/>
        <v>1</v>
      </c>
      <c r="AB303" s="31" t="str">
        <f t="shared" si="267"/>
        <v/>
      </c>
      <c r="AC303" s="66" t="str">
        <f>IF(AB303="","",MAX(AC$12:AC302)+1)</f>
        <v/>
      </c>
      <c r="AD303" s="47" t="s">
        <v>0</v>
      </c>
      <c r="AE303" s="125"/>
      <c r="AF303" s="47" t="s">
        <v>0</v>
      </c>
      <c r="AG303" s="19" t="str">
        <f t="shared" si="268"/>
        <v/>
      </c>
      <c r="AH303" s="47" t="s">
        <v>0</v>
      </c>
      <c r="AI303" s="143" t="str">
        <f t="shared" si="269"/>
        <v>CRO</v>
      </c>
      <c r="AJ303" s="47"/>
      <c r="AK303" s="52" t="str">
        <f t="shared" si="270"/>
        <v>Aida</v>
      </c>
      <c r="AL303" s="31" t="str">
        <f t="shared" si="271"/>
        <v>Krkić Drobić</v>
      </c>
      <c r="AM303" s="73">
        <f t="shared" si="272"/>
        <v>1331</v>
      </c>
      <c r="AN303" s="73" t="str">
        <f t="shared" si="273"/>
        <v/>
      </c>
      <c r="AO303" s="31" t="str">
        <f t="shared" si="245"/>
        <v>Aida</v>
      </c>
      <c r="AP303" s="66" t="str">
        <f t="shared" si="246"/>
        <v>Krkić Drobić</v>
      </c>
      <c r="AQ303" s="47" t="s">
        <v>0</v>
      </c>
      <c r="AR303" s="82" t="str">
        <f t="shared" si="274"/>
        <v/>
      </c>
      <c r="AS303" s="47" t="s">
        <v>0</v>
      </c>
      <c r="AT303" s="19" t="str">
        <f t="shared" si="275"/>
        <v/>
      </c>
      <c r="AU303" s="47" t="s">
        <v>0</v>
      </c>
      <c r="AV303" s="103"/>
      <c r="AW303" s="105"/>
      <c r="AX303" s="47" t="s">
        <v>0</v>
      </c>
      <c r="AY303" s="256" t="str">
        <f t="shared" si="293"/>
        <v/>
      </c>
      <c r="AZ303" s="47" t="s">
        <v>0</v>
      </c>
      <c r="BA303" s="52" t="str">
        <f t="shared" si="247"/>
        <v/>
      </c>
      <c r="BB303" s="73" t="str">
        <f>IF(AV303&amp;AW303="","",MAX(BB$12:BB302)+1)</f>
        <v/>
      </c>
      <c r="BC303" s="268" t="str">
        <f t="shared" si="248"/>
        <v/>
      </c>
      <c r="BD303" s="53" t="str">
        <f>IF(AND(AM303="NEMA",AN303="NEMA",OR(AV303&amp;AW303="",BC303="NEMA")),MAX(BD$12:BD302)+1,"")</f>
        <v/>
      </c>
      <c r="BE303" s="47" t="s">
        <v>0</v>
      </c>
      <c r="BF303" s="52" t="str">
        <f t="shared" si="249"/>
        <v>Aida</v>
      </c>
      <c r="BG303" s="31" t="str">
        <f t="shared" si="250"/>
        <v>Krkić Drobić</v>
      </c>
      <c r="BH303" s="73" t="str">
        <f t="shared" si="276"/>
        <v/>
      </c>
      <c r="BI303" s="53">
        <f t="shared" si="277"/>
        <v>1331</v>
      </c>
      <c r="BJ303" s="47" t="s">
        <v>0</v>
      </c>
      <c r="BK303" s="52" t="str">
        <f t="shared" si="251"/>
        <v>KAP</v>
      </c>
      <c r="BL303" s="31" t="str">
        <f t="shared" si="252"/>
        <v>OK Kapela</v>
      </c>
      <c r="BM303" s="73">
        <f t="shared" si="253"/>
        <v>5</v>
      </c>
      <c r="BN303" s="73" t="str">
        <f t="shared" si="254"/>
        <v/>
      </c>
      <c r="BO303" s="31" t="str" cm="1">
        <f t="array" ref="BO303">IF(BN303="",""&amp;BL303,IF(BN303="NEMA",BL303,INDEX(regKlub_naziv,MATCH(INDEX(regKlub_alias_klubId,BN303),regKlub_id,0))))</f>
        <v>OK Kapela</v>
      </c>
      <c r="BP303" s="31" t="str" cm="1">
        <f t="array" ref="BP303">IFERROR(""&amp;INDEX(regNatjecatelj_klub,DY303),"")</f>
        <v>OK Kapela</v>
      </c>
      <c r="BQ303" s="88" t="str">
        <f t="shared" si="278"/>
        <v/>
      </c>
      <c r="BR303" s="66" t="str">
        <f t="shared" si="279"/>
        <v>OK Kapela</v>
      </c>
      <c r="BS303" s="47" t="s">
        <v>0</v>
      </c>
      <c r="BT303" s="82" t="str">
        <f>IF(BN303&lt;&gt;"NEMA","",IF(IFERROR(MATCH(BL303,BL$12:BL302,0),0)&lt;&gt;0,"",BL303))</f>
        <v/>
      </c>
      <c r="BU303" s="47" t="s">
        <v>0</v>
      </c>
      <c r="BV303" s="125"/>
      <c r="BW303" s="47" t="s">
        <v>0</v>
      </c>
      <c r="BX303" s="58" t="str">
        <f t="shared" si="280"/>
        <v/>
      </c>
      <c r="BY303" s="31" t="str">
        <f t="shared" si="281"/>
        <v/>
      </c>
      <c r="BZ303" s="31" t="str">
        <f>IF(BY303="","",MAX(BZ$12:BZ302)+1)</f>
        <v/>
      </c>
      <c r="CA303" s="31" t="str">
        <f>IF(BY303="","",IF(AA303="","",IF(AA303="NEMA",AC303,AA303)))</f>
        <v/>
      </c>
      <c r="CB303" s="31" t="str">
        <f t="shared" si="282"/>
        <v/>
      </c>
      <c r="CC303" s="31" t="str">
        <f>IF(BV303="","",MAX(CC$12:CC302)+1)</f>
        <v/>
      </c>
      <c r="CD303" s="31" t="str">
        <f t="shared" si="283"/>
        <v/>
      </c>
      <c r="CE303" s="66" t="str">
        <f t="shared" si="284"/>
        <v/>
      </c>
      <c r="CF303" s="47" t="s">
        <v>0</v>
      </c>
      <c r="CG303" s="73" t="str">
        <f>IF(BN303="","",IF(BN303&lt;&gt;"NEMA","",IFERROR(INDEX(nat_klubAliasId,MATCH(BL303,nat_noviKluboviAliasi,0)),"")))</f>
        <v/>
      </c>
      <c r="CH303" s="47"/>
      <c r="CI303" s="19" t="str">
        <f t="shared" si="285"/>
        <v/>
      </c>
      <c r="CJ303" s="47" t="s">
        <v>0</v>
      </c>
      <c r="CK303" s="52" t="str">
        <f>IF(X303&lt;&gt;"NEMA","",IF(IFERROR(MATCH(W303,W$12:W302,0),0)&lt;&gt;0,"",W303))</f>
        <v/>
      </c>
      <c r="CL303" s="73" t="str">
        <f>IF(CK303="","",IFERROR(INDEX(regKlub_alias_id,MATCH(CK303,regKlub_alias_alias,0)),"NEMA"))</f>
        <v/>
      </c>
      <c r="CM303" s="31" t="str">
        <f>IF(OR(CL303="",CL303&lt;&gt;"NEMA"),"",MAX(CM$12:CM302)+1)</f>
        <v/>
      </c>
      <c r="CN303" s="66" t="str">
        <f>IF(OR(CL303="",CL303&lt;&gt;"NEMA"),"",INDEX(regKlub_id,MATCH(CK303,regKlub_naziv,0)))</f>
        <v/>
      </c>
      <c r="CO303" s="47" t="s">
        <v>0</v>
      </c>
      <c r="CP303" s="19" t="str">
        <f>IF(OR(CL303="",CL303&lt;&gt;"NEMA"),"","INSERT INTO klub_alias(id,alias,klub_id) VALUES ("&amp;CM303&amp;",'"&amp;CK303&amp;"',"&amp;CN303&amp;");")</f>
        <v/>
      </c>
      <c r="CQ303" s="47" t="s">
        <v>0</v>
      </c>
      <c r="CR303" s="143" t="str">
        <f>IF(BR303="","",IF(BV303="",IF(IFERROR(MATCH(BR303,nat_noviKluboviAliasi,0),0)&gt;0,INDEX(nat_kluboviAliasi,MATCH(BR303,nat_noviKluboviAliasi,0)),BR303),BV303))</f>
        <v>OK Kapela</v>
      </c>
      <c r="CS303" s="47" t="s">
        <v>0</v>
      </c>
      <c r="CT303" s="58" t="str">
        <f>IF(G303="","",G303)</f>
        <v>74:44</v>
      </c>
      <c r="CU303" s="73" t="str">
        <f>IF(H303="","",H303)</f>
        <v>0</v>
      </c>
      <c r="CV303" s="229" t="str">
        <f>IF(CT303="",IF(OR(AL303="",CU303&lt;&gt;"0"),"","GREŠKA"),IF(AND(65535&gt;=VALUE(LEFT(CT303,SEARCH(":",CT303)-1))*60+VALUE(RIGHT(CT303,2)),OR(CU303="0",CU303="1",CU303="2",CU303="3",CU303="4")),"","GREŠKA"))</f>
        <v/>
      </c>
      <c r="CW303" s="230">
        <f t="shared" si="239"/>
        <v>4484</v>
      </c>
      <c r="CX303" s="163">
        <f t="shared" si="255"/>
        <v>1</v>
      </c>
      <c r="CY303" s="47" t="s">
        <v>0</v>
      </c>
      <c r="CZ303" s="222" t="str">
        <f>IF(CV303&lt;&gt;"GREŠKA","",AK303&amp;" "&amp;AL303&amp;" – Molim u OEventu provjeriti i ispraviti rezultat – vrijeme ("&amp;IF(CT303="","nije upisano",CT303)&amp;") i classifier ("&amp;CU303&amp;").")&amp;IF(OR(CV303&lt;&gt;"GREŠKA",CX303&lt;&gt;5),"
","")&amp;IF(CX303&lt;&gt;5,"",AK303&amp;" "&amp;AL303&amp;" – Molim u provjeriti je li natjecatelj zaista diskvalificiran. Ako je koje je obrazloženje, ako nije molim u OEventu ispraviti rezultat")</f>
        <v xml:space="preserve">
</v>
      </c>
      <c r="DA303" s="223">
        <f t="shared" si="286"/>
        <v>6</v>
      </c>
      <c r="DB303" s="47" t="s">
        <v>0</v>
      </c>
      <c r="DC303" s="47"/>
      <c r="DD303" s="47"/>
      <c r="DE303" s="47"/>
      <c r="DF303" s="47" t="s">
        <v>0</v>
      </c>
      <c r="DG303" s="53" t="str">
        <f>IF(BD303="","",IF(DI303="O",1,""))</f>
        <v/>
      </c>
      <c r="DH303" t="s">
        <v>0</v>
      </c>
      <c r="DI303" s="128" t="str">
        <f>IF(Q303="","",LEFT(INDEX(regKategorija_oznaka,MATCH(S303,regKategorija_id,0)),1))</f>
        <v>Ž</v>
      </c>
      <c r="DJ303" t="s">
        <v>0</v>
      </c>
      <c r="DK303" s="52" t="str">
        <f>IF(BD303="","",IF(M303&lt;&gt;"CRO","","INSERT INTO osoba (id,reg_broj,oib,spol_id,dat_rodjenja) VALUES ("&amp;BD303&amp;",(SELECT max(os.reg_broj)+1 FROM osoba AS os),Null,'"&amp;DI303&amp;"',Null); INSERT INTO osoba_log (id,reg_broj,oib,spol_id,dat_rodjenja,dnevnik_id) SELECT id,reg_broj,oib,spol_id,dat_rodjenja,"&amp;data_dnevnik_id&amp;" FROM osoba WHERE id = "&amp;BD303&amp;";"))</f>
        <v/>
      </c>
      <c r="DL303" s="66" t="str">
        <f>IF(BD303="","","INSERT INTO imeprezime (id,osoba_id,rbr,ime,prezime,klub_id,identitet_id,sintaksa_id,info,aktivno,dnevnik_id) VALUES ("&amp;BD303&amp;","&amp;IF(DK303="","Null",BD303)&amp;",1,'"&amp;IF(AV303&lt;&gt;"",AV303,AK303)&amp;"','"&amp;IF(AW303&lt;&gt;"",AW303,AL303)&amp;"',(SELECT id FROM klub WHERE naziv = '"&amp;CR303&amp;"'),Null,1,'',1,"&amp;data_dnevnik_id&amp;");")</f>
        <v/>
      </c>
      <c r="DM303" t="s">
        <v>0</v>
      </c>
      <c r="DN303" s="19" t="str">
        <f t="shared" si="294"/>
        <v/>
      </c>
      <c r="DO303" s="47" t="s">
        <v>0</v>
      </c>
      <c r="DP303" s="19" t="str">
        <f>IF(BA303="","","INSERT INTO imeprezime_alias(id,alias,imeprezime_id) VALUES ("&amp;BB303&amp;",'"&amp;BA303&amp;"',"&amp;IF(BC303="NEMA",BD303,BC303)&amp;");")</f>
        <v/>
      </c>
      <c r="DQ303" s="47" t="s">
        <v>0</v>
      </c>
      <c r="DR303" s="52" t="str">
        <f>IF(AL303="","",DU303 &amp; IF(Q303="",""," – " &amp; Q303))</f>
        <v>Aida – Krkić Drobić – OK Kapela – Ž35</v>
      </c>
      <c r="DS303" s="53">
        <f t="shared" si="256"/>
        <v>271</v>
      </c>
      <c r="DT303" s="47" t="s">
        <v>0</v>
      </c>
      <c r="DU303" s="52" t="str">
        <f>IF(AL303="","",DX303 &amp; IF(CR303="",""," – " &amp; CR303))</f>
        <v>Aida – Krkić Drobić – OK Kapela</v>
      </c>
      <c r="DV303" s="53">
        <f t="shared" si="257"/>
        <v>271</v>
      </c>
      <c r="DW303" s="47" t="s">
        <v>0</v>
      </c>
      <c r="DX303" s="52" t="str">
        <f>IF(BG303="","",BF303&amp;" – "&amp;BG303)</f>
        <v>Aida – Krkić Drobić</v>
      </c>
      <c r="DY303" s="53">
        <f t="shared" si="258"/>
        <v>271</v>
      </c>
      <c r="DZ303" s="47" t="s">
        <v>0</v>
      </c>
      <c r="EA303" s="58">
        <f t="shared" si="287"/>
        <v>271</v>
      </c>
      <c r="EB303" s="53" cm="1">
        <f t="array" ref="EB303">IF(EA303&lt;&gt;"",INDEX(regNatjecatelj_id,EA303,0),IF(BD303&lt;&gt;"",BD303,""))</f>
        <v>1331</v>
      </c>
      <c r="EC303" s="47" t="s">
        <v>0</v>
      </c>
      <c r="ED303" s="58" t="str">
        <f>IF(AL303="","",IF(BD303&lt;&gt;"","novo",IF(AN303="","imepre","imepre(ali)")))</f>
        <v>imepre</v>
      </c>
      <c r="EE303" s="73" t="str">
        <f>IF(AL303="","",IF(BL303="",IF(IFERROR(INDEX(regNatjecatelj_klub,MATCH(EB303,regNatjecatelj_id,0)),"NEMA")="","klu",""),IF(OR(AND(BN303&lt;&gt;"",BN303&lt;&gt;"NEMA"),CD303&lt;&gt;""),"klu(ali)",IF(AND(BP303&lt;&gt;"",BP303&lt;&gt;BO303),"(raz-klu)","klu"))))</f>
        <v>klu</v>
      </c>
      <c r="EF303" s="73" t="str">
        <f>IF(AL303="","","kat"&amp;IF(AND(W303&lt;&gt;Q303,Q303&lt;&gt;"Open"),"(ali)",""))</f>
        <v>kat</v>
      </c>
      <c r="EG303" s="73" t="str">
        <f t="shared" si="259"/>
        <v/>
      </c>
      <c r="EH303" s="66" t="str">
        <f>IF(AL303="","",ED303&amp;IF(ED303="novo","","-"&amp;EE303&amp;"-"&amp;EF303)&amp;IF(EG303="","","-"&amp;EG303))</f>
        <v>imepre-klu-kat</v>
      </c>
      <c r="EI303" s="47" t="s">
        <v>0</v>
      </c>
      <c r="EJ303" s="58">
        <f>IF(AL303="","",MAX(EJ$12:EJ302)+1)</f>
        <v>453</v>
      </c>
      <c r="EK303" s="73">
        <f>IF(AO303="","",X303)</f>
        <v>41</v>
      </c>
      <c r="EL303" s="73">
        <f t="shared" si="288"/>
        <v>1331</v>
      </c>
      <c r="EM303" s="73">
        <f t="shared" si="260"/>
        <v>4484</v>
      </c>
      <c r="EN303" s="73">
        <f t="shared" si="261"/>
        <v>1</v>
      </c>
      <c r="EO303" s="73">
        <f t="shared" si="289"/>
        <v>1</v>
      </c>
      <c r="EP303" s="73">
        <f t="shared" si="290"/>
        <v>1</v>
      </c>
      <c r="EQ303" s="73" t="str">
        <f t="shared" si="262"/>
        <v>0</v>
      </c>
      <c r="ER303" s="73" t="str">
        <f>IF(OR(AN303="",AN303="NEMA"),BB303,AN303)</f>
        <v/>
      </c>
      <c r="ES303" s="73" t="str">
        <f>IF(AND(BN303&lt;&gt;"",BN303&lt;&gt;"NEMA"),BN303,IF(CG303&lt;&gt;"",CG303,IF(AND(CL303&lt;&gt;"",CL303&lt;&gt;"NEMA"),CL303,IF(CM303&lt;&gt;"",CM303,""))))</f>
        <v/>
      </c>
      <c r="ET303" s="53" t="str">
        <f>IF(INDEX(natKategorija_alias_Id,MATCH(S303,natKategorija_katRegId,0))="","",INDEX(natKategorija_alias_Id,MATCH(S303,natKategorija_katRegId,0)))</f>
        <v/>
      </c>
      <c r="EU303" s="47" t="s">
        <v>0</v>
      </c>
      <c r="EV303" s="19" t="str">
        <f t="shared" si="291"/>
        <v>INSERT INTO rezultat(id,stazakategorija_id,imeprezime_id,vrijeme_sec,status_id,registracija,uparivanje_id,originalstatus_id,imeprezimealias_id,klubalias_id,kategorijaalias_id) VALUES (453,41,1331,4484,1,1,1,0,Null,Null,Null);</v>
      </c>
      <c r="EW303" s="47" t="s">
        <v>0</v>
      </c>
      <c r="EX303" s="19" t="str">
        <f t="shared" si="292"/>
        <v>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03" s="47" t="s">
        <v>0</v>
      </c>
      <c r="EZ303" s="180" t="str">
        <f>AG303&amp;IF(CP303="","","
")&amp;CP303&amp;IF(CI303="","","
")&amp;CI303&amp;IF(DN303="","","
")&amp;DN303&amp;IF(DP303="","","
")&amp;DP303&amp;IF(EV303="","","
")&amp;EV303&amp;IF(EX303="","","
")&amp;EX303</f>
        <v xml:space="preserve">
INSERT INTO rezultat(id,stazakategorija_id,imeprezime_id,vrijeme_sec,status_id,registracija,uparivanje_id,originalstatus_id,imeprezimealias_id,klubalias_id,kategorijaalias_id) VALUES (453,41,1331,4484,1,1,1,0,Null,Null,Null);
UPDATE
	registar
SET
	potvrda = 1
WHERE
	imeprezime_id=1331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03" s="47" t="s">
        <v>0</v>
      </c>
    </row>
    <row r="304" spans="1:157" x14ac:dyDescent="0.25">
      <c r="A304" t="s">
        <v>0</v>
      </c>
      <c r="B304" s="52" t="str">
        <f>IF(csv!F294="","",csv!T294)</f>
        <v>Ž35</v>
      </c>
      <c r="C304" s="31" t="s">
        <v>0</v>
      </c>
      <c r="D304" s="31" t="str">
        <f>IF(csv!F294="","",csv!F294)</f>
        <v>Iva</v>
      </c>
      <c r="E304" s="31" t="str">
        <f>IF(csv!E294="","",csv!E294)</f>
        <v>Tatić</v>
      </c>
      <c r="F304" s="31" t="s">
        <v>0</v>
      </c>
      <c r="G304" s="73" t="str">
        <f>IF(csv!M294="","",csv!M294)</f>
        <v>92:09</v>
      </c>
      <c r="H304" s="73" t="str">
        <f>IF(csv!N294="","",csv!N294)</f>
        <v>0</v>
      </c>
      <c r="I304" s="31" t="s">
        <v>0</v>
      </c>
      <c r="J304" s="31" t="str">
        <f>IF(csv!P294="","",csv!P294)</f>
        <v>Vihor</v>
      </c>
      <c r="K304" s="31" t="str">
        <f>IF(csv!Q294="","",csv!Q294)</f>
        <v>OK Vihor</v>
      </c>
      <c r="L304" s="31" t="s">
        <v>0</v>
      </c>
      <c r="M304" s="66" t="str">
        <f>IF(csv!R294="","",csv!R294)</f>
        <v>CRO</v>
      </c>
      <c r="N304" s="47" t="s">
        <v>0</v>
      </c>
      <c r="O304" s="243" t="str">
        <f t="shared" si="263"/>
        <v>ok</v>
      </c>
      <c r="P304" s="47"/>
      <c r="Q304" s="52" t="str">
        <f t="shared" si="264"/>
        <v>Ž35</v>
      </c>
      <c r="R304" s="73">
        <f>IF(Q304="","",IF(COUNTIF(Q$12:Q303,Q304)=0,R303+1,R303))</f>
        <v>19</v>
      </c>
      <c r="S304" s="73">
        <f t="shared" si="265"/>
        <v>117</v>
      </c>
      <c r="T304" s="73">
        <f t="shared" si="240"/>
        <v>26</v>
      </c>
      <c r="U304" s="66" t="str">
        <f t="shared" si="241"/>
        <v>Ž35</v>
      </c>
      <c r="V304" s="47" t="s">
        <v>0</v>
      </c>
      <c r="W304" s="222" t="str">
        <f t="shared" si="242"/>
        <v>Ž35</v>
      </c>
      <c r="X304" s="223">
        <f t="shared" si="243"/>
        <v>41</v>
      </c>
      <c r="Y304" s="47" t="s">
        <v>0</v>
      </c>
      <c r="Z304" s="52" t="str">
        <f t="shared" si="266"/>
        <v>CRO</v>
      </c>
      <c r="AA304" s="73">
        <f t="shared" si="244"/>
        <v>1</v>
      </c>
      <c r="AB304" s="31" t="str">
        <f t="shared" si="267"/>
        <v/>
      </c>
      <c r="AC304" s="66" t="str">
        <f>IF(AB304="","",MAX(AC$12:AC303)+1)</f>
        <v/>
      </c>
      <c r="AD304" s="47" t="s">
        <v>0</v>
      </c>
      <c r="AE304" s="125"/>
      <c r="AF304" s="47" t="s">
        <v>0</v>
      </c>
      <c r="AG304" s="19" t="str">
        <f t="shared" si="268"/>
        <v/>
      </c>
      <c r="AH304" s="47" t="s">
        <v>0</v>
      </c>
      <c r="AI304" s="143" t="str">
        <f t="shared" si="269"/>
        <v>CRO</v>
      </c>
      <c r="AJ304" s="47"/>
      <c r="AK304" s="52" t="str">
        <f t="shared" si="270"/>
        <v>Iva</v>
      </c>
      <c r="AL304" s="31" t="str">
        <f t="shared" si="271"/>
        <v>Tatić</v>
      </c>
      <c r="AM304" s="73">
        <f t="shared" si="272"/>
        <v>1148</v>
      </c>
      <c r="AN304" s="73" t="str">
        <f t="shared" si="273"/>
        <v/>
      </c>
      <c r="AO304" s="31" t="str">
        <f t="shared" si="245"/>
        <v>Iva</v>
      </c>
      <c r="AP304" s="66" t="str">
        <f t="shared" si="246"/>
        <v>Tatić</v>
      </c>
      <c r="AQ304" s="47" t="s">
        <v>0</v>
      </c>
      <c r="AR304" s="82" t="str">
        <f t="shared" si="274"/>
        <v/>
      </c>
      <c r="AS304" s="47" t="s">
        <v>0</v>
      </c>
      <c r="AT304" s="19" t="str">
        <f t="shared" si="275"/>
        <v/>
      </c>
      <c r="AU304" s="47" t="s">
        <v>0</v>
      </c>
      <c r="AV304" s="103"/>
      <c r="AW304" s="105"/>
      <c r="AX304" s="47" t="s">
        <v>0</v>
      </c>
      <c r="AY304" s="256" t="str">
        <f t="shared" si="293"/>
        <v/>
      </c>
      <c r="AZ304" s="47" t="s">
        <v>0</v>
      </c>
      <c r="BA304" s="52" t="str">
        <f t="shared" si="247"/>
        <v/>
      </c>
      <c r="BB304" s="73" t="str">
        <f>IF(AV304&amp;AW304="","",MAX(BB$12:BB303)+1)</f>
        <v/>
      </c>
      <c r="BC304" s="268" t="str">
        <f t="shared" si="248"/>
        <v/>
      </c>
      <c r="BD304" s="53" t="str">
        <f>IF(AND(AM304="NEMA",AN304="NEMA",OR(AV304&amp;AW304="",BC304="NEMA")),MAX(BD$12:BD303)+1,"")</f>
        <v/>
      </c>
      <c r="BE304" s="47" t="s">
        <v>0</v>
      </c>
      <c r="BF304" s="52" t="str">
        <f t="shared" si="249"/>
        <v>Iva</v>
      </c>
      <c r="BG304" s="31" t="str">
        <f t="shared" si="250"/>
        <v>Tatić</v>
      </c>
      <c r="BH304" s="73" t="str">
        <f t="shared" si="276"/>
        <v/>
      </c>
      <c r="BI304" s="53">
        <f t="shared" si="277"/>
        <v>1148</v>
      </c>
      <c r="BJ304" s="47" t="s">
        <v>0</v>
      </c>
      <c r="BK304" s="52" t="str">
        <f t="shared" si="251"/>
        <v>Vihor</v>
      </c>
      <c r="BL304" s="31" t="str">
        <f t="shared" si="252"/>
        <v>OK Vihor</v>
      </c>
      <c r="BM304" s="73">
        <f t="shared" si="253"/>
        <v>12</v>
      </c>
      <c r="BN304" s="73" t="str">
        <f t="shared" si="254"/>
        <v/>
      </c>
      <c r="BO304" s="31" t="str" cm="1">
        <f t="array" ref="BO304">IF(BN304="",""&amp;BL304,IF(BN304="NEMA",BL304,INDEX(regKlub_naziv,MATCH(INDEX(regKlub_alias_klubId,BN304),regKlub_id,0))))</f>
        <v>OK Vihor</v>
      </c>
      <c r="BP304" s="31" t="str" cm="1">
        <f t="array" ref="BP304">IFERROR(""&amp;INDEX(regNatjecatelj_klub,DY304),"")</f>
        <v>OK Vihor</v>
      </c>
      <c r="BQ304" s="88" t="str">
        <f t="shared" si="278"/>
        <v/>
      </c>
      <c r="BR304" s="66" t="str">
        <f t="shared" si="279"/>
        <v>OK Vihor</v>
      </c>
      <c r="BS304" s="47" t="s">
        <v>0</v>
      </c>
      <c r="BT304" s="82" t="str">
        <f>IF(BN304&lt;&gt;"NEMA","",IF(IFERROR(MATCH(BL304,BL$12:BL303,0),0)&lt;&gt;0,"",BL304))</f>
        <v/>
      </c>
      <c r="BU304" s="47" t="s">
        <v>0</v>
      </c>
      <c r="BV304" s="125"/>
      <c r="BW304" s="47" t="s">
        <v>0</v>
      </c>
      <c r="BX304" s="58" t="str">
        <f t="shared" si="280"/>
        <v/>
      </c>
      <c r="BY304" s="31" t="str">
        <f t="shared" si="281"/>
        <v/>
      </c>
      <c r="BZ304" s="31" t="str">
        <f>IF(BY304="","",MAX(BZ$12:BZ303)+1)</f>
        <v/>
      </c>
      <c r="CA304" s="31" t="str">
        <f>IF(BY304="","",IF(AA304="","",IF(AA304="NEMA",AC304,AA304)))</f>
        <v/>
      </c>
      <c r="CB304" s="31" t="str">
        <f t="shared" si="282"/>
        <v/>
      </c>
      <c r="CC304" s="31" t="str">
        <f>IF(BV304="","",MAX(CC$12:CC303)+1)</f>
        <v/>
      </c>
      <c r="CD304" s="31" t="str">
        <f t="shared" si="283"/>
        <v/>
      </c>
      <c r="CE304" s="66" t="str">
        <f t="shared" si="284"/>
        <v/>
      </c>
      <c r="CF304" s="47" t="s">
        <v>0</v>
      </c>
      <c r="CG304" s="73" t="str">
        <f>IF(BN304="","",IF(BN304&lt;&gt;"NEMA","",IFERROR(INDEX(nat_klubAliasId,MATCH(BL304,nat_noviKluboviAliasi,0)),"")))</f>
        <v/>
      </c>
      <c r="CH304" s="47"/>
      <c r="CI304" s="19" t="str">
        <f t="shared" si="285"/>
        <v/>
      </c>
      <c r="CJ304" s="47" t="s">
        <v>0</v>
      </c>
      <c r="CK304" s="52" t="str">
        <f>IF(X304&lt;&gt;"NEMA","",IF(IFERROR(MATCH(W304,W$12:W303,0),0)&lt;&gt;0,"",W304))</f>
        <v/>
      </c>
      <c r="CL304" s="73" t="str">
        <f>IF(CK304="","",IFERROR(INDEX(regKlub_alias_id,MATCH(CK304,regKlub_alias_alias,0)),"NEMA"))</f>
        <v/>
      </c>
      <c r="CM304" s="31" t="str">
        <f>IF(OR(CL304="",CL304&lt;&gt;"NEMA"),"",MAX(CM$12:CM303)+1)</f>
        <v/>
      </c>
      <c r="CN304" s="66" t="str">
        <f>IF(OR(CL304="",CL304&lt;&gt;"NEMA"),"",INDEX(regKlub_id,MATCH(CK304,regKlub_naziv,0)))</f>
        <v/>
      </c>
      <c r="CO304" s="47" t="s">
        <v>0</v>
      </c>
      <c r="CP304" s="19" t="str">
        <f>IF(OR(CL304="",CL304&lt;&gt;"NEMA"),"","INSERT INTO klub_alias(id,alias,klub_id) VALUES ("&amp;CM304&amp;",'"&amp;CK304&amp;"',"&amp;CN304&amp;");")</f>
        <v/>
      </c>
      <c r="CQ304" s="47" t="s">
        <v>0</v>
      </c>
      <c r="CR304" s="143" t="str">
        <f>IF(BR304="","",IF(BV304="",IF(IFERROR(MATCH(BR304,nat_noviKluboviAliasi,0),0)&gt;0,INDEX(nat_kluboviAliasi,MATCH(BR304,nat_noviKluboviAliasi,0)),BR304),BV304))</f>
        <v>OK Vihor</v>
      </c>
      <c r="CS304" s="47" t="s">
        <v>0</v>
      </c>
      <c r="CT304" s="58" t="str">
        <f>IF(G304="","",G304)</f>
        <v>92:09</v>
      </c>
      <c r="CU304" s="73" t="str">
        <f>IF(H304="","",H304)</f>
        <v>0</v>
      </c>
      <c r="CV304" s="229" t="str">
        <f>IF(CT304="",IF(OR(AL304="",CU304&lt;&gt;"0"),"","GREŠKA"),IF(AND(65535&gt;=VALUE(LEFT(CT304,SEARCH(":",CT304)-1))*60+VALUE(RIGHT(CT304,2)),OR(CU304="0",CU304="1",CU304="2",CU304="3",CU304="4")),"","GREŠKA"))</f>
        <v/>
      </c>
      <c r="CW304" s="230">
        <f t="shared" si="239"/>
        <v>5529</v>
      </c>
      <c r="CX304" s="163">
        <f t="shared" si="255"/>
        <v>1</v>
      </c>
      <c r="CY304" s="47" t="s">
        <v>0</v>
      </c>
      <c r="CZ304" s="222" t="str">
        <f>IF(CV304&lt;&gt;"GREŠKA","",AK304&amp;" "&amp;AL304&amp;" – Molim u OEventu provjeriti i ispraviti rezultat – vrijeme ("&amp;IF(CT304="","nije upisano",CT304)&amp;") i classifier ("&amp;CU304&amp;").")&amp;IF(OR(CV304&lt;&gt;"GREŠKA",CX304&lt;&gt;5),"
","")&amp;IF(CX304&lt;&gt;5,"",AK304&amp;" "&amp;AL304&amp;" – Molim u provjeriti je li natjecatelj zaista diskvalificiran. Ako je koje je obrazloženje, ako nije molim u OEventu ispraviti rezultat")</f>
        <v xml:space="preserve">
</v>
      </c>
      <c r="DA304" s="223">
        <f t="shared" si="286"/>
        <v>6</v>
      </c>
      <c r="DB304" s="47" t="s">
        <v>0</v>
      </c>
      <c r="DC304" s="47"/>
      <c r="DD304" s="47"/>
      <c r="DE304" s="47"/>
      <c r="DF304" s="47" t="s">
        <v>0</v>
      </c>
      <c r="DG304" s="53" t="str">
        <f>IF(BD304="","",IF(DI304="O",1,""))</f>
        <v/>
      </c>
      <c r="DH304" t="s">
        <v>0</v>
      </c>
      <c r="DI304" s="128" t="str">
        <f>IF(Q304="","",LEFT(INDEX(regKategorija_oznaka,MATCH(S304,regKategorija_id,0)),1))</f>
        <v>Ž</v>
      </c>
      <c r="DJ304" t="s">
        <v>0</v>
      </c>
      <c r="DK304" s="52" t="str">
        <f>IF(BD304="","",IF(M304&lt;&gt;"CRO","","INSERT INTO osoba (id,reg_broj,oib,spol_id,dat_rodjenja) VALUES ("&amp;BD304&amp;",(SELECT max(os.reg_broj)+1 FROM osoba AS os),Null,'"&amp;DI304&amp;"',Null); INSERT INTO osoba_log (id,reg_broj,oib,spol_id,dat_rodjenja,dnevnik_id) SELECT id,reg_broj,oib,spol_id,dat_rodjenja,"&amp;data_dnevnik_id&amp;" FROM osoba WHERE id = "&amp;BD304&amp;";"))</f>
        <v/>
      </c>
      <c r="DL304" s="66" t="str">
        <f>IF(BD304="","","INSERT INTO imeprezime (id,osoba_id,rbr,ime,prezime,klub_id,identitet_id,sintaksa_id,info,aktivno,dnevnik_id) VALUES ("&amp;BD304&amp;","&amp;IF(DK304="","Null",BD304)&amp;",1,'"&amp;IF(AV304&lt;&gt;"",AV304,AK304)&amp;"','"&amp;IF(AW304&lt;&gt;"",AW304,AL304)&amp;"',(SELECT id FROM klub WHERE naziv = '"&amp;CR304&amp;"'),Null,1,'',1,"&amp;data_dnevnik_id&amp;");")</f>
        <v/>
      </c>
      <c r="DM304" t="s">
        <v>0</v>
      </c>
      <c r="DN304" s="19" t="str">
        <f t="shared" si="294"/>
        <v/>
      </c>
      <c r="DO304" s="47" t="s">
        <v>0</v>
      </c>
      <c r="DP304" s="19" t="str">
        <f>IF(BA304="","","INSERT INTO imeprezime_alias(id,alias,imeprezime_id) VALUES ("&amp;BB304&amp;",'"&amp;BA304&amp;"',"&amp;IF(BC304="NEMA",BD304,BC304)&amp;");")</f>
        <v/>
      </c>
      <c r="DQ304" s="47" t="s">
        <v>0</v>
      </c>
      <c r="DR304" s="52" t="str">
        <f>IF(AL304="","",DU304 &amp; IF(Q304="",""," – " &amp; Q304))</f>
        <v>Iva – Tatić – OK Vihor – Ž35</v>
      </c>
      <c r="DS304" s="53">
        <f t="shared" si="256"/>
        <v>918</v>
      </c>
      <c r="DT304" s="47" t="s">
        <v>0</v>
      </c>
      <c r="DU304" s="52" t="str">
        <f>IF(AL304="","",DX304 &amp; IF(CR304="",""," – " &amp; CR304))</f>
        <v>Iva – Tatić – OK Vihor</v>
      </c>
      <c r="DV304" s="53">
        <f t="shared" si="257"/>
        <v>918</v>
      </c>
      <c r="DW304" s="47" t="s">
        <v>0</v>
      </c>
      <c r="DX304" s="52" t="str">
        <f>IF(BG304="","",BF304&amp;" – "&amp;BG304)</f>
        <v>Iva – Tatić</v>
      </c>
      <c r="DY304" s="53">
        <f t="shared" si="258"/>
        <v>918</v>
      </c>
      <c r="DZ304" s="47" t="s">
        <v>0</v>
      </c>
      <c r="EA304" s="58">
        <f t="shared" si="287"/>
        <v>918</v>
      </c>
      <c r="EB304" s="53" cm="1">
        <f t="array" ref="EB304">IF(EA304&lt;&gt;"",INDEX(regNatjecatelj_id,EA304,0),IF(BD304&lt;&gt;"",BD304,""))</f>
        <v>1148</v>
      </c>
      <c r="EC304" s="47" t="s">
        <v>0</v>
      </c>
      <c r="ED304" s="58" t="str">
        <f>IF(AL304="","",IF(BD304&lt;&gt;"","novo",IF(AN304="","imepre","imepre(ali)")))</f>
        <v>imepre</v>
      </c>
      <c r="EE304" s="73" t="str">
        <f>IF(AL304="","",IF(BL304="",IF(IFERROR(INDEX(regNatjecatelj_klub,MATCH(EB304,regNatjecatelj_id,0)),"NEMA")="","klu",""),IF(OR(AND(BN304&lt;&gt;"",BN304&lt;&gt;"NEMA"),CD304&lt;&gt;""),"klu(ali)",IF(AND(BP304&lt;&gt;"",BP304&lt;&gt;BO304),"(raz-klu)","klu"))))</f>
        <v>klu</v>
      </c>
      <c r="EF304" s="73" t="str">
        <f>IF(AL304="","","kat"&amp;IF(AND(W304&lt;&gt;Q304,Q304&lt;&gt;"Open"),"(ali)",""))</f>
        <v>kat</v>
      </c>
      <c r="EG304" s="73" t="str">
        <f t="shared" si="259"/>
        <v/>
      </c>
      <c r="EH304" s="66" t="str">
        <f>IF(AL304="","",ED304&amp;IF(ED304="novo","","-"&amp;EE304&amp;"-"&amp;EF304)&amp;IF(EG304="","","-"&amp;EG304))</f>
        <v>imepre-klu-kat</v>
      </c>
      <c r="EI304" s="47" t="s">
        <v>0</v>
      </c>
      <c r="EJ304" s="58">
        <f>IF(AL304="","",MAX(EJ$12:EJ303)+1)</f>
        <v>454</v>
      </c>
      <c r="EK304" s="73">
        <f>IF(AO304="","",X304)</f>
        <v>41</v>
      </c>
      <c r="EL304" s="73">
        <f t="shared" si="288"/>
        <v>1148</v>
      </c>
      <c r="EM304" s="73">
        <f t="shared" si="260"/>
        <v>5529</v>
      </c>
      <c r="EN304" s="73">
        <f t="shared" si="261"/>
        <v>1</v>
      </c>
      <c r="EO304" s="73">
        <f t="shared" si="289"/>
        <v>1</v>
      </c>
      <c r="EP304" s="73">
        <f t="shared" si="290"/>
        <v>1</v>
      </c>
      <c r="EQ304" s="73" t="str">
        <f t="shared" si="262"/>
        <v>0</v>
      </c>
      <c r="ER304" s="73" t="str">
        <f>IF(OR(AN304="",AN304="NEMA"),BB304,AN304)</f>
        <v/>
      </c>
      <c r="ES304" s="73" t="str">
        <f>IF(AND(BN304&lt;&gt;"",BN304&lt;&gt;"NEMA"),BN304,IF(CG304&lt;&gt;"",CG304,IF(AND(CL304&lt;&gt;"",CL304&lt;&gt;"NEMA"),CL304,IF(CM304&lt;&gt;"",CM304,""))))</f>
        <v/>
      </c>
      <c r="ET304" s="53" t="str">
        <f>IF(INDEX(natKategorija_alias_Id,MATCH(S304,natKategorija_katRegId,0))="","",INDEX(natKategorija_alias_Id,MATCH(S304,natKategorija_katRegId,0)))</f>
        <v/>
      </c>
      <c r="EU304" s="47" t="s">
        <v>0</v>
      </c>
      <c r="EV304" s="19" t="str">
        <f t="shared" si="291"/>
        <v>INSERT INTO rezultat(id,stazakategorija_id,imeprezime_id,vrijeme_sec,status_id,registracija,uparivanje_id,originalstatus_id,imeprezimealias_id,klubalias_id,kategorijaalias_id) VALUES (454,41,1148,5529,1,1,1,0,Null,Null,Null);</v>
      </c>
      <c r="EW304" s="47" t="s">
        <v>0</v>
      </c>
      <c r="EX304" s="19" t="str">
        <f t="shared" si="292"/>
        <v>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04" s="47" t="s">
        <v>0</v>
      </c>
      <c r="EZ304" s="180" t="str">
        <f>AG304&amp;IF(CP304="","","
")&amp;CP304&amp;IF(CI304="","","
")&amp;CI304&amp;IF(DN304="","","
")&amp;DN304&amp;IF(DP304="","","
")&amp;DP304&amp;IF(EV304="","","
")&amp;EV304&amp;IF(EX304="","","
")&amp;EX304</f>
        <v xml:space="preserve">
INSERT INTO rezultat(id,stazakategorija_id,imeprezime_id,vrijeme_sec,status_id,registracija,uparivanje_id,originalstatus_id,imeprezimealias_id,klubalias_id,kategorijaalias_id) VALUES (454,41,1148,5529,1,1,1,0,Null,Null,Null);
UPDATE
	registar
SET
	potvrda = 1
WHERE
	imeprezime_id=1148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04" s="47" t="s">
        <v>0</v>
      </c>
    </row>
    <row r="305" spans="1:157" x14ac:dyDescent="0.25">
      <c r="A305" t="s">
        <v>0</v>
      </c>
      <c r="B305" s="52" t="str">
        <f>IF(csv!F295="","",csv!T295)</f>
        <v>Ž35</v>
      </c>
      <c r="C305" s="31" t="s">
        <v>0</v>
      </c>
      <c r="D305" s="31" t="str">
        <f>IF(csv!F295="","",csv!F295)</f>
        <v>Tanja</v>
      </c>
      <c r="E305" s="31" t="str">
        <f>IF(csv!E295="","",csv!E295)</f>
        <v>Potrebica</v>
      </c>
      <c r="F305" s="31" t="s">
        <v>0</v>
      </c>
      <c r="G305" s="73" t="str">
        <f>IF(csv!M295="","",csv!M295)</f>
        <v>101:44</v>
      </c>
      <c r="H305" s="73" t="str">
        <f>IF(csv!N295="","",csv!N295)</f>
        <v>0</v>
      </c>
      <c r="I305" s="31" t="s">
        <v>0</v>
      </c>
      <c r="J305" s="31" t="str">
        <f>IF(csv!P295="","",csv!P295)</f>
        <v>OK Varaždin</v>
      </c>
      <c r="K305" s="31" t="str">
        <f>IF(csv!Q295="","",csv!Q295)</f>
        <v>OK Varaždin</v>
      </c>
      <c r="L305" s="31" t="s">
        <v>0</v>
      </c>
      <c r="M305" s="66" t="str">
        <f>IF(csv!R295="","",csv!R295)</f>
        <v>CRO</v>
      </c>
      <c r="N305" s="47" t="s">
        <v>0</v>
      </c>
      <c r="O305" s="243" t="str">
        <f t="shared" si="263"/>
        <v>ok</v>
      </c>
      <c r="P305" s="47"/>
      <c r="Q305" s="52" t="str">
        <f t="shared" si="264"/>
        <v>Ž35</v>
      </c>
      <c r="R305" s="73">
        <f>IF(Q305="","",IF(COUNTIF(Q$12:Q304,Q305)=0,R304+1,R304))</f>
        <v>19</v>
      </c>
      <c r="S305" s="73">
        <f t="shared" si="265"/>
        <v>117</v>
      </c>
      <c r="T305" s="73">
        <f t="shared" si="240"/>
        <v>26</v>
      </c>
      <c r="U305" s="66" t="str">
        <f t="shared" si="241"/>
        <v>Ž35</v>
      </c>
      <c r="V305" s="47" t="s">
        <v>0</v>
      </c>
      <c r="W305" s="222" t="str">
        <f t="shared" si="242"/>
        <v>Ž35</v>
      </c>
      <c r="X305" s="223">
        <f t="shared" si="243"/>
        <v>41</v>
      </c>
      <c r="Y305" s="47" t="s">
        <v>0</v>
      </c>
      <c r="Z305" s="52" t="str">
        <f t="shared" si="266"/>
        <v>CRO</v>
      </c>
      <c r="AA305" s="73">
        <f t="shared" si="244"/>
        <v>1</v>
      </c>
      <c r="AB305" s="31" t="str">
        <f t="shared" si="267"/>
        <v/>
      </c>
      <c r="AC305" s="66" t="str">
        <f>IF(AB305="","",MAX(AC$12:AC304)+1)</f>
        <v/>
      </c>
      <c r="AD305" s="47" t="s">
        <v>0</v>
      </c>
      <c r="AE305" s="125"/>
      <c r="AF305" s="47" t="s">
        <v>0</v>
      </c>
      <c r="AG305" s="19" t="str">
        <f t="shared" si="268"/>
        <v/>
      </c>
      <c r="AH305" s="47" t="s">
        <v>0</v>
      </c>
      <c r="AI305" s="143" t="str">
        <f t="shared" si="269"/>
        <v>CRO</v>
      </c>
      <c r="AJ305" s="47"/>
      <c r="AK305" s="52" t="str">
        <f t="shared" si="270"/>
        <v>Tanja</v>
      </c>
      <c r="AL305" s="31" t="str">
        <f t="shared" si="271"/>
        <v>Potrebica</v>
      </c>
      <c r="AM305" s="73">
        <f t="shared" si="272"/>
        <v>1220</v>
      </c>
      <c r="AN305" s="73" t="str">
        <f t="shared" si="273"/>
        <v/>
      </c>
      <c r="AO305" s="31" t="str">
        <f t="shared" si="245"/>
        <v>Tanja</v>
      </c>
      <c r="AP305" s="66" t="str">
        <f t="shared" si="246"/>
        <v>Potrebica</v>
      </c>
      <c r="AQ305" s="47" t="s">
        <v>0</v>
      </c>
      <c r="AR305" s="82" t="str">
        <f t="shared" si="274"/>
        <v/>
      </c>
      <c r="AS305" s="47" t="s">
        <v>0</v>
      </c>
      <c r="AT305" s="19" t="str">
        <f t="shared" si="275"/>
        <v/>
      </c>
      <c r="AU305" s="47" t="s">
        <v>0</v>
      </c>
      <c r="AV305" s="103"/>
      <c r="AW305" s="105"/>
      <c r="AX305" s="47" t="s">
        <v>0</v>
      </c>
      <c r="AY305" s="256" t="str">
        <f t="shared" si="293"/>
        <v/>
      </c>
      <c r="AZ305" s="47" t="s">
        <v>0</v>
      </c>
      <c r="BA305" s="52" t="str">
        <f t="shared" si="247"/>
        <v/>
      </c>
      <c r="BB305" s="73" t="str">
        <f>IF(AV305&amp;AW305="","",MAX(BB$12:BB304)+1)</f>
        <v/>
      </c>
      <c r="BC305" s="268" t="str">
        <f t="shared" si="248"/>
        <v/>
      </c>
      <c r="BD305" s="53" t="str">
        <f>IF(AND(AM305="NEMA",AN305="NEMA",OR(AV305&amp;AW305="",BC305="NEMA")),MAX(BD$12:BD304)+1,"")</f>
        <v/>
      </c>
      <c r="BE305" s="47" t="s">
        <v>0</v>
      </c>
      <c r="BF305" s="52" t="str">
        <f t="shared" si="249"/>
        <v>Tanja</v>
      </c>
      <c r="BG305" s="31" t="str">
        <f t="shared" si="250"/>
        <v>Potrebica</v>
      </c>
      <c r="BH305" s="73" t="str">
        <f t="shared" si="276"/>
        <v/>
      </c>
      <c r="BI305" s="53">
        <f t="shared" si="277"/>
        <v>1220</v>
      </c>
      <c r="BJ305" s="47" t="s">
        <v>0</v>
      </c>
      <c r="BK305" s="52" t="str">
        <f t="shared" si="251"/>
        <v>OK Varaždin</v>
      </c>
      <c r="BL305" s="31" t="str">
        <f t="shared" si="252"/>
        <v>OK Varaždin</v>
      </c>
      <c r="BM305" s="73">
        <f t="shared" si="253"/>
        <v>11</v>
      </c>
      <c r="BN305" s="73" t="str">
        <f t="shared" si="254"/>
        <v/>
      </c>
      <c r="BO305" s="31" t="str" cm="1">
        <f t="array" ref="BO305">IF(BN305="",""&amp;BL305,IF(BN305="NEMA",BL305,INDEX(regKlub_naziv,MATCH(INDEX(regKlub_alias_klubId,BN305),regKlub_id,0))))</f>
        <v>OK Varaždin</v>
      </c>
      <c r="BP305" s="31" t="str" cm="1">
        <f t="array" ref="BP305">IFERROR(""&amp;INDEX(regNatjecatelj_klub,DY305),"")</f>
        <v>OK Varaždin</v>
      </c>
      <c r="BQ305" s="88" t="str">
        <f t="shared" si="278"/>
        <v/>
      </c>
      <c r="BR305" s="66" t="str">
        <f t="shared" si="279"/>
        <v>OK Varaždin</v>
      </c>
      <c r="BS305" s="47" t="s">
        <v>0</v>
      </c>
      <c r="BT305" s="82" t="str">
        <f>IF(BN305&lt;&gt;"NEMA","",IF(IFERROR(MATCH(BL305,BL$12:BL304,0),0)&lt;&gt;0,"",BL305))</f>
        <v/>
      </c>
      <c r="BU305" s="47" t="s">
        <v>0</v>
      </c>
      <c r="BV305" s="125"/>
      <c r="BW305" s="47" t="s">
        <v>0</v>
      </c>
      <c r="BX305" s="58" t="str">
        <f t="shared" si="280"/>
        <v/>
      </c>
      <c r="BY305" s="31" t="str">
        <f t="shared" si="281"/>
        <v/>
      </c>
      <c r="BZ305" s="31" t="str">
        <f>IF(BY305="","",MAX(BZ$12:BZ304)+1)</f>
        <v/>
      </c>
      <c r="CA305" s="31" t="str">
        <f>IF(BY305="","",IF(AA305="","",IF(AA305="NEMA",AC305,AA305)))</f>
        <v/>
      </c>
      <c r="CB305" s="31" t="str">
        <f t="shared" si="282"/>
        <v/>
      </c>
      <c r="CC305" s="31" t="str">
        <f>IF(BV305="","",MAX(CC$12:CC304)+1)</f>
        <v/>
      </c>
      <c r="CD305" s="31" t="str">
        <f t="shared" si="283"/>
        <v/>
      </c>
      <c r="CE305" s="66" t="str">
        <f t="shared" si="284"/>
        <v/>
      </c>
      <c r="CF305" s="47" t="s">
        <v>0</v>
      </c>
      <c r="CG305" s="73" t="str">
        <f>IF(BN305="","",IF(BN305&lt;&gt;"NEMA","",IFERROR(INDEX(nat_klubAliasId,MATCH(BL305,nat_noviKluboviAliasi,0)),"")))</f>
        <v/>
      </c>
      <c r="CH305" s="47"/>
      <c r="CI305" s="19" t="str">
        <f t="shared" si="285"/>
        <v/>
      </c>
      <c r="CJ305" s="47" t="s">
        <v>0</v>
      </c>
      <c r="CK305" s="52" t="str">
        <f>IF(X305&lt;&gt;"NEMA","",IF(IFERROR(MATCH(W305,W$12:W304,0),0)&lt;&gt;0,"",W305))</f>
        <v/>
      </c>
      <c r="CL305" s="73" t="str">
        <f>IF(CK305="","",IFERROR(INDEX(regKlub_alias_id,MATCH(CK305,regKlub_alias_alias,0)),"NEMA"))</f>
        <v/>
      </c>
      <c r="CM305" s="31" t="str">
        <f>IF(OR(CL305="",CL305&lt;&gt;"NEMA"),"",MAX(CM$12:CM304)+1)</f>
        <v/>
      </c>
      <c r="CN305" s="66" t="str">
        <f>IF(OR(CL305="",CL305&lt;&gt;"NEMA"),"",INDEX(regKlub_id,MATCH(CK305,regKlub_naziv,0)))</f>
        <v/>
      </c>
      <c r="CO305" s="47" t="s">
        <v>0</v>
      </c>
      <c r="CP305" s="19" t="str">
        <f>IF(OR(CL305="",CL305&lt;&gt;"NEMA"),"","INSERT INTO klub_alias(id,alias,klub_id) VALUES ("&amp;CM305&amp;",'"&amp;CK305&amp;"',"&amp;CN305&amp;");")</f>
        <v/>
      </c>
      <c r="CQ305" s="47" t="s">
        <v>0</v>
      </c>
      <c r="CR305" s="143" t="str">
        <f>IF(BR305="","",IF(BV305="",IF(IFERROR(MATCH(BR305,nat_noviKluboviAliasi,0),0)&gt;0,INDEX(nat_kluboviAliasi,MATCH(BR305,nat_noviKluboviAliasi,0)),BR305),BV305))</f>
        <v>OK Varaždin</v>
      </c>
      <c r="CS305" s="47" t="s">
        <v>0</v>
      </c>
      <c r="CT305" s="58" t="str">
        <f>IF(G305="","",G305)</f>
        <v>101:44</v>
      </c>
      <c r="CU305" s="73" t="str">
        <f>IF(H305="","",H305)</f>
        <v>0</v>
      </c>
      <c r="CV305" s="229" t="str">
        <f>IF(CT305="",IF(OR(AL305="",CU305&lt;&gt;"0"),"","GREŠKA"),IF(AND(65535&gt;=VALUE(LEFT(CT305,SEARCH(":",CT305)-1))*60+VALUE(RIGHT(CT305,2)),OR(CU305="0",CU305="1",CU305="2",CU305="3",CU305="4")),"","GREŠKA"))</f>
        <v/>
      </c>
      <c r="CW305" s="230">
        <f t="shared" si="239"/>
        <v>6104</v>
      </c>
      <c r="CX305" s="163">
        <f t="shared" si="255"/>
        <v>1</v>
      </c>
      <c r="CY305" s="47" t="s">
        <v>0</v>
      </c>
      <c r="CZ305" s="222" t="str">
        <f>IF(CV305&lt;&gt;"GREŠKA","",AK305&amp;" "&amp;AL305&amp;" – Molim u OEventu provjeriti i ispraviti rezultat – vrijeme ("&amp;IF(CT305="","nije upisano",CT305)&amp;") i classifier ("&amp;CU305&amp;").")&amp;IF(OR(CV305&lt;&gt;"GREŠKA",CX305&lt;&gt;5),"
","")&amp;IF(CX305&lt;&gt;5,"",AK305&amp;" "&amp;AL305&amp;" – Molim u provjeriti je li natjecatelj zaista diskvalificiran. Ako je koje je obrazloženje, ako nije molim u OEventu ispraviti rezultat")</f>
        <v xml:space="preserve">
</v>
      </c>
      <c r="DA305" s="223">
        <f t="shared" si="286"/>
        <v>6</v>
      </c>
      <c r="DB305" s="47" t="s">
        <v>0</v>
      </c>
      <c r="DC305" s="47"/>
      <c r="DD305" s="47"/>
      <c r="DE305" s="47"/>
      <c r="DF305" s="47" t="s">
        <v>0</v>
      </c>
      <c r="DG305" s="53" t="str">
        <f>IF(BD305="","",IF(DI305="O",1,""))</f>
        <v/>
      </c>
      <c r="DH305" t="s">
        <v>0</v>
      </c>
      <c r="DI305" s="128" t="str">
        <f>IF(Q305="","",LEFT(INDEX(regKategorija_oznaka,MATCH(S305,regKategorija_id,0)),1))</f>
        <v>Ž</v>
      </c>
      <c r="DJ305" t="s">
        <v>0</v>
      </c>
      <c r="DK305" s="52" t="str">
        <f>IF(BD305="","",IF(M305&lt;&gt;"CRO","","INSERT INTO osoba (id,reg_broj,oib,spol_id,dat_rodjenja) VALUES ("&amp;BD305&amp;",(SELECT max(os.reg_broj)+1 FROM osoba AS os),Null,'"&amp;DI305&amp;"',Null); INSERT INTO osoba_log (id,reg_broj,oib,spol_id,dat_rodjenja,dnevnik_id) SELECT id,reg_broj,oib,spol_id,dat_rodjenja,"&amp;data_dnevnik_id&amp;" FROM osoba WHERE id = "&amp;BD305&amp;";"))</f>
        <v/>
      </c>
      <c r="DL305" s="66" t="str">
        <f>IF(BD305="","","INSERT INTO imeprezime (id,osoba_id,rbr,ime,prezime,klub_id,identitet_id,sintaksa_id,info,aktivno,dnevnik_id) VALUES ("&amp;BD305&amp;","&amp;IF(DK305="","Null",BD305)&amp;",1,'"&amp;IF(AV305&lt;&gt;"",AV305,AK305)&amp;"','"&amp;IF(AW305&lt;&gt;"",AW305,AL305)&amp;"',(SELECT id FROM klub WHERE naziv = '"&amp;CR305&amp;"'),Null,1,'',1,"&amp;data_dnevnik_id&amp;");")</f>
        <v/>
      </c>
      <c r="DM305" t="s">
        <v>0</v>
      </c>
      <c r="DN305" s="19" t="str">
        <f t="shared" si="294"/>
        <v/>
      </c>
      <c r="DO305" s="47" t="s">
        <v>0</v>
      </c>
      <c r="DP305" s="19" t="str">
        <f>IF(BA305="","","INSERT INTO imeprezime_alias(id,alias,imeprezime_id) VALUES ("&amp;BB305&amp;",'"&amp;BA305&amp;"',"&amp;IF(BC305="NEMA",BD305,BC305)&amp;");")</f>
        <v/>
      </c>
      <c r="DQ305" s="47" t="s">
        <v>0</v>
      </c>
      <c r="DR305" s="52" t="str">
        <f>IF(AL305="","",DU305 &amp; IF(Q305="",""," – " &amp; Q305))</f>
        <v>Tanja – Potrebica – OK Varaždin – Ž35</v>
      </c>
      <c r="DS305" s="53">
        <f t="shared" si="256"/>
        <v>578</v>
      </c>
      <c r="DT305" s="47" t="s">
        <v>0</v>
      </c>
      <c r="DU305" s="52" t="str">
        <f>IF(AL305="","",DX305 &amp; IF(CR305="",""," – " &amp; CR305))</f>
        <v>Tanja – Potrebica – OK Varaždin</v>
      </c>
      <c r="DV305" s="53">
        <f t="shared" si="257"/>
        <v>578</v>
      </c>
      <c r="DW305" s="47" t="s">
        <v>0</v>
      </c>
      <c r="DX305" s="52" t="str">
        <f>IF(BG305="","",BF305&amp;" – "&amp;BG305)</f>
        <v>Tanja – Potrebica</v>
      </c>
      <c r="DY305" s="53">
        <f t="shared" si="258"/>
        <v>578</v>
      </c>
      <c r="DZ305" s="47" t="s">
        <v>0</v>
      </c>
      <c r="EA305" s="58">
        <f t="shared" si="287"/>
        <v>578</v>
      </c>
      <c r="EB305" s="53" cm="1">
        <f t="array" ref="EB305">IF(EA305&lt;&gt;"",INDEX(regNatjecatelj_id,EA305,0),IF(BD305&lt;&gt;"",BD305,""))</f>
        <v>1220</v>
      </c>
      <c r="EC305" s="47" t="s">
        <v>0</v>
      </c>
      <c r="ED305" s="58" t="str">
        <f>IF(AL305="","",IF(BD305&lt;&gt;"","novo",IF(AN305="","imepre","imepre(ali)")))</f>
        <v>imepre</v>
      </c>
      <c r="EE305" s="73" t="str">
        <f>IF(AL305="","",IF(BL305="",IF(IFERROR(INDEX(regNatjecatelj_klub,MATCH(EB305,regNatjecatelj_id,0)),"NEMA")="","klu",""),IF(OR(AND(BN305&lt;&gt;"",BN305&lt;&gt;"NEMA"),CD305&lt;&gt;""),"klu(ali)",IF(AND(BP305&lt;&gt;"",BP305&lt;&gt;BO305),"(raz-klu)","klu"))))</f>
        <v>klu</v>
      </c>
      <c r="EF305" s="73" t="str">
        <f>IF(AL305="","","kat"&amp;IF(AND(W305&lt;&gt;Q305,Q305&lt;&gt;"Open"),"(ali)",""))</f>
        <v>kat</v>
      </c>
      <c r="EG305" s="73" t="str">
        <f t="shared" si="259"/>
        <v/>
      </c>
      <c r="EH305" s="66" t="str">
        <f>IF(AL305="","",ED305&amp;IF(ED305="novo","","-"&amp;EE305&amp;"-"&amp;EF305)&amp;IF(EG305="","","-"&amp;EG305))</f>
        <v>imepre-klu-kat</v>
      </c>
      <c r="EI305" s="47" t="s">
        <v>0</v>
      </c>
      <c r="EJ305" s="58">
        <f>IF(AL305="","",MAX(EJ$12:EJ304)+1)</f>
        <v>455</v>
      </c>
      <c r="EK305" s="73">
        <f>IF(AO305="","",X305)</f>
        <v>41</v>
      </c>
      <c r="EL305" s="73">
        <f t="shared" si="288"/>
        <v>1220</v>
      </c>
      <c r="EM305" s="73">
        <f t="shared" si="260"/>
        <v>6104</v>
      </c>
      <c r="EN305" s="73">
        <f t="shared" si="261"/>
        <v>1</v>
      </c>
      <c r="EO305" s="73">
        <f t="shared" si="289"/>
        <v>1</v>
      </c>
      <c r="EP305" s="73">
        <f t="shared" si="290"/>
        <v>1</v>
      </c>
      <c r="EQ305" s="73" t="str">
        <f t="shared" si="262"/>
        <v>0</v>
      </c>
      <c r="ER305" s="73" t="str">
        <f>IF(OR(AN305="",AN305="NEMA"),BB305,AN305)</f>
        <v/>
      </c>
      <c r="ES305" s="73" t="str">
        <f>IF(AND(BN305&lt;&gt;"",BN305&lt;&gt;"NEMA"),BN305,IF(CG305&lt;&gt;"",CG305,IF(AND(CL305&lt;&gt;"",CL305&lt;&gt;"NEMA"),CL305,IF(CM305&lt;&gt;"",CM305,""))))</f>
        <v/>
      </c>
      <c r="ET305" s="53" t="str">
        <f>IF(INDEX(natKategorija_alias_Id,MATCH(S305,natKategorija_katRegId,0))="","",INDEX(natKategorija_alias_Id,MATCH(S305,natKategorija_katRegId,0)))</f>
        <v/>
      </c>
      <c r="EU305" s="47" t="s">
        <v>0</v>
      </c>
      <c r="EV305" s="19" t="str">
        <f t="shared" si="291"/>
        <v>INSERT INTO rezultat(id,stazakategorija_id,imeprezime_id,vrijeme_sec,status_id,registracija,uparivanje_id,originalstatus_id,imeprezimealias_id,klubalias_id,kategorijaalias_id) VALUES (455,41,1220,6104,1,1,1,0,Null,Null,Null);</v>
      </c>
      <c r="EW305" s="47" t="s">
        <v>0</v>
      </c>
      <c r="EX305" s="19" t="str">
        <f t="shared" si="292"/>
        <v>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05" s="47" t="s">
        <v>0</v>
      </c>
      <c r="EZ305" s="180" t="str">
        <f>AG305&amp;IF(CP305="","","
")&amp;CP305&amp;IF(CI305="","","
")&amp;CI305&amp;IF(DN305="","","
")&amp;DN305&amp;IF(DP305="","","
")&amp;DP305&amp;IF(EV305="","","
")&amp;EV305&amp;IF(EX305="","","
")&amp;EX305</f>
        <v xml:space="preserve">
INSERT INTO rezultat(id,stazakategorija_id,imeprezime_id,vrijeme_sec,status_id,registracija,uparivanje_id,originalstatus_id,imeprezimealias_id,klubalias_id,kategorijaalias_id) VALUES (455,41,1220,6104,1,1,1,0,Null,Null,Null);
UPDATE
	registar
SET
	potvrda = 1
WHERE
	imeprezime_id=1220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05" s="47" t="s">
        <v>0</v>
      </c>
    </row>
    <row r="306" spans="1:157" x14ac:dyDescent="0.25">
      <c r="A306" t="s">
        <v>0</v>
      </c>
      <c r="B306" s="52" t="str">
        <f>IF(csv!F296="","",csv!T296)</f>
        <v>Ž35</v>
      </c>
      <c r="C306" s="31" t="s">
        <v>0</v>
      </c>
      <c r="D306" s="31" t="str">
        <f>IF(csv!F296="","",csv!F296)</f>
        <v>Maja</v>
      </c>
      <c r="E306" s="31" t="str">
        <f>IF(csv!E296="","",csv!E296)</f>
        <v>Kušt</v>
      </c>
      <c r="F306" s="31" t="s">
        <v>0</v>
      </c>
      <c r="G306" s="73" t="str">
        <f>IF(csv!M296="","",csv!M296)</f>
        <v>106:38</v>
      </c>
      <c r="H306" s="73" t="str">
        <f>IF(csv!N296="","",csv!N296)</f>
        <v>0</v>
      </c>
      <c r="I306" s="31" t="s">
        <v>0</v>
      </c>
      <c r="J306" s="31" t="str">
        <f>IF(csv!P296="","",csv!P296)</f>
        <v>Vihor</v>
      </c>
      <c r="K306" s="31" t="str">
        <f>IF(csv!Q296="","",csv!Q296)</f>
        <v>OK Vihor</v>
      </c>
      <c r="L306" s="31" t="s">
        <v>0</v>
      </c>
      <c r="M306" s="66" t="str">
        <f>IF(csv!R296="","",csv!R296)</f>
        <v>CRO</v>
      </c>
      <c r="N306" s="47" t="s">
        <v>0</v>
      </c>
      <c r="O306" s="243" t="str">
        <f t="shared" si="263"/>
        <v>ok</v>
      </c>
      <c r="P306" s="47"/>
      <c r="Q306" s="52" t="str">
        <f t="shared" si="264"/>
        <v>Ž35</v>
      </c>
      <c r="R306" s="73">
        <f>IF(Q306="","",IF(COUNTIF(Q$12:Q305,Q306)=0,R305+1,R305))</f>
        <v>19</v>
      </c>
      <c r="S306" s="73">
        <f t="shared" si="265"/>
        <v>117</v>
      </c>
      <c r="T306" s="73">
        <f t="shared" si="240"/>
        <v>26</v>
      </c>
      <c r="U306" s="66" t="str">
        <f t="shared" si="241"/>
        <v>Ž35</v>
      </c>
      <c r="V306" s="47" t="s">
        <v>0</v>
      </c>
      <c r="W306" s="222" t="str">
        <f t="shared" si="242"/>
        <v>Ž35</v>
      </c>
      <c r="X306" s="223">
        <f t="shared" si="243"/>
        <v>41</v>
      </c>
      <c r="Y306" s="47" t="s">
        <v>0</v>
      </c>
      <c r="Z306" s="52" t="str">
        <f t="shared" si="266"/>
        <v>CRO</v>
      </c>
      <c r="AA306" s="73">
        <f t="shared" si="244"/>
        <v>1</v>
      </c>
      <c r="AB306" s="31" t="str">
        <f t="shared" si="267"/>
        <v/>
      </c>
      <c r="AC306" s="66" t="str">
        <f>IF(AB306="","",MAX(AC$12:AC305)+1)</f>
        <v/>
      </c>
      <c r="AD306" s="47" t="s">
        <v>0</v>
      </c>
      <c r="AE306" s="125"/>
      <c r="AF306" s="47" t="s">
        <v>0</v>
      </c>
      <c r="AG306" s="19" t="str">
        <f t="shared" si="268"/>
        <v/>
      </c>
      <c r="AH306" s="47" t="s">
        <v>0</v>
      </c>
      <c r="AI306" s="143" t="str">
        <f t="shared" si="269"/>
        <v>CRO</v>
      </c>
      <c r="AJ306" s="47"/>
      <c r="AK306" s="52" t="str">
        <f t="shared" si="270"/>
        <v>Maja</v>
      </c>
      <c r="AL306" s="31" t="str">
        <f t="shared" si="271"/>
        <v>Kušt</v>
      </c>
      <c r="AM306" s="73">
        <f t="shared" si="272"/>
        <v>1375</v>
      </c>
      <c r="AN306" s="73" t="str">
        <f t="shared" si="273"/>
        <v/>
      </c>
      <c r="AO306" s="31" t="str">
        <f t="shared" si="245"/>
        <v>Maja</v>
      </c>
      <c r="AP306" s="66" t="str">
        <f t="shared" si="246"/>
        <v>Kušt</v>
      </c>
      <c r="AQ306" s="47" t="s">
        <v>0</v>
      </c>
      <c r="AR306" s="82" t="str">
        <f t="shared" si="274"/>
        <v/>
      </c>
      <c r="AS306" s="47" t="s">
        <v>0</v>
      </c>
      <c r="AT306" s="19" t="str">
        <f t="shared" si="275"/>
        <v/>
      </c>
      <c r="AU306" s="47" t="s">
        <v>0</v>
      </c>
      <c r="AV306" s="103"/>
      <c r="AW306" s="105"/>
      <c r="AX306" s="47" t="s">
        <v>0</v>
      </c>
      <c r="AY306" s="256" t="str">
        <f t="shared" si="293"/>
        <v/>
      </c>
      <c r="AZ306" s="47" t="s">
        <v>0</v>
      </c>
      <c r="BA306" s="52" t="str">
        <f t="shared" si="247"/>
        <v/>
      </c>
      <c r="BB306" s="73" t="str">
        <f>IF(AV306&amp;AW306="","",MAX(BB$12:BB305)+1)</f>
        <v/>
      </c>
      <c r="BC306" s="268" t="str">
        <f t="shared" si="248"/>
        <v/>
      </c>
      <c r="BD306" s="53" t="str">
        <f>IF(AND(AM306="NEMA",AN306="NEMA",OR(AV306&amp;AW306="",BC306="NEMA")),MAX(BD$12:BD305)+1,"")</f>
        <v/>
      </c>
      <c r="BE306" s="47" t="s">
        <v>0</v>
      </c>
      <c r="BF306" s="52" t="str">
        <f t="shared" si="249"/>
        <v>Maja</v>
      </c>
      <c r="BG306" s="31" t="str">
        <f t="shared" si="250"/>
        <v>Kušt</v>
      </c>
      <c r="BH306" s="73" t="str">
        <f t="shared" si="276"/>
        <v/>
      </c>
      <c r="BI306" s="53">
        <f t="shared" si="277"/>
        <v>1375</v>
      </c>
      <c r="BJ306" s="47" t="s">
        <v>0</v>
      </c>
      <c r="BK306" s="52" t="str">
        <f t="shared" si="251"/>
        <v>Vihor</v>
      </c>
      <c r="BL306" s="31" t="str">
        <f t="shared" si="252"/>
        <v>OK Vihor</v>
      </c>
      <c r="BM306" s="73">
        <f t="shared" si="253"/>
        <v>12</v>
      </c>
      <c r="BN306" s="73" t="str">
        <f t="shared" si="254"/>
        <v/>
      </c>
      <c r="BO306" s="31" t="str" cm="1">
        <f t="array" ref="BO306">IF(BN306="",""&amp;BL306,IF(BN306="NEMA",BL306,INDEX(regKlub_naziv,MATCH(INDEX(regKlub_alias_klubId,BN306),regKlub_id,0))))</f>
        <v>OK Vihor</v>
      </c>
      <c r="BP306" s="31" t="str" cm="1">
        <f t="array" ref="BP306">IFERROR(""&amp;INDEX(regNatjecatelj_klub,DY306),"")</f>
        <v>OK Vihor</v>
      </c>
      <c r="BQ306" s="88" t="str">
        <f t="shared" si="278"/>
        <v/>
      </c>
      <c r="BR306" s="66" t="str">
        <f t="shared" si="279"/>
        <v>OK Vihor</v>
      </c>
      <c r="BS306" s="47" t="s">
        <v>0</v>
      </c>
      <c r="BT306" s="82" t="str">
        <f>IF(BN306&lt;&gt;"NEMA","",IF(IFERROR(MATCH(BL306,BL$12:BL305,0),0)&lt;&gt;0,"",BL306))</f>
        <v/>
      </c>
      <c r="BU306" s="47" t="s">
        <v>0</v>
      </c>
      <c r="BV306" s="125"/>
      <c r="BW306" s="47" t="s">
        <v>0</v>
      </c>
      <c r="BX306" s="58" t="str">
        <f t="shared" si="280"/>
        <v/>
      </c>
      <c r="BY306" s="31" t="str">
        <f t="shared" si="281"/>
        <v/>
      </c>
      <c r="BZ306" s="31" t="str">
        <f>IF(BY306="","",MAX(BZ$12:BZ305)+1)</f>
        <v/>
      </c>
      <c r="CA306" s="31" t="str">
        <f>IF(BY306="","",IF(AA306="","",IF(AA306="NEMA",AC306,AA306)))</f>
        <v/>
      </c>
      <c r="CB306" s="31" t="str">
        <f t="shared" si="282"/>
        <v/>
      </c>
      <c r="CC306" s="31" t="str">
        <f>IF(BV306="","",MAX(CC$12:CC305)+1)</f>
        <v/>
      </c>
      <c r="CD306" s="31" t="str">
        <f t="shared" si="283"/>
        <v/>
      </c>
      <c r="CE306" s="66" t="str">
        <f t="shared" si="284"/>
        <v/>
      </c>
      <c r="CF306" s="47" t="s">
        <v>0</v>
      </c>
      <c r="CG306" s="73" t="str">
        <f>IF(BN306="","",IF(BN306&lt;&gt;"NEMA","",IFERROR(INDEX(nat_klubAliasId,MATCH(BL306,nat_noviKluboviAliasi,0)),"")))</f>
        <v/>
      </c>
      <c r="CH306" s="47"/>
      <c r="CI306" s="19" t="str">
        <f t="shared" si="285"/>
        <v/>
      </c>
      <c r="CJ306" s="47" t="s">
        <v>0</v>
      </c>
      <c r="CK306" s="52" t="str">
        <f>IF(X306&lt;&gt;"NEMA","",IF(IFERROR(MATCH(W306,W$12:W305,0),0)&lt;&gt;0,"",W306))</f>
        <v/>
      </c>
      <c r="CL306" s="73" t="str">
        <f>IF(CK306="","",IFERROR(INDEX(regKlub_alias_id,MATCH(CK306,regKlub_alias_alias,0)),"NEMA"))</f>
        <v/>
      </c>
      <c r="CM306" s="31" t="str">
        <f>IF(OR(CL306="",CL306&lt;&gt;"NEMA"),"",MAX(CM$12:CM305)+1)</f>
        <v/>
      </c>
      <c r="CN306" s="66" t="str">
        <f>IF(OR(CL306="",CL306&lt;&gt;"NEMA"),"",INDEX(regKlub_id,MATCH(CK306,regKlub_naziv,0)))</f>
        <v/>
      </c>
      <c r="CO306" s="47" t="s">
        <v>0</v>
      </c>
      <c r="CP306" s="19" t="str">
        <f>IF(OR(CL306="",CL306&lt;&gt;"NEMA"),"","INSERT INTO klub_alias(id,alias,klub_id) VALUES ("&amp;CM306&amp;",'"&amp;CK306&amp;"',"&amp;CN306&amp;");")</f>
        <v/>
      </c>
      <c r="CQ306" s="47" t="s">
        <v>0</v>
      </c>
      <c r="CR306" s="143" t="str">
        <f>IF(BR306="","",IF(BV306="",IF(IFERROR(MATCH(BR306,nat_noviKluboviAliasi,0),0)&gt;0,INDEX(nat_kluboviAliasi,MATCH(BR306,nat_noviKluboviAliasi,0)),BR306),BV306))</f>
        <v>OK Vihor</v>
      </c>
      <c r="CS306" s="47" t="s">
        <v>0</v>
      </c>
      <c r="CT306" s="58" t="str">
        <f>IF(G306="","",G306)</f>
        <v>106:38</v>
      </c>
      <c r="CU306" s="73" t="str">
        <f>IF(H306="","",H306)</f>
        <v>0</v>
      </c>
      <c r="CV306" s="229" t="str">
        <f>IF(CT306="",IF(OR(AL306="",CU306&lt;&gt;"0"),"","GREŠKA"),IF(AND(65535&gt;=VALUE(LEFT(CT306,SEARCH(":",CT306)-1))*60+VALUE(RIGHT(CT306,2)),OR(CU306="0",CU306="1",CU306="2",CU306="3",CU306="4")),"","GREŠKA"))</f>
        <v/>
      </c>
      <c r="CW306" s="230">
        <f t="shared" si="239"/>
        <v>6398</v>
      </c>
      <c r="CX306" s="163">
        <f t="shared" si="255"/>
        <v>1</v>
      </c>
      <c r="CY306" s="47" t="s">
        <v>0</v>
      </c>
      <c r="CZ306" s="222" t="str">
        <f>IF(CV306&lt;&gt;"GREŠKA","",AK306&amp;" "&amp;AL306&amp;" – Molim u OEventu provjeriti i ispraviti rezultat – vrijeme ("&amp;IF(CT306="","nije upisano",CT306)&amp;") i classifier ("&amp;CU306&amp;").")&amp;IF(OR(CV306&lt;&gt;"GREŠKA",CX306&lt;&gt;5),"
","")&amp;IF(CX306&lt;&gt;5,"",AK306&amp;" "&amp;AL306&amp;" – Molim u provjeriti je li natjecatelj zaista diskvalificiran. Ako je koje je obrazloženje, ako nije molim u OEventu ispraviti rezultat")</f>
        <v xml:space="preserve">
</v>
      </c>
      <c r="DA306" s="223">
        <f t="shared" si="286"/>
        <v>6</v>
      </c>
      <c r="DB306" s="47" t="s">
        <v>0</v>
      </c>
      <c r="DC306" s="47"/>
      <c r="DD306" s="47"/>
      <c r="DE306" s="47"/>
      <c r="DF306" s="47" t="s">
        <v>0</v>
      </c>
      <c r="DG306" s="53" t="str">
        <f>IF(BD306="","",IF(DI306="O",1,""))</f>
        <v/>
      </c>
      <c r="DH306" t="s">
        <v>0</v>
      </c>
      <c r="DI306" s="128" t="str">
        <f>IF(Q306="","",LEFT(INDEX(regKategorija_oznaka,MATCH(S306,regKategorija_id,0)),1))</f>
        <v>Ž</v>
      </c>
      <c r="DJ306" t="s">
        <v>0</v>
      </c>
      <c r="DK306" s="52" t="str">
        <f>IF(BD306="","",IF(M306&lt;&gt;"CRO","","INSERT INTO osoba (id,reg_broj,oib,spol_id,dat_rodjenja) VALUES ("&amp;BD306&amp;",(SELECT max(os.reg_broj)+1 FROM osoba AS os),Null,'"&amp;DI306&amp;"',Null); INSERT INTO osoba_log (id,reg_broj,oib,spol_id,dat_rodjenja,dnevnik_id) SELECT id,reg_broj,oib,spol_id,dat_rodjenja,"&amp;data_dnevnik_id&amp;" FROM osoba WHERE id = "&amp;BD306&amp;";"))</f>
        <v/>
      </c>
      <c r="DL306" s="66" t="str">
        <f>IF(BD306="","","INSERT INTO imeprezime (id,osoba_id,rbr,ime,prezime,klub_id,identitet_id,sintaksa_id,info,aktivno,dnevnik_id) VALUES ("&amp;BD306&amp;","&amp;IF(DK306="","Null",BD306)&amp;",1,'"&amp;IF(AV306&lt;&gt;"",AV306,AK306)&amp;"','"&amp;IF(AW306&lt;&gt;"",AW306,AL306)&amp;"',(SELECT id FROM klub WHERE naziv = '"&amp;CR306&amp;"'),Null,1,'',1,"&amp;data_dnevnik_id&amp;");")</f>
        <v/>
      </c>
      <c r="DM306" t="s">
        <v>0</v>
      </c>
      <c r="DN306" s="19" t="str">
        <f t="shared" si="294"/>
        <v/>
      </c>
      <c r="DO306" s="47" t="s">
        <v>0</v>
      </c>
      <c r="DP306" s="19" t="str">
        <f>IF(BA306="","","INSERT INTO imeprezime_alias(id,alias,imeprezime_id) VALUES ("&amp;BB306&amp;",'"&amp;BA306&amp;"',"&amp;IF(BC306="NEMA",BD306,BC306)&amp;");")</f>
        <v/>
      </c>
      <c r="DQ306" s="47" t="s">
        <v>0</v>
      </c>
      <c r="DR306" s="52" t="str">
        <f>IF(AL306="","",DU306 &amp; IF(Q306="",""," – " &amp; Q306))</f>
        <v>Maja – Kušt – OK Vihor – Ž35</v>
      </c>
      <c r="DS306" s="53">
        <f t="shared" si="256"/>
        <v>768</v>
      </c>
      <c r="DT306" s="47" t="s">
        <v>0</v>
      </c>
      <c r="DU306" s="52" t="str">
        <f>IF(AL306="","",DX306 &amp; IF(CR306="",""," – " &amp; CR306))</f>
        <v>Maja – Kušt – OK Vihor</v>
      </c>
      <c r="DV306" s="53">
        <f t="shared" si="257"/>
        <v>768</v>
      </c>
      <c r="DW306" s="47" t="s">
        <v>0</v>
      </c>
      <c r="DX306" s="52" t="str">
        <f>IF(BG306="","",BF306&amp;" – "&amp;BG306)</f>
        <v>Maja – Kušt</v>
      </c>
      <c r="DY306" s="53">
        <f t="shared" si="258"/>
        <v>768</v>
      </c>
      <c r="DZ306" s="47" t="s">
        <v>0</v>
      </c>
      <c r="EA306" s="58">
        <f t="shared" si="287"/>
        <v>768</v>
      </c>
      <c r="EB306" s="53" cm="1">
        <f t="array" ref="EB306">IF(EA306&lt;&gt;"",INDEX(regNatjecatelj_id,EA306,0),IF(BD306&lt;&gt;"",BD306,""))</f>
        <v>1375</v>
      </c>
      <c r="EC306" s="47" t="s">
        <v>0</v>
      </c>
      <c r="ED306" s="58" t="str">
        <f>IF(AL306="","",IF(BD306&lt;&gt;"","novo",IF(AN306="","imepre","imepre(ali)")))</f>
        <v>imepre</v>
      </c>
      <c r="EE306" s="73" t="str">
        <f>IF(AL306="","",IF(BL306="",IF(IFERROR(INDEX(regNatjecatelj_klub,MATCH(EB306,regNatjecatelj_id,0)),"NEMA")="","klu",""),IF(OR(AND(BN306&lt;&gt;"",BN306&lt;&gt;"NEMA"),CD306&lt;&gt;""),"klu(ali)",IF(AND(BP306&lt;&gt;"",BP306&lt;&gt;BO306),"(raz-klu)","klu"))))</f>
        <v>klu</v>
      </c>
      <c r="EF306" s="73" t="str">
        <f>IF(AL306="","","kat"&amp;IF(AND(W306&lt;&gt;Q306,Q306&lt;&gt;"Open"),"(ali)",""))</f>
        <v>kat</v>
      </c>
      <c r="EG306" s="73" t="str">
        <f t="shared" si="259"/>
        <v/>
      </c>
      <c r="EH306" s="66" t="str">
        <f>IF(AL306="","",ED306&amp;IF(ED306="novo","","-"&amp;EE306&amp;"-"&amp;EF306)&amp;IF(EG306="","","-"&amp;EG306))</f>
        <v>imepre-klu-kat</v>
      </c>
      <c r="EI306" s="47" t="s">
        <v>0</v>
      </c>
      <c r="EJ306" s="58">
        <f>IF(AL306="","",MAX(EJ$12:EJ305)+1)</f>
        <v>456</v>
      </c>
      <c r="EK306" s="73">
        <f>IF(AO306="","",X306)</f>
        <v>41</v>
      </c>
      <c r="EL306" s="73">
        <f t="shared" si="288"/>
        <v>1375</v>
      </c>
      <c r="EM306" s="73">
        <f t="shared" si="260"/>
        <v>6398</v>
      </c>
      <c r="EN306" s="73">
        <f t="shared" si="261"/>
        <v>1</v>
      </c>
      <c r="EO306" s="73">
        <f t="shared" si="289"/>
        <v>1</v>
      </c>
      <c r="EP306" s="73">
        <f t="shared" si="290"/>
        <v>1</v>
      </c>
      <c r="EQ306" s="73" t="str">
        <f t="shared" si="262"/>
        <v>0</v>
      </c>
      <c r="ER306" s="73" t="str">
        <f>IF(OR(AN306="",AN306="NEMA"),BB306,AN306)</f>
        <v/>
      </c>
      <c r="ES306" s="73" t="str">
        <f>IF(AND(BN306&lt;&gt;"",BN306&lt;&gt;"NEMA"),BN306,IF(CG306&lt;&gt;"",CG306,IF(AND(CL306&lt;&gt;"",CL306&lt;&gt;"NEMA"),CL306,IF(CM306&lt;&gt;"",CM306,""))))</f>
        <v/>
      </c>
      <c r="ET306" s="53" t="str">
        <f>IF(INDEX(natKategorija_alias_Id,MATCH(S306,natKategorija_katRegId,0))="","",INDEX(natKategorija_alias_Id,MATCH(S306,natKategorija_katRegId,0)))</f>
        <v/>
      </c>
      <c r="EU306" s="47" t="s">
        <v>0</v>
      </c>
      <c r="EV306" s="19" t="str">
        <f t="shared" si="291"/>
        <v>INSERT INTO rezultat(id,stazakategorija_id,imeprezime_id,vrijeme_sec,status_id,registracija,uparivanje_id,originalstatus_id,imeprezimealias_id,klubalias_id,kategorijaalias_id) VALUES (456,41,1375,6398,1,1,1,0,Null,Null,Null);</v>
      </c>
      <c r="EW306" s="47" t="s">
        <v>0</v>
      </c>
      <c r="EX306" s="19" t="str">
        <f t="shared" si="292"/>
        <v>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06" s="47" t="s">
        <v>0</v>
      </c>
      <c r="EZ306" s="180" t="str">
        <f>AG306&amp;IF(CP306="","","
")&amp;CP306&amp;IF(CI306="","","
")&amp;CI306&amp;IF(DN306="","","
")&amp;DN306&amp;IF(DP306="","","
")&amp;DP306&amp;IF(EV306="","","
")&amp;EV306&amp;IF(EX306="","","
")&amp;EX306</f>
        <v xml:space="preserve">
INSERT INTO rezultat(id,stazakategorija_id,imeprezime_id,vrijeme_sec,status_id,registracija,uparivanje_id,originalstatus_id,imeprezimealias_id,klubalias_id,kategorijaalias_id) VALUES (456,41,1375,6398,1,1,1,0,Null,Null,Null);
UPDATE
	registar
SET
	potvrda = 1
WHERE
	imeprezime_id=1375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06" s="47" t="s">
        <v>0</v>
      </c>
    </row>
    <row r="307" spans="1:157" x14ac:dyDescent="0.25">
      <c r="A307" t="s">
        <v>0</v>
      </c>
      <c r="B307" s="52" t="str">
        <f>IF(csv!F297="","",csv!T297)</f>
        <v>Ž35</v>
      </c>
      <c r="C307" s="31" t="s">
        <v>0</v>
      </c>
      <c r="D307" s="31" t="str">
        <f>IF(csv!F297="","",csv!F297)</f>
        <v>Ana</v>
      </c>
      <c r="E307" s="31" t="str">
        <f>IF(csv!E297="","",csv!E297)</f>
        <v>Delić</v>
      </c>
      <c r="F307" s="31" t="s">
        <v>0</v>
      </c>
      <c r="G307" s="73" t="str">
        <f>IF(csv!M297="","",csv!M297)</f>
        <v/>
      </c>
      <c r="H307" s="73" t="str">
        <f>IF(csv!N297="","",csv!N297)</f>
        <v>1</v>
      </c>
      <c r="I307" s="31" t="s">
        <v>0</v>
      </c>
      <c r="J307" s="31" t="str">
        <f>IF(csv!P297="","",csv!P297)</f>
        <v>OK Jelen</v>
      </c>
      <c r="K307" s="31" t="str">
        <f>IF(csv!Q297="","",csv!Q297)</f>
        <v>OK Jelen</v>
      </c>
      <c r="L307" s="31" t="s">
        <v>0</v>
      </c>
      <c r="M307" s="66" t="str">
        <f>IF(csv!R297="","",csv!R297)</f>
        <v>CRO</v>
      </c>
      <c r="N307" s="47" t="s">
        <v>0</v>
      </c>
      <c r="O307" s="243" t="str">
        <f t="shared" si="263"/>
        <v>ok</v>
      </c>
      <c r="P307" s="47"/>
      <c r="Q307" s="52" t="str">
        <f t="shared" si="264"/>
        <v>Ž35</v>
      </c>
      <c r="R307" s="73">
        <f>IF(Q307="","",IF(COUNTIF(Q$12:Q306,Q307)=0,R306+1,R306))</f>
        <v>19</v>
      </c>
      <c r="S307" s="73">
        <f t="shared" si="265"/>
        <v>117</v>
      </c>
      <c r="T307" s="73">
        <f t="shared" si="240"/>
        <v>26</v>
      </c>
      <c r="U307" s="66" t="str">
        <f t="shared" si="241"/>
        <v>Ž35</v>
      </c>
      <c r="V307" s="47" t="s">
        <v>0</v>
      </c>
      <c r="W307" s="222" t="str">
        <f t="shared" si="242"/>
        <v>Ž35</v>
      </c>
      <c r="X307" s="223">
        <f t="shared" si="243"/>
        <v>41</v>
      </c>
      <c r="Y307" s="47" t="s">
        <v>0</v>
      </c>
      <c r="Z307" s="52" t="str">
        <f t="shared" si="266"/>
        <v>CRO</v>
      </c>
      <c r="AA307" s="73">
        <f t="shared" si="244"/>
        <v>1</v>
      </c>
      <c r="AB307" s="31" t="str">
        <f t="shared" si="267"/>
        <v/>
      </c>
      <c r="AC307" s="66" t="str">
        <f>IF(AB307="","",MAX(AC$12:AC306)+1)</f>
        <v/>
      </c>
      <c r="AD307" s="47" t="s">
        <v>0</v>
      </c>
      <c r="AE307" s="125"/>
      <c r="AF307" s="47" t="s">
        <v>0</v>
      </c>
      <c r="AG307" s="19" t="str">
        <f t="shared" si="268"/>
        <v/>
      </c>
      <c r="AH307" s="47" t="s">
        <v>0</v>
      </c>
      <c r="AI307" s="143" t="str">
        <f t="shared" si="269"/>
        <v>CRO</v>
      </c>
      <c r="AJ307" s="47"/>
      <c r="AK307" s="52" t="str">
        <f t="shared" si="270"/>
        <v>Ana</v>
      </c>
      <c r="AL307" s="31" t="str">
        <f t="shared" si="271"/>
        <v>Delić</v>
      </c>
      <c r="AM307" s="73">
        <f t="shared" si="272"/>
        <v>1549</v>
      </c>
      <c r="AN307" s="73" t="str">
        <f t="shared" si="273"/>
        <v/>
      </c>
      <c r="AO307" s="31" t="str">
        <f t="shared" si="245"/>
        <v>Ana</v>
      </c>
      <c r="AP307" s="66" t="str">
        <f t="shared" si="246"/>
        <v>Delić</v>
      </c>
      <c r="AQ307" s="47" t="s">
        <v>0</v>
      </c>
      <c r="AR307" s="82" t="str">
        <f t="shared" si="274"/>
        <v/>
      </c>
      <c r="AS307" s="47" t="s">
        <v>0</v>
      </c>
      <c r="AT307" s="19" t="str">
        <f t="shared" si="275"/>
        <v/>
      </c>
      <c r="AU307" s="47" t="s">
        <v>0</v>
      </c>
      <c r="AV307" s="103"/>
      <c r="AW307" s="105"/>
      <c r="AX307" s="47" t="s">
        <v>0</v>
      </c>
      <c r="AY307" s="256" t="str">
        <f t="shared" si="293"/>
        <v/>
      </c>
      <c r="AZ307" s="47" t="s">
        <v>0</v>
      </c>
      <c r="BA307" s="52" t="str">
        <f t="shared" si="247"/>
        <v/>
      </c>
      <c r="BB307" s="73" t="str">
        <f>IF(AV307&amp;AW307="","",MAX(BB$12:BB306)+1)</f>
        <v/>
      </c>
      <c r="BC307" s="268" t="str">
        <f t="shared" si="248"/>
        <v/>
      </c>
      <c r="BD307" s="53" t="str">
        <f>IF(AND(AM307="NEMA",AN307="NEMA",OR(AV307&amp;AW307="",BC307="NEMA")),MAX(BD$12:BD306)+1,"")</f>
        <v/>
      </c>
      <c r="BE307" s="47" t="s">
        <v>0</v>
      </c>
      <c r="BF307" s="52" t="str">
        <f t="shared" si="249"/>
        <v>Ana</v>
      </c>
      <c r="BG307" s="31" t="str">
        <f t="shared" si="250"/>
        <v>Delić</v>
      </c>
      <c r="BH307" s="73" t="str">
        <f t="shared" si="276"/>
        <v/>
      </c>
      <c r="BI307" s="53">
        <f t="shared" si="277"/>
        <v>1549</v>
      </c>
      <c r="BJ307" s="47" t="s">
        <v>0</v>
      </c>
      <c r="BK307" s="52" t="str">
        <f t="shared" si="251"/>
        <v>OK Jelen</v>
      </c>
      <c r="BL307" s="31" t="str">
        <f t="shared" si="252"/>
        <v>OK Jelen</v>
      </c>
      <c r="BM307" s="73">
        <f t="shared" si="253"/>
        <v>4</v>
      </c>
      <c r="BN307" s="73" t="str">
        <f t="shared" si="254"/>
        <v/>
      </c>
      <c r="BO307" s="31" t="str" cm="1">
        <f t="array" ref="BO307">IF(BN307="",""&amp;BL307,IF(BN307="NEMA",BL307,INDEX(regKlub_naziv,MATCH(INDEX(regKlub_alias_klubId,BN307),regKlub_id,0))))</f>
        <v>OK Jelen</v>
      </c>
      <c r="BP307" s="31" t="str" cm="1">
        <f t="array" ref="BP307">IFERROR(""&amp;INDEX(regNatjecatelj_klub,DY307),"")</f>
        <v>OK Jelen</v>
      </c>
      <c r="BQ307" s="88" t="str">
        <f t="shared" si="278"/>
        <v/>
      </c>
      <c r="BR307" s="66" t="str">
        <f t="shared" si="279"/>
        <v>OK Jelen</v>
      </c>
      <c r="BS307" s="47" t="s">
        <v>0</v>
      </c>
      <c r="BT307" s="82" t="str">
        <f>IF(BN307&lt;&gt;"NEMA","",IF(IFERROR(MATCH(BL307,BL$12:BL306,0),0)&lt;&gt;0,"",BL307))</f>
        <v/>
      </c>
      <c r="BU307" s="47" t="s">
        <v>0</v>
      </c>
      <c r="BV307" s="125"/>
      <c r="BW307" s="47" t="s">
        <v>0</v>
      </c>
      <c r="BX307" s="58" t="str">
        <f t="shared" si="280"/>
        <v/>
      </c>
      <c r="BY307" s="31" t="str">
        <f t="shared" si="281"/>
        <v/>
      </c>
      <c r="BZ307" s="31" t="str">
        <f>IF(BY307="","",MAX(BZ$12:BZ306)+1)</f>
        <v/>
      </c>
      <c r="CA307" s="31" t="str">
        <f>IF(BY307="","",IF(AA307="","",IF(AA307="NEMA",AC307,AA307)))</f>
        <v/>
      </c>
      <c r="CB307" s="31" t="str">
        <f t="shared" si="282"/>
        <v/>
      </c>
      <c r="CC307" s="31" t="str">
        <f>IF(BV307="","",MAX(CC$12:CC306)+1)</f>
        <v/>
      </c>
      <c r="CD307" s="31" t="str">
        <f t="shared" si="283"/>
        <v/>
      </c>
      <c r="CE307" s="66" t="str">
        <f t="shared" si="284"/>
        <v/>
      </c>
      <c r="CF307" s="47" t="s">
        <v>0</v>
      </c>
      <c r="CG307" s="73" t="str">
        <f>IF(BN307="","",IF(BN307&lt;&gt;"NEMA","",IFERROR(INDEX(nat_klubAliasId,MATCH(BL307,nat_noviKluboviAliasi,0)),"")))</f>
        <v/>
      </c>
      <c r="CH307" s="47"/>
      <c r="CI307" s="19" t="str">
        <f t="shared" si="285"/>
        <v/>
      </c>
      <c r="CJ307" s="47" t="s">
        <v>0</v>
      </c>
      <c r="CK307" s="52" t="str">
        <f>IF(X307&lt;&gt;"NEMA","",IF(IFERROR(MATCH(W307,W$12:W306,0),0)&lt;&gt;0,"",W307))</f>
        <v/>
      </c>
      <c r="CL307" s="73" t="str">
        <f>IF(CK307="","",IFERROR(INDEX(regKlub_alias_id,MATCH(CK307,regKlub_alias_alias,0)),"NEMA"))</f>
        <v/>
      </c>
      <c r="CM307" s="31" t="str">
        <f>IF(OR(CL307="",CL307&lt;&gt;"NEMA"),"",MAX(CM$12:CM306)+1)</f>
        <v/>
      </c>
      <c r="CN307" s="66" t="str">
        <f>IF(OR(CL307="",CL307&lt;&gt;"NEMA"),"",INDEX(regKlub_id,MATCH(CK307,regKlub_naziv,0)))</f>
        <v/>
      </c>
      <c r="CO307" s="47" t="s">
        <v>0</v>
      </c>
      <c r="CP307" s="19" t="str">
        <f>IF(OR(CL307="",CL307&lt;&gt;"NEMA"),"","INSERT INTO klub_alias(id,alias,klub_id) VALUES ("&amp;CM307&amp;",'"&amp;CK307&amp;"',"&amp;CN307&amp;");")</f>
        <v/>
      </c>
      <c r="CQ307" s="47" t="s">
        <v>0</v>
      </c>
      <c r="CR307" s="143" t="str">
        <f>IF(BR307="","",IF(BV307="",IF(IFERROR(MATCH(BR307,nat_noviKluboviAliasi,0),0)&gt;0,INDEX(nat_kluboviAliasi,MATCH(BR307,nat_noviKluboviAliasi,0)),BR307),BV307))</f>
        <v>OK Jelen</v>
      </c>
      <c r="CS307" s="47" t="s">
        <v>0</v>
      </c>
      <c r="CT307" s="58" t="str">
        <f>IF(G307="","",G307)</f>
        <v/>
      </c>
      <c r="CU307" s="73" t="str">
        <f>IF(H307="","",H307)</f>
        <v>1</v>
      </c>
      <c r="CV307" s="229" t="str">
        <f>IF(CT307="",IF(OR(AL307="",CU307&lt;&gt;"0"),"","GREŠKA"),IF(AND(65535&gt;=VALUE(LEFT(CT307,SEARCH(":",CT307)-1))*60+VALUE(RIGHT(CT307,2)),OR(CU307="0",CU307="1",CU307="2",CU307="3",CU307="4")),"","GREŠKA"))</f>
        <v/>
      </c>
      <c r="CW307" s="230" t="str">
        <f t="shared" si="239"/>
        <v/>
      </c>
      <c r="CX307" s="163">
        <f t="shared" si="255"/>
        <v>6</v>
      </c>
      <c r="CY307" s="47" t="s">
        <v>0</v>
      </c>
      <c r="CZ307" s="222" t="str">
        <f>IF(CV307&lt;&gt;"GREŠKA","",AK307&amp;" "&amp;AL307&amp;" – Molim u OEventu provjeriti i ispraviti rezultat – vrijeme ("&amp;IF(CT307="","nije upisano",CT307)&amp;") i classifier ("&amp;CU307&amp;").")&amp;IF(OR(CV307&lt;&gt;"GREŠKA",CX307&lt;&gt;5),"
","")&amp;IF(CX307&lt;&gt;5,"",AK307&amp;" "&amp;AL307&amp;" – Molim u provjeriti je li natjecatelj zaista diskvalificiran. Ako je koje je obrazloženje, ako nije molim u OEventu ispraviti rezultat")</f>
        <v xml:space="preserve">
</v>
      </c>
      <c r="DA307" s="223" t="e">
        <f t="shared" si="286"/>
        <v>#N/A</v>
      </c>
      <c r="DB307" s="47" t="s">
        <v>0</v>
      </c>
      <c r="DC307" s="47"/>
      <c r="DD307" s="47"/>
      <c r="DE307" s="47"/>
      <c r="DF307" s="47" t="s">
        <v>0</v>
      </c>
      <c r="DG307" s="53" t="str">
        <f>IF(BD307="","",IF(DI307="O",1,""))</f>
        <v/>
      </c>
      <c r="DH307" t="s">
        <v>0</v>
      </c>
      <c r="DI307" s="128" t="str">
        <f>IF(Q307="","",LEFT(INDEX(regKategorija_oznaka,MATCH(S307,regKategorija_id,0)),1))</f>
        <v>Ž</v>
      </c>
      <c r="DJ307" t="s">
        <v>0</v>
      </c>
      <c r="DK307" s="52" t="str">
        <f>IF(BD307="","",IF(M307&lt;&gt;"CRO","","INSERT INTO osoba (id,reg_broj,oib,spol_id,dat_rodjenja) VALUES ("&amp;BD307&amp;",(SELECT max(os.reg_broj)+1 FROM osoba AS os),Null,'"&amp;DI307&amp;"',Null); INSERT INTO osoba_log (id,reg_broj,oib,spol_id,dat_rodjenja,dnevnik_id) SELECT id,reg_broj,oib,spol_id,dat_rodjenja,"&amp;data_dnevnik_id&amp;" FROM osoba WHERE id = "&amp;BD307&amp;";"))</f>
        <v/>
      </c>
      <c r="DL307" s="66" t="str">
        <f>IF(BD307="","","INSERT INTO imeprezime (id,osoba_id,rbr,ime,prezime,klub_id,identitet_id,sintaksa_id,info,aktivno,dnevnik_id) VALUES ("&amp;BD307&amp;","&amp;IF(DK307="","Null",BD307)&amp;",1,'"&amp;IF(AV307&lt;&gt;"",AV307,AK307)&amp;"','"&amp;IF(AW307&lt;&gt;"",AW307,AL307)&amp;"',(SELECT id FROM klub WHERE naziv = '"&amp;CR307&amp;"'),Null,1,'',1,"&amp;data_dnevnik_id&amp;");")</f>
        <v/>
      </c>
      <c r="DM307" t="s">
        <v>0</v>
      </c>
      <c r="DN307" s="19" t="str">
        <f t="shared" si="294"/>
        <v/>
      </c>
      <c r="DO307" s="47" t="s">
        <v>0</v>
      </c>
      <c r="DP307" s="19" t="str">
        <f>IF(BA307="","","INSERT INTO imeprezime_alias(id,alias,imeprezime_id) VALUES ("&amp;BB307&amp;",'"&amp;BA307&amp;"',"&amp;IF(BC307="NEMA",BD307,BC307)&amp;");")</f>
        <v/>
      </c>
      <c r="DQ307" s="47" t="s">
        <v>0</v>
      </c>
      <c r="DR307" s="52" t="str">
        <f>IF(AL307="","",DU307 &amp; IF(Q307="",""," – " &amp; Q307))</f>
        <v>Ana – Delić – OK Jelen – Ž35</v>
      </c>
      <c r="DS307" s="53">
        <f t="shared" si="256"/>
        <v>157</v>
      </c>
      <c r="DT307" s="47" t="s">
        <v>0</v>
      </c>
      <c r="DU307" s="52" t="str">
        <f>IF(AL307="","",DX307 &amp; IF(CR307="",""," – " &amp; CR307))</f>
        <v>Ana – Delić – OK Jelen</v>
      </c>
      <c r="DV307" s="53">
        <f t="shared" si="257"/>
        <v>157</v>
      </c>
      <c r="DW307" s="47" t="s">
        <v>0</v>
      </c>
      <c r="DX307" s="52" t="str">
        <f>IF(BG307="","",BF307&amp;" – "&amp;BG307)</f>
        <v>Ana – Delić</v>
      </c>
      <c r="DY307" s="53">
        <f t="shared" si="258"/>
        <v>157</v>
      </c>
      <c r="DZ307" s="47" t="s">
        <v>0</v>
      </c>
      <c r="EA307" s="58">
        <f t="shared" si="287"/>
        <v>157</v>
      </c>
      <c r="EB307" s="53" cm="1">
        <f t="array" ref="EB307">IF(EA307&lt;&gt;"",INDEX(regNatjecatelj_id,EA307,0),IF(BD307&lt;&gt;"",BD307,""))</f>
        <v>1549</v>
      </c>
      <c r="EC307" s="47" t="s">
        <v>0</v>
      </c>
      <c r="ED307" s="58" t="str">
        <f>IF(AL307="","",IF(BD307&lt;&gt;"","novo",IF(AN307="","imepre","imepre(ali)")))</f>
        <v>imepre</v>
      </c>
      <c r="EE307" s="73" t="str">
        <f>IF(AL307="","",IF(BL307="",IF(IFERROR(INDEX(regNatjecatelj_klub,MATCH(EB307,regNatjecatelj_id,0)),"NEMA")="","klu",""),IF(OR(AND(BN307&lt;&gt;"",BN307&lt;&gt;"NEMA"),CD307&lt;&gt;""),"klu(ali)",IF(AND(BP307&lt;&gt;"",BP307&lt;&gt;BO307),"(raz-klu)","klu"))))</f>
        <v>klu</v>
      </c>
      <c r="EF307" s="73" t="str">
        <f>IF(AL307="","","kat"&amp;IF(AND(W307&lt;&gt;Q307,Q307&lt;&gt;"Open"),"(ali)",""))</f>
        <v>kat</v>
      </c>
      <c r="EG307" s="73" t="str">
        <f t="shared" si="259"/>
        <v/>
      </c>
      <c r="EH307" s="66" t="str">
        <f>IF(AL307="","",ED307&amp;IF(ED307="novo","","-"&amp;EE307&amp;"-"&amp;EF307)&amp;IF(EG307="","","-"&amp;EG307))</f>
        <v>imepre-klu-kat</v>
      </c>
      <c r="EI307" s="47" t="s">
        <v>0</v>
      </c>
      <c r="EJ307" s="58">
        <f>IF(AL307="","",MAX(EJ$12:EJ306)+1)</f>
        <v>457</v>
      </c>
      <c r="EK307" s="73">
        <f>IF(AO307="","",X307)</f>
        <v>41</v>
      </c>
      <c r="EL307" s="73">
        <f t="shared" si="288"/>
        <v>1549</v>
      </c>
      <c r="EM307" s="73" t="str">
        <f t="shared" si="260"/>
        <v/>
      </c>
      <c r="EN307" s="73">
        <f t="shared" si="261"/>
        <v>6</v>
      </c>
      <c r="EO307" s="73">
        <f t="shared" si="289"/>
        <v>1</v>
      </c>
      <c r="EP307" s="73">
        <f t="shared" si="290"/>
        <v>1</v>
      </c>
      <c r="EQ307" s="73" t="str">
        <f t="shared" si="262"/>
        <v>1</v>
      </c>
      <c r="ER307" s="73" t="str">
        <f>IF(OR(AN307="",AN307="NEMA"),BB307,AN307)</f>
        <v/>
      </c>
      <c r="ES307" s="73" t="str">
        <f>IF(AND(BN307&lt;&gt;"",BN307&lt;&gt;"NEMA"),BN307,IF(CG307&lt;&gt;"",CG307,IF(AND(CL307&lt;&gt;"",CL307&lt;&gt;"NEMA"),CL307,IF(CM307&lt;&gt;"",CM307,""))))</f>
        <v/>
      </c>
      <c r="ET307" s="53" t="str">
        <f>IF(INDEX(natKategorija_alias_Id,MATCH(S307,natKategorija_katRegId,0))="","",INDEX(natKategorija_alias_Id,MATCH(S307,natKategorija_katRegId,0)))</f>
        <v/>
      </c>
      <c r="EU307" s="47" t="s">
        <v>0</v>
      </c>
      <c r="EV307" s="19" t="str">
        <f t="shared" si="291"/>
        <v>INSERT INTO rezultat(id,stazakategorija_id,imeprezime_id,vrijeme_sec,status_id,registracija,uparivanje_id,originalstatus_id,imeprezimealias_id,klubalias_id,kategorijaalias_id) VALUES (457,41,1549,Null,6,1,1,1,Null,Null,Null);</v>
      </c>
      <c r="EW307" s="47" t="s">
        <v>0</v>
      </c>
      <c r="EX307" s="19" t="str">
        <f t="shared" si="292"/>
        <v>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07" s="47" t="s">
        <v>0</v>
      </c>
      <c r="EZ307" s="180" t="str">
        <f>AG307&amp;IF(CP307="","","
")&amp;CP307&amp;IF(CI307="","","
")&amp;CI307&amp;IF(DN307="","","
")&amp;DN307&amp;IF(DP307="","","
")&amp;DP307&amp;IF(EV307="","","
")&amp;EV307&amp;IF(EX307="","","
")&amp;EX307</f>
        <v xml:space="preserve">
INSERT INTO rezultat(id,stazakategorija_id,imeprezime_id,vrijeme_sec,status_id,registracija,uparivanje_id,originalstatus_id,imeprezimealias_id,klubalias_id,kategorijaalias_id) VALUES (457,41,1549,Null,6,1,1,1,Null,Null,Null);
UPDATE
	registar
SET
	potvrda = 1
WHERE
	imeprezime_id=1549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07" s="47" t="s">
        <v>0</v>
      </c>
    </row>
    <row r="308" spans="1:157" x14ac:dyDescent="0.25">
      <c r="A308" t="s">
        <v>0</v>
      </c>
      <c r="B308" s="52" t="str">
        <f>IF(csv!F298="","",csv!T298)</f>
        <v>Ž35</v>
      </c>
      <c r="C308" s="31" t="s">
        <v>0</v>
      </c>
      <c r="D308" s="31" t="str">
        <f>IF(csv!F298="","",csv!F298)</f>
        <v>Vacant</v>
      </c>
      <c r="E308" s="31" t="str">
        <f>IF(csv!E298="","",csv!E298)</f>
        <v/>
      </c>
      <c r="F308" s="31" t="s">
        <v>0</v>
      </c>
      <c r="G308" s="73" t="str">
        <f>IF(csv!M298="","",csv!M298)</f>
        <v/>
      </c>
      <c r="H308" s="73" t="str">
        <f>IF(csv!N298="","",csv!N298)</f>
        <v>0</v>
      </c>
      <c r="I308" s="31" t="s">
        <v>0</v>
      </c>
      <c r="J308" s="31" t="str">
        <f>IF(csv!P298="","",csv!P298)</f>
        <v/>
      </c>
      <c r="K308" s="31" t="str">
        <f>IF(csv!Q298="","",csv!Q298)</f>
        <v/>
      </c>
      <c r="L308" s="31" t="s">
        <v>0</v>
      </c>
      <c r="M308" s="66" t="str">
        <f>IF(csv!R298="","",csv!R298)</f>
        <v/>
      </c>
      <c r="N308" s="47" t="s">
        <v>0</v>
      </c>
      <c r="O308" s="243" t="str">
        <f t="shared" si="263"/>
        <v/>
      </c>
      <c r="P308" s="47"/>
      <c r="Q308" s="52" t="str">
        <f t="shared" si="264"/>
        <v>Ž35</v>
      </c>
      <c r="R308" s="73">
        <f>IF(Q308="","",IF(COUNTIF(Q$12:Q307,Q308)=0,R307+1,R307))</f>
        <v>19</v>
      </c>
      <c r="S308" s="73">
        <f t="shared" si="265"/>
        <v>117</v>
      </c>
      <c r="T308" s="73">
        <f t="shared" si="240"/>
        <v>26</v>
      </c>
      <c r="U308" s="66" t="str">
        <f t="shared" si="241"/>
        <v>Ž35</v>
      </c>
      <c r="V308" s="47" t="s">
        <v>0</v>
      </c>
      <c r="W308" s="222" t="str">
        <f t="shared" si="242"/>
        <v/>
      </c>
      <c r="X308" s="223" t="str">
        <f t="shared" si="243"/>
        <v/>
      </c>
      <c r="Y308" s="47" t="s">
        <v>0</v>
      </c>
      <c r="Z308" s="52" t="str">
        <f t="shared" si="266"/>
        <v/>
      </c>
      <c r="AA308" s="73" t="str">
        <f t="shared" si="244"/>
        <v/>
      </c>
      <c r="AB308" s="31" t="str">
        <f t="shared" si="267"/>
        <v/>
      </c>
      <c r="AC308" s="66" t="str">
        <f>IF(AB308="","",MAX(AC$12:AC307)+1)</f>
        <v/>
      </c>
      <c r="AD308" s="47" t="s">
        <v>0</v>
      </c>
      <c r="AE308" s="125"/>
      <c r="AF308" s="47" t="s">
        <v>0</v>
      </c>
      <c r="AG308" s="19" t="str">
        <f t="shared" si="268"/>
        <v/>
      </c>
      <c r="AH308" s="47" t="s">
        <v>0</v>
      </c>
      <c r="AI308" s="143" t="str">
        <f t="shared" si="269"/>
        <v/>
      </c>
      <c r="AJ308" s="47"/>
      <c r="AK308" s="52" t="str">
        <f t="shared" si="270"/>
        <v/>
      </c>
      <c r="AL308" s="31" t="str">
        <f t="shared" si="271"/>
        <v/>
      </c>
      <c r="AM308" s="73" t="str">
        <f t="shared" si="272"/>
        <v/>
      </c>
      <c r="AN308" s="73" t="str">
        <f t="shared" si="273"/>
        <v/>
      </c>
      <c r="AO308" s="31" t="str">
        <f t="shared" si="245"/>
        <v/>
      </c>
      <c r="AP308" s="66" t="str">
        <f t="shared" si="246"/>
        <v/>
      </c>
      <c r="AQ308" s="47" t="s">
        <v>0</v>
      </c>
      <c r="AR308" s="82" t="str">
        <f t="shared" si="274"/>
        <v/>
      </c>
      <c r="AS308" s="47" t="s">
        <v>0</v>
      </c>
      <c r="AT308" s="19" t="str">
        <f t="shared" si="275"/>
        <v/>
      </c>
      <c r="AU308" s="47" t="s">
        <v>0</v>
      </c>
      <c r="AV308" s="103"/>
      <c r="AW308" s="105"/>
      <c r="AX308" s="47" t="s">
        <v>0</v>
      </c>
      <c r="AY308" s="256" t="str">
        <f t="shared" si="293"/>
        <v/>
      </c>
      <c r="AZ308" s="47" t="s">
        <v>0</v>
      </c>
      <c r="BA308" s="52" t="str">
        <f t="shared" si="247"/>
        <v/>
      </c>
      <c r="BB308" s="73" t="str">
        <f>IF(AV308&amp;AW308="","",MAX(BB$12:BB307)+1)</f>
        <v/>
      </c>
      <c r="BC308" s="268" t="str">
        <f t="shared" si="248"/>
        <v/>
      </c>
      <c r="BD308" s="53" t="str">
        <f>IF(AND(AM308="NEMA",AN308="NEMA",OR(AV308&amp;AW308="",BC308="NEMA")),MAX(BD$12:BD307)+1,"")</f>
        <v/>
      </c>
      <c r="BE308" s="47" t="s">
        <v>0</v>
      </c>
      <c r="BF308" s="52" t="str">
        <f t="shared" si="249"/>
        <v/>
      </c>
      <c r="BG308" s="31" t="str">
        <f t="shared" si="250"/>
        <v/>
      </c>
      <c r="BH308" s="73" t="str">
        <f t="shared" si="276"/>
        <v/>
      </c>
      <c r="BI308" s="53" t="str">
        <f t="shared" si="277"/>
        <v/>
      </c>
      <c r="BJ308" s="47" t="s">
        <v>0</v>
      </c>
      <c r="BK308" s="52" t="str">
        <f t="shared" si="251"/>
        <v/>
      </c>
      <c r="BL308" s="31" t="str">
        <f t="shared" si="252"/>
        <v/>
      </c>
      <c r="BM308" s="73" t="str">
        <f t="shared" si="253"/>
        <v/>
      </c>
      <c r="BN308" s="73" t="str">
        <f t="shared" si="254"/>
        <v/>
      </c>
      <c r="BO308" s="31" t="str" cm="1">
        <f t="array" ref="BO308">IF(BN308="",""&amp;BL308,IF(BN308="NEMA",BL308,INDEX(regKlub_naziv,MATCH(INDEX(regKlub_alias_klubId,BN308),regKlub_id,0))))</f>
        <v/>
      </c>
      <c r="BP308" s="31" t="str" cm="1">
        <f t="array" ref="BP308">IFERROR(""&amp;INDEX(regNatjecatelj_klub,DY308),"")</f>
        <v/>
      </c>
      <c r="BQ308" s="88" t="str">
        <f t="shared" si="278"/>
        <v/>
      </c>
      <c r="BR308" s="66" t="str">
        <f t="shared" si="279"/>
        <v/>
      </c>
      <c r="BS308" s="47" t="s">
        <v>0</v>
      </c>
      <c r="BT308" s="82" t="str">
        <f>IF(BN308&lt;&gt;"NEMA","",IF(IFERROR(MATCH(BL308,BL$12:BL307,0),0)&lt;&gt;0,"",BL308))</f>
        <v/>
      </c>
      <c r="BU308" s="47" t="s">
        <v>0</v>
      </c>
      <c r="BV308" s="125"/>
      <c r="BW308" s="47" t="s">
        <v>0</v>
      </c>
      <c r="BX308" s="58" t="str">
        <f t="shared" si="280"/>
        <v/>
      </c>
      <c r="BY308" s="31" t="str">
        <f t="shared" si="281"/>
        <v/>
      </c>
      <c r="BZ308" s="31" t="str">
        <f>IF(BY308="","",MAX(BZ$12:BZ307)+1)</f>
        <v/>
      </c>
      <c r="CA308" s="31" t="str">
        <f>IF(BY308="","",IF(AA308="","",IF(AA308="NEMA",AC308,AA308)))</f>
        <v/>
      </c>
      <c r="CB308" s="31" t="str">
        <f t="shared" si="282"/>
        <v/>
      </c>
      <c r="CC308" s="31" t="str">
        <f>IF(BV308="","",MAX(CC$12:CC307)+1)</f>
        <v/>
      </c>
      <c r="CD308" s="31" t="str">
        <f t="shared" si="283"/>
        <v/>
      </c>
      <c r="CE308" s="66" t="str">
        <f t="shared" si="284"/>
        <v/>
      </c>
      <c r="CF308" s="47" t="s">
        <v>0</v>
      </c>
      <c r="CG308" s="73" t="str">
        <f>IF(BN308="","",IF(BN308&lt;&gt;"NEMA","",IFERROR(INDEX(nat_klubAliasId,MATCH(BL308,nat_noviKluboviAliasi,0)),"")))</f>
        <v/>
      </c>
      <c r="CH308" s="47"/>
      <c r="CI308" s="19" t="str">
        <f t="shared" si="285"/>
        <v/>
      </c>
      <c r="CJ308" s="47" t="s">
        <v>0</v>
      </c>
      <c r="CK308" s="52" t="str">
        <f>IF(X308&lt;&gt;"NEMA","",IF(IFERROR(MATCH(W308,W$12:W307,0),0)&lt;&gt;0,"",W308))</f>
        <v/>
      </c>
      <c r="CL308" s="73" t="str">
        <f>IF(CK308="","",IFERROR(INDEX(regKlub_alias_id,MATCH(CK308,regKlub_alias_alias,0)),"NEMA"))</f>
        <v/>
      </c>
      <c r="CM308" s="31" t="str">
        <f>IF(OR(CL308="",CL308&lt;&gt;"NEMA"),"",MAX(CM$12:CM307)+1)</f>
        <v/>
      </c>
      <c r="CN308" s="66" t="str">
        <f>IF(OR(CL308="",CL308&lt;&gt;"NEMA"),"",INDEX(regKlub_id,MATCH(CK308,regKlub_naziv,0)))</f>
        <v/>
      </c>
      <c r="CO308" s="47" t="s">
        <v>0</v>
      </c>
      <c r="CP308" s="19" t="str">
        <f>IF(OR(CL308="",CL308&lt;&gt;"NEMA"),"","INSERT INTO klub_alias(id,alias,klub_id) VALUES ("&amp;CM308&amp;",'"&amp;CK308&amp;"',"&amp;CN308&amp;");")</f>
        <v/>
      </c>
      <c r="CQ308" s="47" t="s">
        <v>0</v>
      </c>
      <c r="CR308" s="143" t="str">
        <f>IF(BR308="","",IF(BV308="",IF(IFERROR(MATCH(BR308,nat_noviKluboviAliasi,0),0)&gt;0,INDEX(nat_kluboviAliasi,MATCH(BR308,nat_noviKluboviAliasi,0)),BR308),BV308))</f>
        <v/>
      </c>
      <c r="CS308" s="47" t="s">
        <v>0</v>
      </c>
      <c r="CT308" s="58" t="str">
        <f>IF(G308="","",G308)</f>
        <v/>
      </c>
      <c r="CU308" s="73" t="str">
        <f>IF(H308="","",H308)</f>
        <v>0</v>
      </c>
      <c r="CV308" s="229" t="str">
        <f>IF(CT308="",IF(OR(AL308="",CU308&lt;&gt;"0"),"","GREŠKA"),IF(AND(65535&gt;=VALUE(LEFT(CT308,SEARCH(":",CT308)-1))*60+VALUE(RIGHT(CT308,2)),OR(CU308="0",CU308="1",CU308="2",CU308="3",CU308="4")),"","GREŠKA"))</f>
        <v/>
      </c>
      <c r="CW308" s="230" t="str">
        <f t="shared" si="239"/>
        <v/>
      </c>
      <c r="CX308" s="163" t="str">
        <f t="shared" si="255"/>
        <v/>
      </c>
      <c r="CY308" s="47" t="s">
        <v>0</v>
      </c>
      <c r="CZ308" s="222" t="str">
        <f>IF(CV308&lt;&gt;"GREŠKA","",AK308&amp;" "&amp;AL308&amp;" – Molim u OEventu provjeriti i ispraviti rezultat – vrijeme ("&amp;IF(CT308="","nije upisano",CT308)&amp;") i classifier ("&amp;CU308&amp;").")&amp;IF(OR(CV308&lt;&gt;"GREŠKA",CX308&lt;&gt;5),"
","")&amp;IF(CX308&lt;&gt;5,"",AK308&amp;" "&amp;AL308&amp;" – Molim u provjeriti je li natjecatelj zaista diskvalificiran. Ako je koje je obrazloženje, ako nije molim u OEventu ispraviti rezultat")</f>
        <v xml:space="preserve">
</v>
      </c>
      <c r="DA308" s="223" t="str">
        <f t="shared" si="286"/>
        <v/>
      </c>
      <c r="DB308" s="47" t="s">
        <v>0</v>
      </c>
      <c r="DC308" s="47"/>
      <c r="DD308" s="47"/>
      <c r="DE308" s="47"/>
      <c r="DF308" s="47" t="s">
        <v>0</v>
      </c>
      <c r="DG308" s="53" t="str">
        <f>IF(BD308="","",IF(DI308="O",1,""))</f>
        <v/>
      </c>
      <c r="DH308" t="s">
        <v>0</v>
      </c>
      <c r="DI308" s="128" t="str">
        <f>IF(Q308="","",LEFT(INDEX(regKategorija_oznaka,MATCH(S308,regKategorija_id,0)),1))</f>
        <v>Ž</v>
      </c>
      <c r="DJ308" t="s">
        <v>0</v>
      </c>
      <c r="DK308" s="52" t="str">
        <f>IF(BD308="","",IF(M308&lt;&gt;"CRO","","INSERT INTO osoba (id,reg_broj,oib,spol_id,dat_rodjenja) VALUES ("&amp;BD308&amp;",(SELECT max(os.reg_broj)+1 FROM osoba AS os),Null,'"&amp;DI308&amp;"',Null); INSERT INTO osoba_log (id,reg_broj,oib,spol_id,dat_rodjenja,dnevnik_id) SELECT id,reg_broj,oib,spol_id,dat_rodjenja,"&amp;data_dnevnik_id&amp;" FROM osoba WHERE id = "&amp;BD308&amp;";"))</f>
        <v/>
      </c>
      <c r="DL308" s="66" t="str">
        <f>IF(BD308="","","INSERT INTO imeprezime (id,osoba_id,rbr,ime,prezime,klub_id,identitet_id,sintaksa_id,info,aktivno,dnevnik_id) VALUES ("&amp;BD308&amp;","&amp;IF(DK308="","Null",BD308)&amp;",1,'"&amp;IF(AV308&lt;&gt;"",AV308,AK308)&amp;"','"&amp;IF(AW308&lt;&gt;"",AW308,AL308)&amp;"',(SELECT id FROM klub WHERE naziv = '"&amp;CR308&amp;"'),Null,1,'',1,"&amp;data_dnevnik_id&amp;");")</f>
        <v/>
      </c>
      <c r="DM308" t="s">
        <v>0</v>
      </c>
      <c r="DN308" s="19" t="str">
        <f t="shared" si="294"/>
        <v/>
      </c>
      <c r="DO308" s="47" t="s">
        <v>0</v>
      </c>
      <c r="DP308" s="19" t="str">
        <f>IF(BA308="","","INSERT INTO imeprezime_alias(id,alias,imeprezime_id) VALUES ("&amp;BB308&amp;",'"&amp;BA308&amp;"',"&amp;IF(BC308="NEMA",BD308,BC308)&amp;");")</f>
        <v/>
      </c>
      <c r="DQ308" s="47" t="s">
        <v>0</v>
      </c>
      <c r="DR308" s="52" t="str">
        <f>IF(AL308="","",DU308 &amp; IF(Q308="",""," – " &amp; Q308))</f>
        <v/>
      </c>
      <c r="DS308" s="53" t="str">
        <f t="shared" si="256"/>
        <v/>
      </c>
      <c r="DT308" s="47" t="s">
        <v>0</v>
      </c>
      <c r="DU308" s="52" t="str">
        <f>IF(AL308="","",DX308 &amp; IF(CR308="",""," – " &amp; CR308))</f>
        <v/>
      </c>
      <c r="DV308" s="53" t="str">
        <f t="shared" si="257"/>
        <v/>
      </c>
      <c r="DW308" s="47" t="s">
        <v>0</v>
      </c>
      <c r="DX308" s="52" t="str">
        <f>IF(BG308="","",BF308&amp;" – "&amp;BG308)</f>
        <v/>
      </c>
      <c r="DY308" s="53" t="str">
        <f t="shared" si="258"/>
        <v/>
      </c>
      <c r="DZ308" s="47" t="s">
        <v>0</v>
      </c>
      <c r="EA308" s="58" t="str">
        <f t="shared" si="287"/>
        <v/>
      </c>
      <c r="EB308" s="53" t="str" cm="1">
        <f t="array" ref="EB308">IF(EA308&lt;&gt;"",INDEX(regNatjecatelj_id,EA308,0),IF(BD308&lt;&gt;"",BD308,""))</f>
        <v/>
      </c>
      <c r="EC308" s="47" t="s">
        <v>0</v>
      </c>
      <c r="ED308" s="58" t="str">
        <f>IF(AL308="","",IF(BD308&lt;&gt;"","novo",IF(AN308="","imepre","imepre(ali)")))</f>
        <v/>
      </c>
      <c r="EE308" s="73" t="str">
        <f>IF(AL308="","",IF(BL308="",IF(IFERROR(INDEX(regNatjecatelj_klub,MATCH(EB308,regNatjecatelj_id,0)),"NEMA")="","klu",""),IF(OR(AND(BN308&lt;&gt;"",BN308&lt;&gt;"NEMA"),CD308&lt;&gt;""),"klu(ali)",IF(AND(BP308&lt;&gt;"",BP308&lt;&gt;BO308),"(raz-klu)","klu"))))</f>
        <v/>
      </c>
      <c r="EF308" s="73" t="str">
        <f>IF(AL308="","","kat"&amp;IF(AND(W308&lt;&gt;Q308,Q308&lt;&gt;"Open"),"(ali)",""))</f>
        <v/>
      </c>
      <c r="EG308" s="73" t="str">
        <f t="shared" si="259"/>
        <v/>
      </c>
      <c r="EH308" s="66" t="str">
        <f>IF(AL308="","",ED308&amp;IF(ED308="novo","","-"&amp;EE308&amp;"-"&amp;EF308)&amp;IF(EG308="","","-"&amp;EG308))</f>
        <v/>
      </c>
      <c r="EI308" s="47" t="s">
        <v>0</v>
      </c>
      <c r="EJ308" s="58" t="str">
        <f>IF(AL308="","",MAX(EJ$12:EJ307)+1)</f>
        <v/>
      </c>
      <c r="EK308" s="73" t="str">
        <f>IF(AO308="","",X308)</f>
        <v/>
      </c>
      <c r="EL308" s="73" t="str">
        <f t="shared" si="288"/>
        <v/>
      </c>
      <c r="EM308" s="73" t="str">
        <f t="shared" si="260"/>
        <v/>
      </c>
      <c r="EN308" s="73" t="str">
        <f t="shared" si="261"/>
        <v/>
      </c>
      <c r="EO308" s="73" t="str">
        <f t="shared" si="289"/>
        <v/>
      </c>
      <c r="EP308" s="73" t="str">
        <f t="shared" si="290"/>
        <v/>
      </c>
      <c r="EQ308" s="73" t="str">
        <f t="shared" si="262"/>
        <v/>
      </c>
      <c r="ER308" s="73" t="str">
        <f>IF(OR(AN308="",AN308="NEMA"),BB308,AN308)</f>
        <v/>
      </c>
      <c r="ES308" s="73" t="str">
        <f>IF(AND(BN308&lt;&gt;"",BN308&lt;&gt;"NEMA"),BN308,IF(CG308&lt;&gt;"",CG308,IF(AND(CL308&lt;&gt;"",CL308&lt;&gt;"NEMA"),CL308,IF(CM308&lt;&gt;"",CM308,""))))</f>
        <v/>
      </c>
      <c r="ET308" s="53" t="str">
        <f>IF(INDEX(natKategorija_alias_Id,MATCH(S308,natKategorija_katRegId,0))="","",INDEX(natKategorija_alias_Id,MATCH(S308,natKategorija_katRegId,0)))</f>
        <v/>
      </c>
      <c r="EU308" s="47" t="s">
        <v>0</v>
      </c>
      <c r="EV308" s="19" t="str">
        <f t="shared" si="291"/>
        <v/>
      </c>
      <c r="EW308" s="47" t="s">
        <v>0</v>
      </c>
      <c r="EX308" s="19" t="str">
        <f t="shared" si="292"/>
        <v/>
      </c>
      <c r="EY308" s="47" t="s">
        <v>0</v>
      </c>
      <c r="EZ308" s="180" t="str">
        <f>AG308&amp;IF(CP308="","","
")&amp;CP308&amp;IF(CI308="","","
")&amp;CI308&amp;IF(DN308="","","
")&amp;DN308&amp;IF(DP308="","","
")&amp;DP308&amp;IF(EV308="","","
")&amp;EV308&amp;IF(EX308="","","
")&amp;EX308</f>
        <v/>
      </c>
      <c r="FA308" s="47" t="s">
        <v>0</v>
      </c>
    </row>
    <row r="309" spans="1:157" x14ac:dyDescent="0.25">
      <c r="A309" t="s">
        <v>0</v>
      </c>
      <c r="B309" s="52" t="str">
        <f>IF(csv!F299="","",csv!T299)</f>
        <v>Ž35</v>
      </c>
      <c r="C309" s="31" t="s">
        <v>0</v>
      </c>
      <c r="D309" s="31" t="str">
        <f>IF(csv!F299="","",csv!F299)</f>
        <v>Vacant</v>
      </c>
      <c r="E309" s="31" t="str">
        <f>IF(csv!E299="","",csv!E299)</f>
        <v/>
      </c>
      <c r="F309" s="31" t="s">
        <v>0</v>
      </c>
      <c r="G309" s="73" t="str">
        <f>IF(csv!M299="","",csv!M299)</f>
        <v/>
      </c>
      <c r="H309" s="73" t="str">
        <f>IF(csv!N299="","",csv!N299)</f>
        <v>0</v>
      </c>
      <c r="I309" s="31" t="s">
        <v>0</v>
      </c>
      <c r="J309" s="31" t="str">
        <f>IF(csv!P299="","",csv!P299)</f>
        <v/>
      </c>
      <c r="K309" s="31" t="str">
        <f>IF(csv!Q299="","",csv!Q299)</f>
        <v/>
      </c>
      <c r="L309" s="31" t="s">
        <v>0</v>
      </c>
      <c r="M309" s="66" t="str">
        <f>IF(csv!R299="","",csv!R299)</f>
        <v/>
      </c>
      <c r="N309" s="47" t="s">
        <v>0</v>
      </c>
      <c r="O309" s="243" t="str">
        <f t="shared" si="263"/>
        <v/>
      </c>
      <c r="P309" s="47"/>
      <c r="Q309" s="52" t="str">
        <f t="shared" si="264"/>
        <v>Ž35</v>
      </c>
      <c r="R309" s="73">
        <f>IF(Q309="","",IF(COUNTIF(Q$12:Q308,Q309)=0,R308+1,R308))</f>
        <v>19</v>
      </c>
      <c r="S309" s="73">
        <f t="shared" si="265"/>
        <v>117</v>
      </c>
      <c r="T309" s="73">
        <f t="shared" si="240"/>
        <v>26</v>
      </c>
      <c r="U309" s="66" t="str">
        <f t="shared" si="241"/>
        <v>Ž35</v>
      </c>
      <c r="V309" s="47" t="s">
        <v>0</v>
      </c>
      <c r="W309" s="222" t="str">
        <f t="shared" si="242"/>
        <v/>
      </c>
      <c r="X309" s="223" t="str">
        <f t="shared" si="243"/>
        <v/>
      </c>
      <c r="Y309" s="47" t="s">
        <v>0</v>
      </c>
      <c r="Z309" s="52" t="str">
        <f t="shared" si="266"/>
        <v/>
      </c>
      <c r="AA309" s="73" t="str">
        <f t="shared" si="244"/>
        <v/>
      </c>
      <c r="AB309" s="31" t="str">
        <f t="shared" si="267"/>
        <v/>
      </c>
      <c r="AC309" s="66" t="str">
        <f>IF(AB309="","",MAX(AC$12:AC308)+1)</f>
        <v/>
      </c>
      <c r="AD309" s="47" t="s">
        <v>0</v>
      </c>
      <c r="AE309" s="125"/>
      <c r="AF309" s="47" t="s">
        <v>0</v>
      </c>
      <c r="AG309" s="19" t="str">
        <f t="shared" si="268"/>
        <v/>
      </c>
      <c r="AH309" s="47" t="s">
        <v>0</v>
      </c>
      <c r="AI309" s="143" t="str">
        <f t="shared" si="269"/>
        <v/>
      </c>
      <c r="AJ309" s="47"/>
      <c r="AK309" s="52" t="str">
        <f t="shared" si="270"/>
        <v/>
      </c>
      <c r="AL309" s="31" t="str">
        <f t="shared" si="271"/>
        <v/>
      </c>
      <c r="AM309" s="73" t="str">
        <f t="shared" si="272"/>
        <v/>
      </c>
      <c r="AN309" s="73" t="str">
        <f t="shared" si="273"/>
        <v/>
      </c>
      <c r="AO309" s="31" t="str">
        <f t="shared" si="245"/>
        <v/>
      </c>
      <c r="AP309" s="66" t="str">
        <f t="shared" si="246"/>
        <v/>
      </c>
      <c r="AQ309" s="47" t="s">
        <v>0</v>
      </c>
      <c r="AR309" s="82" t="str">
        <f t="shared" si="274"/>
        <v/>
      </c>
      <c r="AS309" s="47" t="s">
        <v>0</v>
      </c>
      <c r="AT309" s="19" t="str">
        <f t="shared" si="275"/>
        <v/>
      </c>
      <c r="AU309" s="47" t="s">
        <v>0</v>
      </c>
      <c r="AV309" s="103"/>
      <c r="AW309" s="105"/>
      <c r="AX309" s="47" t="s">
        <v>0</v>
      </c>
      <c r="AY309" s="256" t="str">
        <f t="shared" si="293"/>
        <v/>
      </c>
      <c r="AZ309" s="47" t="s">
        <v>0</v>
      </c>
      <c r="BA309" s="52" t="str">
        <f t="shared" si="247"/>
        <v/>
      </c>
      <c r="BB309" s="73" t="str">
        <f>IF(AV309&amp;AW309="","",MAX(BB$12:BB308)+1)</f>
        <v/>
      </c>
      <c r="BC309" s="268" t="str">
        <f t="shared" si="248"/>
        <v/>
      </c>
      <c r="BD309" s="53" t="str">
        <f>IF(AND(AM309="NEMA",AN309="NEMA",OR(AV309&amp;AW309="",BC309="NEMA")),MAX(BD$12:BD308)+1,"")</f>
        <v/>
      </c>
      <c r="BE309" s="47" t="s">
        <v>0</v>
      </c>
      <c r="BF309" s="52" t="str">
        <f t="shared" si="249"/>
        <v/>
      </c>
      <c r="BG309" s="31" t="str">
        <f t="shared" si="250"/>
        <v/>
      </c>
      <c r="BH309" s="73" t="str">
        <f t="shared" si="276"/>
        <v/>
      </c>
      <c r="BI309" s="53" t="str">
        <f t="shared" si="277"/>
        <v/>
      </c>
      <c r="BJ309" s="47" t="s">
        <v>0</v>
      </c>
      <c r="BK309" s="52" t="str">
        <f t="shared" si="251"/>
        <v/>
      </c>
      <c r="BL309" s="31" t="str">
        <f t="shared" si="252"/>
        <v/>
      </c>
      <c r="BM309" s="73" t="str">
        <f t="shared" si="253"/>
        <v/>
      </c>
      <c r="BN309" s="73" t="str">
        <f t="shared" si="254"/>
        <v/>
      </c>
      <c r="BO309" s="31" t="str" cm="1">
        <f t="array" ref="BO309">IF(BN309="",""&amp;BL309,IF(BN309="NEMA",BL309,INDEX(regKlub_naziv,MATCH(INDEX(regKlub_alias_klubId,BN309),regKlub_id,0))))</f>
        <v/>
      </c>
      <c r="BP309" s="31" t="str" cm="1">
        <f t="array" ref="BP309">IFERROR(""&amp;INDEX(regNatjecatelj_klub,DY309),"")</f>
        <v/>
      </c>
      <c r="BQ309" s="88" t="str">
        <f t="shared" si="278"/>
        <v/>
      </c>
      <c r="BR309" s="66" t="str">
        <f t="shared" si="279"/>
        <v/>
      </c>
      <c r="BS309" s="47" t="s">
        <v>0</v>
      </c>
      <c r="BT309" s="82" t="str">
        <f>IF(BN309&lt;&gt;"NEMA","",IF(IFERROR(MATCH(BL309,BL$12:BL308,0),0)&lt;&gt;0,"",BL309))</f>
        <v/>
      </c>
      <c r="BU309" s="47" t="s">
        <v>0</v>
      </c>
      <c r="BV309" s="125"/>
      <c r="BW309" s="47" t="s">
        <v>0</v>
      </c>
      <c r="BX309" s="58" t="str">
        <f t="shared" si="280"/>
        <v/>
      </c>
      <c r="BY309" s="31" t="str">
        <f t="shared" si="281"/>
        <v/>
      </c>
      <c r="BZ309" s="31" t="str">
        <f>IF(BY309="","",MAX(BZ$12:BZ308)+1)</f>
        <v/>
      </c>
      <c r="CA309" s="31" t="str">
        <f>IF(BY309="","",IF(AA309="","",IF(AA309="NEMA",AC309,AA309)))</f>
        <v/>
      </c>
      <c r="CB309" s="31" t="str">
        <f t="shared" si="282"/>
        <v/>
      </c>
      <c r="CC309" s="31" t="str">
        <f>IF(BV309="","",MAX(CC$12:CC308)+1)</f>
        <v/>
      </c>
      <c r="CD309" s="31" t="str">
        <f t="shared" si="283"/>
        <v/>
      </c>
      <c r="CE309" s="66" t="str">
        <f t="shared" si="284"/>
        <v/>
      </c>
      <c r="CF309" s="47" t="s">
        <v>0</v>
      </c>
      <c r="CG309" s="73" t="str">
        <f>IF(BN309="","",IF(BN309&lt;&gt;"NEMA","",IFERROR(INDEX(nat_klubAliasId,MATCH(BL309,nat_noviKluboviAliasi,0)),"")))</f>
        <v/>
      </c>
      <c r="CH309" s="47"/>
      <c r="CI309" s="19" t="str">
        <f t="shared" si="285"/>
        <v/>
      </c>
      <c r="CJ309" s="47" t="s">
        <v>0</v>
      </c>
      <c r="CK309" s="52" t="str">
        <f>IF(X309&lt;&gt;"NEMA","",IF(IFERROR(MATCH(W309,W$12:W308,0),0)&lt;&gt;0,"",W309))</f>
        <v/>
      </c>
      <c r="CL309" s="73" t="str">
        <f>IF(CK309="","",IFERROR(INDEX(regKlub_alias_id,MATCH(CK309,regKlub_alias_alias,0)),"NEMA"))</f>
        <v/>
      </c>
      <c r="CM309" s="31" t="str">
        <f>IF(OR(CL309="",CL309&lt;&gt;"NEMA"),"",MAX(CM$12:CM308)+1)</f>
        <v/>
      </c>
      <c r="CN309" s="66" t="str">
        <f>IF(OR(CL309="",CL309&lt;&gt;"NEMA"),"",INDEX(regKlub_id,MATCH(CK309,regKlub_naziv,0)))</f>
        <v/>
      </c>
      <c r="CO309" s="47" t="s">
        <v>0</v>
      </c>
      <c r="CP309" s="19" t="str">
        <f>IF(OR(CL309="",CL309&lt;&gt;"NEMA"),"","INSERT INTO klub_alias(id,alias,klub_id) VALUES ("&amp;CM309&amp;",'"&amp;CK309&amp;"',"&amp;CN309&amp;");")</f>
        <v/>
      </c>
      <c r="CQ309" s="47" t="s">
        <v>0</v>
      </c>
      <c r="CR309" s="143" t="str">
        <f>IF(BR309="","",IF(BV309="",IF(IFERROR(MATCH(BR309,nat_noviKluboviAliasi,0),0)&gt;0,INDEX(nat_kluboviAliasi,MATCH(BR309,nat_noviKluboviAliasi,0)),BR309),BV309))</f>
        <v/>
      </c>
      <c r="CS309" s="47" t="s">
        <v>0</v>
      </c>
      <c r="CT309" s="58" t="str">
        <f>IF(G309="","",G309)</f>
        <v/>
      </c>
      <c r="CU309" s="73" t="str">
        <f>IF(H309="","",H309)</f>
        <v>0</v>
      </c>
      <c r="CV309" s="229" t="str">
        <f>IF(CT309="",IF(OR(AL309="",CU309&lt;&gt;"0"),"","GREŠKA"),IF(AND(65535&gt;=VALUE(LEFT(CT309,SEARCH(":",CT309)-1))*60+VALUE(RIGHT(CT309,2)),OR(CU309="0",CU309="1",CU309="2",CU309="3",CU309="4")),"","GREŠKA"))</f>
        <v/>
      </c>
      <c r="CW309" s="230" t="str">
        <f t="shared" si="239"/>
        <v/>
      </c>
      <c r="CX309" s="163" t="str">
        <f t="shared" si="255"/>
        <v/>
      </c>
      <c r="CY309" s="47" t="s">
        <v>0</v>
      </c>
      <c r="CZ309" s="222" t="str">
        <f>IF(CV309&lt;&gt;"GREŠKA","",AK309&amp;" "&amp;AL309&amp;" – Molim u OEventu provjeriti i ispraviti rezultat – vrijeme ("&amp;IF(CT309="","nije upisano",CT309)&amp;") i classifier ("&amp;CU309&amp;").")&amp;IF(OR(CV309&lt;&gt;"GREŠKA",CX309&lt;&gt;5),"
","")&amp;IF(CX309&lt;&gt;5,"",AK309&amp;" "&amp;AL309&amp;" – Molim u provjeriti je li natjecatelj zaista diskvalificiran. Ako je koje je obrazloženje, ako nije molim u OEventu ispraviti rezultat")</f>
        <v xml:space="preserve">
</v>
      </c>
      <c r="DA309" s="223" t="str">
        <f t="shared" si="286"/>
        <v/>
      </c>
      <c r="DB309" s="47" t="s">
        <v>0</v>
      </c>
      <c r="DC309" s="47"/>
      <c r="DD309" s="47"/>
      <c r="DE309" s="47"/>
      <c r="DF309" s="47" t="s">
        <v>0</v>
      </c>
      <c r="DG309" s="53" t="str">
        <f>IF(BD309="","",IF(DI309="O",1,""))</f>
        <v/>
      </c>
      <c r="DH309" t="s">
        <v>0</v>
      </c>
      <c r="DI309" s="128" t="str">
        <f>IF(Q309="","",LEFT(INDEX(regKategorija_oznaka,MATCH(S309,regKategorija_id,0)),1))</f>
        <v>Ž</v>
      </c>
      <c r="DJ309" t="s">
        <v>0</v>
      </c>
      <c r="DK309" s="52" t="str">
        <f>IF(BD309="","",IF(M309&lt;&gt;"CRO","","INSERT INTO osoba (id,reg_broj,oib,spol_id,dat_rodjenja) VALUES ("&amp;BD309&amp;",(SELECT max(os.reg_broj)+1 FROM osoba AS os),Null,'"&amp;DI309&amp;"',Null); INSERT INTO osoba_log (id,reg_broj,oib,spol_id,dat_rodjenja,dnevnik_id) SELECT id,reg_broj,oib,spol_id,dat_rodjenja,"&amp;data_dnevnik_id&amp;" FROM osoba WHERE id = "&amp;BD309&amp;";"))</f>
        <v/>
      </c>
      <c r="DL309" s="66" t="str">
        <f>IF(BD309="","","INSERT INTO imeprezime (id,osoba_id,rbr,ime,prezime,klub_id,identitet_id,sintaksa_id,info,aktivno,dnevnik_id) VALUES ("&amp;BD309&amp;","&amp;IF(DK309="","Null",BD309)&amp;",1,'"&amp;IF(AV309&lt;&gt;"",AV309,AK309)&amp;"','"&amp;IF(AW309&lt;&gt;"",AW309,AL309)&amp;"',(SELECT id FROM klub WHERE naziv = '"&amp;CR309&amp;"'),Null,1,'',1,"&amp;data_dnevnik_id&amp;");")</f>
        <v/>
      </c>
      <c r="DM309" t="s">
        <v>0</v>
      </c>
      <c r="DN309" s="19" t="str">
        <f t="shared" si="294"/>
        <v/>
      </c>
      <c r="DO309" s="47" t="s">
        <v>0</v>
      </c>
      <c r="DP309" s="19" t="str">
        <f>IF(BA309="","","INSERT INTO imeprezime_alias(id,alias,imeprezime_id) VALUES ("&amp;BB309&amp;",'"&amp;BA309&amp;"',"&amp;IF(BC309="NEMA",BD309,BC309)&amp;");")</f>
        <v/>
      </c>
      <c r="DQ309" s="47" t="s">
        <v>0</v>
      </c>
      <c r="DR309" s="52" t="str">
        <f>IF(AL309="","",DU309 &amp; IF(Q309="",""," – " &amp; Q309))</f>
        <v/>
      </c>
      <c r="DS309" s="53" t="str">
        <f t="shared" si="256"/>
        <v/>
      </c>
      <c r="DT309" s="47" t="s">
        <v>0</v>
      </c>
      <c r="DU309" s="52" t="str">
        <f>IF(AL309="","",DX309 &amp; IF(CR309="",""," – " &amp; CR309))</f>
        <v/>
      </c>
      <c r="DV309" s="53" t="str">
        <f t="shared" si="257"/>
        <v/>
      </c>
      <c r="DW309" s="47" t="s">
        <v>0</v>
      </c>
      <c r="DX309" s="52" t="str">
        <f>IF(BG309="","",BF309&amp;" – "&amp;BG309)</f>
        <v/>
      </c>
      <c r="DY309" s="53" t="str">
        <f t="shared" si="258"/>
        <v/>
      </c>
      <c r="DZ309" s="47" t="s">
        <v>0</v>
      </c>
      <c r="EA309" s="58" t="str">
        <f t="shared" si="287"/>
        <v/>
      </c>
      <c r="EB309" s="53" t="str" cm="1">
        <f t="array" ref="EB309">IF(EA309&lt;&gt;"",INDEX(regNatjecatelj_id,EA309,0),IF(BD309&lt;&gt;"",BD309,""))</f>
        <v/>
      </c>
      <c r="EC309" s="47" t="s">
        <v>0</v>
      </c>
      <c r="ED309" s="58" t="str">
        <f>IF(AL309="","",IF(BD309&lt;&gt;"","novo",IF(AN309="","imepre","imepre(ali)")))</f>
        <v/>
      </c>
      <c r="EE309" s="73" t="str">
        <f>IF(AL309="","",IF(BL309="",IF(IFERROR(INDEX(regNatjecatelj_klub,MATCH(EB309,regNatjecatelj_id,0)),"NEMA")="","klu",""),IF(OR(AND(BN309&lt;&gt;"",BN309&lt;&gt;"NEMA"),CD309&lt;&gt;""),"klu(ali)",IF(AND(BP309&lt;&gt;"",BP309&lt;&gt;BO309),"(raz-klu)","klu"))))</f>
        <v/>
      </c>
      <c r="EF309" s="73" t="str">
        <f>IF(AL309="","","kat"&amp;IF(AND(W309&lt;&gt;Q309,Q309&lt;&gt;"Open"),"(ali)",""))</f>
        <v/>
      </c>
      <c r="EG309" s="73" t="str">
        <f t="shared" si="259"/>
        <v/>
      </c>
      <c r="EH309" s="66" t="str">
        <f>IF(AL309="","",ED309&amp;IF(ED309="novo","","-"&amp;EE309&amp;"-"&amp;EF309)&amp;IF(EG309="","","-"&amp;EG309))</f>
        <v/>
      </c>
      <c r="EI309" s="47" t="s">
        <v>0</v>
      </c>
      <c r="EJ309" s="58" t="str">
        <f>IF(AL309="","",MAX(EJ$12:EJ308)+1)</f>
        <v/>
      </c>
      <c r="EK309" s="73" t="str">
        <f>IF(AO309="","",X309)</f>
        <v/>
      </c>
      <c r="EL309" s="73" t="str">
        <f t="shared" si="288"/>
        <v/>
      </c>
      <c r="EM309" s="73" t="str">
        <f t="shared" si="260"/>
        <v/>
      </c>
      <c r="EN309" s="73" t="str">
        <f t="shared" si="261"/>
        <v/>
      </c>
      <c r="EO309" s="73" t="str">
        <f t="shared" si="289"/>
        <v/>
      </c>
      <c r="EP309" s="73" t="str">
        <f t="shared" si="290"/>
        <v/>
      </c>
      <c r="EQ309" s="73" t="str">
        <f t="shared" si="262"/>
        <v/>
      </c>
      <c r="ER309" s="73" t="str">
        <f>IF(OR(AN309="",AN309="NEMA"),BB309,AN309)</f>
        <v/>
      </c>
      <c r="ES309" s="73" t="str">
        <f>IF(AND(BN309&lt;&gt;"",BN309&lt;&gt;"NEMA"),BN309,IF(CG309&lt;&gt;"",CG309,IF(AND(CL309&lt;&gt;"",CL309&lt;&gt;"NEMA"),CL309,IF(CM309&lt;&gt;"",CM309,""))))</f>
        <v/>
      </c>
      <c r="ET309" s="53" t="str">
        <f>IF(INDEX(natKategorija_alias_Id,MATCH(S309,natKategorija_katRegId,0))="","",INDEX(natKategorija_alias_Id,MATCH(S309,natKategorija_katRegId,0)))</f>
        <v/>
      </c>
      <c r="EU309" s="47" t="s">
        <v>0</v>
      </c>
      <c r="EV309" s="19" t="str">
        <f t="shared" si="291"/>
        <v/>
      </c>
      <c r="EW309" s="47" t="s">
        <v>0</v>
      </c>
      <c r="EX309" s="19" t="str">
        <f t="shared" si="292"/>
        <v/>
      </c>
      <c r="EY309" s="47" t="s">
        <v>0</v>
      </c>
      <c r="EZ309" s="180" t="str">
        <f>AG309&amp;IF(CP309="","","
")&amp;CP309&amp;IF(CI309="","","
")&amp;CI309&amp;IF(DN309="","","
")&amp;DN309&amp;IF(DP309="","","
")&amp;DP309&amp;IF(EV309="","","
")&amp;EV309&amp;IF(EX309="","","
")&amp;EX309</f>
        <v/>
      </c>
      <c r="FA309" s="47" t="s">
        <v>0</v>
      </c>
    </row>
    <row r="310" spans="1:157" x14ac:dyDescent="0.25">
      <c r="A310" t="s">
        <v>0</v>
      </c>
      <c r="B310" s="52" t="str">
        <f>IF(csv!F300="","",csv!T300)</f>
        <v>Ž35</v>
      </c>
      <c r="C310" s="31" t="s">
        <v>0</v>
      </c>
      <c r="D310" s="31" t="str">
        <f>IF(csv!F300="","",csv!F300)</f>
        <v>Violeta</v>
      </c>
      <c r="E310" s="31" t="str">
        <f>IF(csv!E300="","",csv!E300)</f>
        <v>Čalić</v>
      </c>
      <c r="F310" s="31" t="s">
        <v>0</v>
      </c>
      <c r="G310" s="73" t="str">
        <f>IF(csv!M300="","",csv!M300)</f>
        <v/>
      </c>
      <c r="H310" s="73" t="str">
        <f>IF(csv!N300="","",csv!N300)</f>
        <v>1</v>
      </c>
      <c r="I310" s="31" t="s">
        <v>0</v>
      </c>
      <c r="J310" s="31" t="str">
        <f>IF(csv!P300="","",csv!P300)</f>
        <v>Vihor</v>
      </c>
      <c r="K310" s="31" t="str">
        <f>IF(csv!Q300="","",csv!Q300)</f>
        <v>OK Vihor</v>
      </c>
      <c r="L310" s="31" t="s">
        <v>0</v>
      </c>
      <c r="M310" s="66" t="str">
        <f>IF(csv!R300="","",csv!R300)</f>
        <v>CRO</v>
      </c>
      <c r="N310" s="47" t="s">
        <v>0</v>
      </c>
      <c r="O310" s="243" t="str">
        <f t="shared" si="263"/>
        <v>ok</v>
      </c>
      <c r="P310" s="47"/>
      <c r="Q310" s="52" t="str">
        <f t="shared" si="264"/>
        <v>Ž35</v>
      </c>
      <c r="R310" s="73">
        <f>IF(Q310="","",IF(COUNTIF(Q$12:Q309,Q310)=0,R309+1,R309))</f>
        <v>19</v>
      </c>
      <c r="S310" s="73">
        <f t="shared" si="265"/>
        <v>117</v>
      </c>
      <c r="T310" s="73">
        <f t="shared" si="240"/>
        <v>26</v>
      </c>
      <c r="U310" s="66" t="str">
        <f t="shared" si="241"/>
        <v>Ž35</v>
      </c>
      <c r="V310" s="47" t="s">
        <v>0</v>
      </c>
      <c r="W310" s="222" t="str">
        <f t="shared" si="242"/>
        <v>Ž35</v>
      </c>
      <c r="X310" s="223">
        <f t="shared" si="243"/>
        <v>41</v>
      </c>
      <c r="Y310" s="47" t="s">
        <v>0</v>
      </c>
      <c r="Z310" s="52" t="str">
        <f t="shared" si="266"/>
        <v>CRO</v>
      </c>
      <c r="AA310" s="73">
        <f t="shared" si="244"/>
        <v>1</v>
      </c>
      <c r="AB310" s="31" t="str">
        <f t="shared" si="267"/>
        <v/>
      </c>
      <c r="AC310" s="66" t="str">
        <f>IF(AB310="","",MAX(AC$12:AC309)+1)</f>
        <v/>
      </c>
      <c r="AD310" s="47" t="s">
        <v>0</v>
      </c>
      <c r="AE310" s="125"/>
      <c r="AF310" s="47" t="s">
        <v>0</v>
      </c>
      <c r="AG310" s="19" t="str">
        <f t="shared" si="268"/>
        <v/>
      </c>
      <c r="AH310" s="47" t="s">
        <v>0</v>
      </c>
      <c r="AI310" s="143" t="str">
        <f t="shared" si="269"/>
        <v>CRO</v>
      </c>
      <c r="AJ310" s="47"/>
      <c r="AK310" s="52" t="str">
        <f t="shared" si="270"/>
        <v>Violeta</v>
      </c>
      <c r="AL310" s="31" t="str">
        <f t="shared" si="271"/>
        <v>Čalić</v>
      </c>
      <c r="AM310" s="73">
        <f t="shared" si="272"/>
        <v>1330</v>
      </c>
      <c r="AN310" s="73" t="str">
        <f t="shared" si="273"/>
        <v/>
      </c>
      <c r="AO310" s="31" t="str">
        <f t="shared" si="245"/>
        <v>Violeta</v>
      </c>
      <c r="AP310" s="66" t="str">
        <f t="shared" si="246"/>
        <v>Čalić</v>
      </c>
      <c r="AQ310" s="47" t="s">
        <v>0</v>
      </c>
      <c r="AR310" s="82" t="str">
        <f t="shared" si="274"/>
        <v/>
      </c>
      <c r="AS310" s="47" t="s">
        <v>0</v>
      </c>
      <c r="AT310" s="19" t="str">
        <f t="shared" si="275"/>
        <v/>
      </c>
      <c r="AU310" s="47" t="s">
        <v>0</v>
      </c>
      <c r="AV310" s="103"/>
      <c r="AW310" s="105"/>
      <c r="AX310" s="47" t="s">
        <v>0</v>
      </c>
      <c r="AY310" s="256" t="str">
        <f t="shared" si="293"/>
        <v/>
      </c>
      <c r="AZ310" s="47" t="s">
        <v>0</v>
      </c>
      <c r="BA310" s="52" t="str">
        <f t="shared" si="247"/>
        <v/>
      </c>
      <c r="BB310" s="73" t="str">
        <f>IF(AV310&amp;AW310="","",MAX(BB$12:BB309)+1)</f>
        <v/>
      </c>
      <c r="BC310" s="268" t="str">
        <f t="shared" si="248"/>
        <v/>
      </c>
      <c r="BD310" s="53" t="str">
        <f>IF(AND(AM310="NEMA",AN310="NEMA",OR(AV310&amp;AW310="",BC310="NEMA")),MAX(BD$12:BD309)+1,"")</f>
        <v/>
      </c>
      <c r="BE310" s="47" t="s">
        <v>0</v>
      </c>
      <c r="BF310" s="52" t="str">
        <f t="shared" si="249"/>
        <v>Violeta</v>
      </c>
      <c r="BG310" s="31" t="str">
        <f t="shared" si="250"/>
        <v>Čalić</v>
      </c>
      <c r="BH310" s="73" t="str">
        <f t="shared" si="276"/>
        <v/>
      </c>
      <c r="BI310" s="53">
        <f t="shared" si="277"/>
        <v>1330</v>
      </c>
      <c r="BJ310" s="47" t="s">
        <v>0</v>
      </c>
      <c r="BK310" s="52" t="str">
        <f t="shared" si="251"/>
        <v>Vihor</v>
      </c>
      <c r="BL310" s="31" t="str">
        <f t="shared" si="252"/>
        <v>OK Vihor</v>
      </c>
      <c r="BM310" s="73">
        <f t="shared" si="253"/>
        <v>12</v>
      </c>
      <c r="BN310" s="73" t="str">
        <f t="shared" si="254"/>
        <v/>
      </c>
      <c r="BO310" s="31" t="str" cm="1">
        <f t="array" ref="BO310">IF(BN310="",""&amp;BL310,IF(BN310="NEMA",BL310,INDEX(regKlub_naziv,MATCH(INDEX(regKlub_alias_klubId,BN310),regKlub_id,0))))</f>
        <v>OK Vihor</v>
      </c>
      <c r="BP310" s="31" t="str" cm="1">
        <f t="array" ref="BP310">IFERROR(""&amp;INDEX(regNatjecatelj_klub,DY310),"")</f>
        <v>OK Vihor</v>
      </c>
      <c r="BQ310" s="88" t="str">
        <f t="shared" si="278"/>
        <v/>
      </c>
      <c r="BR310" s="66" t="str">
        <f t="shared" si="279"/>
        <v>OK Vihor</v>
      </c>
      <c r="BS310" s="47" t="s">
        <v>0</v>
      </c>
      <c r="BT310" s="82" t="str">
        <f>IF(BN310&lt;&gt;"NEMA","",IF(IFERROR(MATCH(BL310,BL$12:BL309,0),0)&lt;&gt;0,"",BL310))</f>
        <v/>
      </c>
      <c r="BU310" s="47" t="s">
        <v>0</v>
      </c>
      <c r="BV310" s="125"/>
      <c r="BW310" s="47" t="s">
        <v>0</v>
      </c>
      <c r="BX310" s="58" t="str">
        <f t="shared" si="280"/>
        <v/>
      </c>
      <c r="BY310" s="31" t="str">
        <f t="shared" si="281"/>
        <v/>
      </c>
      <c r="BZ310" s="31" t="str">
        <f>IF(BY310="","",MAX(BZ$12:BZ309)+1)</f>
        <v/>
      </c>
      <c r="CA310" s="31" t="str">
        <f>IF(BY310="","",IF(AA310="","",IF(AA310="NEMA",AC310,AA310)))</f>
        <v/>
      </c>
      <c r="CB310" s="31" t="str">
        <f t="shared" si="282"/>
        <v/>
      </c>
      <c r="CC310" s="31" t="str">
        <f>IF(BV310="","",MAX(CC$12:CC309)+1)</f>
        <v/>
      </c>
      <c r="CD310" s="31" t="str">
        <f t="shared" si="283"/>
        <v/>
      </c>
      <c r="CE310" s="66" t="str">
        <f t="shared" si="284"/>
        <v/>
      </c>
      <c r="CF310" s="47" t="s">
        <v>0</v>
      </c>
      <c r="CG310" s="73" t="str">
        <f>IF(BN310="","",IF(BN310&lt;&gt;"NEMA","",IFERROR(INDEX(nat_klubAliasId,MATCH(BL310,nat_noviKluboviAliasi,0)),"")))</f>
        <v/>
      </c>
      <c r="CH310" s="47"/>
      <c r="CI310" s="19" t="str">
        <f t="shared" si="285"/>
        <v/>
      </c>
      <c r="CJ310" s="47" t="s">
        <v>0</v>
      </c>
      <c r="CK310" s="52" t="str">
        <f>IF(X310&lt;&gt;"NEMA","",IF(IFERROR(MATCH(W310,W$12:W309,0),0)&lt;&gt;0,"",W310))</f>
        <v/>
      </c>
      <c r="CL310" s="73" t="str">
        <f>IF(CK310="","",IFERROR(INDEX(regKlub_alias_id,MATCH(CK310,regKlub_alias_alias,0)),"NEMA"))</f>
        <v/>
      </c>
      <c r="CM310" s="31" t="str">
        <f>IF(OR(CL310="",CL310&lt;&gt;"NEMA"),"",MAX(CM$12:CM309)+1)</f>
        <v/>
      </c>
      <c r="CN310" s="66" t="str">
        <f>IF(OR(CL310="",CL310&lt;&gt;"NEMA"),"",INDEX(regKlub_id,MATCH(CK310,regKlub_naziv,0)))</f>
        <v/>
      </c>
      <c r="CO310" s="47" t="s">
        <v>0</v>
      </c>
      <c r="CP310" s="19" t="str">
        <f>IF(OR(CL310="",CL310&lt;&gt;"NEMA"),"","INSERT INTO klub_alias(id,alias,klub_id) VALUES ("&amp;CM310&amp;",'"&amp;CK310&amp;"',"&amp;CN310&amp;");")</f>
        <v/>
      </c>
      <c r="CQ310" s="47" t="s">
        <v>0</v>
      </c>
      <c r="CR310" s="143" t="str">
        <f>IF(BR310="","",IF(BV310="",IF(IFERROR(MATCH(BR310,nat_noviKluboviAliasi,0),0)&gt;0,INDEX(nat_kluboviAliasi,MATCH(BR310,nat_noviKluboviAliasi,0)),BR310),BV310))</f>
        <v>OK Vihor</v>
      </c>
      <c r="CS310" s="47" t="s">
        <v>0</v>
      </c>
      <c r="CT310" s="58" t="str">
        <f>IF(G310="","",G310)</f>
        <v/>
      </c>
      <c r="CU310" s="73" t="str">
        <f>IF(H310="","",H310)</f>
        <v>1</v>
      </c>
      <c r="CV310" s="229" t="str">
        <f>IF(CT310="",IF(OR(AL310="",CU310&lt;&gt;"0"),"","GREŠKA"),IF(AND(65535&gt;=VALUE(LEFT(CT310,SEARCH(":",CT310)-1))*60+VALUE(RIGHT(CT310,2)),OR(CU310="0",CU310="1",CU310="2",CU310="3",CU310="4")),"","GREŠKA"))</f>
        <v/>
      </c>
      <c r="CW310" s="230" t="str">
        <f t="shared" si="239"/>
        <v/>
      </c>
      <c r="CX310" s="163">
        <f t="shared" si="255"/>
        <v>6</v>
      </c>
      <c r="CY310" s="47" t="s">
        <v>0</v>
      </c>
      <c r="CZ310" s="222" t="str">
        <f>IF(CV310&lt;&gt;"GREŠKA","",AK310&amp;" "&amp;AL310&amp;" – Molim u OEventu provjeriti i ispraviti rezultat – vrijeme ("&amp;IF(CT310="","nije upisano",CT310)&amp;") i classifier ("&amp;CU310&amp;").")&amp;IF(OR(CV310&lt;&gt;"GREŠKA",CX310&lt;&gt;5),"
","")&amp;IF(CX310&lt;&gt;5,"",AK310&amp;" "&amp;AL310&amp;" – Molim u provjeriti je li natjecatelj zaista diskvalificiran. Ako je koje je obrazloženje, ako nije molim u OEventu ispraviti rezultat")</f>
        <v xml:space="preserve">
</v>
      </c>
      <c r="DA310" s="223" t="e">
        <f t="shared" si="286"/>
        <v>#N/A</v>
      </c>
      <c r="DB310" s="47" t="s">
        <v>0</v>
      </c>
      <c r="DC310" s="47"/>
      <c r="DD310" s="47"/>
      <c r="DE310" s="47"/>
      <c r="DF310" s="47" t="s">
        <v>0</v>
      </c>
      <c r="DG310" s="53" t="str">
        <f>IF(BD310="","",IF(DI310="O",1,""))</f>
        <v/>
      </c>
      <c r="DH310" t="s">
        <v>0</v>
      </c>
      <c r="DI310" s="128" t="str">
        <f>IF(Q310="","",LEFT(INDEX(regKategorija_oznaka,MATCH(S310,regKategorija_id,0)),1))</f>
        <v>Ž</v>
      </c>
      <c r="DJ310" t="s">
        <v>0</v>
      </c>
      <c r="DK310" s="52" t="str">
        <f>IF(BD310="","",IF(M310&lt;&gt;"CRO","","INSERT INTO osoba (id,reg_broj,oib,spol_id,dat_rodjenja) VALUES ("&amp;BD310&amp;",(SELECT max(os.reg_broj)+1 FROM osoba AS os),Null,'"&amp;DI310&amp;"',Null); INSERT INTO osoba_log (id,reg_broj,oib,spol_id,dat_rodjenja,dnevnik_id) SELECT id,reg_broj,oib,spol_id,dat_rodjenja,"&amp;data_dnevnik_id&amp;" FROM osoba WHERE id = "&amp;BD310&amp;";"))</f>
        <v/>
      </c>
      <c r="DL310" s="66" t="str">
        <f>IF(BD310="","","INSERT INTO imeprezime (id,osoba_id,rbr,ime,prezime,klub_id,identitet_id,sintaksa_id,info,aktivno,dnevnik_id) VALUES ("&amp;BD310&amp;","&amp;IF(DK310="","Null",BD310)&amp;",1,'"&amp;IF(AV310&lt;&gt;"",AV310,AK310)&amp;"','"&amp;IF(AW310&lt;&gt;"",AW310,AL310)&amp;"',(SELECT id FROM klub WHERE naziv = '"&amp;CR310&amp;"'),Null,1,'',1,"&amp;data_dnevnik_id&amp;");")</f>
        <v/>
      </c>
      <c r="DM310" t="s">
        <v>0</v>
      </c>
      <c r="DN310" s="19" t="str">
        <f t="shared" si="294"/>
        <v/>
      </c>
      <c r="DO310" s="47" t="s">
        <v>0</v>
      </c>
      <c r="DP310" s="19" t="str">
        <f>IF(BA310="","","INSERT INTO imeprezime_alias(id,alias,imeprezime_id) VALUES ("&amp;BB310&amp;",'"&amp;BA310&amp;"',"&amp;IF(BC310="NEMA",BD310,BC310)&amp;");")</f>
        <v/>
      </c>
      <c r="DQ310" s="47" t="s">
        <v>0</v>
      </c>
      <c r="DR310" s="52" t="str">
        <f>IF(AL310="","",DU310 &amp; IF(Q310="",""," – " &amp; Q310))</f>
        <v>Violeta – Čalić – OK Vihor – Ž35</v>
      </c>
      <c r="DS310" s="53">
        <f t="shared" si="256"/>
        <v>640</v>
      </c>
      <c r="DT310" s="47" t="s">
        <v>0</v>
      </c>
      <c r="DU310" s="52" t="str">
        <f>IF(AL310="","",DX310 &amp; IF(CR310="",""," – " &amp; CR310))</f>
        <v>Violeta – Čalić – OK Vihor</v>
      </c>
      <c r="DV310" s="53">
        <f t="shared" si="257"/>
        <v>640</v>
      </c>
      <c r="DW310" s="47" t="s">
        <v>0</v>
      </c>
      <c r="DX310" s="52" t="str">
        <f>IF(BG310="","",BF310&amp;" – "&amp;BG310)</f>
        <v>Violeta – Čalić</v>
      </c>
      <c r="DY310" s="53">
        <f t="shared" si="258"/>
        <v>640</v>
      </c>
      <c r="DZ310" s="47" t="s">
        <v>0</v>
      </c>
      <c r="EA310" s="58">
        <f t="shared" si="287"/>
        <v>640</v>
      </c>
      <c r="EB310" s="53" cm="1">
        <f t="array" ref="EB310">IF(EA310&lt;&gt;"",INDEX(regNatjecatelj_id,EA310,0),IF(BD310&lt;&gt;"",BD310,""))</f>
        <v>1330</v>
      </c>
      <c r="EC310" s="47" t="s">
        <v>0</v>
      </c>
      <c r="ED310" s="58" t="str">
        <f>IF(AL310="","",IF(BD310&lt;&gt;"","novo",IF(AN310="","imepre","imepre(ali)")))</f>
        <v>imepre</v>
      </c>
      <c r="EE310" s="73" t="str">
        <f>IF(AL310="","",IF(BL310="",IF(IFERROR(INDEX(regNatjecatelj_klub,MATCH(EB310,regNatjecatelj_id,0)),"NEMA")="","klu",""),IF(OR(AND(BN310&lt;&gt;"",BN310&lt;&gt;"NEMA"),CD310&lt;&gt;""),"klu(ali)",IF(AND(BP310&lt;&gt;"",BP310&lt;&gt;BO310),"(raz-klu)","klu"))))</f>
        <v>klu</v>
      </c>
      <c r="EF310" s="73" t="str">
        <f>IF(AL310="","","kat"&amp;IF(AND(W310&lt;&gt;Q310,Q310&lt;&gt;"Open"),"(ali)",""))</f>
        <v>kat</v>
      </c>
      <c r="EG310" s="73" t="str">
        <f t="shared" si="259"/>
        <v/>
      </c>
      <c r="EH310" s="66" t="str">
        <f>IF(AL310="","",ED310&amp;IF(ED310="novo","","-"&amp;EE310&amp;"-"&amp;EF310)&amp;IF(EG310="","","-"&amp;EG310))</f>
        <v>imepre-klu-kat</v>
      </c>
      <c r="EI310" s="47" t="s">
        <v>0</v>
      </c>
      <c r="EJ310" s="58">
        <f>IF(AL310="","",MAX(EJ$12:EJ309)+1)</f>
        <v>458</v>
      </c>
      <c r="EK310" s="73">
        <f>IF(AO310="","",X310)</f>
        <v>41</v>
      </c>
      <c r="EL310" s="73">
        <f t="shared" si="288"/>
        <v>1330</v>
      </c>
      <c r="EM310" s="73" t="str">
        <f t="shared" si="260"/>
        <v/>
      </c>
      <c r="EN310" s="73">
        <f t="shared" si="261"/>
        <v>6</v>
      </c>
      <c r="EO310" s="73">
        <f t="shared" si="289"/>
        <v>1</v>
      </c>
      <c r="EP310" s="73">
        <f t="shared" si="290"/>
        <v>1</v>
      </c>
      <c r="EQ310" s="73" t="str">
        <f t="shared" si="262"/>
        <v>1</v>
      </c>
      <c r="ER310" s="73" t="str">
        <f>IF(OR(AN310="",AN310="NEMA"),BB310,AN310)</f>
        <v/>
      </c>
      <c r="ES310" s="73" t="str">
        <f>IF(AND(BN310&lt;&gt;"",BN310&lt;&gt;"NEMA"),BN310,IF(CG310&lt;&gt;"",CG310,IF(AND(CL310&lt;&gt;"",CL310&lt;&gt;"NEMA"),CL310,IF(CM310&lt;&gt;"",CM310,""))))</f>
        <v/>
      </c>
      <c r="ET310" s="53" t="str">
        <f>IF(INDEX(natKategorija_alias_Id,MATCH(S310,natKategorija_katRegId,0))="","",INDEX(natKategorija_alias_Id,MATCH(S310,natKategorija_katRegId,0)))</f>
        <v/>
      </c>
      <c r="EU310" s="47" t="s">
        <v>0</v>
      </c>
      <c r="EV310" s="19" t="str">
        <f t="shared" si="291"/>
        <v>INSERT INTO rezultat(id,stazakategorija_id,imeprezime_id,vrijeme_sec,status_id,registracija,uparivanje_id,originalstatus_id,imeprezimealias_id,klubalias_id,kategorijaalias_id) VALUES (458,41,1330,Null,6,1,1,1,Null,Null,Null);</v>
      </c>
      <c r="EW310" s="47" t="s">
        <v>0</v>
      </c>
      <c r="EX310" s="19" t="str">
        <f t="shared" si="292"/>
        <v>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10" s="47" t="s">
        <v>0</v>
      </c>
      <c r="EZ310" s="180" t="str">
        <f>AG310&amp;IF(CP310="","","
")&amp;CP310&amp;IF(CI310="","","
")&amp;CI310&amp;IF(DN310="","","
")&amp;DN310&amp;IF(DP310="","","
")&amp;DP310&amp;IF(EV310="","","
")&amp;EV310&amp;IF(EX310="","","
")&amp;EX310</f>
        <v xml:space="preserve">
INSERT INTO rezultat(id,stazakategorija_id,imeprezime_id,vrijeme_sec,status_id,registracija,uparivanje_id,originalstatus_id,imeprezimealias_id,klubalias_id,kategorijaalias_id) VALUES (458,41,1330,Null,6,1,1,1,Null,Null,Null);
UPDATE
	registar
SET
	potvrda = 1
WHERE
	imeprezime_id=1330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10" s="47" t="s">
        <v>0</v>
      </c>
    </row>
    <row r="311" spans="1:157" x14ac:dyDescent="0.25">
      <c r="A311" t="s">
        <v>0</v>
      </c>
      <c r="B311" s="52" t="str">
        <f>IF(csv!F301="","",csv!T301)</f>
        <v>Ž35</v>
      </c>
      <c r="C311" s="31" t="s">
        <v>0</v>
      </c>
      <c r="D311" s="31" t="str">
        <f>IF(csv!F301="","",csv!F301)</f>
        <v>Sabina</v>
      </c>
      <c r="E311" s="31" t="str">
        <f>IF(csv!E301="","",csv!E301)</f>
        <v>Rako</v>
      </c>
      <c r="F311" s="31" t="s">
        <v>0</v>
      </c>
      <c r="G311" s="73" t="str">
        <f>IF(csv!M301="","",csv!M301)</f>
        <v/>
      </c>
      <c r="H311" s="73" t="str">
        <f>IF(csv!N301="","",csv!N301)</f>
        <v>1</v>
      </c>
      <c r="I311" s="31" t="s">
        <v>0</v>
      </c>
      <c r="J311" s="31" t="str">
        <f>IF(csv!P301="","",csv!P301)</f>
        <v>Vihor</v>
      </c>
      <c r="K311" s="31" t="str">
        <f>IF(csv!Q301="","",csv!Q301)</f>
        <v>OK Vihor</v>
      </c>
      <c r="L311" s="31" t="s">
        <v>0</v>
      </c>
      <c r="M311" s="66" t="str">
        <f>IF(csv!R301="","",csv!R301)</f>
        <v>CRO</v>
      </c>
      <c r="N311" s="47" t="s">
        <v>0</v>
      </c>
      <c r="O311" s="243" t="str">
        <f t="shared" si="263"/>
        <v>ok</v>
      </c>
      <c r="P311" s="47"/>
      <c r="Q311" s="52" t="str">
        <f t="shared" si="264"/>
        <v>Ž35</v>
      </c>
      <c r="R311" s="73">
        <f>IF(Q311="","",IF(COUNTIF(Q$12:Q310,Q311)=0,R310+1,R310))</f>
        <v>19</v>
      </c>
      <c r="S311" s="73">
        <f t="shared" si="265"/>
        <v>117</v>
      </c>
      <c r="T311" s="73">
        <f t="shared" si="240"/>
        <v>26</v>
      </c>
      <c r="U311" s="66" t="str">
        <f t="shared" si="241"/>
        <v>Ž35</v>
      </c>
      <c r="V311" s="47" t="s">
        <v>0</v>
      </c>
      <c r="W311" s="222" t="str">
        <f t="shared" si="242"/>
        <v>Ž35</v>
      </c>
      <c r="X311" s="223">
        <f t="shared" si="243"/>
        <v>41</v>
      </c>
      <c r="Y311" s="47" t="s">
        <v>0</v>
      </c>
      <c r="Z311" s="52" t="str">
        <f t="shared" si="266"/>
        <v>CRO</v>
      </c>
      <c r="AA311" s="73">
        <f t="shared" si="244"/>
        <v>1</v>
      </c>
      <c r="AB311" s="31" t="str">
        <f t="shared" si="267"/>
        <v/>
      </c>
      <c r="AC311" s="66" t="str">
        <f>IF(AB311="","",MAX(AC$12:AC310)+1)</f>
        <v/>
      </c>
      <c r="AD311" s="47" t="s">
        <v>0</v>
      </c>
      <c r="AE311" s="125"/>
      <c r="AF311" s="47" t="s">
        <v>0</v>
      </c>
      <c r="AG311" s="19" t="str">
        <f t="shared" si="268"/>
        <v/>
      </c>
      <c r="AH311" s="47" t="s">
        <v>0</v>
      </c>
      <c r="AI311" s="143" t="str">
        <f t="shared" si="269"/>
        <v>CRO</v>
      </c>
      <c r="AJ311" s="47"/>
      <c r="AK311" s="52" t="str">
        <f t="shared" si="270"/>
        <v>Sabina</v>
      </c>
      <c r="AL311" s="31" t="str">
        <f t="shared" si="271"/>
        <v>Rako</v>
      </c>
      <c r="AM311" s="73">
        <f t="shared" si="272"/>
        <v>1322</v>
      </c>
      <c r="AN311" s="73" t="str">
        <f t="shared" si="273"/>
        <v/>
      </c>
      <c r="AO311" s="31" t="str">
        <f t="shared" si="245"/>
        <v>Sabina</v>
      </c>
      <c r="AP311" s="66" t="str">
        <f t="shared" si="246"/>
        <v>Rako</v>
      </c>
      <c r="AQ311" s="47" t="s">
        <v>0</v>
      </c>
      <c r="AR311" s="82" t="str">
        <f t="shared" si="274"/>
        <v/>
      </c>
      <c r="AS311" s="47" t="s">
        <v>0</v>
      </c>
      <c r="AT311" s="19" t="str">
        <f t="shared" si="275"/>
        <v/>
      </c>
      <c r="AU311" s="47" t="s">
        <v>0</v>
      </c>
      <c r="AV311" s="103"/>
      <c r="AW311" s="105"/>
      <c r="AX311" s="47" t="s">
        <v>0</v>
      </c>
      <c r="AY311" s="256" t="str">
        <f t="shared" si="293"/>
        <v/>
      </c>
      <c r="AZ311" s="47" t="s">
        <v>0</v>
      </c>
      <c r="BA311" s="52" t="str">
        <f t="shared" si="247"/>
        <v/>
      </c>
      <c r="BB311" s="73" t="str">
        <f>IF(AV311&amp;AW311="","",MAX(BB$12:BB310)+1)</f>
        <v/>
      </c>
      <c r="BC311" s="268" t="str">
        <f t="shared" si="248"/>
        <v/>
      </c>
      <c r="BD311" s="53" t="str">
        <f>IF(AND(AM311="NEMA",AN311="NEMA",OR(AV311&amp;AW311="",BC311="NEMA")),MAX(BD$12:BD310)+1,"")</f>
        <v/>
      </c>
      <c r="BE311" s="47" t="s">
        <v>0</v>
      </c>
      <c r="BF311" s="52" t="str">
        <f t="shared" si="249"/>
        <v>Sabina</v>
      </c>
      <c r="BG311" s="31" t="str">
        <f t="shared" si="250"/>
        <v>Rako</v>
      </c>
      <c r="BH311" s="73" t="str">
        <f t="shared" si="276"/>
        <v/>
      </c>
      <c r="BI311" s="53">
        <f t="shared" si="277"/>
        <v>1322</v>
      </c>
      <c r="BJ311" s="47" t="s">
        <v>0</v>
      </c>
      <c r="BK311" s="52" t="str">
        <f t="shared" si="251"/>
        <v>Vihor</v>
      </c>
      <c r="BL311" s="31" t="str">
        <f t="shared" si="252"/>
        <v>OK Vihor</v>
      </c>
      <c r="BM311" s="73">
        <f t="shared" si="253"/>
        <v>12</v>
      </c>
      <c r="BN311" s="73" t="str">
        <f t="shared" si="254"/>
        <v/>
      </c>
      <c r="BO311" s="31" t="str" cm="1">
        <f t="array" ref="BO311">IF(BN311="",""&amp;BL311,IF(BN311="NEMA",BL311,INDEX(regKlub_naziv,MATCH(INDEX(regKlub_alias_klubId,BN311),regKlub_id,0))))</f>
        <v>OK Vihor</v>
      </c>
      <c r="BP311" s="31" t="str" cm="1">
        <f t="array" ref="BP311">IFERROR(""&amp;INDEX(regNatjecatelj_klub,DY311),"")</f>
        <v>OK Vihor</v>
      </c>
      <c r="BQ311" s="88" t="str">
        <f t="shared" si="278"/>
        <v/>
      </c>
      <c r="BR311" s="66" t="str">
        <f t="shared" si="279"/>
        <v>OK Vihor</v>
      </c>
      <c r="BS311" s="47" t="s">
        <v>0</v>
      </c>
      <c r="BT311" s="82" t="str">
        <f>IF(BN311&lt;&gt;"NEMA","",IF(IFERROR(MATCH(BL311,BL$12:BL310,0),0)&lt;&gt;0,"",BL311))</f>
        <v/>
      </c>
      <c r="BU311" s="47" t="s">
        <v>0</v>
      </c>
      <c r="BV311" s="125"/>
      <c r="BW311" s="47" t="s">
        <v>0</v>
      </c>
      <c r="BX311" s="58" t="str">
        <f t="shared" si="280"/>
        <v/>
      </c>
      <c r="BY311" s="31" t="str">
        <f t="shared" si="281"/>
        <v/>
      </c>
      <c r="BZ311" s="31" t="str">
        <f>IF(BY311="","",MAX(BZ$12:BZ310)+1)</f>
        <v/>
      </c>
      <c r="CA311" s="31" t="str">
        <f>IF(BY311="","",IF(AA311="","",IF(AA311="NEMA",AC311,AA311)))</f>
        <v/>
      </c>
      <c r="CB311" s="31" t="str">
        <f t="shared" si="282"/>
        <v/>
      </c>
      <c r="CC311" s="31" t="str">
        <f>IF(BV311="","",MAX(CC$12:CC310)+1)</f>
        <v/>
      </c>
      <c r="CD311" s="31" t="str">
        <f t="shared" si="283"/>
        <v/>
      </c>
      <c r="CE311" s="66" t="str">
        <f t="shared" si="284"/>
        <v/>
      </c>
      <c r="CF311" s="47" t="s">
        <v>0</v>
      </c>
      <c r="CG311" s="73" t="str">
        <f>IF(BN311="","",IF(BN311&lt;&gt;"NEMA","",IFERROR(INDEX(nat_klubAliasId,MATCH(BL311,nat_noviKluboviAliasi,0)),"")))</f>
        <v/>
      </c>
      <c r="CH311" s="47"/>
      <c r="CI311" s="19" t="str">
        <f t="shared" si="285"/>
        <v/>
      </c>
      <c r="CJ311" s="47" t="s">
        <v>0</v>
      </c>
      <c r="CK311" s="52" t="str">
        <f>IF(X311&lt;&gt;"NEMA","",IF(IFERROR(MATCH(W311,W$12:W310,0),0)&lt;&gt;0,"",W311))</f>
        <v/>
      </c>
      <c r="CL311" s="73" t="str">
        <f>IF(CK311="","",IFERROR(INDEX(regKlub_alias_id,MATCH(CK311,regKlub_alias_alias,0)),"NEMA"))</f>
        <v/>
      </c>
      <c r="CM311" s="31" t="str">
        <f>IF(OR(CL311="",CL311&lt;&gt;"NEMA"),"",MAX(CM$12:CM310)+1)</f>
        <v/>
      </c>
      <c r="CN311" s="66" t="str">
        <f>IF(OR(CL311="",CL311&lt;&gt;"NEMA"),"",INDEX(regKlub_id,MATCH(CK311,regKlub_naziv,0)))</f>
        <v/>
      </c>
      <c r="CO311" s="47" t="s">
        <v>0</v>
      </c>
      <c r="CP311" s="19" t="str">
        <f>IF(OR(CL311="",CL311&lt;&gt;"NEMA"),"","INSERT INTO klub_alias(id,alias,klub_id) VALUES ("&amp;CM311&amp;",'"&amp;CK311&amp;"',"&amp;CN311&amp;");")</f>
        <v/>
      </c>
      <c r="CQ311" s="47" t="s">
        <v>0</v>
      </c>
      <c r="CR311" s="143" t="str">
        <f>IF(BR311="","",IF(BV311="",IF(IFERROR(MATCH(BR311,nat_noviKluboviAliasi,0),0)&gt;0,INDEX(nat_kluboviAliasi,MATCH(BR311,nat_noviKluboviAliasi,0)),BR311),BV311))</f>
        <v>OK Vihor</v>
      </c>
      <c r="CS311" s="47" t="s">
        <v>0</v>
      </c>
      <c r="CT311" s="58" t="str">
        <f>IF(G311="","",G311)</f>
        <v/>
      </c>
      <c r="CU311" s="73" t="str">
        <f>IF(H311="","",H311)</f>
        <v>1</v>
      </c>
      <c r="CV311" s="229" t="str">
        <f>IF(CT311="",IF(OR(AL311="",CU311&lt;&gt;"0"),"","GREŠKA"),IF(AND(65535&gt;=VALUE(LEFT(CT311,SEARCH(":",CT311)-1))*60+VALUE(RIGHT(CT311,2)),OR(CU311="0",CU311="1",CU311="2",CU311="3",CU311="4")),"","GREŠKA"))</f>
        <v/>
      </c>
      <c r="CW311" s="230" t="str">
        <f t="shared" si="239"/>
        <v/>
      </c>
      <c r="CX311" s="163">
        <f t="shared" si="255"/>
        <v>6</v>
      </c>
      <c r="CY311" s="47" t="s">
        <v>0</v>
      </c>
      <c r="CZ311" s="222" t="str">
        <f>IF(CV311&lt;&gt;"GREŠKA","",AK311&amp;" "&amp;AL311&amp;" – Molim u OEventu provjeriti i ispraviti rezultat – vrijeme ("&amp;IF(CT311="","nije upisano",CT311)&amp;") i classifier ("&amp;CU311&amp;").")&amp;IF(OR(CV311&lt;&gt;"GREŠKA",CX311&lt;&gt;5),"
","")&amp;IF(CX311&lt;&gt;5,"",AK311&amp;" "&amp;AL311&amp;" – Molim u provjeriti je li natjecatelj zaista diskvalificiran. Ako je koje je obrazloženje, ako nije molim u OEventu ispraviti rezultat")</f>
        <v xml:space="preserve">
</v>
      </c>
      <c r="DA311" s="223" t="e">
        <f t="shared" si="286"/>
        <v>#N/A</v>
      </c>
      <c r="DB311" s="47" t="s">
        <v>0</v>
      </c>
      <c r="DC311" s="47"/>
      <c r="DD311" s="47"/>
      <c r="DE311" s="47"/>
      <c r="DF311" s="47" t="s">
        <v>0</v>
      </c>
      <c r="DG311" s="53" t="str">
        <f>IF(BD311="","",IF(DI311="O",1,""))</f>
        <v/>
      </c>
      <c r="DH311" t="s">
        <v>0</v>
      </c>
      <c r="DI311" s="128" t="str">
        <f>IF(Q311="","",LEFT(INDEX(regKategorija_oznaka,MATCH(S311,regKategorija_id,0)),1))</f>
        <v>Ž</v>
      </c>
      <c r="DJ311" t="s">
        <v>0</v>
      </c>
      <c r="DK311" s="52" t="str">
        <f>IF(BD311="","",IF(M311&lt;&gt;"CRO","","INSERT INTO osoba (id,reg_broj,oib,spol_id,dat_rodjenja) VALUES ("&amp;BD311&amp;",(SELECT max(os.reg_broj)+1 FROM osoba AS os),Null,'"&amp;DI311&amp;"',Null); INSERT INTO osoba_log (id,reg_broj,oib,spol_id,dat_rodjenja,dnevnik_id) SELECT id,reg_broj,oib,spol_id,dat_rodjenja,"&amp;data_dnevnik_id&amp;" FROM osoba WHERE id = "&amp;BD311&amp;";"))</f>
        <v/>
      </c>
      <c r="DL311" s="66" t="str">
        <f>IF(BD311="","","INSERT INTO imeprezime (id,osoba_id,rbr,ime,prezime,klub_id,identitet_id,sintaksa_id,info,aktivno,dnevnik_id) VALUES ("&amp;BD311&amp;","&amp;IF(DK311="","Null",BD311)&amp;",1,'"&amp;IF(AV311&lt;&gt;"",AV311,AK311)&amp;"','"&amp;IF(AW311&lt;&gt;"",AW311,AL311)&amp;"',(SELECT id FROM klub WHERE naziv = '"&amp;CR311&amp;"'),Null,1,'',1,"&amp;data_dnevnik_id&amp;");")</f>
        <v/>
      </c>
      <c r="DM311" t="s">
        <v>0</v>
      </c>
      <c r="DN311" s="19" t="str">
        <f t="shared" si="294"/>
        <v/>
      </c>
      <c r="DO311" s="47" t="s">
        <v>0</v>
      </c>
      <c r="DP311" s="19" t="str">
        <f>IF(BA311="","","INSERT INTO imeprezime_alias(id,alias,imeprezime_id) VALUES ("&amp;BB311&amp;",'"&amp;BA311&amp;"',"&amp;IF(BC311="NEMA",BD311,BC311)&amp;");")</f>
        <v/>
      </c>
      <c r="DQ311" s="47" t="s">
        <v>0</v>
      </c>
      <c r="DR311" s="52" t="str">
        <f>IF(AL311="","",DU311 &amp; IF(Q311="",""," – " &amp; Q311))</f>
        <v>Sabina – Rako – OK Vihor – Ž35</v>
      </c>
      <c r="DS311" s="53">
        <f t="shared" si="256"/>
        <v>871</v>
      </c>
      <c r="DT311" s="47" t="s">
        <v>0</v>
      </c>
      <c r="DU311" s="52" t="str">
        <f>IF(AL311="","",DX311 &amp; IF(CR311="",""," – " &amp; CR311))</f>
        <v>Sabina – Rako – OK Vihor</v>
      </c>
      <c r="DV311" s="53">
        <f t="shared" si="257"/>
        <v>871</v>
      </c>
      <c r="DW311" s="47" t="s">
        <v>0</v>
      </c>
      <c r="DX311" s="52" t="str">
        <f>IF(BG311="","",BF311&amp;" – "&amp;BG311)</f>
        <v>Sabina – Rako</v>
      </c>
      <c r="DY311" s="53">
        <f t="shared" si="258"/>
        <v>871</v>
      </c>
      <c r="DZ311" s="47" t="s">
        <v>0</v>
      </c>
      <c r="EA311" s="58">
        <f t="shared" si="287"/>
        <v>871</v>
      </c>
      <c r="EB311" s="53" cm="1">
        <f t="array" ref="EB311">IF(EA311&lt;&gt;"",INDEX(regNatjecatelj_id,EA311,0),IF(BD311&lt;&gt;"",BD311,""))</f>
        <v>1322</v>
      </c>
      <c r="EC311" s="47" t="s">
        <v>0</v>
      </c>
      <c r="ED311" s="58" t="str">
        <f>IF(AL311="","",IF(BD311&lt;&gt;"","novo",IF(AN311="","imepre","imepre(ali)")))</f>
        <v>imepre</v>
      </c>
      <c r="EE311" s="73" t="str">
        <f>IF(AL311="","",IF(BL311="",IF(IFERROR(INDEX(regNatjecatelj_klub,MATCH(EB311,regNatjecatelj_id,0)),"NEMA")="","klu",""),IF(OR(AND(BN311&lt;&gt;"",BN311&lt;&gt;"NEMA"),CD311&lt;&gt;""),"klu(ali)",IF(AND(BP311&lt;&gt;"",BP311&lt;&gt;BO311),"(raz-klu)","klu"))))</f>
        <v>klu</v>
      </c>
      <c r="EF311" s="73" t="str">
        <f>IF(AL311="","","kat"&amp;IF(AND(W311&lt;&gt;Q311,Q311&lt;&gt;"Open"),"(ali)",""))</f>
        <v>kat</v>
      </c>
      <c r="EG311" s="73" t="str">
        <f t="shared" si="259"/>
        <v/>
      </c>
      <c r="EH311" s="66" t="str">
        <f>IF(AL311="","",ED311&amp;IF(ED311="novo","","-"&amp;EE311&amp;"-"&amp;EF311)&amp;IF(EG311="","","-"&amp;EG311))</f>
        <v>imepre-klu-kat</v>
      </c>
      <c r="EI311" s="47" t="s">
        <v>0</v>
      </c>
      <c r="EJ311" s="58">
        <f>IF(AL311="","",MAX(EJ$12:EJ310)+1)</f>
        <v>459</v>
      </c>
      <c r="EK311" s="73">
        <f>IF(AO311="","",X311)</f>
        <v>41</v>
      </c>
      <c r="EL311" s="73">
        <f t="shared" si="288"/>
        <v>1322</v>
      </c>
      <c r="EM311" s="73" t="str">
        <f t="shared" si="260"/>
        <v/>
      </c>
      <c r="EN311" s="73">
        <f t="shared" si="261"/>
        <v>6</v>
      </c>
      <c r="EO311" s="73">
        <f t="shared" si="289"/>
        <v>1</v>
      </c>
      <c r="EP311" s="73">
        <f t="shared" si="290"/>
        <v>1</v>
      </c>
      <c r="EQ311" s="73" t="str">
        <f t="shared" si="262"/>
        <v>1</v>
      </c>
      <c r="ER311" s="73" t="str">
        <f>IF(OR(AN311="",AN311="NEMA"),BB311,AN311)</f>
        <v/>
      </c>
      <c r="ES311" s="73" t="str">
        <f>IF(AND(BN311&lt;&gt;"",BN311&lt;&gt;"NEMA"),BN311,IF(CG311&lt;&gt;"",CG311,IF(AND(CL311&lt;&gt;"",CL311&lt;&gt;"NEMA"),CL311,IF(CM311&lt;&gt;"",CM311,""))))</f>
        <v/>
      </c>
      <c r="ET311" s="53" t="str">
        <f>IF(INDEX(natKategorija_alias_Id,MATCH(S311,natKategorija_katRegId,0))="","",INDEX(natKategorija_alias_Id,MATCH(S311,natKategorija_katRegId,0)))</f>
        <v/>
      </c>
      <c r="EU311" s="47" t="s">
        <v>0</v>
      </c>
      <c r="EV311" s="19" t="str">
        <f t="shared" si="291"/>
        <v>INSERT INTO rezultat(id,stazakategorija_id,imeprezime_id,vrijeme_sec,status_id,registracija,uparivanje_id,originalstatus_id,imeprezimealias_id,klubalias_id,kategorijaalias_id) VALUES (459,41,1322,Null,6,1,1,1,Null,Null,Null);</v>
      </c>
      <c r="EW311" s="47" t="s">
        <v>0</v>
      </c>
      <c r="EX311" s="19" t="str">
        <f t="shared" si="292"/>
        <v>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EY311" s="47" t="s">
        <v>0</v>
      </c>
      <c r="EZ311" s="180" t="str">
        <f>AG311&amp;IF(CP311="","","
")&amp;CP311&amp;IF(CI311="","","
")&amp;CI311&amp;IF(DN311="","","
")&amp;DN311&amp;IF(DP311="","","
")&amp;DP311&amp;IF(EV311="","","
")&amp;EV311&amp;IF(EX311="","","
")&amp;EX311</f>
        <v xml:space="preserve">
INSERT INTO rezultat(id,stazakategorija_id,imeprezime_id,vrijeme_sec,status_id,registracija,uparivanje_id,originalstatus_id,imeprezimealias_id,klubalias_id,kategorijaalias_id) VALUES (459,41,1322,Null,6,1,1,1,Null,Null,Null);
UPDATE
	registar
SET
	potvrda = 1
WHERE
	imeprezime_id=1322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41)
                         		AND
                         	kategorija_liga.liga_id = 101)
		AND
	datum_od &lt;= '2021-04-18'
    	AND
    datum_do is Null;</v>
      </c>
      <c r="FA311" s="47" t="s">
        <v>0</v>
      </c>
    </row>
    <row r="312" spans="1:157" x14ac:dyDescent="0.25">
      <c r="A312" t="s">
        <v>0</v>
      </c>
      <c r="B312" s="52" t="str">
        <f>IF(csv!F302="","",csv!T302)</f>
        <v>Ž45</v>
      </c>
      <c r="C312" s="31" t="s">
        <v>0</v>
      </c>
      <c r="D312" s="31" t="str">
        <f>IF(csv!F302="","",csv!F302)</f>
        <v>Ivana</v>
      </c>
      <c r="E312" s="31" t="str">
        <f>IF(csv!E302="","",csv!E302)</f>
        <v>Gobec</v>
      </c>
      <c r="F312" s="31" t="s">
        <v>0</v>
      </c>
      <c r="G312" s="73" t="str">
        <f>IF(csv!M302="","",csv!M302)</f>
        <v>35:48</v>
      </c>
      <c r="H312" s="73" t="str">
        <f>IF(csv!N302="","",csv!N302)</f>
        <v>0</v>
      </c>
      <c r="I312" s="31" t="s">
        <v>0</v>
      </c>
      <c r="J312" s="31" t="str">
        <f>IF(csv!P302="","",csv!P302)</f>
        <v>Vihor</v>
      </c>
      <c r="K312" s="31" t="str">
        <f>IF(csv!Q302="","",csv!Q302)</f>
        <v>OK Vihor</v>
      </c>
      <c r="L312" s="31" t="s">
        <v>0</v>
      </c>
      <c r="M312" s="66" t="str">
        <f>IF(csv!R302="","",csv!R302)</f>
        <v>CRO</v>
      </c>
      <c r="N312" s="47" t="s">
        <v>0</v>
      </c>
      <c r="O312" s="243" t="str">
        <f t="shared" si="263"/>
        <v>ok</v>
      </c>
      <c r="P312" s="47"/>
      <c r="Q312" s="52" t="str">
        <f t="shared" si="264"/>
        <v>Ž45</v>
      </c>
      <c r="R312" s="73">
        <f>IF(Q312="","",IF(COUNTIF(Q$12:Q311,Q312)=0,R311+1,R311))</f>
        <v>20</v>
      </c>
      <c r="S312" s="73">
        <f t="shared" si="265"/>
        <v>116</v>
      </c>
      <c r="T312" s="73">
        <f t="shared" si="240"/>
        <v>25</v>
      </c>
      <c r="U312" s="66" t="str">
        <f t="shared" si="241"/>
        <v>Ž45</v>
      </c>
      <c r="V312" s="47" t="s">
        <v>0</v>
      </c>
      <c r="W312" s="222" t="str">
        <f t="shared" si="242"/>
        <v>Ž45</v>
      </c>
      <c r="X312" s="223">
        <f t="shared" si="243"/>
        <v>42</v>
      </c>
      <c r="Y312" s="47" t="s">
        <v>0</v>
      </c>
      <c r="Z312" s="52" t="str">
        <f t="shared" si="266"/>
        <v>CRO</v>
      </c>
      <c r="AA312" s="73">
        <f t="shared" si="244"/>
        <v>1</v>
      </c>
      <c r="AB312" s="31" t="str">
        <f t="shared" si="267"/>
        <v/>
      </c>
      <c r="AC312" s="66" t="str">
        <f>IF(AB312="","",MAX(AC$12:AC311)+1)</f>
        <v/>
      </c>
      <c r="AD312" s="47" t="s">
        <v>0</v>
      </c>
      <c r="AE312" s="125"/>
      <c r="AF312" s="47" t="s">
        <v>0</v>
      </c>
      <c r="AG312" s="19" t="str">
        <f t="shared" si="268"/>
        <v/>
      </c>
      <c r="AH312" s="47" t="s">
        <v>0</v>
      </c>
      <c r="AI312" s="143" t="str">
        <f t="shared" si="269"/>
        <v>CRO</v>
      </c>
      <c r="AJ312" s="47"/>
      <c r="AK312" s="52" t="str">
        <f t="shared" si="270"/>
        <v>Ivana</v>
      </c>
      <c r="AL312" s="31" t="str">
        <f t="shared" si="271"/>
        <v>Gobec</v>
      </c>
      <c r="AM312" s="73">
        <f t="shared" si="272"/>
        <v>1309</v>
      </c>
      <c r="AN312" s="73" t="str">
        <f t="shared" si="273"/>
        <v/>
      </c>
      <c r="AO312" s="31" t="str">
        <f t="shared" si="245"/>
        <v>Ivana</v>
      </c>
      <c r="AP312" s="66" t="str">
        <f t="shared" si="246"/>
        <v>Gobec</v>
      </c>
      <c r="AQ312" s="47" t="s">
        <v>0</v>
      </c>
      <c r="AR312" s="82" t="str">
        <f t="shared" si="274"/>
        <v/>
      </c>
      <c r="AS312" s="47" t="s">
        <v>0</v>
      </c>
      <c r="AT312" s="19" t="str">
        <f t="shared" si="275"/>
        <v/>
      </c>
      <c r="AU312" s="47" t="s">
        <v>0</v>
      </c>
      <c r="AV312" s="103"/>
      <c r="AW312" s="105"/>
      <c r="AX312" s="47" t="s">
        <v>0</v>
      </c>
      <c r="AY312" s="256" t="str">
        <f t="shared" si="293"/>
        <v/>
      </c>
      <c r="AZ312" s="47" t="s">
        <v>0</v>
      </c>
      <c r="BA312" s="52" t="str">
        <f t="shared" si="247"/>
        <v/>
      </c>
      <c r="BB312" s="73" t="str">
        <f>IF(AV312&amp;AW312="","",MAX(BB$12:BB311)+1)</f>
        <v/>
      </c>
      <c r="BC312" s="268" t="str">
        <f t="shared" si="248"/>
        <v/>
      </c>
      <c r="BD312" s="53" t="str">
        <f>IF(AND(AM312="NEMA",AN312="NEMA",OR(AV312&amp;AW312="",BC312="NEMA")),MAX(BD$12:BD311)+1,"")</f>
        <v/>
      </c>
      <c r="BE312" s="47" t="s">
        <v>0</v>
      </c>
      <c r="BF312" s="52" t="str">
        <f t="shared" si="249"/>
        <v>Ivana</v>
      </c>
      <c r="BG312" s="31" t="str">
        <f t="shared" si="250"/>
        <v>Gobec</v>
      </c>
      <c r="BH312" s="73" t="str">
        <f t="shared" si="276"/>
        <v/>
      </c>
      <c r="BI312" s="53">
        <f t="shared" si="277"/>
        <v>1309</v>
      </c>
      <c r="BJ312" s="47" t="s">
        <v>0</v>
      </c>
      <c r="BK312" s="52" t="str">
        <f t="shared" si="251"/>
        <v>Vihor</v>
      </c>
      <c r="BL312" s="31" t="str">
        <f t="shared" si="252"/>
        <v>OK Vihor</v>
      </c>
      <c r="BM312" s="73">
        <f t="shared" si="253"/>
        <v>12</v>
      </c>
      <c r="BN312" s="73" t="str">
        <f t="shared" si="254"/>
        <v/>
      </c>
      <c r="BO312" s="31" t="str" cm="1">
        <f t="array" ref="BO312">IF(BN312="",""&amp;BL312,IF(BN312="NEMA",BL312,INDEX(regKlub_naziv,MATCH(INDEX(regKlub_alias_klubId,BN312),regKlub_id,0))))</f>
        <v>OK Vihor</v>
      </c>
      <c r="BP312" s="31" t="str" cm="1">
        <f t="array" ref="BP312">IFERROR(""&amp;INDEX(regNatjecatelj_klub,DY312),"")</f>
        <v>OK Vihor</v>
      </c>
      <c r="BQ312" s="88" t="str">
        <f t="shared" si="278"/>
        <v/>
      </c>
      <c r="BR312" s="66" t="str">
        <f t="shared" si="279"/>
        <v>OK Vihor</v>
      </c>
      <c r="BS312" s="47" t="s">
        <v>0</v>
      </c>
      <c r="BT312" s="82" t="str">
        <f>IF(BN312&lt;&gt;"NEMA","",IF(IFERROR(MATCH(BL312,BL$12:BL311,0),0)&lt;&gt;0,"",BL312))</f>
        <v/>
      </c>
      <c r="BU312" s="47" t="s">
        <v>0</v>
      </c>
      <c r="BV312" s="125"/>
      <c r="BW312" s="47" t="s">
        <v>0</v>
      </c>
      <c r="BX312" s="58" t="str">
        <f t="shared" si="280"/>
        <v/>
      </c>
      <c r="BY312" s="31" t="str">
        <f t="shared" si="281"/>
        <v/>
      </c>
      <c r="BZ312" s="31" t="str">
        <f>IF(BY312="","",MAX(BZ$12:BZ311)+1)</f>
        <v/>
      </c>
      <c r="CA312" s="31" t="str">
        <f>IF(BY312="","",IF(AA312="","",IF(AA312="NEMA",AC312,AA312)))</f>
        <v/>
      </c>
      <c r="CB312" s="31" t="str">
        <f t="shared" si="282"/>
        <v/>
      </c>
      <c r="CC312" s="31" t="str">
        <f>IF(BV312="","",MAX(CC$12:CC311)+1)</f>
        <v/>
      </c>
      <c r="CD312" s="31" t="str">
        <f t="shared" si="283"/>
        <v/>
      </c>
      <c r="CE312" s="66" t="str">
        <f t="shared" si="284"/>
        <v/>
      </c>
      <c r="CF312" s="47" t="s">
        <v>0</v>
      </c>
      <c r="CG312" s="73" t="str">
        <f>IF(BN312="","",IF(BN312&lt;&gt;"NEMA","",IFERROR(INDEX(nat_klubAliasId,MATCH(BL312,nat_noviKluboviAliasi,0)),"")))</f>
        <v/>
      </c>
      <c r="CH312" s="47"/>
      <c r="CI312" s="19" t="str">
        <f t="shared" si="285"/>
        <v/>
      </c>
      <c r="CJ312" s="47" t="s">
        <v>0</v>
      </c>
      <c r="CK312" s="52" t="str">
        <f>IF(X312&lt;&gt;"NEMA","",IF(IFERROR(MATCH(W312,W$12:W311,0),0)&lt;&gt;0,"",W312))</f>
        <v/>
      </c>
      <c r="CL312" s="73" t="str">
        <f>IF(CK312="","",IFERROR(INDEX(regKlub_alias_id,MATCH(CK312,regKlub_alias_alias,0)),"NEMA"))</f>
        <v/>
      </c>
      <c r="CM312" s="31" t="str">
        <f>IF(OR(CL312="",CL312&lt;&gt;"NEMA"),"",MAX(CM$12:CM311)+1)</f>
        <v/>
      </c>
      <c r="CN312" s="66" t="str">
        <f>IF(OR(CL312="",CL312&lt;&gt;"NEMA"),"",INDEX(regKlub_id,MATCH(CK312,regKlub_naziv,0)))</f>
        <v/>
      </c>
      <c r="CO312" s="47" t="s">
        <v>0</v>
      </c>
      <c r="CP312" s="19" t="str">
        <f>IF(OR(CL312="",CL312&lt;&gt;"NEMA"),"","INSERT INTO klub_alias(id,alias,klub_id) VALUES ("&amp;CM312&amp;",'"&amp;CK312&amp;"',"&amp;CN312&amp;");")</f>
        <v/>
      </c>
      <c r="CQ312" s="47" t="s">
        <v>0</v>
      </c>
      <c r="CR312" s="143" t="str">
        <f>IF(BR312="","",IF(BV312="",IF(IFERROR(MATCH(BR312,nat_noviKluboviAliasi,0),0)&gt;0,INDEX(nat_kluboviAliasi,MATCH(BR312,nat_noviKluboviAliasi,0)),BR312),BV312))</f>
        <v>OK Vihor</v>
      </c>
      <c r="CS312" s="47" t="s">
        <v>0</v>
      </c>
      <c r="CT312" s="58" t="str">
        <f>IF(G312="","",G312)</f>
        <v>35:48</v>
      </c>
      <c r="CU312" s="73" t="str">
        <f>IF(H312="","",H312)</f>
        <v>0</v>
      </c>
      <c r="CV312" s="229" t="str">
        <f>IF(CT312="",IF(OR(AL312="",CU312&lt;&gt;"0"),"","GREŠKA"),IF(AND(65535&gt;=VALUE(LEFT(CT312,SEARCH(":",CT312)-1))*60+VALUE(RIGHT(CT312,2)),OR(CU312="0",CU312="1",CU312="2",CU312="3",CU312="4")),"","GREŠKA"))</f>
        <v/>
      </c>
      <c r="CW312" s="230">
        <f t="shared" si="239"/>
        <v>2148</v>
      </c>
      <c r="CX312" s="163">
        <f t="shared" si="255"/>
        <v>1</v>
      </c>
      <c r="CY312" s="47" t="s">
        <v>0</v>
      </c>
      <c r="CZ312" s="222" t="str">
        <f>IF(CV312&lt;&gt;"GREŠKA","",AK312&amp;" "&amp;AL312&amp;" – Molim u OEventu provjeriti i ispraviti rezultat – vrijeme ("&amp;IF(CT312="","nije upisano",CT312)&amp;") i classifier ("&amp;CU312&amp;").")&amp;IF(OR(CV312&lt;&gt;"GREŠKA",CX312&lt;&gt;5),"
","")&amp;IF(CX312&lt;&gt;5,"",AK312&amp;" "&amp;AL312&amp;" – Molim u provjeriti je li natjecatelj zaista diskvalificiran. Ako je koje je obrazloženje, ako nije molim u OEventu ispraviti rezultat")</f>
        <v xml:space="preserve">
</v>
      </c>
      <c r="DA312" s="223">
        <f t="shared" si="286"/>
        <v>6</v>
      </c>
      <c r="DB312" s="47" t="s">
        <v>0</v>
      </c>
      <c r="DC312" s="47"/>
      <c r="DD312" s="47"/>
      <c r="DE312" s="47"/>
      <c r="DF312" s="47" t="s">
        <v>0</v>
      </c>
      <c r="DG312" s="53" t="str">
        <f>IF(BD312="","",IF(DI312="O",1,""))</f>
        <v/>
      </c>
      <c r="DH312" t="s">
        <v>0</v>
      </c>
      <c r="DI312" s="128" t="str">
        <f>IF(Q312="","",LEFT(INDEX(regKategorija_oznaka,MATCH(S312,regKategorija_id,0)),1))</f>
        <v>Ž</v>
      </c>
      <c r="DJ312" t="s">
        <v>0</v>
      </c>
      <c r="DK312" s="52" t="str">
        <f>IF(BD312="","",IF(M312&lt;&gt;"CRO","","INSERT INTO osoba (id,reg_broj,oib,spol_id,dat_rodjenja) VALUES ("&amp;BD312&amp;",(SELECT max(os.reg_broj)+1 FROM osoba AS os),Null,'"&amp;DI312&amp;"',Null); INSERT INTO osoba_log (id,reg_broj,oib,spol_id,dat_rodjenja,dnevnik_id) SELECT id,reg_broj,oib,spol_id,dat_rodjenja,"&amp;data_dnevnik_id&amp;" FROM osoba WHERE id = "&amp;BD312&amp;";"))</f>
        <v/>
      </c>
      <c r="DL312" s="66" t="str">
        <f>IF(BD312="","","INSERT INTO imeprezime (id,osoba_id,rbr,ime,prezime,klub_id,identitet_id,sintaksa_id,info,aktivno,dnevnik_id) VALUES ("&amp;BD312&amp;","&amp;IF(DK312="","Null",BD312)&amp;",1,'"&amp;IF(AV312&lt;&gt;"",AV312,AK312)&amp;"','"&amp;IF(AW312&lt;&gt;"",AW312,AL312)&amp;"',(SELECT id FROM klub WHERE naziv = '"&amp;CR312&amp;"'),Null,1,'',1,"&amp;data_dnevnik_id&amp;");")</f>
        <v/>
      </c>
      <c r="DM312" t="s">
        <v>0</v>
      </c>
      <c r="DN312" s="19" t="str">
        <f t="shared" si="294"/>
        <v/>
      </c>
      <c r="DO312" s="47" t="s">
        <v>0</v>
      </c>
      <c r="DP312" s="19" t="str">
        <f>IF(BA312="","","INSERT INTO imeprezime_alias(id,alias,imeprezime_id) VALUES ("&amp;BB312&amp;",'"&amp;BA312&amp;"',"&amp;IF(BC312="NEMA",BD312,BC312)&amp;");")</f>
        <v/>
      </c>
      <c r="DQ312" s="47" t="s">
        <v>0</v>
      </c>
      <c r="DR312" s="52" t="str">
        <f>IF(AL312="","",DU312 &amp; IF(Q312="",""," – " &amp; Q312))</f>
        <v>Ivana – Gobec – OK Vihor – Ž45</v>
      </c>
      <c r="DS312" s="53">
        <f t="shared" si="256"/>
        <v>673</v>
      </c>
      <c r="DT312" s="47" t="s">
        <v>0</v>
      </c>
      <c r="DU312" s="52" t="str">
        <f>IF(AL312="","",DX312 &amp; IF(CR312="",""," – " &amp; CR312))</f>
        <v>Ivana – Gobec – OK Vihor</v>
      </c>
      <c r="DV312" s="53">
        <f t="shared" si="257"/>
        <v>673</v>
      </c>
      <c r="DW312" s="47" t="s">
        <v>0</v>
      </c>
      <c r="DX312" s="52" t="str">
        <f>IF(BG312="","",BF312&amp;" – "&amp;BG312)</f>
        <v>Ivana – Gobec</v>
      </c>
      <c r="DY312" s="53">
        <f t="shared" si="258"/>
        <v>673</v>
      </c>
      <c r="DZ312" s="47" t="s">
        <v>0</v>
      </c>
      <c r="EA312" s="58">
        <f t="shared" si="287"/>
        <v>673</v>
      </c>
      <c r="EB312" s="53" cm="1">
        <f t="array" ref="EB312">IF(EA312&lt;&gt;"",INDEX(regNatjecatelj_id,EA312,0),IF(BD312&lt;&gt;"",BD312,""))</f>
        <v>1309</v>
      </c>
      <c r="EC312" s="47" t="s">
        <v>0</v>
      </c>
      <c r="ED312" s="58" t="str">
        <f>IF(AL312="","",IF(BD312&lt;&gt;"","novo",IF(AN312="","imepre","imepre(ali)")))</f>
        <v>imepre</v>
      </c>
      <c r="EE312" s="73" t="str">
        <f>IF(AL312="","",IF(BL312="",IF(IFERROR(INDEX(regNatjecatelj_klub,MATCH(EB312,regNatjecatelj_id,0)),"NEMA")="","klu",""),IF(OR(AND(BN312&lt;&gt;"",BN312&lt;&gt;"NEMA"),CD312&lt;&gt;""),"klu(ali)",IF(AND(BP312&lt;&gt;"",BP312&lt;&gt;BO312),"(raz-klu)","klu"))))</f>
        <v>klu</v>
      </c>
      <c r="EF312" s="73" t="str">
        <f>IF(AL312="","","kat"&amp;IF(AND(W312&lt;&gt;Q312,Q312&lt;&gt;"Open"),"(ali)",""))</f>
        <v>kat</v>
      </c>
      <c r="EG312" s="73" t="str">
        <f t="shared" si="259"/>
        <v/>
      </c>
      <c r="EH312" s="66" t="str">
        <f>IF(AL312="","",ED312&amp;IF(ED312="novo","","-"&amp;EE312&amp;"-"&amp;EF312)&amp;IF(EG312="","","-"&amp;EG312))</f>
        <v>imepre-klu-kat</v>
      </c>
      <c r="EI312" s="47" t="s">
        <v>0</v>
      </c>
      <c r="EJ312" s="58">
        <f>IF(AL312="","",MAX(EJ$12:EJ311)+1)</f>
        <v>460</v>
      </c>
      <c r="EK312" s="73">
        <f>IF(AO312="","",X312)</f>
        <v>42</v>
      </c>
      <c r="EL312" s="73">
        <f t="shared" si="288"/>
        <v>1309</v>
      </c>
      <c r="EM312" s="73">
        <f t="shared" si="260"/>
        <v>2148</v>
      </c>
      <c r="EN312" s="73">
        <f t="shared" si="261"/>
        <v>1</v>
      </c>
      <c r="EO312" s="73">
        <f t="shared" si="289"/>
        <v>1</v>
      </c>
      <c r="EP312" s="73">
        <f t="shared" si="290"/>
        <v>1</v>
      </c>
      <c r="EQ312" s="73" t="str">
        <f t="shared" si="262"/>
        <v>0</v>
      </c>
      <c r="ER312" s="73" t="str">
        <f>IF(OR(AN312="",AN312="NEMA"),BB312,AN312)</f>
        <v/>
      </c>
      <c r="ES312" s="73" t="str">
        <f>IF(AND(BN312&lt;&gt;"",BN312&lt;&gt;"NEMA"),BN312,IF(CG312&lt;&gt;"",CG312,IF(AND(CL312&lt;&gt;"",CL312&lt;&gt;"NEMA"),CL312,IF(CM312&lt;&gt;"",CM312,""))))</f>
        <v/>
      </c>
      <c r="ET312" s="53" t="str">
        <f>IF(INDEX(natKategorija_alias_Id,MATCH(S312,natKategorija_katRegId,0))="","",INDEX(natKategorija_alias_Id,MATCH(S312,natKategorija_katRegId,0)))</f>
        <v/>
      </c>
      <c r="EU312" s="47" t="s">
        <v>0</v>
      </c>
      <c r="EV312" s="19" t="str">
        <f t="shared" si="291"/>
        <v>INSERT INTO rezultat(id,stazakategorija_id,imeprezime_id,vrijeme_sec,status_id,registracija,uparivanje_id,originalstatus_id,imeprezimealias_id,klubalias_id,kategorijaalias_id) VALUES (460,42,1309,2148,1,1,1,0,Null,Null,Null);</v>
      </c>
      <c r="EW312" s="47" t="s">
        <v>0</v>
      </c>
      <c r="EX312" s="19" t="str">
        <f t="shared" si="292"/>
        <v>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12" s="47" t="s">
        <v>0</v>
      </c>
      <c r="EZ312" s="180" t="str">
        <f>AG312&amp;IF(CP312="","","
")&amp;CP312&amp;IF(CI312="","","
")&amp;CI312&amp;IF(DN312="","","
")&amp;DN312&amp;IF(DP312="","","
")&amp;DP312&amp;IF(EV312="","","
")&amp;EV312&amp;IF(EX312="","","
")&amp;EX312</f>
        <v xml:space="preserve">
INSERT INTO rezultat(id,stazakategorija_id,imeprezime_id,vrijeme_sec,status_id,registracija,uparivanje_id,originalstatus_id,imeprezimealias_id,klubalias_id,kategorijaalias_id) VALUES (460,42,1309,2148,1,1,1,0,Null,Null,Null);
UPDATE
	registar
SET
	potvrda = 1
WHERE
	imeprezime_id=1309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12" s="47" t="s">
        <v>0</v>
      </c>
    </row>
    <row r="313" spans="1:157" x14ac:dyDescent="0.25">
      <c r="A313" t="s">
        <v>0</v>
      </c>
      <c r="B313" s="52" t="str">
        <f>IF(csv!F303="","",csv!T303)</f>
        <v>Ž45</v>
      </c>
      <c r="C313" s="31" t="s">
        <v>0</v>
      </c>
      <c r="D313" s="31" t="str">
        <f>IF(csv!F303="","",csv!F303)</f>
        <v>Bojana</v>
      </c>
      <c r="E313" s="31" t="str">
        <f>IF(csv!E303="","",csv!E303)</f>
        <v>Nikolić</v>
      </c>
      <c r="F313" s="31" t="s">
        <v>0</v>
      </c>
      <c r="G313" s="73" t="str">
        <f>IF(csv!M303="","",csv!M303)</f>
        <v>39:57</v>
      </c>
      <c r="H313" s="73" t="str">
        <f>IF(csv!N303="","",csv!N303)</f>
        <v>0</v>
      </c>
      <c r="I313" s="31" t="s">
        <v>0</v>
      </c>
      <c r="J313" s="31" t="str">
        <f>IF(csv!P303="","",csv!P303)</f>
        <v>Vihor</v>
      </c>
      <c r="K313" s="31" t="str">
        <f>IF(csv!Q303="","",csv!Q303)</f>
        <v>OK Vihor</v>
      </c>
      <c r="L313" s="31" t="s">
        <v>0</v>
      </c>
      <c r="M313" s="66" t="str">
        <f>IF(csv!R303="","",csv!R303)</f>
        <v>CRO</v>
      </c>
      <c r="N313" s="47" t="s">
        <v>0</v>
      </c>
      <c r="O313" s="243" t="str">
        <f t="shared" si="263"/>
        <v>ok</v>
      </c>
      <c r="P313" s="47"/>
      <c r="Q313" s="52" t="str">
        <f t="shared" si="264"/>
        <v>Ž45</v>
      </c>
      <c r="R313" s="73">
        <f>IF(Q313="","",IF(COUNTIF(Q$12:Q312,Q313)=0,R312+1,R312))</f>
        <v>20</v>
      </c>
      <c r="S313" s="73">
        <f t="shared" si="265"/>
        <v>116</v>
      </c>
      <c r="T313" s="73">
        <f t="shared" si="240"/>
        <v>25</v>
      </c>
      <c r="U313" s="66" t="str">
        <f t="shared" si="241"/>
        <v>Ž45</v>
      </c>
      <c r="V313" s="47" t="s">
        <v>0</v>
      </c>
      <c r="W313" s="222" t="str">
        <f t="shared" si="242"/>
        <v>Ž45</v>
      </c>
      <c r="X313" s="223">
        <f t="shared" si="243"/>
        <v>42</v>
      </c>
      <c r="Y313" s="47" t="s">
        <v>0</v>
      </c>
      <c r="Z313" s="52" t="str">
        <f t="shared" si="266"/>
        <v>CRO</v>
      </c>
      <c r="AA313" s="73">
        <f t="shared" si="244"/>
        <v>1</v>
      </c>
      <c r="AB313" s="31" t="str">
        <f t="shared" si="267"/>
        <v/>
      </c>
      <c r="AC313" s="66" t="str">
        <f>IF(AB313="","",MAX(AC$12:AC312)+1)</f>
        <v/>
      </c>
      <c r="AD313" s="47" t="s">
        <v>0</v>
      </c>
      <c r="AE313" s="125"/>
      <c r="AF313" s="47" t="s">
        <v>0</v>
      </c>
      <c r="AG313" s="19" t="str">
        <f t="shared" si="268"/>
        <v/>
      </c>
      <c r="AH313" s="47" t="s">
        <v>0</v>
      </c>
      <c r="AI313" s="143" t="str">
        <f t="shared" si="269"/>
        <v>CRO</v>
      </c>
      <c r="AJ313" s="47"/>
      <c r="AK313" s="52" t="str">
        <f t="shared" si="270"/>
        <v>Bojana</v>
      </c>
      <c r="AL313" s="31" t="str">
        <f t="shared" si="271"/>
        <v>Nikolić</v>
      </c>
      <c r="AM313" s="73">
        <f t="shared" si="272"/>
        <v>1445</v>
      </c>
      <c r="AN313" s="73" t="str">
        <f t="shared" si="273"/>
        <v/>
      </c>
      <c r="AO313" s="31" t="str">
        <f t="shared" si="245"/>
        <v>Bojana</v>
      </c>
      <c r="AP313" s="66" t="str">
        <f t="shared" si="246"/>
        <v>Nikolić</v>
      </c>
      <c r="AQ313" s="47" t="s">
        <v>0</v>
      </c>
      <c r="AR313" s="82" t="str">
        <f t="shared" si="274"/>
        <v/>
      </c>
      <c r="AS313" s="47" t="s">
        <v>0</v>
      </c>
      <c r="AT313" s="19" t="str">
        <f t="shared" si="275"/>
        <v/>
      </c>
      <c r="AU313" s="47" t="s">
        <v>0</v>
      </c>
      <c r="AV313" s="103"/>
      <c r="AW313" s="105"/>
      <c r="AX313" s="47" t="s">
        <v>0</v>
      </c>
      <c r="AY313" s="256" t="str">
        <f t="shared" si="293"/>
        <v/>
      </c>
      <c r="AZ313" s="47" t="s">
        <v>0</v>
      </c>
      <c r="BA313" s="52" t="str">
        <f t="shared" si="247"/>
        <v/>
      </c>
      <c r="BB313" s="73" t="str">
        <f>IF(AV313&amp;AW313="","",MAX(BB$12:BB312)+1)</f>
        <v/>
      </c>
      <c r="BC313" s="268" t="str">
        <f t="shared" si="248"/>
        <v/>
      </c>
      <c r="BD313" s="53" t="str">
        <f>IF(AND(AM313="NEMA",AN313="NEMA",OR(AV313&amp;AW313="",BC313="NEMA")),MAX(BD$12:BD312)+1,"")</f>
        <v/>
      </c>
      <c r="BE313" s="47" t="s">
        <v>0</v>
      </c>
      <c r="BF313" s="52" t="str">
        <f t="shared" si="249"/>
        <v>Bojana</v>
      </c>
      <c r="BG313" s="31" t="str">
        <f t="shared" si="250"/>
        <v>Nikolić</v>
      </c>
      <c r="BH313" s="73" t="str">
        <f t="shared" si="276"/>
        <v/>
      </c>
      <c r="BI313" s="53">
        <f t="shared" si="277"/>
        <v>1445</v>
      </c>
      <c r="BJ313" s="47" t="s">
        <v>0</v>
      </c>
      <c r="BK313" s="52" t="str">
        <f t="shared" si="251"/>
        <v>Vihor</v>
      </c>
      <c r="BL313" s="31" t="str">
        <f t="shared" si="252"/>
        <v>OK Vihor</v>
      </c>
      <c r="BM313" s="73">
        <f t="shared" si="253"/>
        <v>12</v>
      </c>
      <c r="BN313" s="73" t="str">
        <f t="shared" si="254"/>
        <v/>
      </c>
      <c r="BO313" s="31" t="str" cm="1">
        <f t="array" ref="BO313">IF(BN313="",""&amp;BL313,IF(BN313="NEMA",BL313,INDEX(regKlub_naziv,MATCH(INDEX(regKlub_alias_klubId,BN313),regKlub_id,0))))</f>
        <v>OK Vihor</v>
      </c>
      <c r="BP313" s="31" t="str" cm="1">
        <f t="array" ref="BP313">IFERROR(""&amp;INDEX(regNatjecatelj_klub,DY313),"")</f>
        <v>OK Vihor</v>
      </c>
      <c r="BQ313" s="88" t="str">
        <f t="shared" si="278"/>
        <v/>
      </c>
      <c r="BR313" s="66" t="str">
        <f t="shared" si="279"/>
        <v>OK Vihor</v>
      </c>
      <c r="BS313" s="47" t="s">
        <v>0</v>
      </c>
      <c r="BT313" s="82" t="str">
        <f>IF(BN313&lt;&gt;"NEMA","",IF(IFERROR(MATCH(BL313,BL$12:BL312,0),0)&lt;&gt;0,"",BL313))</f>
        <v/>
      </c>
      <c r="BU313" s="47" t="s">
        <v>0</v>
      </c>
      <c r="BV313" s="125"/>
      <c r="BW313" s="47" t="s">
        <v>0</v>
      </c>
      <c r="BX313" s="58" t="str">
        <f t="shared" si="280"/>
        <v/>
      </c>
      <c r="BY313" s="31" t="str">
        <f t="shared" si="281"/>
        <v/>
      </c>
      <c r="BZ313" s="31" t="str">
        <f>IF(BY313="","",MAX(BZ$12:BZ312)+1)</f>
        <v/>
      </c>
      <c r="CA313" s="31" t="str">
        <f>IF(BY313="","",IF(AA313="","",IF(AA313="NEMA",AC313,AA313)))</f>
        <v/>
      </c>
      <c r="CB313" s="31" t="str">
        <f t="shared" si="282"/>
        <v/>
      </c>
      <c r="CC313" s="31" t="str">
        <f>IF(BV313="","",MAX(CC$12:CC312)+1)</f>
        <v/>
      </c>
      <c r="CD313" s="31" t="str">
        <f t="shared" si="283"/>
        <v/>
      </c>
      <c r="CE313" s="66" t="str">
        <f t="shared" si="284"/>
        <v/>
      </c>
      <c r="CF313" s="47" t="s">
        <v>0</v>
      </c>
      <c r="CG313" s="73" t="str">
        <f>IF(BN313="","",IF(BN313&lt;&gt;"NEMA","",IFERROR(INDEX(nat_klubAliasId,MATCH(BL313,nat_noviKluboviAliasi,0)),"")))</f>
        <v/>
      </c>
      <c r="CH313" s="47"/>
      <c r="CI313" s="19" t="str">
        <f t="shared" si="285"/>
        <v/>
      </c>
      <c r="CJ313" s="47" t="s">
        <v>0</v>
      </c>
      <c r="CK313" s="52" t="str">
        <f>IF(X313&lt;&gt;"NEMA","",IF(IFERROR(MATCH(W313,W$12:W312,0),0)&lt;&gt;0,"",W313))</f>
        <v/>
      </c>
      <c r="CL313" s="73" t="str">
        <f>IF(CK313="","",IFERROR(INDEX(regKlub_alias_id,MATCH(CK313,regKlub_alias_alias,0)),"NEMA"))</f>
        <v/>
      </c>
      <c r="CM313" s="31" t="str">
        <f>IF(OR(CL313="",CL313&lt;&gt;"NEMA"),"",MAX(CM$12:CM312)+1)</f>
        <v/>
      </c>
      <c r="CN313" s="66" t="str">
        <f>IF(OR(CL313="",CL313&lt;&gt;"NEMA"),"",INDEX(regKlub_id,MATCH(CK313,regKlub_naziv,0)))</f>
        <v/>
      </c>
      <c r="CO313" s="47" t="s">
        <v>0</v>
      </c>
      <c r="CP313" s="19" t="str">
        <f>IF(OR(CL313="",CL313&lt;&gt;"NEMA"),"","INSERT INTO klub_alias(id,alias,klub_id) VALUES ("&amp;CM313&amp;",'"&amp;CK313&amp;"',"&amp;CN313&amp;");")</f>
        <v/>
      </c>
      <c r="CQ313" s="47" t="s">
        <v>0</v>
      </c>
      <c r="CR313" s="143" t="str">
        <f>IF(BR313="","",IF(BV313="",IF(IFERROR(MATCH(BR313,nat_noviKluboviAliasi,0),0)&gt;0,INDEX(nat_kluboviAliasi,MATCH(BR313,nat_noviKluboviAliasi,0)),BR313),BV313))</f>
        <v>OK Vihor</v>
      </c>
      <c r="CS313" s="47" t="s">
        <v>0</v>
      </c>
      <c r="CT313" s="58" t="str">
        <f>IF(G313="","",G313)</f>
        <v>39:57</v>
      </c>
      <c r="CU313" s="73" t="str">
        <f>IF(H313="","",H313)</f>
        <v>0</v>
      </c>
      <c r="CV313" s="229" t="str">
        <f>IF(CT313="",IF(OR(AL313="",CU313&lt;&gt;"0"),"","GREŠKA"),IF(AND(65535&gt;=VALUE(LEFT(CT313,SEARCH(":",CT313)-1))*60+VALUE(RIGHT(CT313,2)),OR(CU313="0",CU313="1",CU313="2",CU313="3",CU313="4")),"","GREŠKA"))</f>
        <v/>
      </c>
      <c r="CW313" s="230">
        <f t="shared" si="239"/>
        <v>2397</v>
      </c>
      <c r="CX313" s="163">
        <f t="shared" si="255"/>
        <v>1</v>
      </c>
      <c r="CY313" s="47" t="s">
        <v>0</v>
      </c>
      <c r="CZ313" s="222" t="str">
        <f>IF(CV313&lt;&gt;"GREŠKA","",AK313&amp;" "&amp;AL313&amp;" – Molim u OEventu provjeriti i ispraviti rezultat – vrijeme ("&amp;IF(CT313="","nije upisano",CT313)&amp;") i classifier ("&amp;CU313&amp;").")&amp;IF(OR(CV313&lt;&gt;"GREŠKA",CX313&lt;&gt;5),"
","")&amp;IF(CX313&lt;&gt;5,"",AK313&amp;" "&amp;AL313&amp;" – Molim u provjeriti je li natjecatelj zaista diskvalificiran. Ako je koje je obrazloženje, ako nije molim u OEventu ispraviti rezultat")</f>
        <v xml:space="preserve">
</v>
      </c>
      <c r="DA313" s="223">
        <f t="shared" si="286"/>
        <v>6</v>
      </c>
      <c r="DB313" s="47" t="s">
        <v>0</v>
      </c>
      <c r="DC313" s="47"/>
      <c r="DD313" s="47"/>
      <c r="DE313" s="47"/>
      <c r="DF313" s="47" t="s">
        <v>0</v>
      </c>
      <c r="DG313" s="53" t="str">
        <f>IF(BD313="","",IF(DI313="O",1,""))</f>
        <v/>
      </c>
      <c r="DH313" t="s">
        <v>0</v>
      </c>
      <c r="DI313" s="128" t="str">
        <f>IF(Q313="","",LEFT(INDEX(regKategorija_oznaka,MATCH(S313,regKategorija_id,0)),1))</f>
        <v>Ž</v>
      </c>
      <c r="DJ313" t="s">
        <v>0</v>
      </c>
      <c r="DK313" s="52" t="str">
        <f>IF(BD313="","",IF(M313&lt;&gt;"CRO","","INSERT INTO osoba (id,reg_broj,oib,spol_id,dat_rodjenja) VALUES ("&amp;BD313&amp;",(SELECT max(os.reg_broj)+1 FROM osoba AS os),Null,'"&amp;DI313&amp;"',Null); INSERT INTO osoba_log (id,reg_broj,oib,spol_id,dat_rodjenja,dnevnik_id) SELECT id,reg_broj,oib,spol_id,dat_rodjenja,"&amp;data_dnevnik_id&amp;" FROM osoba WHERE id = "&amp;BD313&amp;";"))</f>
        <v/>
      </c>
      <c r="DL313" s="66" t="str">
        <f>IF(BD313="","","INSERT INTO imeprezime (id,osoba_id,rbr,ime,prezime,klub_id,identitet_id,sintaksa_id,info,aktivno,dnevnik_id) VALUES ("&amp;BD313&amp;","&amp;IF(DK313="","Null",BD313)&amp;",1,'"&amp;IF(AV313&lt;&gt;"",AV313,AK313)&amp;"','"&amp;IF(AW313&lt;&gt;"",AW313,AL313)&amp;"',(SELECT id FROM klub WHERE naziv = '"&amp;CR313&amp;"'),Null,1,'',1,"&amp;data_dnevnik_id&amp;");")</f>
        <v/>
      </c>
      <c r="DM313" t="s">
        <v>0</v>
      </c>
      <c r="DN313" s="19" t="str">
        <f t="shared" si="294"/>
        <v/>
      </c>
      <c r="DO313" s="47" t="s">
        <v>0</v>
      </c>
      <c r="DP313" s="19" t="str">
        <f>IF(BA313="","","INSERT INTO imeprezime_alias(id,alias,imeprezime_id) VALUES ("&amp;BB313&amp;",'"&amp;BA313&amp;"',"&amp;IF(BC313="NEMA",BD313,BC313)&amp;");")</f>
        <v/>
      </c>
      <c r="DQ313" s="47" t="s">
        <v>0</v>
      </c>
      <c r="DR313" s="52" t="str">
        <f>IF(AL313="","",DU313 &amp; IF(Q313="",""," – " &amp; Q313))</f>
        <v>Bojana – Nikolić – OK Vihor – Ž45</v>
      </c>
      <c r="DS313" s="53">
        <f t="shared" si="256"/>
        <v>818</v>
      </c>
      <c r="DT313" s="47" t="s">
        <v>0</v>
      </c>
      <c r="DU313" s="52" t="str">
        <f>IF(AL313="","",DX313 &amp; IF(CR313="",""," – " &amp; CR313))</f>
        <v>Bojana – Nikolić – OK Vihor</v>
      </c>
      <c r="DV313" s="53">
        <f t="shared" si="257"/>
        <v>818</v>
      </c>
      <c r="DW313" s="47" t="s">
        <v>0</v>
      </c>
      <c r="DX313" s="52" t="str">
        <f>IF(BG313="","",BF313&amp;" – "&amp;BG313)</f>
        <v>Bojana – Nikolić</v>
      </c>
      <c r="DY313" s="53">
        <f t="shared" si="258"/>
        <v>818</v>
      </c>
      <c r="DZ313" s="47" t="s">
        <v>0</v>
      </c>
      <c r="EA313" s="58">
        <f t="shared" si="287"/>
        <v>818</v>
      </c>
      <c r="EB313" s="53" cm="1">
        <f t="array" ref="EB313">IF(EA313&lt;&gt;"",INDEX(regNatjecatelj_id,EA313,0),IF(BD313&lt;&gt;"",BD313,""))</f>
        <v>1445</v>
      </c>
      <c r="EC313" s="47" t="s">
        <v>0</v>
      </c>
      <c r="ED313" s="58" t="str">
        <f>IF(AL313="","",IF(BD313&lt;&gt;"","novo",IF(AN313="","imepre","imepre(ali)")))</f>
        <v>imepre</v>
      </c>
      <c r="EE313" s="73" t="str">
        <f>IF(AL313="","",IF(BL313="",IF(IFERROR(INDEX(regNatjecatelj_klub,MATCH(EB313,regNatjecatelj_id,0)),"NEMA")="","klu",""),IF(OR(AND(BN313&lt;&gt;"",BN313&lt;&gt;"NEMA"),CD313&lt;&gt;""),"klu(ali)",IF(AND(BP313&lt;&gt;"",BP313&lt;&gt;BO313),"(raz-klu)","klu"))))</f>
        <v>klu</v>
      </c>
      <c r="EF313" s="73" t="str">
        <f>IF(AL313="","","kat"&amp;IF(AND(W313&lt;&gt;Q313,Q313&lt;&gt;"Open"),"(ali)",""))</f>
        <v>kat</v>
      </c>
      <c r="EG313" s="73" t="str">
        <f t="shared" si="259"/>
        <v/>
      </c>
      <c r="EH313" s="66" t="str">
        <f>IF(AL313="","",ED313&amp;IF(ED313="novo","","-"&amp;EE313&amp;"-"&amp;EF313)&amp;IF(EG313="","","-"&amp;EG313))</f>
        <v>imepre-klu-kat</v>
      </c>
      <c r="EI313" s="47" t="s">
        <v>0</v>
      </c>
      <c r="EJ313" s="58">
        <f>IF(AL313="","",MAX(EJ$12:EJ312)+1)</f>
        <v>461</v>
      </c>
      <c r="EK313" s="73">
        <f>IF(AO313="","",X313)</f>
        <v>42</v>
      </c>
      <c r="EL313" s="73">
        <f t="shared" si="288"/>
        <v>1445</v>
      </c>
      <c r="EM313" s="73">
        <f t="shared" si="260"/>
        <v>2397</v>
      </c>
      <c r="EN313" s="73">
        <f t="shared" si="261"/>
        <v>1</v>
      </c>
      <c r="EO313" s="73">
        <f t="shared" si="289"/>
        <v>1</v>
      </c>
      <c r="EP313" s="73">
        <f t="shared" si="290"/>
        <v>1</v>
      </c>
      <c r="EQ313" s="73" t="str">
        <f t="shared" si="262"/>
        <v>0</v>
      </c>
      <c r="ER313" s="73" t="str">
        <f>IF(OR(AN313="",AN313="NEMA"),BB313,AN313)</f>
        <v/>
      </c>
      <c r="ES313" s="73" t="str">
        <f>IF(AND(BN313&lt;&gt;"",BN313&lt;&gt;"NEMA"),BN313,IF(CG313&lt;&gt;"",CG313,IF(AND(CL313&lt;&gt;"",CL313&lt;&gt;"NEMA"),CL313,IF(CM313&lt;&gt;"",CM313,""))))</f>
        <v/>
      </c>
      <c r="ET313" s="53" t="str">
        <f>IF(INDEX(natKategorija_alias_Id,MATCH(S313,natKategorija_katRegId,0))="","",INDEX(natKategorija_alias_Id,MATCH(S313,natKategorija_katRegId,0)))</f>
        <v/>
      </c>
      <c r="EU313" s="47" t="s">
        <v>0</v>
      </c>
      <c r="EV313" s="19" t="str">
        <f t="shared" si="291"/>
        <v>INSERT INTO rezultat(id,stazakategorija_id,imeprezime_id,vrijeme_sec,status_id,registracija,uparivanje_id,originalstatus_id,imeprezimealias_id,klubalias_id,kategorijaalias_id) VALUES (461,42,1445,2397,1,1,1,0,Null,Null,Null);</v>
      </c>
      <c r="EW313" s="47" t="s">
        <v>0</v>
      </c>
      <c r="EX313" s="19" t="str">
        <f t="shared" si="292"/>
        <v>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13" s="47" t="s">
        <v>0</v>
      </c>
      <c r="EZ313" s="180" t="str">
        <f>AG313&amp;IF(CP313="","","
")&amp;CP313&amp;IF(CI313="","","
")&amp;CI313&amp;IF(DN313="","","
")&amp;DN313&amp;IF(DP313="","","
")&amp;DP313&amp;IF(EV313="","","
")&amp;EV313&amp;IF(EX313="","","
")&amp;EX313</f>
        <v xml:space="preserve">
INSERT INTO rezultat(id,stazakategorija_id,imeprezime_id,vrijeme_sec,status_id,registracija,uparivanje_id,originalstatus_id,imeprezimealias_id,klubalias_id,kategorijaalias_id) VALUES (461,42,1445,2397,1,1,1,0,Null,Null,Null);
UPDATE
	registar
SET
	potvrda = 1
WHERE
	imeprezime_id=1445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13" s="47" t="s">
        <v>0</v>
      </c>
    </row>
    <row r="314" spans="1:157" x14ac:dyDescent="0.25">
      <c r="A314" t="s">
        <v>0</v>
      </c>
      <c r="B314" s="52" t="str">
        <f>IF(csv!F304="","",csv!T304)</f>
        <v>Ž45</v>
      </c>
      <c r="C314" s="31" t="s">
        <v>0</v>
      </c>
      <c r="D314" s="31" t="str">
        <f>IF(csv!F304="","",csv!F304)</f>
        <v>Mirka</v>
      </c>
      <c r="E314" s="31" t="str">
        <f>IF(csv!E304="","",csv!E304)</f>
        <v>Jakšić</v>
      </c>
      <c r="F314" s="31" t="s">
        <v>0</v>
      </c>
      <c r="G314" s="73" t="str">
        <f>IF(csv!M304="","",csv!M304)</f>
        <v>42:42</v>
      </c>
      <c r="H314" s="73" t="str">
        <f>IF(csv!N304="","",csv!N304)</f>
        <v>0</v>
      </c>
      <c r="I314" s="31" t="s">
        <v>0</v>
      </c>
      <c r="J314" s="31" t="str">
        <f>IF(csv!P304="","",csv!P304)</f>
        <v>Maksimir</v>
      </c>
      <c r="K314" s="31" t="str">
        <f>IF(csv!Q304="","",csv!Q304)</f>
        <v>OK Maksimir</v>
      </c>
      <c r="L314" s="31" t="s">
        <v>0</v>
      </c>
      <c r="M314" s="66" t="str">
        <f>IF(csv!R304="","",csv!R304)</f>
        <v>CRO</v>
      </c>
      <c r="N314" s="47" t="s">
        <v>0</v>
      </c>
      <c r="O314" s="243" t="str">
        <f t="shared" si="263"/>
        <v>ok</v>
      </c>
      <c r="P314" s="47"/>
      <c r="Q314" s="52" t="str">
        <f t="shared" si="264"/>
        <v>Ž45</v>
      </c>
      <c r="R314" s="73">
        <f>IF(Q314="","",IF(COUNTIF(Q$12:Q313,Q314)=0,R313+1,R313))</f>
        <v>20</v>
      </c>
      <c r="S314" s="73">
        <f t="shared" si="265"/>
        <v>116</v>
      </c>
      <c r="T314" s="73">
        <f t="shared" si="240"/>
        <v>25</v>
      </c>
      <c r="U314" s="66" t="str">
        <f t="shared" si="241"/>
        <v>Ž45</v>
      </c>
      <c r="V314" s="47" t="s">
        <v>0</v>
      </c>
      <c r="W314" s="222" t="str">
        <f t="shared" si="242"/>
        <v>Ž45</v>
      </c>
      <c r="X314" s="223">
        <f t="shared" si="243"/>
        <v>42</v>
      </c>
      <c r="Y314" s="47" t="s">
        <v>0</v>
      </c>
      <c r="Z314" s="52" t="str">
        <f t="shared" si="266"/>
        <v>CRO</v>
      </c>
      <c r="AA314" s="73">
        <f t="shared" si="244"/>
        <v>1</v>
      </c>
      <c r="AB314" s="31" t="str">
        <f t="shared" si="267"/>
        <v/>
      </c>
      <c r="AC314" s="66" t="str">
        <f>IF(AB314="","",MAX(AC$12:AC313)+1)</f>
        <v/>
      </c>
      <c r="AD314" s="47" t="s">
        <v>0</v>
      </c>
      <c r="AE314" s="125"/>
      <c r="AF314" s="47" t="s">
        <v>0</v>
      </c>
      <c r="AG314" s="19" t="str">
        <f t="shared" si="268"/>
        <v/>
      </c>
      <c r="AH314" s="47" t="s">
        <v>0</v>
      </c>
      <c r="AI314" s="143" t="str">
        <f t="shared" si="269"/>
        <v>CRO</v>
      </c>
      <c r="AJ314" s="47"/>
      <c r="AK314" s="52" t="str">
        <f t="shared" si="270"/>
        <v>Mirka</v>
      </c>
      <c r="AL314" s="31" t="str">
        <f t="shared" si="271"/>
        <v>Jakšić</v>
      </c>
      <c r="AM314" s="73">
        <f t="shared" si="272"/>
        <v>1372</v>
      </c>
      <c r="AN314" s="73" t="str">
        <f t="shared" si="273"/>
        <v/>
      </c>
      <c r="AO314" s="31" t="str">
        <f t="shared" si="245"/>
        <v>Mirka</v>
      </c>
      <c r="AP314" s="66" t="str">
        <f t="shared" si="246"/>
        <v>Jakšić</v>
      </c>
      <c r="AQ314" s="47" t="s">
        <v>0</v>
      </c>
      <c r="AR314" s="82" t="str">
        <f t="shared" si="274"/>
        <v/>
      </c>
      <c r="AS314" s="47" t="s">
        <v>0</v>
      </c>
      <c r="AT314" s="19" t="str">
        <f t="shared" si="275"/>
        <v/>
      </c>
      <c r="AU314" s="47" t="s">
        <v>0</v>
      </c>
      <c r="AV314" s="103"/>
      <c r="AW314" s="105"/>
      <c r="AX314" s="47" t="s">
        <v>0</v>
      </c>
      <c r="AY314" s="256" t="str">
        <f t="shared" si="293"/>
        <v/>
      </c>
      <c r="AZ314" s="47" t="s">
        <v>0</v>
      </c>
      <c r="BA314" s="52" t="str">
        <f t="shared" si="247"/>
        <v/>
      </c>
      <c r="BB314" s="73" t="str">
        <f>IF(AV314&amp;AW314="","",MAX(BB$12:BB313)+1)</f>
        <v/>
      </c>
      <c r="BC314" s="268" t="str">
        <f t="shared" si="248"/>
        <v/>
      </c>
      <c r="BD314" s="53" t="str">
        <f>IF(AND(AM314="NEMA",AN314="NEMA",OR(AV314&amp;AW314="",BC314="NEMA")),MAX(BD$12:BD313)+1,"")</f>
        <v/>
      </c>
      <c r="BE314" s="47" t="s">
        <v>0</v>
      </c>
      <c r="BF314" s="52" t="str">
        <f t="shared" si="249"/>
        <v>Mirka</v>
      </c>
      <c r="BG314" s="31" t="str">
        <f t="shared" si="250"/>
        <v>Jakšić</v>
      </c>
      <c r="BH314" s="73" t="str">
        <f t="shared" si="276"/>
        <v/>
      </c>
      <c r="BI314" s="53">
        <f t="shared" si="277"/>
        <v>1372</v>
      </c>
      <c r="BJ314" s="47" t="s">
        <v>0</v>
      </c>
      <c r="BK314" s="52" t="str">
        <f t="shared" si="251"/>
        <v>Maksimir</v>
      </c>
      <c r="BL314" s="31" t="str">
        <f t="shared" si="252"/>
        <v>OK Maksimir</v>
      </c>
      <c r="BM314" s="73">
        <f t="shared" si="253"/>
        <v>6</v>
      </c>
      <c r="BN314" s="73" t="str">
        <f t="shared" si="254"/>
        <v/>
      </c>
      <c r="BO314" s="31" t="str" cm="1">
        <f t="array" ref="BO314">IF(BN314="",""&amp;BL314,IF(BN314="NEMA",BL314,INDEX(regKlub_naziv,MATCH(INDEX(regKlub_alias_klubId,BN314),regKlub_id,0))))</f>
        <v>OK Maksimir</v>
      </c>
      <c r="BP314" s="31" t="str" cm="1">
        <f t="array" ref="BP314">IFERROR(""&amp;INDEX(regNatjecatelj_klub,DY314),"")</f>
        <v>OK Maksimir</v>
      </c>
      <c r="BQ314" s="88" t="str">
        <f t="shared" si="278"/>
        <v/>
      </c>
      <c r="BR314" s="66" t="str">
        <f t="shared" si="279"/>
        <v>OK Maksimir</v>
      </c>
      <c r="BS314" s="47" t="s">
        <v>0</v>
      </c>
      <c r="BT314" s="82" t="str">
        <f>IF(BN314&lt;&gt;"NEMA","",IF(IFERROR(MATCH(BL314,BL$12:BL313,0),0)&lt;&gt;0,"",BL314))</f>
        <v/>
      </c>
      <c r="BU314" s="47" t="s">
        <v>0</v>
      </c>
      <c r="BV314" s="125"/>
      <c r="BW314" s="47" t="s">
        <v>0</v>
      </c>
      <c r="BX314" s="58" t="str">
        <f t="shared" si="280"/>
        <v/>
      </c>
      <c r="BY314" s="31" t="str">
        <f t="shared" si="281"/>
        <v/>
      </c>
      <c r="BZ314" s="31" t="str">
        <f>IF(BY314="","",MAX(BZ$12:BZ313)+1)</f>
        <v/>
      </c>
      <c r="CA314" s="31" t="str">
        <f>IF(BY314="","",IF(AA314="","",IF(AA314="NEMA",AC314,AA314)))</f>
        <v/>
      </c>
      <c r="CB314" s="31" t="str">
        <f t="shared" si="282"/>
        <v/>
      </c>
      <c r="CC314" s="31" t="str">
        <f>IF(BV314="","",MAX(CC$12:CC313)+1)</f>
        <v/>
      </c>
      <c r="CD314" s="31" t="str">
        <f t="shared" si="283"/>
        <v/>
      </c>
      <c r="CE314" s="66" t="str">
        <f t="shared" si="284"/>
        <v/>
      </c>
      <c r="CF314" s="47" t="s">
        <v>0</v>
      </c>
      <c r="CG314" s="73" t="str">
        <f>IF(BN314="","",IF(BN314&lt;&gt;"NEMA","",IFERROR(INDEX(nat_klubAliasId,MATCH(BL314,nat_noviKluboviAliasi,0)),"")))</f>
        <v/>
      </c>
      <c r="CH314" s="47"/>
      <c r="CI314" s="19" t="str">
        <f t="shared" si="285"/>
        <v/>
      </c>
      <c r="CJ314" s="47" t="s">
        <v>0</v>
      </c>
      <c r="CK314" s="52" t="str">
        <f>IF(X314&lt;&gt;"NEMA","",IF(IFERROR(MATCH(W314,W$12:W313,0),0)&lt;&gt;0,"",W314))</f>
        <v/>
      </c>
      <c r="CL314" s="73" t="str">
        <f>IF(CK314="","",IFERROR(INDEX(regKlub_alias_id,MATCH(CK314,regKlub_alias_alias,0)),"NEMA"))</f>
        <v/>
      </c>
      <c r="CM314" s="31" t="str">
        <f>IF(OR(CL314="",CL314&lt;&gt;"NEMA"),"",MAX(CM$12:CM313)+1)</f>
        <v/>
      </c>
      <c r="CN314" s="66" t="str">
        <f>IF(OR(CL314="",CL314&lt;&gt;"NEMA"),"",INDEX(regKlub_id,MATCH(CK314,regKlub_naziv,0)))</f>
        <v/>
      </c>
      <c r="CO314" s="47" t="s">
        <v>0</v>
      </c>
      <c r="CP314" s="19" t="str">
        <f>IF(OR(CL314="",CL314&lt;&gt;"NEMA"),"","INSERT INTO klub_alias(id,alias,klub_id) VALUES ("&amp;CM314&amp;",'"&amp;CK314&amp;"',"&amp;CN314&amp;");")</f>
        <v/>
      </c>
      <c r="CQ314" s="47" t="s">
        <v>0</v>
      </c>
      <c r="CR314" s="143" t="str">
        <f>IF(BR314="","",IF(BV314="",IF(IFERROR(MATCH(BR314,nat_noviKluboviAliasi,0),0)&gt;0,INDEX(nat_kluboviAliasi,MATCH(BR314,nat_noviKluboviAliasi,0)),BR314),BV314))</f>
        <v>OK Maksimir</v>
      </c>
      <c r="CS314" s="47" t="s">
        <v>0</v>
      </c>
      <c r="CT314" s="58" t="str">
        <f>IF(G314="","",G314)</f>
        <v>42:42</v>
      </c>
      <c r="CU314" s="73" t="str">
        <f>IF(H314="","",H314)</f>
        <v>0</v>
      </c>
      <c r="CV314" s="229" t="str">
        <f>IF(CT314="",IF(OR(AL314="",CU314&lt;&gt;"0"),"","GREŠKA"),IF(AND(65535&gt;=VALUE(LEFT(CT314,SEARCH(":",CT314)-1))*60+VALUE(RIGHT(CT314,2)),OR(CU314="0",CU314="1",CU314="2",CU314="3",CU314="4")),"","GREŠKA"))</f>
        <v/>
      </c>
      <c r="CW314" s="230">
        <f t="shared" si="239"/>
        <v>2562</v>
      </c>
      <c r="CX314" s="163">
        <f t="shared" si="255"/>
        <v>1</v>
      </c>
      <c r="CY314" s="47" t="s">
        <v>0</v>
      </c>
      <c r="CZ314" s="222" t="str">
        <f>IF(CV314&lt;&gt;"GREŠKA","",AK314&amp;" "&amp;AL314&amp;" – Molim u OEventu provjeriti i ispraviti rezultat – vrijeme ("&amp;IF(CT314="","nije upisano",CT314)&amp;") i classifier ("&amp;CU314&amp;").")&amp;IF(OR(CV314&lt;&gt;"GREŠKA",CX314&lt;&gt;5),"
","")&amp;IF(CX314&lt;&gt;5,"",AK314&amp;" "&amp;AL314&amp;" – Molim u provjeriti je li natjecatelj zaista diskvalificiran. Ako je koje je obrazloženje, ako nije molim u OEventu ispraviti rezultat")</f>
        <v xml:space="preserve">
</v>
      </c>
      <c r="DA314" s="223">
        <f t="shared" si="286"/>
        <v>6</v>
      </c>
      <c r="DB314" s="47" t="s">
        <v>0</v>
      </c>
      <c r="DC314" s="47"/>
      <c r="DD314" s="47"/>
      <c r="DE314" s="47"/>
      <c r="DF314" s="47" t="s">
        <v>0</v>
      </c>
      <c r="DG314" s="53" t="str">
        <f>IF(BD314="","",IF(DI314="O",1,""))</f>
        <v/>
      </c>
      <c r="DH314" t="s">
        <v>0</v>
      </c>
      <c r="DI314" s="128" t="str">
        <f>IF(Q314="","",LEFT(INDEX(regKategorija_oznaka,MATCH(S314,regKategorija_id,0)),1))</f>
        <v>Ž</v>
      </c>
      <c r="DJ314" t="s">
        <v>0</v>
      </c>
      <c r="DK314" s="52" t="str">
        <f>IF(BD314="","",IF(M314&lt;&gt;"CRO","","INSERT INTO osoba (id,reg_broj,oib,spol_id,dat_rodjenja) VALUES ("&amp;BD314&amp;",(SELECT max(os.reg_broj)+1 FROM osoba AS os),Null,'"&amp;DI314&amp;"',Null); INSERT INTO osoba_log (id,reg_broj,oib,spol_id,dat_rodjenja,dnevnik_id) SELECT id,reg_broj,oib,spol_id,dat_rodjenja,"&amp;data_dnevnik_id&amp;" FROM osoba WHERE id = "&amp;BD314&amp;";"))</f>
        <v/>
      </c>
      <c r="DL314" s="66" t="str">
        <f>IF(BD314="","","INSERT INTO imeprezime (id,osoba_id,rbr,ime,prezime,klub_id,identitet_id,sintaksa_id,info,aktivno,dnevnik_id) VALUES ("&amp;BD314&amp;","&amp;IF(DK314="","Null",BD314)&amp;",1,'"&amp;IF(AV314&lt;&gt;"",AV314,AK314)&amp;"','"&amp;IF(AW314&lt;&gt;"",AW314,AL314)&amp;"',(SELECT id FROM klub WHERE naziv = '"&amp;CR314&amp;"'),Null,1,'',1,"&amp;data_dnevnik_id&amp;");")</f>
        <v/>
      </c>
      <c r="DM314" t="s">
        <v>0</v>
      </c>
      <c r="DN314" s="19" t="str">
        <f t="shared" si="294"/>
        <v/>
      </c>
      <c r="DO314" s="47" t="s">
        <v>0</v>
      </c>
      <c r="DP314" s="19" t="str">
        <f>IF(BA314="","","INSERT INTO imeprezime_alias(id,alias,imeprezime_id) VALUES ("&amp;BB314&amp;",'"&amp;BA314&amp;"',"&amp;IF(BC314="NEMA",BD314,BC314)&amp;");")</f>
        <v/>
      </c>
      <c r="DQ314" s="47" t="s">
        <v>0</v>
      </c>
      <c r="DR314" s="52" t="str">
        <f>IF(AL314="","",DU314 &amp; IF(Q314="",""," – " &amp; Q314))</f>
        <v>Mirka – Jakšić – OK Maksimir – Ž45</v>
      </c>
      <c r="DS314" s="53">
        <f t="shared" si="256"/>
        <v>353</v>
      </c>
      <c r="DT314" s="47" t="s">
        <v>0</v>
      </c>
      <c r="DU314" s="52" t="str">
        <f>IF(AL314="","",DX314 &amp; IF(CR314="",""," – " &amp; CR314))</f>
        <v>Mirka – Jakšić – OK Maksimir</v>
      </c>
      <c r="DV314" s="53">
        <f t="shared" si="257"/>
        <v>353</v>
      </c>
      <c r="DW314" s="47" t="s">
        <v>0</v>
      </c>
      <c r="DX314" s="52" t="str">
        <f>IF(BG314="","",BF314&amp;" – "&amp;BG314)</f>
        <v>Mirka – Jakšić</v>
      </c>
      <c r="DY314" s="53">
        <f t="shared" si="258"/>
        <v>353</v>
      </c>
      <c r="DZ314" s="47" t="s">
        <v>0</v>
      </c>
      <c r="EA314" s="58">
        <f t="shared" si="287"/>
        <v>353</v>
      </c>
      <c r="EB314" s="53" cm="1">
        <f t="array" ref="EB314">IF(EA314&lt;&gt;"",INDEX(regNatjecatelj_id,EA314,0),IF(BD314&lt;&gt;"",BD314,""))</f>
        <v>1372</v>
      </c>
      <c r="EC314" s="47" t="s">
        <v>0</v>
      </c>
      <c r="ED314" s="58" t="str">
        <f>IF(AL314="","",IF(BD314&lt;&gt;"","novo",IF(AN314="","imepre","imepre(ali)")))</f>
        <v>imepre</v>
      </c>
      <c r="EE314" s="73" t="str">
        <f>IF(AL314="","",IF(BL314="",IF(IFERROR(INDEX(regNatjecatelj_klub,MATCH(EB314,regNatjecatelj_id,0)),"NEMA")="","klu",""),IF(OR(AND(BN314&lt;&gt;"",BN314&lt;&gt;"NEMA"),CD314&lt;&gt;""),"klu(ali)",IF(AND(BP314&lt;&gt;"",BP314&lt;&gt;BO314),"(raz-klu)","klu"))))</f>
        <v>klu</v>
      </c>
      <c r="EF314" s="73" t="str">
        <f>IF(AL314="","","kat"&amp;IF(AND(W314&lt;&gt;Q314,Q314&lt;&gt;"Open"),"(ali)",""))</f>
        <v>kat</v>
      </c>
      <c r="EG314" s="73" t="str">
        <f t="shared" si="259"/>
        <v/>
      </c>
      <c r="EH314" s="66" t="str">
        <f>IF(AL314="","",ED314&amp;IF(ED314="novo","","-"&amp;EE314&amp;"-"&amp;EF314)&amp;IF(EG314="","","-"&amp;EG314))</f>
        <v>imepre-klu-kat</v>
      </c>
      <c r="EI314" s="47" t="s">
        <v>0</v>
      </c>
      <c r="EJ314" s="58">
        <f>IF(AL314="","",MAX(EJ$12:EJ313)+1)</f>
        <v>462</v>
      </c>
      <c r="EK314" s="73">
        <f>IF(AO314="","",X314)</f>
        <v>42</v>
      </c>
      <c r="EL314" s="73">
        <f t="shared" si="288"/>
        <v>1372</v>
      </c>
      <c r="EM314" s="73">
        <f t="shared" si="260"/>
        <v>2562</v>
      </c>
      <c r="EN314" s="73">
        <f t="shared" si="261"/>
        <v>1</v>
      </c>
      <c r="EO314" s="73">
        <f t="shared" si="289"/>
        <v>1</v>
      </c>
      <c r="EP314" s="73">
        <f t="shared" si="290"/>
        <v>1</v>
      </c>
      <c r="EQ314" s="73" t="str">
        <f t="shared" si="262"/>
        <v>0</v>
      </c>
      <c r="ER314" s="73" t="str">
        <f>IF(OR(AN314="",AN314="NEMA"),BB314,AN314)</f>
        <v/>
      </c>
      <c r="ES314" s="73" t="str">
        <f>IF(AND(BN314&lt;&gt;"",BN314&lt;&gt;"NEMA"),BN314,IF(CG314&lt;&gt;"",CG314,IF(AND(CL314&lt;&gt;"",CL314&lt;&gt;"NEMA"),CL314,IF(CM314&lt;&gt;"",CM314,""))))</f>
        <v/>
      </c>
      <c r="ET314" s="53" t="str">
        <f>IF(INDEX(natKategorija_alias_Id,MATCH(S314,natKategorija_katRegId,0))="","",INDEX(natKategorija_alias_Id,MATCH(S314,natKategorija_katRegId,0)))</f>
        <v/>
      </c>
      <c r="EU314" s="47" t="s">
        <v>0</v>
      </c>
      <c r="EV314" s="19" t="str">
        <f t="shared" si="291"/>
        <v>INSERT INTO rezultat(id,stazakategorija_id,imeprezime_id,vrijeme_sec,status_id,registracija,uparivanje_id,originalstatus_id,imeprezimealias_id,klubalias_id,kategorijaalias_id) VALUES (462,42,1372,2562,1,1,1,0,Null,Null,Null);</v>
      </c>
      <c r="EW314" s="47" t="s">
        <v>0</v>
      </c>
      <c r="EX314" s="19" t="str">
        <f t="shared" si="292"/>
        <v>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14" s="47" t="s">
        <v>0</v>
      </c>
      <c r="EZ314" s="180" t="str">
        <f>AG314&amp;IF(CP314="","","
")&amp;CP314&amp;IF(CI314="","","
")&amp;CI314&amp;IF(DN314="","","
")&amp;DN314&amp;IF(DP314="","","
")&amp;DP314&amp;IF(EV314="","","
")&amp;EV314&amp;IF(EX314="","","
")&amp;EX314</f>
        <v xml:space="preserve">
INSERT INTO rezultat(id,stazakategorija_id,imeprezime_id,vrijeme_sec,status_id,registracija,uparivanje_id,originalstatus_id,imeprezimealias_id,klubalias_id,kategorijaalias_id) VALUES (462,42,1372,2562,1,1,1,0,Null,Null,Null);
UPDATE
	registar
SET
	potvrda = 1
WHERE
	imeprezime_id=1372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14" s="47" t="s">
        <v>0</v>
      </c>
    </row>
    <row r="315" spans="1:157" x14ac:dyDescent="0.25">
      <c r="A315" t="s">
        <v>0</v>
      </c>
      <c r="B315" s="52" t="str">
        <f>IF(csv!F305="","",csv!T305)</f>
        <v>Ž45</v>
      </c>
      <c r="C315" s="31" t="s">
        <v>0</v>
      </c>
      <c r="D315" s="31" t="str">
        <f>IF(csv!F305="","",csv!F305)</f>
        <v>Neda</v>
      </c>
      <c r="E315" s="31" t="str">
        <f>IF(csv!E305="","",csv!E305)</f>
        <v>Gobec</v>
      </c>
      <c r="F315" s="31" t="s">
        <v>0</v>
      </c>
      <c r="G315" s="73" t="str">
        <f>IF(csv!M305="","",csv!M305)</f>
        <v>43:29</v>
      </c>
      <c r="H315" s="73" t="str">
        <f>IF(csv!N305="","",csv!N305)</f>
        <v>0</v>
      </c>
      <c r="I315" s="31" t="s">
        <v>0</v>
      </c>
      <c r="J315" s="31" t="str">
        <f>IF(csv!P305="","",csv!P305)</f>
        <v>Vihor</v>
      </c>
      <c r="K315" s="31" t="str">
        <f>IF(csv!Q305="","",csv!Q305)</f>
        <v>OK Vihor</v>
      </c>
      <c r="L315" s="31" t="s">
        <v>0</v>
      </c>
      <c r="M315" s="66" t="str">
        <f>IF(csv!R305="","",csv!R305)</f>
        <v>CRO</v>
      </c>
      <c r="N315" s="47" t="s">
        <v>0</v>
      </c>
      <c r="O315" s="243" t="str">
        <f t="shared" si="263"/>
        <v>ok</v>
      </c>
      <c r="P315" s="47"/>
      <c r="Q315" s="52" t="str">
        <f t="shared" si="264"/>
        <v>Ž45</v>
      </c>
      <c r="R315" s="73">
        <f>IF(Q315="","",IF(COUNTIF(Q$12:Q314,Q315)=0,R314+1,R314))</f>
        <v>20</v>
      </c>
      <c r="S315" s="73">
        <f t="shared" si="265"/>
        <v>116</v>
      </c>
      <c r="T315" s="73">
        <f t="shared" si="240"/>
        <v>25</v>
      </c>
      <c r="U315" s="66" t="str">
        <f t="shared" si="241"/>
        <v>Ž45</v>
      </c>
      <c r="V315" s="47" t="s">
        <v>0</v>
      </c>
      <c r="W315" s="222" t="str">
        <f t="shared" si="242"/>
        <v>Ž45</v>
      </c>
      <c r="X315" s="223">
        <f t="shared" si="243"/>
        <v>42</v>
      </c>
      <c r="Y315" s="47" t="s">
        <v>0</v>
      </c>
      <c r="Z315" s="52" t="str">
        <f t="shared" si="266"/>
        <v>CRO</v>
      </c>
      <c r="AA315" s="73">
        <f t="shared" si="244"/>
        <v>1</v>
      </c>
      <c r="AB315" s="31" t="str">
        <f t="shared" si="267"/>
        <v/>
      </c>
      <c r="AC315" s="66" t="str">
        <f>IF(AB315="","",MAX(AC$12:AC314)+1)</f>
        <v/>
      </c>
      <c r="AD315" s="47" t="s">
        <v>0</v>
      </c>
      <c r="AE315" s="125"/>
      <c r="AF315" s="47" t="s">
        <v>0</v>
      </c>
      <c r="AG315" s="19" t="str">
        <f t="shared" si="268"/>
        <v/>
      </c>
      <c r="AH315" s="47" t="s">
        <v>0</v>
      </c>
      <c r="AI315" s="143" t="str">
        <f t="shared" si="269"/>
        <v>CRO</v>
      </c>
      <c r="AJ315" s="47"/>
      <c r="AK315" s="52" t="str">
        <f t="shared" si="270"/>
        <v>Neda</v>
      </c>
      <c r="AL315" s="31" t="str">
        <f t="shared" si="271"/>
        <v>Gobec</v>
      </c>
      <c r="AM315" s="73">
        <f t="shared" si="272"/>
        <v>1913</v>
      </c>
      <c r="AN315" s="73" t="str">
        <f t="shared" si="273"/>
        <v/>
      </c>
      <c r="AO315" s="31" t="str">
        <f t="shared" si="245"/>
        <v>Neda</v>
      </c>
      <c r="AP315" s="66" t="str">
        <f t="shared" si="246"/>
        <v>Gobec</v>
      </c>
      <c r="AQ315" s="47" t="s">
        <v>0</v>
      </c>
      <c r="AR315" s="82" t="str">
        <f t="shared" si="274"/>
        <v/>
      </c>
      <c r="AS315" s="47" t="s">
        <v>0</v>
      </c>
      <c r="AT315" s="19" t="str">
        <f t="shared" si="275"/>
        <v/>
      </c>
      <c r="AU315" s="47" t="s">
        <v>0</v>
      </c>
      <c r="AV315" s="103"/>
      <c r="AW315" s="105"/>
      <c r="AX315" s="47" t="s">
        <v>0</v>
      </c>
      <c r="AY315" s="256" t="str">
        <f t="shared" si="293"/>
        <v/>
      </c>
      <c r="AZ315" s="47" t="s">
        <v>0</v>
      </c>
      <c r="BA315" s="52" t="str">
        <f t="shared" si="247"/>
        <v/>
      </c>
      <c r="BB315" s="73" t="str">
        <f>IF(AV315&amp;AW315="","",MAX(BB$12:BB314)+1)</f>
        <v/>
      </c>
      <c r="BC315" s="268" t="str">
        <f t="shared" si="248"/>
        <v/>
      </c>
      <c r="BD315" s="53" t="str">
        <f>IF(AND(AM315="NEMA",AN315="NEMA",OR(AV315&amp;AW315="",BC315="NEMA")),MAX(BD$12:BD314)+1,"")</f>
        <v/>
      </c>
      <c r="BE315" s="47" t="s">
        <v>0</v>
      </c>
      <c r="BF315" s="52" t="str">
        <f t="shared" si="249"/>
        <v>Neda</v>
      </c>
      <c r="BG315" s="31" t="str">
        <f t="shared" si="250"/>
        <v>Gobec</v>
      </c>
      <c r="BH315" s="73" t="str">
        <f t="shared" si="276"/>
        <v/>
      </c>
      <c r="BI315" s="53">
        <f t="shared" si="277"/>
        <v>1913</v>
      </c>
      <c r="BJ315" s="47" t="s">
        <v>0</v>
      </c>
      <c r="BK315" s="52" t="str">
        <f t="shared" si="251"/>
        <v>Vihor</v>
      </c>
      <c r="BL315" s="31" t="str">
        <f t="shared" si="252"/>
        <v>OK Vihor</v>
      </c>
      <c r="BM315" s="73">
        <f t="shared" si="253"/>
        <v>12</v>
      </c>
      <c r="BN315" s="73" t="str">
        <f t="shared" si="254"/>
        <v/>
      </c>
      <c r="BO315" s="31" t="str" cm="1">
        <f t="array" ref="BO315">IF(BN315="",""&amp;BL315,IF(BN315="NEMA",BL315,INDEX(regKlub_naziv,MATCH(INDEX(regKlub_alias_klubId,BN315),regKlub_id,0))))</f>
        <v>OK Vihor</v>
      </c>
      <c r="BP315" s="31" t="str" cm="1">
        <f t="array" ref="BP315">IFERROR(""&amp;INDEX(regNatjecatelj_klub,DY315),"")</f>
        <v>OK Vihor</v>
      </c>
      <c r="BQ315" s="88" t="str">
        <f t="shared" si="278"/>
        <v/>
      </c>
      <c r="BR315" s="66" t="str">
        <f t="shared" si="279"/>
        <v>OK Vihor</v>
      </c>
      <c r="BS315" s="47" t="s">
        <v>0</v>
      </c>
      <c r="BT315" s="82" t="str">
        <f>IF(BN315&lt;&gt;"NEMA","",IF(IFERROR(MATCH(BL315,BL$12:BL314,0),0)&lt;&gt;0,"",BL315))</f>
        <v/>
      </c>
      <c r="BU315" s="47" t="s">
        <v>0</v>
      </c>
      <c r="BV315" s="125"/>
      <c r="BW315" s="47" t="s">
        <v>0</v>
      </c>
      <c r="BX315" s="58" t="str">
        <f t="shared" si="280"/>
        <v/>
      </c>
      <c r="BY315" s="31" t="str">
        <f t="shared" si="281"/>
        <v/>
      </c>
      <c r="BZ315" s="31" t="str">
        <f>IF(BY315="","",MAX(BZ$12:BZ314)+1)</f>
        <v/>
      </c>
      <c r="CA315" s="31" t="str">
        <f>IF(BY315="","",IF(AA315="","",IF(AA315="NEMA",AC315,AA315)))</f>
        <v/>
      </c>
      <c r="CB315" s="31" t="str">
        <f t="shared" si="282"/>
        <v/>
      </c>
      <c r="CC315" s="31" t="str">
        <f>IF(BV315="","",MAX(CC$12:CC314)+1)</f>
        <v/>
      </c>
      <c r="CD315" s="31" t="str">
        <f t="shared" si="283"/>
        <v/>
      </c>
      <c r="CE315" s="66" t="str">
        <f t="shared" si="284"/>
        <v/>
      </c>
      <c r="CF315" s="47" t="s">
        <v>0</v>
      </c>
      <c r="CG315" s="73" t="str">
        <f>IF(BN315="","",IF(BN315&lt;&gt;"NEMA","",IFERROR(INDEX(nat_klubAliasId,MATCH(BL315,nat_noviKluboviAliasi,0)),"")))</f>
        <v/>
      </c>
      <c r="CH315" s="47"/>
      <c r="CI315" s="19" t="str">
        <f t="shared" si="285"/>
        <v/>
      </c>
      <c r="CJ315" s="47" t="s">
        <v>0</v>
      </c>
      <c r="CK315" s="52" t="str">
        <f>IF(X315&lt;&gt;"NEMA","",IF(IFERROR(MATCH(W315,W$12:W314,0),0)&lt;&gt;0,"",W315))</f>
        <v/>
      </c>
      <c r="CL315" s="73" t="str">
        <f>IF(CK315="","",IFERROR(INDEX(regKlub_alias_id,MATCH(CK315,regKlub_alias_alias,0)),"NEMA"))</f>
        <v/>
      </c>
      <c r="CM315" s="31" t="str">
        <f>IF(OR(CL315="",CL315&lt;&gt;"NEMA"),"",MAX(CM$12:CM314)+1)</f>
        <v/>
      </c>
      <c r="CN315" s="66" t="str">
        <f>IF(OR(CL315="",CL315&lt;&gt;"NEMA"),"",INDEX(regKlub_id,MATCH(CK315,regKlub_naziv,0)))</f>
        <v/>
      </c>
      <c r="CO315" s="47" t="s">
        <v>0</v>
      </c>
      <c r="CP315" s="19" t="str">
        <f>IF(OR(CL315="",CL315&lt;&gt;"NEMA"),"","INSERT INTO klub_alias(id,alias,klub_id) VALUES ("&amp;CM315&amp;",'"&amp;CK315&amp;"',"&amp;CN315&amp;");")</f>
        <v/>
      </c>
      <c r="CQ315" s="47" t="s">
        <v>0</v>
      </c>
      <c r="CR315" s="143" t="str">
        <f>IF(BR315="","",IF(BV315="",IF(IFERROR(MATCH(BR315,nat_noviKluboviAliasi,0),0)&gt;0,INDEX(nat_kluboviAliasi,MATCH(BR315,nat_noviKluboviAliasi,0)),BR315),BV315))</f>
        <v>OK Vihor</v>
      </c>
      <c r="CS315" s="47" t="s">
        <v>0</v>
      </c>
      <c r="CT315" s="58" t="str">
        <f>IF(G315="","",G315)</f>
        <v>43:29</v>
      </c>
      <c r="CU315" s="73" t="str">
        <f>IF(H315="","",H315)</f>
        <v>0</v>
      </c>
      <c r="CV315" s="229" t="str">
        <f>IF(CT315="",IF(OR(AL315="",CU315&lt;&gt;"0"),"","GREŠKA"),IF(AND(65535&gt;=VALUE(LEFT(CT315,SEARCH(":",CT315)-1))*60+VALUE(RIGHT(CT315,2)),OR(CU315="0",CU315="1",CU315="2",CU315="3",CU315="4")),"","GREŠKA"))</f>
        <v/>
      </c>
      <c r="CW315" s="230">
        <f t="shared" si="239"/>
        <v>2609</v>
      </c>
      <c r="CX315" s="163">
        <f t="shared" si="255"/>
        <v>1</v>
      </c>
      <c r="CY315" s="47" t="s">
        <v>0</v>
      </c>
      <c r="CZ315" s="222" t="str">
        <f>IF(CV315&lt;&gt;"GREŠKA","",AK315&amp;" "&amp;AL315&amp;" – Molim u OEventu provjeriti i ispraviti rezultat – vrijeme ("&amp;IF(CT315="","nije upisano",CT315)&amp;") i classifier ("&amp;CU315&amp;").")&amp;IF(OR(CV315&lt;&gt;"GREŠKA",CX315&lt;&gt;5),"
","")&amp;IF(CX315&lt;&gt;5,"",AK315&amp;" "&amp;AL315&amp;" – Molim u provjeriti je li natjecatelj zaista diskvalificiran. Ako je koje je obrazloženje, ako nije molim u OEventu ispraviti rezultat")</f>
        <v xml:space="preserve">
</v>
      </c>
      <c r="DA315" s="223">
        <f t="shared" si="286"/>
        <v>6</v>
      </c>
      <c r="DB315" s="47" t="s">
        <v>0</v>
      </c>
      <c r="DC315" s="47"/>
      <c r="DD315" s="47"/>
      <c r="DE315" s="47"/>
      <c r="DF315" s="47" t="s">
        <v>0</v>
      </c>
      <c r="DG315" s="53" t="str">
        <f>IF(BD315="","",IF(DI315="O",1,""))</f>
        <v/>
      </c>
      <c r="DH315" t="s">
        <v>0</v>
      </c>
      <c r="DI315" s="128" t="str">
        <f>IF(Q315="","",LEFT(INDEX(regKategorija_oznaka,MATCH(S315,regKategorija_id,0)),1))</f>
        <v>Ž</v>
      </c>
      <c r="DJ315" t="s">
        <v>0</v>
      </c>
      <c r="DK315" s="52" t="str">
        <f>IF(BD315="","",IF(M315&lt;&gt;"CRO","","INSERT INTO osoba (id,reg_broj,oib,spol_id,dat_rodjenja) VALUES ("&amp;BD315&amp;",(SELECT max(os.reg_broj)+1 FROM osoba AS os),Null,'"&amp;DI315&amp;"',Null); INSERT INTO osoba_log (id,reg_broj,oib,spol_id,dat_rodjenja,dnevnik_id) SELECT id,reg_broj,oib,spol_id,dat_rodjenja,"&amp;data_dnevnik_id&amp;" FROM osoba WHERE id = "&amp;BD315&amp;";"))</f>
        <v/>
      </c>
      <c r="DL315" s="66" t="str">
        <f>IF(BD315="","","INSERT INTO imeprezime (id,osoba_id,rbr,ime,prezime,klub_id,identitet_id,sintaksa_id,info,aktivno,dnevnik_id) VALUES ("&amp;BD315&amp;","&amp;IF(DK315="","Null",BD315)&amp;",1,'"&amp;IF(AV315&lt;&gt;"",AV315,AK315)&amp;"','"&amp;IF(AW315&lt;&gt;"",AW315,AL315)&amp;"',(SELECT id FROM klub WHERE naziv = '"&amp;CR315&amp;"'),Null,1,'',1,"&amp;data_dnevnik_id&amp;");")</f>
        <v/>
      </c>
      <c r="DM315" t="s">
        <v>0</v>
      </c>
      <c r="DN315" s="19" t="str">
        <f t="shared" si="294"/>
        <v/>
      </c>
      <c r="DO315" s="47" t="s">
        <v>0</v>
      </c>
      <c r="DP315" s="19" t="str">
        <f>IF(BA315="","","INSERT INTO imeprezime_alias(id,alias,imeprezime_id) VALUES ("&amp;BB315&amp;",'"&amp;BA315&amp;"',"&amp;IF(BC315="NEMA",BD315,BC315)&amp;");")</f>
        <v/>
      </c>
      <c r="DQ315" s="47" t="s">
        <v>0</v>
      </c>
      <c r="DR315" s="52" t="str">
        <f>IF(AL315="","",DU315 &amp; IF(Q315="",""," – " &amp; Q315))</f>
        <v>Neda – Gobec – OK Vihor – Ž45</v>
      </c>
      <c r="DS315" s="53">
        <f t="shared" si="256"/>
        <v>679</v>
      </c>
      <c r="DT315" s="47" t="s">
        <v>0</v>
      </c>
      <c r="DU315" s="52" t="str">
        <f>IF(AL315="","",DX315 &amp; IF(CR315="",""," – " &amp; CR315))</f>
        <v>Neda – Gobec – OK Vihor</v>
      </c>
      <c r="DV315" s="53">
        <f t="shared" si="257"/>
        <v>679</v>
      </c>
      <c r="DW315" s="47" t="s">
        <v>0</v>
      </c>
      <c r="DX315" s="52" t="str">
        <f>IF(BG315="","",BF315&amp;" – "&amp;BG315)</f>
        <v>Neda – Gobec</v>
      </c>
      <c r="DY315" s="53">
        <f t="shared" si="258"/>
        <v>679</v>
      </c>
      <c r="DZ315" s="47" t="s">
        <v>0</v>
      </c>
      <c r="EA315" s="58">
        <f t="shared" si="287"/>
        <v>679</v>
      </c>
      <c r="EB315" s="53" cm="1">
        <f t="array" ref="EB315">IF(EA315&lt;&gt;"",INDEX(regNatjecatelj_id,EA315,0),IF(BD315&lt;&gt;"",BD315,""))</f>
        <v>1913</v>
      </c>
      <c r="EC315" s="47" t="s">
        <v>0</v>
      </c>
      <c r="ED315" s="58" t="str">
        <f>IF(AL315="","",IF(BD315&lt;&gt;"","novo",IF(AN315="","imepre","imepre(ali)")))</f>
        <v>imepre</v>
      </c>
      <c r="EE315" s="73" t="str">
        <f>IF(AL315="","",IF(BL315="",IF(IFERROR(INDEX(regNatjecatelj_klub,MATCH(EB315,regNatjecatelj_id,0)),"NEMA")="","klu",""),IF(OR(AND(BN315&lt;&gt;"",BN315&lt;&gt;"NEMA"),CD315&lt;&gt;""),"klu(ali)",IF(AND(BP315&lt;&gt;"",BP315&lt;&gt;BO315),"(raz-klu)","klu"))))</f>
        <v>klu</v>
      </c>
      <c r="EF315" s="73" t="str">
        <f>IF(AL315="","","kat"&amp;IF(AND(W315&lt;&gt;Q315,Q315&lt;&gt;"Open"),"(ali)",""))</f>
        <v>kat</v>
      </c>
      <c r="EG315" s="73" t="str">
        <f t="shared" si="259"/>
        <v/>
      </c>
      <c r="EH315" s="66" t="str">
        <f>IF(AL315="","",ED315&amp;IF(ED315="novo","","-"&amp;EE315&amp;"-"&amp;EF315)&amp;IF(EG315="","","-"&amp;EG315))</f>
        <v>imepre-klu-kat</v>
      </c>
      <c r="EI315" s="47" t="s">
        <v>0</v>
      </c>
      <c r="EJ315" s="58">
        <f>IF(AL315="","",MAX(EJ$12:EJ314)+1)</f>
        <v>463</v>
      </c>
      <c r="EK315" s="73">
        <f>IF(AO315="","",X315)</f>
        <v>42</v>
      </c>
      <c r="EL315" s="73">
        <f t="shared" si="288"/>
        <v>1913</v>
      </c>
      <c r="EM315" s="73">
        <f t="shared" si="260"/>
        <v>2609</v>
      </c>
      <c r="EN315" s="73">
        <f t="shared" si="261"/>
        <v>1</v>
      </c>
      <c r="EO315" s="73">
        <f t="shared" si="289"/>
        <v>1</v>
      </c>
      <c r="EP315" s="73">
        <f t="shared" si="290"/>
        <v>1</v>
      </c>
      <c r="EQ315" s="73" t="str">
        <f t="shared" si="262"/>
        <v>0</v>
      </c>
      <c r="ER315" s="73" t="str">
        <f>IF(OR(AN315="",AN315="NEMA"),BB315,AN315)</f>
        <v/>
      </c>
      <c r="ES315" s="73" t="str">
        <f>IF(AND(BN315&lt;&gt;"",BN315&lt;&gt;"NEMA"),BN315,IF(CG315&lt;&gt;"",CG315,IF(AND(CL315&lt;&gt;"",CL315&lt;&gt;"NEMA"),CL315,IF(CM315&lt;&gt;"",CM315,""))))</f>
        <v/>
      </c>
      <c r="ET315" s="53" t="str">
        <f>IF(INDEX(natKategorija_alias_Id,MATCH(S315,natKategorija_katRegId,0))="","",INDEX(natKategorija_alias_Id,MATCH(S315,natKategorija_katRegId,0)))</f>
        <v/>
      </c>
      <c r="EU315" s="47" t="s">
        <v>0</v>
      </c>
      <c r="EV315" s="19" t="str">
        <f t="shared" si="291"/>
        <v>INSERT INTO rezultat(id,stazakategorija_id,imeprezime_id,vrijeme_sec,status_id,registracija,uparivanje_id,originalstatus_id,imeprezimealias_id,klubalias_id,kategorijaalias_id) VALUES (463,42,1913,2609,1,1,1,0,Null,Null,Null);</v>
      </c>
      <c r="EW315" s="47" t="s">
        <v>0</v>
      </c>
      <c r="EX315" s="19" t="str">
        <f t="shared" si="292"/>
        <v>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15" s="47" t="s">
        <v>0</v>
      </c>
      <c r="EZ315" s="180" t="str">
        <f>AG315&amp;IF(CP315="","","
")&amp;CP315&amp;IF(CI315="","","
")&amp;CI315&amp;IF(DN315="","","
")&amp;DN315&amp;IF(DP315="","","
")&amp;DP315&amp;IF(EV315="","","
")&amp;EV315&amp;IF(EX315="","","
")&amp;EX315</f>
        <v xml:space="preserve">
INSERT INTO rezultat(id,stazakategorija_id,imeprezime_id,vrijeme_sec,status_id,registracija,uparivanje_id,originalstatus_id,imeprezimealias_id,klubalias_id,kategorijaalias_id) VALUES (463,42,1913,2609,1,1,1,0,Null,Null,Null);
UPDATE
	registar
SET
	potvrda = 1
WHERE
	imeprezime_id=1913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15" s="47" t="s">
        <v>0</v>
      </c>
    </row>
    <row r="316" spans="1:157" x14ac:dyDescent="0.25">
      <c r="A316" t="s">
        <v>0</v>
      </c>
      <c r="B316" s="52" t="str">
        <f>IF(csv!F306="","",csv!T306)</f>
        <v>Ž45</v>
      </c>
      <c r="C316" s="31" t="s">
        <v>0</v>
      </c>
      <c r="D316" s="31" t="str">
        <f>IF(csv!F306="","",csv!F306)</f>
        <v>Srebrenka</v>
      </c>
      <c r="E316" s="31" t="str">
        <f>IF(csv!E306="","",csv!E306)</f>
        <v>Vuk</v>
      </c>
      <c r="F316" s="31" t="s">
        <v>0</v>
      </c>
      <c r="G316" s="73" t="str">
        <f>IF(csv!M306="","",csv!M306)</f>
        <v>43:37</v>
      </c>
      <c r="H316" s="73" t="str">
        <f>IF(csv!N306="","",csv!N306)</f>
        <v>0</v>
      </c>
      <c r="I316" s="31" t="s">
        <v>0</v>
      </c>
      <c r="J316" s="31" t="str">
        <f>IF(csv!P306="","",csv!P306)</f>
        <v>KAP</v>
      </c>
      <c r="K316" s="31" t="str">
        <f>IF(csv!Q306="","",csv!Q306)</f>
        <v>OK Kapela</v>
      </c>
      <c r="L316" s="31" t="s">
        <v>0</v>
      </c>
      <c r="M316" s="66" t="str">
        <f>IF(csv!R306="","",csv!R306)</f>
        <v>CRO</v>
      </c>
      <c r="N316" s="47" t="s">
        <v>0</v>
      </c>
      <c r="O316" s="243" t="str">
        <f t="shared" si="263"/>
        <v>ok</v>
      </c>
      <c r="P316" s="47"/>
      <c r="Q316" s="52" t="str">
        <f t="shared" si="264"/>
        <v>Ž45</v>
      </c>
      <c r="R316" s="73">
        <f>IF(Q316="","",IF(COUNTIF(Q$12:Q315,Q316)=0,R315+1,R315))</f>
        <v>20</v>
      </c>
      <c r="S316" s="73">
        <f t="shared" si="265"/>
        <v>116</v>
      </c>
      <c r="T316" s="73">
        <f t="shared" si="240"/>
        <v>25</v>
      </c>
      <c r="U316" s="66" t="str">
        <f t="shared" si="241"/>
        <v>Ž45</v>
      </c>
      <c r="V316" s="47" t="s">
        <v>0</v>
      </c>
      <c r="W316" s="222" t="str">
        <f t="shared" si="242"/>
        <v>Ž45</v>
      </c>
      <c r="X316" s="223">
        <f t="shared" si="243"/>
        <v>42</v>
      </c>
      <c r="Y316" s="47" t="s">
        <v>0</v>
      </c>
      <c r="Z316" s="52" t="str">
        <f t="shared" si="266"/>
        <v>CRO</v>
      </c>
      <c r="AA316" s="73">
        <f t="shared" si="244"/>
        <v>1</v>
      </c>
      <c r="AB316" s="31" t="str">
        <f t="shared" si="267"/>
        <v/>
      </c>
      <c r="AC316" s="66" t="str">
        <f>IF(AB316="","",MAX(AC$12:AC315)+1)</f>
        <v/>
      </c>
      <c r="AD316" s="47" t="s">
        <v>0</v>
      </c>
      <c r="AE316" s="125"/>
      <c r="AF316" s="47" t="s">
        <v>0</v>
      </c>
      <c r="AG316" s="19" t="str">
        <f t="shared" si="268"/>
        <v/>
      </c>
      <c r="AH316" s="47" t="s">
        <v>0</v>
      </c>
      <c r="AI316" s="143" t="str">
        <f t="shared" si="269"/>
        <v>CRO</v>
      </c>
      <c r="AJ316" s="47"/>
      <c r="AK316" s="52" t="str">
        <f t="shared" si="270"/>
        <v>Srebrenka</v>
      </c>
      <c r="AL316" s="31" t="str">
        <f t="shared" si="271"/>
        <v>Vuk</v>
      </c>
      <c r="AM316" s="73">
        <f t="shared" si="272"/>
        <v>1053</v>
      </c>
      <c r="AN316" s="73" t="str">
        <f t="shared" si="273"/>
        <v/>
      </c>
      <c r="AO316" s="31" t="str">
        <f t="shared" si="245"/>
        <v>Srebrenka</v>
      </c>
      <c r="AP316" s="66" t="str">
        <f t="shared" si="246"/>
        <v>Vuk</v>
      </c>
      <c r="AQ316" s="47" t="s">
        <v>0</v>
      </c>
      <c r="AR316" s="82" t="str">
        <f t="shared" si="274"/>
        <v/>
      </c>
      <c r="AS316" s="47" t="s">
        <v>0</v>
      </c>
      <c r="AT316" s="19" t="str">
        <f t="shared" si="275"/>
        <v/>
      </c>
      <c r="AU316" s="47" t="s">
        <v>0</v>
      </c>
      <c r="AV316" s="103"/>
      <c r="AW316" s="105"/>
      <c r="AX316" s="47" t="s">
        <v>0</v>
      </c>
      <c r="AY316" s="256" t="str">
        <f t="shared" si="293"/>
        <v/>
      </c>
      <c r="AZ316" s="47" t="s">
        <v>0</v>
      </c>
      <c r="BA316" s="52" t="str">
        <f t="shared" si="247"/>
        <v/>
      </c>
      <c r="BB316" s="73" t="str">
        <f>IF(AV316&amp;AW316="","",MAX(BB$12:BB315)+1)</f>
        <v/>
      </c>
      <c r="BC316" s="268" t="str">
        <f t="shared" si="248"/>
        <v/>
      </c>
      <c r="BD316" s="53" t="str">
        <f>IF(AND(AM316="NEMA",AN316="NEMA",OR(AV316&amp;AW316="",BC316="NEMA")),MAX(BD$12:BD315)+1,"")</f>
        <v/>
      </c>
      <c r="BE316" s="47" t="s">
        <v>0</v>
      </c>
      <c r="BF316" s="52" t="str">
        <f t="shared" si="249"/>
        <v>Srebrenka</v>
      </c>
      <c r="BG316" s="31" t="str">
        <f t="shared" si="250"/>
        <v>Vuk</v>
      </c>
      <c r="BH316" s="73" t="str">
        <f t="shared" si="276"/>
        <v/>
      </c>
      <c r="BI316" s="53">
        <f t="shared" si="277"/>
        <v>1053</v>
      </c>
      <c r="BJ316" s="47" t="s">
        <v>0</v>
      </c>
      <c r="BK316" s="52" t="str">
        <f t="shared" si="251"/>
        <v>KAP</v>
      </c>
      <c r="BL316" s="31" t="str">
        <f t="shared" si="252"/>
        <v>OK Kapela</v>
      </c>
      <c r="BM316" s="73">
        <f t="shared" si="253"/>
        <v>5</v>
      </c>
      <c r="BN316" s="73" t="str">
        <f t="shared" si="254"/>
        <v/>
      </c>
      <c r="BO316" s="31" t="str" cm="1">
        <f t="array" ref="BO316">IF(BN316="",""&amp;BL316,IF(BN316="NEMA",BL316,INDEX(regKlub_naziv,MATCH(INDEX(regKlub_alias_klubId,BN316),regKlub_id,0))))</f>
        <v>OK Kapela</v>
      </c>
      <c r="BP316" s="31" t="str" cm="1">
        <f t="array" ref="BP316">IFERROR(""&amp;INDEX(regNatjecatelj_klub,DY316),"")</f>
        <v>OK Kapela</v>
      </c>
      <c r="BQ316" s="88" t="str">
        <f t="shared" si="278"/>
        <v/>
      </c>
      <c r="BR316" s="66" t="str">
        <f t="shared" si="279"/>
        <v>OK Kapela</v>
      </c>
      <c r="BS316" s="47" t="s">
        <v>0</v>
      </c>
      <c r="BT316" s="82" t="str">
        <f>IF(BN316&lt;&gt;"NEMA","",IF(IFERROR(MATCH(BL316,BL$12:BL315,0),0)&lt;&gt;0,"",BL316))</f>
        <v/>
      </c>
      <c r="BU316" s="47" t="s">
        <v>0</v>
      </c>
      <c r="BV316" s="125"/>
      <c r="BW316" s="47" t="s">
        <v>0</v>
      </c>
      <c r="BX316" s="58" t="str">
        <f t="shared" si="280"/>
        <v/>
      </c>
      <c r="BY316" s="31" t="str">
        <f t="shared" si="281"/>
        <v/>
      </c>
      <c r="BZ316" s="31" t="str">
        <f>IF(BY316="","",MAX(BZ$12:BZ315)+1)</f>
        <v/>
      </c>
      <c r="CA316" s="31" t="str">
        <f>IF(BY316="","",IF(AA316="","",IF(AA316="NEMA",AC316,AA316)))</f>
        <v/>
      </c>
      <c r="CB316" s="31" t="str">
        <f t="shared" si="282"/>
        <v/>
      </c>
      <c r="CC316" s="31" t="str">
        <f>IF(BV316="","",MAX(CC$12:CC315)+1)</f>
        <v/>
      </c>
      <c r="CD316" s="31" t="str">
        <f t="shared" si="283"/>
        <v/>
      </c>
      <c r="CE316" s="66" t="str">
        <f t="shared" si="284"/>
        <v/>
      </c>
      <c r="CF316" s="47" t="s">
        <v>0</v>
      </c>
      <c r="CG316" s="73" t="str">
        <f>IF(BN316="","",IF(BN316&lt;&gt;"NEMA","",IFERROR(INDEX(nat_klubAliasId,MATCH(BL316,nat_noviKluboviAliasi,0)),"")))</f>
        <v/>
      </c>
      <c r="CH316" s="47"/>
      <c r="CI316" s="19" t="str">
        <f t="shared" si="285"/>
        <v/>
      </c>
      <c r="CJ316" s="47" t="s">
        <v>0</v>
      </c>
      <c r="CK316" s="52" t="str">
        <f>IF(X316&lt;&gt;"NEMA","",IF(IFERROR(MATCH(W316,W$12:W315,0),0)&lt;&gt;0,"",W316))</f>
        <v/>
      </c>
      <c r="CL316" s="73" t="str">
        <f>IF(CK316="","",IFERROR(INDEX(regKlub_alias_id,MATCH(CK316,regKlub_alias_alias,0)),"NEMA"))</f>
        <v/>
      </c>
      <c r="CM316" s="31" t="str">
        <f>IF(OR(CL316="",CL316&lt;&gt;"NEMA"),"",MAX(CM$12:CM315)+1)</f>
        <v/>
      </c>
      <c r="CN316" s="66" t="str">
        <f>IF(OR(CL316="",CL316&lt;&gt;"NEMA"),"",INDEX(regKlub_id,MATCH(CK316,regKlub_naziv,0)))</f>
        <v/>
      </c>
      <c r="CO316" s="47" t="s">
        <v>0</v>
      </c>
      <c r="CP316" s="19" t="str">
        <f>IF(OR(CL316="",CL316&lt;&gt;"NEMA"),"","INSERT INTO klub_alias(id,alias,klub_id) VALUES ("&amp;CM316&amp;",'"&amp;CK316&amp;"',"&amp;CN316&amp;");")</f>
        <v/>
      </c>
      <c r="CQ316" s="47" t="s">
        <v>0</v>
      </c>
      <c r="CR316" s="143" t="str">
        <f>IF(BR316="","",IF(BV316="",IF(IFERROR(MATCH(BR316,nat_noviKluboviAliasi,0),0)&gt;0,INDEX(nat_kluboviAliasi,MATCH(BR316,nat_noviKluboviAliasi,0)),BR316),BV316))</f>
        <v>OK Kapela</v>
      </c>
      <c r="CS316" s="47" t="s">
        <v>0</v>
      </c>
      <c r="CT316" s="58" t="str">
        <f>IF(G316="","",G316)</f>
        <v>43:37</v>
      </c>
      <c r="CU316" s="73" t="str">
        <f>IF(H316="","",H316)</f>
        <v>0</v>
      </c>
      <c r="CV316" s="229" t="str">
        <f>IF(CT316="",IF(OR(AL316="",CU316&lt;&gt;"0"),"","GREŠKA"),IF(AND(65535&gt;=VALUE(LEFT(CT316,SEARCH(":",CT316)-1))*60+VALUE(RIGHT(CT316,2)),OR(CU316="0",CU316="1",CU316="2",CU316="3",CU316="4")),"","GREŠKA"))</f>
        <v/>
      </c>
      <c r="CW316" s="230">
        <f t="shared" si="239"/>
        <v>2617</v>
      </c>
      <c r="CX316" s="163">
        <f t="shared" si="255"/>
        <v>1</v>
      </c>
      <c r="CY316" s="47" t="s">
        <v>0</v>
      </c>
      <c r="CZ316" s="222" t="str">
        <f>IF(CV316&lt;&gt;"GREŠKA","",AK316&amp;" "&amp;AL316&amp;" – Molim u OEventu provjeriti i ispraviti rezultat – vrijeme ("&amp;IF(CT316="","nije upisano",CT316)&amp;") i classifier ("&amp;CU316&amp;").")&amp;IF(OR(CV316&lt;&gt;"GREŠKA",CX316&lt;&gt;5),"
","")&amp;IF(CX316&lt;&gt;5,"",AK316&amp;" "&amp;AL316&amp;" – Molim u provjeriti je li natjecatelj zaista diskvalificiran. Ako je koje je obrazloženje, ako nije molim u OEventu ispraviti rezultat")</f>
        <v xml:space="preserve">
</v>
      </c>
      <c r="DA316" s="223">
        <f t="shared" si="286"/>
        <v>6</v>
      </c>
      <c r="DB316" s="47" t="s">
        <v>0</v>
      </c>
      <c r="DC316" s="47"/>
      <c r="DD316" s="47"/>
      <c r="DE316" s="47"/>
      <c r="DF316" s="47" t="s">
        <v>0</v>
      </c>
      <c r="DG316" s="53" t="str">
        <f>IF(BD316="","",IF(DI316="O",1,""))</f>
        <v/>
      </c>
      <c r="DH316" t="s">
        <v>0</v>
      </c>
      <c r="DI316" s="128" t="str">
        <f>IF(Q316="","",LEFT(INDEX(regKategorija_oznaka,MATCH(S316,regKategorija_id,0)),1))</f>
        <v>Ž</v>
      </c>
      <c r="DJ316" t="s">
        <v>0</v>
      </c>
      <c r="DK316" s="52" t="str">
        <f>IF(BD316="","",IF(M316&lt;&gt;"CRO","","INSERT INTO osoba (id,reg_broj,oib,spol_id,dat_rodjenja) VALUES ("&amp;BD316&amp;",(SELECT max(os.reg_broj)+1 FROM osoba AS os),Null,'"&amp;DI316&amp;"',Null); INSERT INTO osoba_log (id,reg_broj,oib,spol_id,dat_rodjenja,dnevnik_id) SELECT id,reg_broj,oib,spol_id,dat_rodjenja,"&amp;data_dnevnik_id&amp;" FROM osoba WHERE id = "&amp;BD316&amp;";"))</f>
        <v/>
      </c>
      <c r="DL316" s="66" t="str">
        <f>IF(BD316="","","INSERT INTO imeprezime (id,osoba_id,rbr,ime,prezime,klub_id,identitet_id,sintaksa_id,info,aktivno,dnevnik_id) VALUES ("&amp;BD316&amp;","&amp;IF(DK316="","Null",BD316)&amp;",1,'"&amp;IF(AV316&lt;&gt;"",AV316,AK316)&amp;"','"&amp;IF(AW316&lt;&gt;"",AW316,AL316)&amp;"',(SELECT id FROM klub WHERE naziv = '"&amp;CR316&amp;"'),Null,1,'',1,"&amp;data_dnevnik_id&amp;");")</f>
        <v/>
      </c>
      <c r="DM316" t="s">
        <v>0</v>
      </c>
      <c r="DN316" s="19" t="str">
        <f t="shared" si="294"/>
        <v/>
      </c>
      <c r="DO316" s="47" t="s">
        <v>0</v>
      </c>
      <c r="DP316" s="19" t="str">
        <f>IF(BA316="","","INSERT INTO imeprezime_alias(id,alias,imeprezime_id) VALUES ("&amp;BB316&amp;",'"&amp;BA316&amp;"',"&amp;IF(BC316="NEMA",BD316,BC316)&amp;");")</f>
        <v/>
      </c>
      <c r="DQ316" s="47" t="s">
        <v>0</v>
      </c>
      <c r="DR316" s="52" t="str">
        <f>IF(AL316="","",DU316 &amp; IF(Q316="",""," – " &amp; Q316))</f>
        <v>Srebrenka – Vuk – OK Kapela – Ž45</v>
      </c>
      <c r="DS316" s="53">
        <f t="shared" si="256"/>
        <v>329</v>
      </c>
      <c r="DT316" s="47" t="s">
        <v>0</v>
      </c>
      <c r="DU316" s="52" t="str">
        <f>IF(AL316="","",DX316 &amp; IF(CR316="",""," – " &amp; CR316))</f>
        <v>Srebrenka – Vuk – OK Kapela</v>
      </c>
      <c r="DV316" s="53">
        <f t="shared" si="257"/>
        <v>329</v>
      </c>
      <c r="DW316" s="47" t="s">
        <v>0</v>
      </c>
      <c r="DX316" s="52" t="str">
        <f>IF(BG316="","",BF316&amp;" – "&amp;BG316)</f>
        <v>Srebrenka – Vuk</v>
      </c>
      <c r="DY316" s="53">
        <f t="shared" si="258"/>
        <v>329</v>
      </c>
      <c r="DZ316" s="47" t="s">
        <v>0</v>
      </c>
      <c r="EA316" s="58">
        <f t="shared" si="287"/>
        <v>329</v>
      </c>
      <c r="EB316" s="53" cm="1">
        <f t="array" ref="EB316">IF(EA316&lt;&gt;"",INDEX(regNatjecatelj_id,EA316,0),IF(BD316&lt;&gt;"",BD316,""))</f>
        <v>1053</v>
      </c>
      <c r="EC316" s="47" t="s">
        <v>0</v>
      </c>
      <c r="ED316" s="58" t="str">
        <f>IF(AL316="","",IF(BD316&lt;&gt;"","novo",IF(AN316="","imepre","imepre(ali)")))</f>
        <v>imepre</v>
      </c>
      <c r="EE316" s="73" t="str">
        <f>IF(AL316="","",IF(BL316="",IF(IFERROR(INDEX(regNatjecatelj_klub,MATCH(EB316,regNatjecatelj_id,0)),"NEMA")="","klu",""),IF(OR(AND(BN316&lt;&gt;"",BN316&lt;&gt;"NEMA"),CD316&lt;&gt;""),"klu(ali)",IF(AND(BP316&lt;&gt;"",BP316&lt;&gt;BO316),"(raz-klu)","klu"))))</f>
        <v>klu</v>
      </c>
      <c r="EF316" s="73" t="str">
        <f>IF(AL316="","","kat"&amp;IF(AND(W316&lt;&gt;Q316,Q316&lt;&gt;"Open"),"(ali)",""))</f>
        <v>kat</v>
      </c>
      <c r="EG316" s="73" t="str">
        <f t="shared" si="259"/>
        <v/>
      </c>
      <c r="EH316" s="66" t="str">
        <f>IF(AL316="","",ED316&amp;IF(ED316="novo","","-"&amp;EE316&amp;"-"&amp;EF316)&amp;IF(EG316="","","-"&amp;EG316))</f>
        <v>imepre-klu-kat</v>
      </c>
      <c r="EI316" s="47" t="s">
        <v>0</v>
      </c>
      <c r="EJ316" s="58">
        <f>IF(AL316="","",MAX(EJ$12:EJ315)+1)</f>
        <v>464</v>
      </c>
      <c r="EK316" s="73">
        <f>IF(AO316="","",X316)</f>
        <v>42</v>
      </c>
      <c r="EL316" s="73">
        <f t="shared" si="288"/>
        <v>1053</v>
      </c>
      <c r="EM316" s="73">
        <f t="shared" si="260"/>
        <v>2617</v>
      </c>
      <c r="EN316" s="73">
        <f t="shared" si="261"/>
        <v>1</v>
      </c>
      <c r="EO316" s="73">
        <f t="shared" si="289"/>
        <v>1</v>
      </c>
      <c r="EP316" s="73">
        <f t="shared" si="290"/>
        <v>1</v>
      </c>
      <c r="EQ316" s="73" t="str">
        <f t="shared" si="262"/>
        <v>0</v>
      </c>
      <c r="ER316" s="73" t="str">
        <f>IF(OR(AN316="",AN316="NEMA"),BB316,AN316)</f>
        <v/>
      </c>
      <c r="ES316" s="73" t="str">
        <f>IF(AND(BN316&lt;&gt;"",BN316&lt;&gt;"NEMA"),BN316,IF(CG316&lt;&gt;"",CG316,IF(AND(CL316&lt;&gt;"",CL316&lt;&gt;"NEMA"),CL316,IF(CM316&lt;&gt;"",CM316,""))))</f>
        <v/>
      </c>
      <c r="ET316" s="53" t="str">
        <f>IF(INDEX(natKategorija_alias_Id,MATCH(S316,natKategorija_katRegId,0))="","",INDEX(natKategorija_alias_Id,MATCH(S316,natKategorija_katRegId,0)))</f>
        <v/>
      </c>
      <c r="EU316" s="47" t="s">
        <v>0</v>
      </c>
      <c r="EV316" s="19" t="str">
        <f t="shared" si="291"/>
        <v>INSERT INTO rezultat(id,stazakategorija_id,imeprezime_id,vrijeme_sec,status_id,registracija,uparivanje_id,originalstatus_id,imeprezimealias_id,klubalias_id,kategorijaalias_id) VALUES (464,42,1053,2617,1,1,1,0,Null,Null,Null);</v>
      </c>
      <c r="EW316" s="47" t="s">
        <v>0</v>
      </c>
      <c r="EX316" s="19" t="str">
        <f t="shared" si="292"/>
        <v>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16" s="47" t="s">
        <v>0</v>
      </c>
      <c r="EZ316" s="180" t="str">
        <f>AG316&amp;IF(CP316="","","
")&amp;CP316&amp;IF(CI316="","","
")&amp;CI316&amp;IF(DN316="","","
")&amp;DN316&amp;IF(DP316="","","
")&amp;DP316&amp;IF(EV316="","","
")&amp;EV316&amp;IF(EX316="","","
")&amp;EX316</f>
        <v xml:space="preserve">
INSERT INTO rezultat(id,stazakategorija_id,imeprezime_id,vrijeme_sec,status_id,registracija,uparivanje_id,originalstatus_id,imeprezimealias_id,klubalias_id,kategorijaalias_id) VALUES (464,42,1053,2617,1,1,1,0,Null,Null,Null);
UPDATE
	registar
SET
	potvrda = 1
WHERE
	imeprezime_id=1053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16" s="47" t="s">
        <v>0</v>
      </c>
    </row>
    <row r="317" spans="1:157" x14ac:dyDescent="0.25">
      <c r="A317" t="s">
        <v>0</v>
      </c>
      <c r="B317" s="52" t="str">
        <f>IF(csv!F307="","",csv!T307)</f>
        <v>Ž45</v>
      </c>
      <c r="C317" s="31" t="s">
        <v>0</v>
      </c>
      <c r="D317" s="31" t="str">
        <f>IF(csv!F307="","",csv!F307)</f>
        <v>Sandra</v>
      </c>
      <c r="E317" s="31" t="str">
        <f>IF(csv!E307="","",csv!E307)</f>
        <v>Perica Cvjetko</v>
      </c>
      <c r="F317" s="31" t="s">
        <v>0</v>
      </c>
      <c r="G317" s="73" t="str">
        <f>IF(csv!M307="","",csv!M307)</f>
        <v>45:24</v>
      </c>
      <c r="H317" s="73" t="str">
        <f>IF(csv!N307="","",csv!N307)</f>
        <v>0</v>
      </c>
      <c r="I317" s="31" t="s">
        <v>0</v>
      </c>
      <c r="J317" s="31" t="str">
        <f>IF(csv!P307="","",csv!P307)</f>
        <v>JAP</v>
      </c>
      <c r="K317" s="31" t="str">
        <f>IF(csv!Q307="","",csv!Q307)</f>
        <v>OK Japetic</v>
      </c>
      <c r="L317" s="31" t="s">
        <v>0</v>
      </c>
      <c r="M317" s="66" t="str">
        <f>IF(csv!R307="","",csv!R307)</f>
        <v>CRO</v>
      </c>
      <c r="N317" s="47" t="s">
        <v>0</v>
      </c>
      <c r="O317" s="243" t="str">
        <f t="shared" si="263"/>
        <v>ok</v>
      </c>
      <c r="P317" s="47"/>
      <c r="Q317" s="52" t="str">
        <f t="shared" si="264"/>
        <v>Ž45</v>
      </c>
      <c r="R317" s="73">
        <f>IF(Q317="","",IF(COUNTIF(Q$12:Q316,Q317)=0,R316+1,R316))</f>
        <v>20</v>
      </c>
      <c r="S317" s="73">
        <f t="shared" si="265"/>
        <v>116</v>
      </c>
      <c r="T317" s="73">
        <f t="shared" si="240"/>
        <v>25</v>
      </c>
      <c r="U317" s="66" t="str">
        <f t="shared" si="241"/>
        <v>Ž45</v>
      </c>
      <c r="V317" s="47" t="s">
        <v>0</v>
      </c>
      <c r="W317" s="222" t="str">
        <f t="shared" si="242"/>
        <v>Ž45</v>
      </c>
      <c r="X317" s="223">
        <f t="shared" si="243"/>
        <v>42</v>
      </c>
      <c r="Y317" s="47" t="s">
        <v>0</v>
      </c>
      <c r="Z317" s="52" t="str">
        <f t="shared" si="266"/>
        <v>CRO</v>
      </c>
      <c r="AA317" s="73">
        <f t="shared" si="244"/>
        <v>1</v>
      </c>
      <c r="AB317" s="31" t="str">
        <f t="shared" si="267"/>
        <v/>
      </c>
      <c r="AC317" s="66" t="str">
        <f>IF(AB317="","",MAX(AC$12:AC316)+1)</f>
        <v/>
      </c>
      <c r="AD317" s="47" t="s">
        <v>0</v>
      </c>
      <c r="AE317" s="125"/>
      <c r="AF317" s="47" t="s">
        <v>0</v>
      </c>
      <c r="AG317" s="19" t="str">
        <f t="shared" si="268"/>
        <v/>
      </c>
      <c r="AH317" s="47" t="s">
        <v>0</v>
      </c>
      <c r="AI317" s="143" t="str">
        <f t="shared" si="269"/>
        <v>CRO</v>
      </c>
      <c r="AJ317" s="47"/>
      <c r="AK317" s="52" t="str">
        <f t="shared" si="270"/>
        <v>Sandra</v>
      </c>
      <c r="AL317" s="31" t="str">
        <f t="shared" si="271"/>
        <v>Perica Cvjetko</v>
      </c>
      <c r="AM317" s="73">
        <f t="shared" si="272"/>
        <v>1860</v>
      </c>
      <c r="AN317" s="73" t="str">
        <f t="shared" si="273"/>
        <v/>
      </c>
      <c r="AO317" s="31" t="str">
        <f t="shared" si="245"/>
        <v>Sandra</v>
      </c>
      <c r="AP317" s="66" t="str">
        <f t="shared" si="246"/>
        <v>Perica Cvjetko</v>
      </c>
      <c r="AQ317" s="47" t="s">
        <v>0</v>
      </c>
      <c r="AR317" s="82" t="str">
        <f t="shared" si="274"/>
        <v/>
      </c>
      <c r="AS317" s="47" t="s">
        <v>0</v>
      </c>
      <c r="AT317" s="19" t="str">
        <f t="shared" si="275"/>
        <v/>
      </c>
      <c r="AU317" s="47" t="s">
        <v>0</v>
      </c>
      <c r="AV317" s="103"/>
      <c r="AW317" s="105"/>
      <c r="AX317" s="47" t="s">
        <v>0</v>
      </c>
      <c r="AY317" s="256" t="str">
        <f t="shared" si="293"/>
        <v/>
      </c>
      <c r="AZ317" s="47" t="s">
        <v>0</v>
      </c>
      <c r="BA317" s="52" t="str">
        <f t="shared" si="247"/>
        <v/>
      </c>
      <c r="BB317" s="73" t="str">
        <f>IF(AV317&amp;AW317="","",MAX(BB$12:BB316)+1)</f>
        <v/>
      </c>
      <c r="BC317" s="268" t="str">
        <f t="shared" si="248"/>
        <v/>
      </c>
      <c r="BD317" s="53" t="str">
        <f>IF(AND(AM317="NEMA",AN317="NEMA",OR(AV317&amp;AW317="",BC317="NEMA")),MAX(BD$12:BD316)+1,"")</f>
        <v/>
      </c>
      <c r="BE317" s="47" t="s">
        <v>0</v>
      </c>
      <c r="BF317" s="52" t="str">
        <f t="shared" si="249"/>
        <v>Sandra</v>
      </c>
      <c r="BG317" s="31" t="str">
        <f t="shared" si="250"/>
        <v>Perica Cvjetko</v>
      </c>
      <c r="BH317" s="73" t="str">
        <f t="shared" si="276"/>
        <v/>
      </c>
      <c r="BI317" s="53">
        <f t="shared" si="277"/>
        <v>1860</v>
      </c>
      <c r="BJ317" s="47" t="s">
        <v>0</v>
      </c>
      <c r="BK317" s="52" t="str">
        <f t="shared" si="251"/>
        <v>JAP</v>
      </c>
      <c r="BL317" s="31" t="str">
        <f t="shared" si="252"/>
        <v>OK Japetic</v>
      </c>
      <c r="BM317" s="73" t="str">
        <f t="shared" si="253"/>
        <v>NEMA</v>
      </c>
      <c r="BN317" s="73">
        <f t="shared" si="254"/>
        <v>1</v>
      </c>
      <c r="BO317" s="31" t="str" cm="1">
        <f t="array" ref="BO317">IF(BN317="",""&amp;BL317,IF(BN317="NEMA",BL317,INDEX(regKlub_naziv,MATCH(INDEX(regKlub_alias_klubId,BN317),regKlub_id,0))))</f>
        <v>OK Japetić</v>
      </c>
      <c r="BP317" s="31" t="str" cm="1">
        <f t="array" ref="BP317">IFERROR(""&amp;INDEX(regNatjecatelj_klub,DY317),"")</f>
        <v>OK Japetić</v>
      </c>
      <c r="BQ317" s="88" t="str">
        <f t="shared" si="278"/>
        <v/>
      </c>
      <c r="BR317" s="66" t="str">
        <f t="shared" si="279"/>
        <v>OK Japetić</v>
      </c>
      <c r="BS317" s="47" t="s">
        <v>0</v>
      </c>
      <c r="BT317" s="82" t="str">
        <f>IF(BN317&lt;&gt;"NEMA","",IF(IFERROR(MATCH(BL317,BL$12:BL316,0),0)&lt;&gt;0,"",BL317))</f>
        <v/>
      </c>
      <c r="BU317" s="47" t="s">
        <v>0</v>
      </c>
      <c r="BV317" s="125"/>
      <c r="BW317" s="47" t="s">
        <v>0</v>
      </c>
      <c r="BX317" s="58" t="str">
        <f t="shared" si="280"/>
        <v/>
      </c>
      <c r="BY317" s="31" t="str">
        <f t="shared" si="281"/>
        <v/>
      </c>
      <c r="BZ317" s="31" t="str">
        <f>IF(BY317="","",MAX(BZ$12:BZ316)+1)</f>
        <v/>
      </c>
      <c r="CA317" s="31" t="str">
        <f>IF(BY317="","",IF(AA317="","",IF(AA317="NEMA",AC317,AA317)))</f>
        <v/>
      </c>
      <c r="CB317" s="31" t="str">
        <f t="shared" si="282"/>
        <v/>
      </c>
      <c r="CC317" s="31" t="str">
        <f>IF(BV317="","",MAX(CC$12:CC316)+1)</f>
        <v/>
      </c>
      <c r="CD317" s="31" t="str">
        <f t="shared" si="283"/>
        <v/>
      </c>
      <c r="CE317" s="66" t="str">
        <f t="shared" si="284"/>
        <v/>
      </c>
      <c r="CF317" s="47" t="s">
        <v>0</v>
      </c>
      <c r="CG317" s="73" t="str">
        <f>IF(BN317="","",IF(BN317&lt;&gt;"NEMA","",IFERROR(INDEX(nat_klubAliasId,MATCH(BL317,nat_noviKluboviAliasi,0)),"")))</f>
        <v/>
      </c>
      <c r="CH317" s="47"/>
      <c r="CI317" s="19" t="str">
        <f t="shared" si="285"/>
        <v/>
      </c>
      <c r="CJ317" s="47" t="s">
        <v>0</v>
      </c>
      <c r="CK317" s="52" t="str">
        <f>IF(X317&lt;&gt;"NEMA","",IF(IFERROR(MATCH(W317,W$12:W316,0),0)&lt;&gt;0,"",W317))</f>
        <v/>
      </c>
      <c r="CL317" s="73" t="str">
        <f>IF(CK317="","",IFERROR(INDEX(regKlub_alias_id,MATCH(CK317,regKlub_alias_alias,0)),"NEMA"))</f>
        <v/>
      </c>
      <c r="CM317" s="31" t="str">
        <f>IF(OR(CL317="",CL317&lt;&gt;"NEMA"),"",MAX(CM$12:CM316)+1)</f>
        <v/>
      </c>
      <c r="CN317" s="66" t="str">
        <f>IF(OR(CL317="",CL317&lt;&gt;"NEMA"),"",INDEX(regKlub_id,MATCH(CK317,regKlub_naziv,0)))</f>
        <v/>
      </c>
      <c r="CO317" s="47" t="s">
        <v>0</v>
      </c>
      <c r="CP317" s="19" t="str">
        <f>IF(OR(CL317="",CL317&lt;&gt;"NEMA"),"","INSERT INTO klub_alias(id,alias,klub_id) VALUES ("&amp;CM317&amp;",'"&amp;CK317&amp;"',"&amp;CN317&amp;");")</f>
        <v/>
      </c>
      <c r="CQ317" s="47" t="s">
        <v>0</v>
      </c>
      <c r="CR317" s="143" t="str">
        <f>IF(BR317="","",IF(BV317="",IF(IFERROR(MATCH(BR317,nat_noviKluboviAliasi,0),0)&gt;0,INDEX(nat_kluboviAliasi,MATCH(BR317,nat_noviKluboviAliasi,0)),BR317),BV317))</f>
        <v>OK Japetić</v>
      </c>
      <c r="CS317" s="47" t="s">
        <v>0</v>
      </c>
      <c r="CT317" s="58" t="str">
        <f>IF(G317="","",G317)</f>
        <v>45:24</v>
      </c>
      <c r="CU317" s="73" t="str">
        <f>IF(H317="","",H317)</f>
        <v>0</v>
      </c>
      <c r="CV317" s="229" t="str">
        <f>IF(CT317="",IF(OR(AL317="",CU317&lt;&gt;"0"),"","GREŠKA"),IF(AND(65535&gt;=VALUE(LEFT(CT317,SEARCH(":",CT317)-1))*60+VALUE(RIGHT(CT317,2)),OR(CU317="0",CU317="1",CU317="2",CU317="3",CU317="4")),"","GREŠKA"))</f>
        <v/>
      </c>
      <c r="CW317" s="230">
        <f t="shared" ref="CW317:CW380" si="295">IF(CT317="","",VALUE(LEFT(CT317,SEARCH(":",CT317)-1))*60+VALUE(RIGHT(CT317,2)))</f>
        <v>2724</v>
      </c>
      <c r="CX317" s="163">
        <f t="shared" si="255"/>
        <v>1</v>
      </c>
      <c r="CY317" s="47" t="s">
        <v>0</v>
      </c>
      <c r="CZ317" s="222" t="str">
        <f>IF(CV317&lt;&gt;"GREŠKA","",AK317&amp;" "&amp;AL317&amp;" – Molim u OEventu provjeriti i ispraviti rezultat – vrijeme ("&amp;IF(CT317="","nije upisano",CT317)&amp;") i classifier ("&amp;CU317&amp;").")&amp;IF(OR(CV317&lt;&gt;"GREŠKA",CX317&lt;&gt;5),"
","")&amp;IF(CX317&lt;&gt;5,"",AK317&amp;" "&amp;AL317&amp;" – Molim u provjeriti je li natjecatelj zaista diskvalificiran. Ako je koje je obrazloženje, ako nije molim u OEventu ispraviti rezultat")</f>
        <v xml:space="preserve">
</v>
      </c>
      <c r="DA317" s="223">
        <f t="shared" si="286"/>
        <v>6</v>
      </c>
      <c r="DB317" s="47" t="s">
        <v>0</v>
      </c>
      <c r="DC317" s="47"/>
      <c r="DD317" s="47"/>
      <c r="DE317" s="47"/>
      <c r="DF317" s="47" t="s">
        <v>0</v>
      </c>
      <c r="DG317" s="53" t="str">
        <f>IF(BD317="","",IF(DI317="O",1,""))</f>
        <v/>
      </c>
      <c r="DH317" t="s">
        <v>0</v>
      </c>
      <c r="DI317" s="128" t="str">
        <f>IF(Q317="","",LEFT(INDEX(regKategorija_oznaka,MATCH(S317,regKategorija_id,0)),1))</f>
        <v>Ž</v>
      </c>
      <c r="DJ317" t="s">
        <v>0</v>
      </c>
      <c r="DK317" s="52" t="str">
        <f>IF(BD317="","",IF(M317&lt;&gt;"CRO","","INSERT INTO osoba (id,reg_broj,oib,spol_id,dat_rodjenja) VALUES ("&amp;BD317&amp;",(SELECT max(os.reg_broj)+1 FROM osoba AS os),Null,'"&amp;DI317&amp;"',Null); INSERT INTO osoba_log (id,reg_broj,oib,spol_id,dat_rodjenja,dnevnik_id) SELECT id,reg_broj,oib,spol_id,dat_rodjenja,"&amp;data_dnevnik_id&amp;" FROM osoba WHERE id = "&amp;BD317&amp;";"))</f>
        <v/>
      </c>
      <c r="DL317" s="66" t="str">
        <f>IF(BD317="","","INSERT INTO imeprezime (id,osoba_id,rbr,ime,prezime,klub_id,identitet_id,sintaksa_id,info,aktivno,dnevnik_id) VALUES ("&amp;BD317&amp;","&amp;IF(DK317="","Null",BD317)&amp;",1,'"&amp;IF(AV317&lt;&gt;"",AV317,AK317)&amp;"','"&amp;IF(AW317&lt;&gt;"",AW317,AL317)&amp;"',(SELECT id FROM klub WHERE naziv = '"&amp;CR317&amp;"'),Null,1,'',1,"&amp;data_dnevnik_id&amp;");")</f>
        <v/>
      </c>
      <c r="DM317" t="s">
        <v>0</v>
      </c>
      <c r="DN317" s="19" t="str">
        <f t="shared" si="294"/>
        <v/>
      </c>
      <c r="DO317" s="47" t="s">
        <v>0</v>
      </c>
      <c r="DP317" s="19" t="str">
        <f>IF(BA317="","","INSERT INTO imeprezime_alias(id,alias,imeprezime_id) VALUES ("&amp;BB317&amp;",'"&amp;BA317&amp;"',"&amp;IF(BC317="NEMA",BD317,BC317)&amp;");")</f>
        <v/>
      </c>
      <c r="DQ317" s="47" t="s">
        <v>0</v>
      </c>
      <c r="DR317" s="52" t="str">
        <f>IF(AL317="","",DU317 &amp; IF(Q317="",""," – " &amp; Q317))</f>
        <v>Sandra – Perica Cvjetko – OK Japetić – Ž45</v>
      </c>
      <c r="DS317" s="53">
        <f t="shared" si="256"/>
        <v>126</v>
      </c>
      <c r="DT317" s="47" t="s">
        <v>0</v>
      </c>
      <c r="DU317" s="52" t="str">
        <f>IF(AL317="","",DX317 &amp; IF(CR317="",""," – " &amp; CR317))</f>
        <v>Sandra – Perica Cvjetko – OK Japetić</v>
      </c>
      <c r="DV317" s="53">
        <f t="shared" si="257"/>
        <v>126</v>
      </c>
      <c r="DW317" s="47" t="s">
        <v>0</v>
      </c>
      <c r="DX317" s="52" t="str">
        <f>IF(BG317="","",BF317&amp;" – "&amp;BG317)</f>
        <v>Sandra – Perica Cvjetko</v>
      </c>
      <c r="DY317" s="53">
        <f t="shared" si="258"/>
        <v>126</v>
      </c>
      <c r="DZ317" s="47" t="s">
        <v>0</v>
      </c>
      <c r="EA317" s="58">
        <f t="shared" si="287"/>
        <v>126</v>
      </c>
      <c r="EB317" s="53" cm="1">
        <f t="array" ref="EB317">IF(EA317&lt;&gt;"",INDEX(regNatjecatelj_id,EA317,0),IF(BD317&lt;&gt;"",BD317,""))</f>
        <v>1860</v>
      </c>
      <c r="EC317" s="47" t="s">
        <v>0</v>
      </c>
      <c r="ED317" s="58" t="str">
        <f>IF(AL317="","",IF(BD317&lt;&gt;"","novo",IF(AN317="","imepre","imepre(ali)")))</f>
        <v>imepre</v>
      </c>
      <c r="EE317" s="73" t="str">
        <f>IF(AL317="","",IF(BL317="",IF(IFERROR(INDEX(regNatjecatelj_klub,MATCH(EB317,regNatjecatelj_id,0)),"NEMA")="","klu",""),IF(OR(AND(BN317&lt;&gt;"",BN317&lt;&gt;"NEMA"),CD317&lt;&gt;""),"klu(ali)",IF(AND(BP317&lt;&gt;"",BP317&lt;&gt;BO317),"(raz-klu)","klu"))))</f>
        <v>klu(ali)</v>
      </c>
      <c r="EF317" s="73" t="str">
        <f>IF(AL317="","","kat"&amp;IF(AND(W317&lt;&gt;Q317,Q317&lt;&gt;"Open"),"(ali)",""))</f>
        <v>kat</v>
      </c>
      <c r="EG317" s="73" t="str">
        <f t="shared" si="259"/>
        <v/>
      </c>
      <c r="EH317" s="66" t="str">
        <f>IF(AL317="","",ED317&amp;IF(ED317="novo","","-"&amp;EE317&amp;"-"&amp;EF317)&amp;IF(EG317="","","-"&amp;EG317))</f>
        <v>imepre-klu(ali)-kat</v>
      </c>
      <c r="EI317" s="47" t="s">
        <v>0</v>
      </c>
      <c r="EJ317" s="58">
        <f>IF(AL317="","",MAX(EJ$12:EJ316)+1)</f>
        <v>465</v>
      </c>
      <c r="EK317" s="73">
        <f>IF(AO317="","",X317)</f>
        <v>42</v>
      </c>
      <c r="EL317" s="73">
        <f t="shared" si="288"/>
        <v>1860</v>
      </c>
      <c r="EM317" s="73">
        <f t="shared" si="260"/>
        <v>2724</v>
      </c>
      <c r="EN317" s="73">
        <f t="shared" si="261"/>
        <v>1</v>
      </c>
      <c r="EO317" s="73">
        <f t="shared" si="289"/>
        <v>1</v>
      </c>
      <c r="EP317" s="73">
        <f t="shared" si="290"/>
        <v>3</v>
      </c>
      <c r="EQ317" s="73" t="str">
        <f t="shared" si="262"/>
        <v>0</v>
      </c>
      <c r="ER317" s="73" t="str">
        <f>IF(OR(AN317="",AN317="NEMA"),BB317,AN317)</f>
        <v/>
      </c>
      <c r="ES317" s="73">
        <f>IF(AND(BN317&lt;&gt;"",BN317&lt;&gt;"NEMA"),BN317,IF(CG317&lt;&gt;"",CG317,IF(AND(CL317&lt;&gt;"",CL317&lt;&gt;"NEMA"),CL317,IF(CM317&lt;&gt;"",CM317,""))))</f>
        <v>1</v>
      </c>
      <c r="ET317" s="53" t="str">
        <f>IF(INDEX(natKategorija_alias_Id,MATCH(S317,natKategorija_katRegId,0))="","",INDEX(natKategorija_alias_Id,MATCH(S317,natKategorija_katRegId,0)))</f>
        <v/>
      </c>
      <c r="EU317" s="47" t="s">
        <v>0</v>
      </c>
      <c r="EV317" s="19" t="str">
        <f t="shared" si="291"/>
        <v>INSERT INTO rezultat(id,stazakategorija_id,imeprezime_id,vrijeme_sec,status_id,registracija,uparivanje_id,originalstatus_id,imeprezimealias_id,klubalias_id,kategorijaalias_id) VALUES (465,42,1860,2724,1,1,3,0,Null,1,Null);</v>
      </c>
      <c r="EW317" s="47" t="s">
        <v>0</v>
      </c>
      <c r="EX317" s="19" t="str">
        <f t="shared" si="292"/>
        <v>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17" s="47" t="s">
        <v>0</v>
      </c>
      <c r="EZ317" s="180" t="str">
        <f>AG317&amp;IF(CP317="","","
")&amp;CP317&amp;IF(CI317="","","
")&amp;CI317&amp;IF(DN317="","","
")&amp;DN317&amp;IF(DP317="","","
")&amp;DP317&amp;IF(EV317="","","
")&amp;EV317&amp;IF(EX317="","","
")&amp;EX317</f>
        <v xml:space="preserve">
INSERT INTO rezultat(id,stazakategorija_id,imeprezime_id,vrijeme_sec,status_id,registracija,uparivanje_id,originalstatus_id,imeprezimealias_id,klubalias_id,kategorijaalias_id) VALUES (465,42,1860,2724,1,1,3,0,Null,1,Null);
UPDATE
	registar
SET
	potvrda = 1
WHERE
	imeprezime_id=1860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17" s="47" t="s">
        <v>0</v>
      </c>
    </row>
    <row r="318" spans="1:157" x14ac:dyDescent="0.25">
      <c r="A318" t="s">
        <v>0</v>
      </c>
      <c r="B318" s="52" t="str">
        <f>IF(csv!F308="","",csv!T308)</f>
        <v>Ž45</v>
      </c>
      <c r="C318" s="31" t="s">
        <v>0</v>
      </c>
      <c r="D318" s="31" t="str">
        <f>IF(csv!F308="","",csv!F308)</f>
        <v>Ivana</v>
      </c>
      <c r="E318" s="31" t="str">
        <f>IF(csv!E308="","",csv!E308)</f>
        <v>Kuzmanić</v>
      </c>
      <c r="F318" s="31" t="s">
        <v>0</v>
      </c>
      <c r="G318" s="73" t="str">
        <f>IF(csv!M308="","",csv!M308)</f>
        <v>46:41</v>
      </c>
      <c r="H318" s="73" t="str">
        <f>IF(csv!N308="","",csv!N308)</f>
        <v>0</v>
      </c>
      <c r="I318" s="31" t="s">
        <v>0</v>
      </c>
      <c r="J318" s="31" t="str">
        <f>IF(csv!P308="","",csv!P308)</f>
        <v>JAP</v>
      </c>
      <c r="K318" s="31" t="str">
        <f>IF(csv!Q308="","",csv!Q308)</f>
        <v>OK Japetic</v>
      </c>
      <c r="L318" s="31" t="s">
        <v>0</v>
      </c>
      <c r="M318" s="66" t="str">
        <f>IF(csv!R308="","",csv!R308)</f>
        <v>CRO</v>
      </c>
      <c r="N318" s="47" t="s">
        <v>0</v>
      </c>
      <c r="O318" s="243" t="str">
        <f t="shared" si="263"/>
        <v>ok</v>
      </c>
      <c r="P318" s="47"/>
      <c r="Q318" s="52" t="str">
        <f t="shared" si="264"/>
        <v>Ž45</v>
      </c>
      <c r="R318" s="73">
        <f>IF(Q318="","",IF(COUNTIF(Q$12:Q317,Q318)=0,R317+1,R317))</f>
        <v>20</v>
      </c>
      <c r="S318" s="73">
        <f t="shared" si="265"/>
        <v>116</v>
      </c>
      <c r="T318" s="73">
        <f t="shared" si="240"/>
        <v>25</v>
      </c>
      <c r="U318" s="66" t="str">
        <f t="shared" si="241"/>
        <v>Ž45</v>
      </c>
      <c r="V318" s="47" t="s">
        <v>0</v>
      </c>
      <c r="W318" s="222" t="str">
        <f t="shared" si="242"/>
        <v>Ž45</v>
      </c>
      <c r="X318" s="223">
        <f t="shared" si="243"/>
        <v>42</v>
      </c>
      <c r="Y318" s="47" t="s">
        <v>0</v>
      </c>
      <c r="Z318" s="52" t="str">
        <f t="shared" si="266"/>
        <v>CRO</v>
      </c>
      <c r="AA318" s="73">
        <f t="shared" si="244"/>
        <v>1</v>
      </c>
      <c r="AB318" s="31" t="str">
        <f t="shared" si="267"/>
        <v/>
      </c>
      <c r="AC318" s="66" t="str">
        <f>IF(AB318="","",MAX(AC$12:AC317)+1)</f>
        <v/>
      </c>
      <c r="AD318" s="47" t="s">
        <v>0</v>
      </c>
      <c r="AE318" s="125"/>
      <c r="AF318" s="47" t="s">
        <v>0</v>
      </c>
      <c r="AG318" s="19" t="str">
        <f t="shared" si="268"/>
        <v/>
      </c>
      <c r="AH318" s="47" t="s">
        <v>0</v>
      </c>
      <c r="AI318" s="143" t="str">
        <f t="shared" si="269"/>
        <v>CRO</v>
      </c>
      <c r="AJ318" s="47"/>
      <c r="AK318" s="52" t="str">
        <f t="shared" si="270"/>
        <v>Ivana</v>
      </c>
      <c r="AL318" s="31" t="str">
        <f t="shared" si="271"/>
        <v>Kuzmanić</v>
      </c>
      <c r="AM318" s="73">
        <f t="shared" si="272"/>
        <v>1478</v>
      </c>
      <c r="AN318" s="73" t="str">
        <f t="shared" si="273"/>
        <v/>
      </c>
      <c r="AO318" s="31" t="str">
        <f t="shared" si="245"/>
        <v>Ivana</v>
      </c>
      <c r="AP318" s="66" t="str">
        <f t="shared" si="246"/>
        <v>Kuzmanić</v>
      </c>
      <c r="AQ318" s="47" t="s">
        <v>0</v>
      </c>
      <c r="AR318" s="82" t="str">
        <f t="shared" si="274"/>
        <v/>
      </c>
      <c r="AS318" s="47" t="s">
        <v>0</v>
      </c>
      <c r="AT318" s="19" t="str">
        <f t="shared" si="275"/>
        <v/>
      </c>
      <c r="AU318" s="47" t="s">
        <v>0</v>
      </c>
      <c r="AV318" s="103"/>
      <c r="AW318" s="105"/>
      <c r="AX318" s="47" t="s">
        <v>0</v>
      </c>
      <c r="AY318" s="256" t="str">
        <f t="shared" si="293"/>
        <v/>
      </c>
      <c r="AZ318" s="47" t="s">
        <v>0</v>
      </c>
      <c r="BA318" s="52" t="str">
        <f t="shared" si="247"/>
        <v/>
      </c>
      <c r="BB318" s="73" t="str">
        <f>IF(AV318&amp;AW318="","",MAX(BB$12:BB317)+1)</f>
        <v/>
      </c>
      <c r="BC318" s="268" t="str">
        <f t="shared" si="248"/>
        <v/>
      </c>
      <c r="BD318" s="53" t="str">
        <f>IF(AND(AM318="NEMA",AN318="NEMA",OR(AV318&amp;AW318="",BC318="NEMA")),MAX(BD$12:BD317)+1,"")</f>
        <v/>
      </c>
      <c r="BE318" s="47" t="s">
        <v>0</v>
      </c>
      <c r="BF318" s="52" t="str">
        <f t="shared" si="249"/>
        <v>Ivana</v>
      </c>
      <c r="BG318" s="31" t="str">
        <f t="shared" si="250"/>
        <v>Kuzmanić</v>
      </c>
      <c r="BH318" s="73" t="str">
        <f t="shared" si="276"/>
        <v/>
      </c>
      <c r="BI318" s="53">
        <f t="shared" si="277"/>
        <v>1478</v>
      </c>
      <c r="BJ318" s="47" t="s">
        <v>0</v>
      </c>
      <c r="BK318" s="52" t="str">
        <f t="shared" si="251"/>
        <v>JAP</v>
      </c>
      <c r="BL318" s="31" t="str">
        <f t="shared" si="252"/>
        <v>OK Japetic</v>
      </c>
      <c r="BM318" s="73" t="str">
        <f t="shared" si="253"/>
        <v>NEMA</v>
      </c>
      <c r="BN318" s="73">
        <f t="shared" si="254"/>
        <v>1</v>
      </c>
      <c r="BO318" s="31" t="str" cm="1">
        <f t="array" ref="BO318">IF(BN318="",""&amp;BL318,IF(BN318="NEMA",BL318,INDEX(regKlub_naziv,MATCH(INDEX(regKlub_alias_klubId,BN318),regKlub_id,0))))</f>
        <v>OK Japetić</v>
      </c>
      <c r="BP318" s="31" t="str" cm="1">
        <f t="array" ref="BP318">IFERROR(""&amp;INDEX(regNatjecatelj_klub,DY318),"")</f>
        <v>OK Japetić</v>
      </c>
      <c r="BQ318" s="88" t="str">
        <f t="shared" si="278"/>
        <v/>
      </c>
      <c r="BR318" s="66" t="str">
        <f t="shared" si="279"/>
        <v>OK Japetić</v>
      </c>
      <c r="BS318" s="47" t="s">
        <v>0</v>
      </c>
      <c r="BT318" s="82" t="str">
        <f>IF(BN318&lt;&gt;"NEMA","",IF(IFERROR(MATCH(BL318,BL$12:BL317,0),0)&lt;&gt;0,"",BL318))</f>
        <v/>
      </c>
      <c r="BU318" s="47" t="s">
        <v>0</v>
      </c>
      <c r="BV318" s="125"/>
      <c r="BW318" s="47" t="s">
        <v>0</v>
      </c>
      <c r="BX318" s="58" t="str">
        <f t="shared" si="280"/>
        <v/>
      </c>
      <c r="BY318" s="31" t="str">
        <f t="shared" si="281"/>
        <v/>
      </c>
      <c r="BZ318" s="31" t="str">
        <f>IF(BY318="","",MAX(BZ$12:BZ317)+1)</f>
        <v/>
      </c>
      <c r="CA318" s="31" t="str">
        <f>IF(BY318="","",IF(AA318="","",IF(AA318="NEMA",AC318,AA318)))</f>
        <v/>
      </c>
      <c r="CB318" s="31" t="str">
        <f t="shared" si="282"/>
        <v/>
      </c>
      <c r="CC318" s="31" t="str">
        <f>IF(BV318="","",MAX(CC$12:CC317)+1)</f>
        <v/>
      </c>
      <c r="CD318" s="31" t="str">
        <f t="shared" si="283"/>
        <v/>
      </c>
      <c r="CE318" s="66" t="str">
        <f t="shared" si="284"/>
        <v/>
      </c>
      <c r="CF318" s="47" t="s">
        <v>0</v>
      </c>
      <c r="CG318" s="73" t="str">
        <f>IF(BN318="","",IF(BN318&lt;&gt;"NEMA","",IFERROR(INDEX(nat_klubAliasId,MATCH(BL318,nat_noviKluboviAliasi,0)),"")))</f>
        <v/>
      </c>
      <c r="CH318" s="47"/>
      <c r="CI318" s="19" t="str">
        <f t="shared" si="285"/>
        <v/>
      </c>
      <c r="CJ318" s="47" t="s">
        <v>0</v>
      </c>
      <c r="CK318" s="52" t="str">
        <f>IF(X318&lt;&gt;"NEMA","",IF(IFERROR(MATCH(W318,W$12:W317,0),0)&lt;&gt;0,"",W318))</f>
        <v/>
      </c>
      <c r="CL318" s="73" t="str">
        <f>IF(CK318="","",IFERROR(INDEX(regKlub_alias_id,MATCH(CK318,regKlub_alias_alias,0)),"NEMA"))</f>
        <v/>
      </c>
      <c r="CM318" s="31" t="str">
        <f>IF(OR(CL318="",CL318&lt;&gt;"NEMA"),"",MAX(CM$12:CM317)+1)</f>
        <v/>
      </c>
      <c r="CN318" s="66" t="str">
        <f>IF(OR(CL318="",CL318&lt;&gt;"NEMA"),"",INDEX(regKlub_id,MATCH(CK318,regKlub_naziv,0)))</f>
        <v/>
      </c>
      <c r="CO318" s="47" t="s">
        <v>0</v>
      </c>
      <c r="CP318" s="19" t="str">
        <f>IF(OR(CL318="",CL318&lt;&gt;"NEMA"),"","INSERT INTO klub_alias(id,alias,klub_id) VALUES ("&amp;CM318&amp;",'"&amp;CK318&amp;"',"&amp;CN318&amp;");")</f>
        <v/>
      </c>
      <c r="CQ318" s="47" t="s">
        <v>0</v>
      </c>
      <c r="CR318" s="143" t="str">
        <f>IF(BR318="","",IF(BV318="",IF(IFERROR(MATCH(BR318,nat_noviKluboviAliasi,0),0)&gt;0,INDEX(nat_kluboviAliasi,MATCH(BR318,nat_noviKluboviAliasi,0)),BR318),BV318))</f>
        <v>OK Japetić</v>
      </c>
      <c r="CS318" s="47" t="s">
        <v>0</v>
      </c>
      <c r="CT318" s="58" t="str">
        <f>IF(G318="","",G318)</f>
        <v>46:41</v>
      </c>
      <c r="CU318" s="73" t="str">
        <f>IF(H318="","",H318)</f>
        <v>0</v>
      </c>
      <c r="CV318" s="229" t="str">
        <f>IF(CT318="",IF(OR(AL318="",CU318&lt;&gt;"0"),"","GREŠKA"),IF(AND(65535&gt;=VALUE(LEFT(CT318,SEARCH(":",CT318)-1))*60+VALUE(RIGHT(CT318,2)),OR(CU318="0",CU318="1",CU318="2",CU318="3",CU318="4")),"","GREŠKA"))</f>
        <v/>
      </c>
      <c r="CW318" s="230">
        <f t="shared" si="295"/>
        <v>2801</v>
      </c>
      <c r="CX318" s="163">
        <f t="shared" si="255"/>
        <v>1</v>
      </c>
      <c r="CY318" s="47" t="s">
        <v>0</v>
      </c>
      <c r="CZ318" s="222" t="str">
        <f>IF(CV318&lt;&gt;"GREŠKA","",AK318&amp;" "&amp;AL318&amp;" – Molim u OEventu provjeriti i ispraviti rezultat – vrijeme ("&amp;IF(CT318="","nije upisano",CT318)&amp;") i classifier ("&amp;CU318&amp;").")&amp;IF(OR(CV318&lt;&gt;"GREŠKA",CX318&lt;&gt;5),"
","")&amp;IF(CX318&lt;&gt;5,"",AK318&amp;" "&amp;AL318&amp;" – Molim u provjeriti je li natjecatelj zaista diskvalificiran. Ako je koje je obrazloženje, ako nije molim u OEventu ispraviti rezultat")</f>
        <v xml:space="preserve">
</v>
      </c>
      <c r="DA318" s="223">
        <f t="shared" si="286"/>
        <v>6</v>
      </c>
      <c r="DB318" s="47" t="s">
        <v>0</v>
      </c>
      <c r="DC318" s="47"/>
      <c r="DD318" s="47"/>
      <c r="DE318" s="47"/>
      <c r="DF318" s="47" t="s">
        <v>0</v>
      </c>
      <c r="DG318" s="53" t="str">
        <f>IF(BD318="","",IF(DI318="O",1,""))</f>
        <v/>
      </c>
      <c r="DH318" t="s">
        <v>0</v>
      </c>
      <c r="DI318" s="128" t="str">
        <f>IF(Q318="","",LEFT(INDEX(regKategorija_oznaka,MATCH(S318,regKategorija_id,0)),1))</f>
        <v>Ž</v>
      </c>
      <c r="DJ318" t="s">
        <v>0</v>
      </c>
      <c r="DK318" s="52" t="str">
        <f>IF(BD318="","",IF(M318&lt;&gt;"CRO","","INSERT INTO osoba (id,reg_broj,oib,spol_id,dat_rodjenja) VALUES ("&amp;BD318&amp;",(SELECT max(os.reg_broj)+1 FROM osoba AS os),Null,'"&amp;DI318&amp;"',Null); INSERT INTO osoba_log (id,reg_broj,oib,spol_id,dat_rodjenja,dnevnik_id) SELECT id,reg_broj,oib,spol_id,dat_rodjenja,"&amp;data_dnevnik_id&amp;" FROM osoba WHERE id = "&amp;BD318&amp;";"))</f>
        <v/>
      </c>
      <c r="DL318" s="66" t="str">
        <f>IF(BD318="","","INSERT INTO imeprezime (id,osoba_id,rbr,ime,prezime,klub_id,identitet_id,sintaksa_id,info,aktivno,dnevnik_id) VALUES ("&amp;BD318&amp;","&amp;IF(DK318="","Null",BD318)&amp;",1,'"&amp;IF(AV318&lt;&gt;"",AV318,AK318)&amp;"','"&amp;IF(AW318&lt;&gt;"",AW318,AL318)&amp;"',(SELECT id FROM klub WHERE naziv = '"&amp;CR318&amp;"'),Null,1,'',1,"&amp;data_dnevnik_id&amp;");")</f>
        <v/>
      </c>
      <c r="DM318" t="s">
        <v>0</v>
      </c>
      <c r="DN318" s="19" t="str">
        <f t="shared" si="294"/>
        <v/>
      </c>
      <c r="DO318" s="47" t="s">
        <v>0</v>
      </c>
      <c r="DP318" s="19" t="str">
        <f>IF(BA318="","","INSERT INTO imeprezime_alias(id,alias,imeprezime_id) VALUES ("&amp;BB318&amp;",'"&amp;BA318&amp;"',"&amp;IF(BC318="NEMA",BD318,BC318)&amp;");")</f>
        <v/>
      </c>
      <c r="DQ318" s="47" t="s">
        <v>0</v>
      </c>
      <c r="DR318" s="52" t="str">
        <f>IF(AL318="","",DU318 &amp; IF(Q318="",""," – " &amp; Q318))</f>
        <v>Ivana – Kuzmanić – OK Japetić – Ž45</v>
      </c>
      <c r="DS318" s="53">
        <f t="shared" si="256"/>
        <v>102</v>
      </c>
      <c r="DT318" s="47" t="s">
        <v>0</v>
      </c>
      <c r="DU318" s="52" t="str">
        <f>IF(AL318="","",DX318 &amp; IF(CR318="",""," – " &amp; CR318))</f>
        <v>Ivana – Kuzmanić – OK Japetić</v>
      </c>
      <c r="DV318" s="53">
        <f t="shared" si="257"/>
        <v>102</v>
      </c>
      <c r="DW318" s="47" t="s">
        <v>0</v>
      </c>
      <c r="DX318" s="52" t="str">
        <f>IF(BG318="","",BF318&amp;" – "&amp;BG318)</f>
        <v>Ivana – Kuzmanić</v>
      </c>
      <c r="DY318" s="53">
        <f t="shared" si="258"/>
        <v>102</v>
      </c>
      <c r="DZ318" s="47" t="s">
        <v>0</v>
      </c>
      <c r="EA318" s="58">
        <f t="shared" si="287"/>
        <v>102</v>
      </c>
      <c r="EB318" s="53" cm="1">
        <f t="array" ref="EB318">IF(EA318&lt;&gt;"",INDEX(regNatjecatelj_id,EA318,0),IF(BD318&lt;&gt;"",BD318,""))</f>
        <v>1478</v>
      </c>
      <c r="EC318" s="47" t="s">
        <v>0</v>
      </c>
      <c r="ED318" s="58" t="str">
        <f>IF(AL318="","",IF(BD318&lt;&gt;"","novo",IF(AN318="","imepre","imepre(ali)")))</f>
        <v>imepre</v>
      </c>
      <c r="EE318" s="73" t="str">
        <f>IF(AL318="","",IF(BL318="",IF(IFERROR(INDEX(regNatjecatelj_klub,MATCH(EB318,regNatjecatelj_id,0)),"NEMA")="","klu",""),IF(OR(AND(BN318&lt;&gt;"",BN318&lt;&gt;"NEMA"),CD318&lt;&gt;""),"klu(ali)",IF(AND(BP318&lt;&gt;"",BP318&lt;&gt;BO318),"(raz-klu)","klu"))))</f>
        <v>klu(ali)</v>
      </c>
      <c r="EF318" s="73" t="str">
        <f>IF(AL318="","","kat"&amp;IF(AND(W318&lt;&gt;Q318,Q318&lt;&gt;"Open"),"(ali)",""))</f>
        <v>kat</v>
      </c>
      <c r="EG318" s="73" t="str">
        <f t="shared" si="259"/>
        <v/>
      </c>
      <c r="EH318" s="66" t="str">
        <f>IF(AL318="","",ED318&amp;IF(ED318="novo","","-"&amp;EE318&amp;"-"&amp;EF318)&amp;IF(EG318="","","-"&amp;EG318))</f>
        <v>imepre-klu(ali)-kat</v>
      </c>
      <c r="EI318" s="47" t="s">
        <v>0</v>
      </c>
      <c r="EJ318" s="58">
        <f>IF(AL318="","",MAX(EJ$12:EJ317)+1)</f>
        <v>466</v>
      </c>
      <c r="EK318" s="73">
        <f>IF(AO318="","",X318)</f>
        <v>42</v>
      </c>
      <c r="EL318" s="73">
        <f t="shared" si="288"/>
        <v>1478</v>
      </c>
      <c r="EM318" s="73">
        <f t="shared" si="260"/>
        <v>2801</v>
      </c>
      <c r="EN318" s="73">
        <f t="shared" si="261"/>
        <v>1</v>
      </c>
      <c r="EO318" s="73">
        <f t="shared" si="289"/>
        <v>1</v>
      </c>
      <c r="EP318" s="73">
        <f t="shared" si="290"/>
        <v>3</v>
      </c>
      <c r="EQ318" s="73" t="str">
        <f t="shared" si="262"/>
        <v>0</v>
      </c>
      <c r="ER318" s="73" t="str">
        <f>IF(OR(AN318="",AN318="NEMA"),BB318,AN318)</f>
        <v/>
      </c>
      <c r="ES318" s="73">
        <f>IF(AND(BN318&lt;&gt;"",BN318&lt;&gt;"NEMA"),BN318,IF(CG318&lt;&gt;"",CG318,IF(AND(CL318&lt;&gt;"",CL318&lt;&gt;"NEMA"),CL318,IF(CM318&lt;&gt;"",CM318,""))))</f>
        <v>1</v>
      </c>
      <c r="ET318" s="53" t="str">
        <f>IF(INDEX(natKategorija_alias_Id,MATCH(S318,natKategorija_katRegId,0))="","",INDEX(natKategorija_alias_Id,MATCH(S318,natKategorija_katRegId,0)))</f>
        <v/>
      </c>
      <c r="EU318" s="47" t="s">
        <v>0</v>
      </c>
      <c r="EV318" s="19" t="str">
        <f t="shared" si="291"/>
        <v>INSERT INTO rezultat(id,stazakategorija_id,imeprezime_id,vrijeme_sec,status_id,registracija,uparivanje_id,originalstatus_id,imeprezimealias_id,klubalias_id,kategorijaalias_id) VALUES (466,42,1478,2801,1,1,3,0,Null,1,Null);</v>
      </c>
      <c r="EW318" s="47" t="s">
        <v>0</v>
      </c>
      <c r="EX318" s="19" t="str">
        <f t="shared" si="292"/>
        <v>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18" s="47" t="s">
        <v>0</v>
      </c>
      <c r="EZ318" s="180" t="str">
        <f>AG318&amp;IF(CP318="","","
")&amp;CP318&amp;IF(CI318="","","
")&amp;CI318&amp;IF(DN318="","","
")&amp;DN318&amp;IF(DP318="","","
")&amp;DP318&amp;IF(EV318="","","
")&amp;EV318&amp;IF(EX318="","","
")&amp;EX318</f>
        <v xml:space="preserve">
INSERT INTO rezultat(id,stazakategorija_id,imeprezime_id,vrijeme_sec,status_id,registracija,uparivanje_id,originalstatus_id,imeprezimealias_id,klubalias_id,kategorijaalias_id) VALUES (466,42,1478,2801,1,1,3,0,Null,1,Null);
UPDATE
	registar
SET
	potvrda = 1
WHERE
	imeprezime_id=1478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18" s="47" t="s">
        <v>0</v>
      </c>
    </row>
    <row r="319" spans="1:157" x14ac:dyDescent="0.25">
      <c r="A319" t="s">
        <v>0</v>
      </c>
      <c r="B319" s="52" t="str">
        <f>IF(csv!F309="","",csv!T309)</f>
        <v>Ž45</v>
      </c>
      <c r="C319" s="31" t="s">
        <v>0</v>
      </c>
      <c r="D319" s="31" t="str">
        <f>IF(csv!F309="","",csv!F309)</f>
        <v>Mirjana</v>
      </c>
      <c r="E319" s="31" t="str">
        <f>IF(csv!E309="","",csv!E309)</f>
        <v>Horvat</v>
      </c>
      <c r="F319" s="31" t="s">
        <v>0</v>
      </c>
      <c r="G319" s="73" t="str">
        <f>IF(csv!M309="","",csv!M309)</f>
        <v>48:06</v>
      </c>
      <c r="H319" s="73" t="str">
        <f>IF(csv!N309="","",csv!N309)</f>
        <v>0</v>
      </c>
      <c r="I319" s="31" t="s">
        <v>0</v>
      </c>
      <c r="J319" s="31" t="str">
        <f>IF(csv!P309="","",csv!P309)</f>
        <v>Maksimir</v>
      </c>
      <c r="K319" s="31" t="str">
        <f>IF(csv!Q309="","",csv!Q309)</f>
        <v>OK Maksimir</v>
      </c>
      <c r="L319" s="31" t="s">
        <v>0</v>
      </c>
      <c r="M319" s="66" t="str">
        <f>IF(csv!R309="","",csv!R309)</f>
        <v>CRO</v>
      </c>
      <c r="N319" s="47" t="s">
        <v>0</v>
      </c>
      <c r="O319" s="243" t="str">
        <f t="shared" si="263"/>
        <v>ok</v>
      </c>
      <c r="P319" s="47"/>
      <c r="Q319" s="52" t="str">
        <f t="shared" si="264"/>
        <v>Ž45</v>
      </c>
      <c r="R319" s="73">
        <f>IF(Q319="","",IF(COUNTIF(Q$12:Q318,Q319)=0,R318+1,R318))</f>
        <v>20</v>
      </c>
      <c r="S319" s="73">
        <f t="shared" si="265"/>
        <v>116</v>
      </c>
      <c r="T319" s="73">
        <f t="shared" si="240"/>
        <v>25</v>
      </c>
      <c r="U319" s="66" t="str">
        <f t="shared" si="241"/>
        <v>Ž45</v>
      </c>
      <c r="V319" s="47" t="s">
        <v>0</v>
      </c>
      <c r="W319" s="222" t="str">
        <f t="shared" si="242"/>
        <v>Ž45</v>
      </c>
      <c r="X319" s="223">
        <f t="shared" si="243"/>
        <v>42</v>
      </c>
      <c r="Y319" s="47" t="s">
        <v>0</v>
      </c>
      <c r="Z319" s="52" t="str">
        <f t="shared" si="266"/>
        <v>CRO</v>
      </c>
      <c r="AA319" s="73">
        <f t="shared" si="244"/>
        <v>1</v>
      </c>
      <c r="AB319" s="31" t="str">
        <f t="shared" si="267"/>
        <v/>
      </c>
      <c r="AC319" s="66" t="str">
        <f>IF(AB319="","",MAX(AC$12:AC318)+1)</f>
        <v/>
      </c>
      <c r="AD319" s="47" t="s">
        <v>0</v>
      </c>
      <c r="AE319" s="125"/>
      <c r="AF319" s="47" t="s">
        <v>0</v>
      </c>
      <c r="AG319" s="19" t="str">
        <f t="shared" si="268"/>
        <v/>
      </c>
      <c r="AH319" s="47" t="s">
        <v>0</v>
      </c>
      <c r="AI319" s="143" t="str">
        <f t="shared" si="269"/>
        <v>CRO</v>
      </c>
      <c r="AJ319" s="47"/>
      <c r="AK319" s="52" t="str">
        <f t="shared" si="270"/>
        <v>Mirjana</v>
      </c>
      <c r="AL319" s="31" t="str">
        <f t="shared" si="271"/>
        <v>Horvat</v>
      </c>
      <c r="AM319" s="73">
        <f t="shared" si="272"/>
        <v>1515</v>
      </c>
      <c r="AN319" s="73" t="str">
        <f t="shared" si="273"/>
        <v/>
      </c>
      <c r="AO319" s="31" t="str">
        <f t="shared" si="245"/>
        <v>Mirjana</v>
      </c>
      <c r="AP319" s="66" t="str">
        <f t="shared" si="246"/>
        <v>Horvat</v>
      </c>
      <c r="AQ319" s="47" t="s">
        <v>0</v>
      </c>
      <c r="AR319" s="82" t="str">
        <f t="shared" si="274"/>
        <v/>
      </c>
      <c r="AS319" s="47" t="s">
        <v>0</v>
      </c>
      <c r="AT319" s="19" t="str">
        <f t="shared" si="275"/>
        <v/>
      </c>
      <c r="AU319" s="47" t="s">
        <v>0</v>
      </c>
      <c r="AV319" s="103"/>
      <c r="AW319" s="105"/>
      <c r="AX319" s="47" t="s">
        <v>0</v>
      </c>
      <c r="AY319" s="256" t="str">
        <f t="shared" si="293"/>
        <v/>
      </c>
      <c r="AZ319" s="47" t="s">
        <v>0</v>
      </c>
      <c r="BA319" s="52" t="str">
        <f t="shared" si="247"/>
        <v/>
      </c>
      <c r="BB319" s="73" t="str">
        <f>IF(AV319&amp;AW319="","",MAX(BB$12:BB318)+1)</f>
        <v/>
      </c>
      <c r="BC319" s="268" t="str">
        <f t="shared" si="248"/>
        <v/>
      </c>
      <c r="BD319" s="53" t="str">
        <f>IF(AND(AM319="NEMA",AN319="NEMA",OR(AV319&amp;AW319="",BC319="NEMA")),MAX(BD$12:BD318)+1,"")</f>
        <v/>
      </c>
      <c r="BE319" s="47" t="s">
        <v>0</v>
      </c>
      <c r="BF319" s="52" t="str">
        <f t="shared" si="249"/>
        <v>Mirjana</v>
      </c>
      <c r="BG319" s="31" t="str">
        <f t="shared" si="250"/>
        <v>Horvat</v>
      </c>
      <c r="BH319" s="73" t="str">
        <f t="shared" si="276"/>
        <v/>
      </c>
      <c r="BI319" s="53">
        <f t="shared" si="277"/>
        <v>1515</v>
      </c>
      <c r="BJ319" s="47" t="s">
        <v>0</v>
      </c>
      <c r="BK319" s="52" t="str">
        <f t="shared" si="251"/>
        <v>Maksimir</v>
      </c>
      <c r="BL319" s="31" t="str">
        <f t="shared" si="252"/>
        <v>OK Maksimir</v>
      </c>
      <c r="BM319" s="73">
        <f t="shared" si="253"/>
        <v>6</v>
      </c>
      <c r="BN319" s="73" t="str">
        <f t="shared" si="254"/>
        <v/>
      </c>
      <c r="BO319" s="31" t="str" cm="1">
        <f t="array" ref="BO319">IF(BN319="",""&amp;BL319,IF(BN319="NEMA",BL319,INDEX(regKlub_naziv,MATCH(INDEX(regKlub_alias_klubId,BN319),regKlub_id,0))))</f>
        <v>OK Maksimir</v>
      </c>
      <c r="BP319" s="31" t="str" cm="1">
        <f t="array" ref="BP319">IFERROR(""&amp;INDEX(regNatjecatelj_klub,DY319),"")</f>
        <v>OK Maksimir</v>
      </c>
      <c r="BQ319" s="88" t="str">
        <f t="shared" si="278"/>
        <v/>
      </c>
      <c r="BR319" s="66" t="str">
        <f t="shared" si="279"/>
        <v>OK Maksimir</v>
      </c>
      <c r="BS319" s="47" t="s">
        <v>0</v>
      </c>
      <c r="BT319" s="82" t="str">
        <f>IF(BN319&lt;&gt;"NEMA","",IF(IFERROR(MATCH(BL319,BL$12:BL318,0),0)&lt;&gt;0,"",BL319))</f>
        <v/>
      </c>
      <c r="BU319" s="47" t="s">
        <v>0</v>
      </c>
      <c r="BV319" s="125"/>
      <c r="BW319" s="47" t="s">
        <v>0</v>
      </c>
      <c r="BX319" s="58" t="str">
        <f t="shared" si="280"/>
        <v/>
      </c>
      <c r="BY319" s="31" t="str">
        <f t="shared" si="281"/>
        <v/>
      </c>
      <c r="BZ319" s="31" t="str">
        <f>IF(BY319="","",MAX(BZ$12:BZ318)+1)</f>
        <v/>
      </c>
      <c r="CA319" s="31" t="str">
        <f>IF(BY319="","",IF(AA319="","",IF(AA319="NEMA",AC319,AA319)))</f>
        <v/>
      </c>
      <c r="CB319" s="31" t="str">
        <f t="shared" si="282"/>
        <v/>
      </c>
      <c r="CC319" s="31" t="str">
        <f>IF(BV319="","",MAX(CC$12:CC318)+1)</f>
        <v/>
      </c>
      <c r="CD319" s="31" t="str">
        <f t="shared" si="283"/>
        <v/>
      </c>
      <c r="CE319" s="66" t="str">
        <f t="shared" si="284"/>
        <v/>
      </c>
      <c r="CF319" s="47" t="s">
        <v>0</v>
      </c>
      <c r="CG319" s="73" t="str">
        <f>IF(BN319="","",IF(BN319&lt;&gt;"NEMA","",IFERROR(INDEX(nat_klubAliasId,MATCH(BL319,nat_noviKluboviAliasi,0)),"")))</f>
        <v/>
      </c>
      <c r="CH319" s="47"/>
      <c r="CI319" s="19" t="str">
        <f t="shared" si="285"/>
        <v/>
      </c>
      <c r="CJ319" s="47" t="s">
        <v>0</v>
      </c>
      <c r="CK319" s="52" t="str">
        <f>IF(X319&lt;&gt;"NEMA","",IF(IFERROR(MATCH(W319,W$12:W318,0),0)&lt;&gt;0,"",W319))</f>
        <v/>
      </c>
      <c r="CL319" s="73" t="str">
        <f>IF(CK319="","",IFERROR(INDEX(regKlub_alias_id,MATCH(CK319,regKlub_alias_alias,0)),"NEMA"))</f>
        <v/>
      </c>
      <c r="CM319" s="31" t="str">
        <f>IF(OR(CL319="",CL319&lt;&gt;"NEMA"),"",MAX(CM$12:CM318)+1)</f>
        <v/>
      </c>
      <c r="CN319" s="66" t="str">
        <f>IF(OR(CL319="",CL319&lt;&gt;"NEMA"),"",INDEX(regKlub_id,MATCH(CK319,regKlub_naziv,0)))</f>
        <v/>
      </c>
      <c r="CO319" s="47" t="s">
        <v>0</v>
      </c>
      <c r="CP319" s="19" t="str">
        <f>IF(OR(CL319="",CL319&lt;&gt;"NEMA"),"","INSERT INTO klub_alias(id,alias,klub_id) VALUES ("&amp;CM319&amp;",'"&amp;CK319&amp;"',"&amp;CN319&amp;");")</f>
        <v/>
      </c>
      <c r="CQ319" s="47" t="s">
        <v>0</v>
      </c>
      <c r="CR319" s="143" t="str">
        <f>IF(BR319="","",IF(BV319="",IF(IFERROR(MATCH(BR319,nat_noviKluboviAliasi,0),0)&gt;0,INDEX(nat_kluboviAliasi,MATCH(BR319,nat_noviKluboviAliasi,0)),BR319),BV319))</f>
        <v>OK Maksimir</v>
      </c>
      <c r="CS319" s="47" t="s">
        <v>0</v>
      </c>
      <c r="CT319" s="58" t="str">
        <f>IF(G319="","",G319)</f>
        <v>48:06</v>
      </c>
      <c r="CU319" s="73" t="str">
        <f>IF(H319="","",H319)</f>
        <v>0</v>
      </c>
      <c r="CV319" s="229" t="str">
        <f>IF(CT319="",IF(OR(AL319="",CU319&lt;&gt;"0"),"","GREŠKA"),IF(AND(65535&gt;=VALUE(LEFT(CT319,SEARCH(":",CT319)-1))*60+VALUE(RIGHT(CT319,2)),OR(CU319="0",CU319="1",CU319="2",CU319="3",CU319="4")),"","GREŠKA"))</f>
        <v/>
      </c>
      <c r="CW319" s="230">
        <f t="shared" si="295"/>
        <v>2886</v>
      </c>
      <c r="CX319" s="163">
        <f t="shared" si="255"/>
        <v>1</v>
      </c>
      <c r="CY319" s="47" t="s">
        <v>0</v>
      </c>
      <c r="CZ319" s="222" t="str">
        <f>IF(CV319&lt;&gt;"GREŠKA","",AK319&amp;" "&amp;AL319&amp;" – Molim u OEventu provjeriti i ispraviti rezultat – vrijeme ("&amp;IF(CT319="","nije upisano",CT319)&amp;") i classifier ("&amp;CU319&amp;").")&amp;IF(OR(CV319&lt;&gt;"GREŠKA",CX319&lt;&gt;5),"
","")&amp;IF(CX319&lt;&gt;5,"",AK319&amp;" "&amp;AL319&amp;" – Molim u provjeriti je li natjecatelj zaista diskvalificiran. Ako je koje je obrazloženje, ako nije molim u OEventu ispraviti rezultat")</f>
        <v xml:space="preserve">
</v>
      </c>
      <c r="DA319" s="223">
        <f t="shared" si="286"/>
        <v>6</v>
      </c>
      <c r="DB319" s="47" t="s">
        <v>0</v>
      </c>
      <c r="DC319" s="47"/>
      <c r="DD319" s="47"/>
      <c r="DE319" s="47"/>
      <c r="DF319" s="47" t="s">
        <v>0</v>
      </c>
      <c r="DG319" s="53" t="str">
        <f>IF(BD319="","",IF(DI319="O",1,""))</f>
        <v/>
      </c>
      <c r="DH319" t="s">
        <v>0</v>
      </c>
      <c r="DI319" s="128" t="str">
        <f>IF(Q319="","",LEFT(INDEX(regKategorija_oznaka,MATCH(S319,regKategorija_id,0)),1))</f>
        <v>Ž</v>
      </c>
      <c r="DJ319" t="s">
        <v>0</v>
      </c>
      <c r="DK319" s="52" t="str">
        <f>IF(BD319="","",IF(M319&lt;&gt;"CRO","","INSERT INTO osoba (id,reg_broj,oib,spol_id,dat_rodjenja) VALUES ("&amp;BD319&amp;",(SELECT max(os.reg_broj)+1 FROM osoba AS os),Null,'"&amp;DI319&amp;"',Null); INSERT INTO osoba_log (id,reg_broj,oib,spol_id,dat_rodjenja,dnevnik_id) SELECT id,reg_broj,oib,spol_id,dat_rodjenja,"&amp;data_dnevnik_id&amp;" FROM osoba WHERE id = "&amp;BD319&amp;";"))</f>
        <v/>
      </c>
      <c r="DL319" s="66" t="str">
        <f>IF(BD319="","","INSERT INTO imeprezime (id,osoba_id,rbr,ime,prezime,klub_id,identitet_id,sintaksa_id,info,aktivno,dnevnik_id) VALUES ("&amp;BD319&amp;","&amp;IF(DK319="","Null",BD319)&amp;",1,'"&amp;IF(AV319&lt;&gt;"",AV319,AK319)&amp;"','"&amp;IF(AW319&lt;&gt;"",AW319,AL319)&amp;"',(SELECT id FROM klub WHERE naziv = '"&amp;CR319&amp;"'),Null,1,'',1,"&amp;data_dnevnik_id&amp;");")</f>
        <v/>
      </c>
      <c r="DM319" t="s">
        <v>0</v>
      </c>
      <c r="DN319" s="19" t="str">
        <f t="shared" si="294"/>
        <v/>
      </c>
      <c r="DO319" s="47" t="s">
        <v>0</v>
      </c>
      <c r="DP319" s="19" t="str">
        <f>IF(BA319="","","INSERT INTO imeprezime_alias(id,alias,imeprezime_id) VALUES ("&amp;BB319&amp;",'"&amp;BA319&amp;"',"&amp;IF(BC319="NEMA",BD319,BC319)&amp;");")</f>
        <v/>
      </c>
      <c r="DQ319" s="47" t="s">
        <v>0</v>
      </c>
      <c r="DR319" s="52" t="str">
        <f>IF(AL319="","",DU319 &amp; IF(Q319="",""," – " &amp; Q319))</f>
        <v>Mirjana – Horvat – OK Maksimir – Ž45</v>
      </c>
      <c r="DS319" s="53">
        <f t="shared" si="256"/>
        <v>350</v>
      </c>
      <c r="DT319" s="47" t="s">
        <v>0</v>
      </c>
      <c r="DU319" s="52" t="str">
        <f>IF(AL319="","",DX319 &amp; IF(CR319="",""," – " &amp; CR319))</f>
        <v>Mirjana – Horvat – OK Maksimir</v>
      </c>
      <c r="DV319" s="53">
        <f t="shared" si="257"/>
        <v>350</v>
      </c>
      <c r="DW319" s="47" t="s">
        <v>0</v>
      </c>
      <c r="DX319" s="52" t="str">
        <f>IF(BG319="","",BF319&amp;" – "&amp;BG319)</f>
        <v>Mirjana – Horvat</v>
      </c>
      <c r="DY319" s="53">
        <f t="shared" si="258"/>
        <v>350</v>
      </c>
      <c r="DZ319" s="47" t="s">
        <v>0</v>
      </c>
      <c r="EA319" s="58">
        <f t="shared" si="287"/>
        <v>350</v>
      </c>
      <c r="EB319" s="53" cm="1">
        <f t="array" ref="EB319">IF(EA319&lt;&gt;"",INDEX(regNatjecatelj_id,EA319,0),IF(BD319&lt;&gt;"",BD319,""))</f>
        <v>1515</v>
      </c>
      <c r="EC319" s="47" t="s">
        <v>0</v>
      </c>
      <c r="ED319" s="58" t="str">
        <f>IF(AL319="","",IF(BD319&lt;&gt;"","novo",IF(AN319="","imepre","imepre(ali)")))</f>
        <v>imepre</v>
      </c>
      <c r="EE319" s="73" t="str">
        <f>IF(AL319="","",IF(BL319="",IF(IFERROR(INDEX(regNatjecatelj_klub,MATCH(EB319,regNatjecatelj_id,0)),"NEMA")="","klu",""),IF(OR(AND(BN319&lt;&gt;"",BN319&lt;&gt;"NEMA"),CD319&lt;&gt;""),"klu(ali)",IF(AND(BP319&lt;&gt;"",BP319&lt;&gt;BO319),"(raz-klu)","klu"))))</f>
        <v>klu</v>
      </c>
      <c r="EF319" s="73" t="str">
        <f>IF(AL319="","","kat"&amp;IF(AND(W319&lt;&gt;Q319,Q319&lt;&gt;"Open"),"(ali)",""))</f>
        <v>kat</v>
      </c>
      <c r="EG319" s="73" t="str">
        <f t="shared" si="259"/>
        <v/>
      </c>
      <c r="EH319" s="66" t="str">
        <f>IF(AL319="","",ED319&amp;IF(ED319="novo","","-"&amp;EE319&amp;"-"&amp;EF319)&amp;IF(EG319="","","-"&amp;EG319))</f>
        <v>imepre-klu-kat</v>
      </c>
      <c r="EI319" s="47" t="s">
        <v>0</v>
      </c>
      <c r="EJ319" s="58">
        <f>IF(AL319="","",MAX(EJ$12:EJ318)+1)</f>
        <v>467</v>
      </c>
      <c r="EK319" s="73">
        <f>IF(AO319="","",X319)</f>
        <v>42</v>
      </c>
      <c r="EL319" s="73">
        <f t="shared" si="288"/>
        <v>1515</v>
      </c>
      <c r="EM319" s="73">
        <f t="shared" si="260"/>
        <v>2886</v>
      </c>
      <c r="EN319" s="73">
        <f t="shared" si="261"/>
        <v>1</v>
      </c>
      <c r="EO319" s="73">
        <f t="shared" si="289"/>
        <v>1</v>
      </c>
      <c r="EP319" s="73">
        <f t="shared" si="290"/>
        <v>1</v>
      </c>
      <c r="EQ319" s="73" t="str">
        <f t="shared" si="262"/>
        <v>0</v>
      </c>
      <c r="ER319" s="73" t="str">
        <f>IF(OR(AN319="",AN319="NEMA"),BB319,AN319)</f>
        <v/>
      </c>
      <c r="ES319" s="73" t="str">
        <f>IF(AND(BN319&lt;&gt;"",BN319&lt;&gt;"NEMA"),BN319,IF(CG319&lt;&gt;"",CG319,IF(AND(CL319&lt;&gt;"",CL319&lt;&gt;"NEMA"),CL319,IF(CM319&lt;&gt;"",CM319,""))))</f>
        <v/>
      </c>
      <c r="ET319" s="53" t="str">
        <f>IF(INDEX(natKategorija_alias_Id,MATCH(S319,natKategorija_katRegId,0))="","",INDEX(natKategorija_alias_Id,MATCH(S319,natKategorija_katRegId,0)))</f>
        <v/>
      </c>
      <c r="EU319" s="47" t="s">
        <v>0</v>
      </c>
      <c r="EV319" s="19" t="str">
        <f t="shared" si="291"/>
        <v>INSERT INTO rezultat(id,stazakategorija_id,imeprezime_id,vrijeme_sec,status_id,registracija,uparivanje_id,originalstatus_id,imeprezimealias_id,klubalias_id,kategorijaalias_id) VALUES (467,42,1515,2886,1,1,1,0,Null,Null,Null);</v>
      </c>
      <c r="EW319" s="47" t="s">
        <v>0</v>
      </c>
      <c r="EX319" s="19" t="str">
        <f t="shared" si="292"/>
        <v>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19" s="47" t="s">
        <v>0</v>
      </c>
      <c r="EZ319" s="180" t="str">
        <f>AG319&amp;IF(CP319="","","
")&amp;CP319&amp;IF(CI319="","","
")&amp;CI319&amp;IF(DN319="","","
")&amp;DN319&amp;IF(DP319="","","
")&amp;DP319&amp;IF(EV319="","","
")&amp;EV319&amp;IF(EX319="","","
")&amp;EX319</f>
        <v xml:space="preserve">
INSERT INTO rezultat(id,stazakategorija_id,imeprezime_id,vrijeme_sec,status_id,registracija,uparivanje_id,originalstatus_id,imeprezimealias_id,klubalias_id,kategorijaalias_id) VALUES (467,42,1515,2886,1,1,1,0,Null,Null,Null);
UPDATE
	registar
SET
	potvrda = 1
WHERE
	imeprezime_id=1515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19" s="47" t="s">
        <v>0</v>
      </c>
    </row>
    <row r="320" spans="1:157" x14ac:dyDescent="0.25">
      <c r="A320" t="s">
        <v>0</v>
      </c>
      <c r="B320" s="52" t="str">
        <f>IF(csv!F310="","",csv!T310)</f>
        <v>Ž45</v>
      </c>
      <c r="C320" s="31" t="s">
        <v>0</v>
      </c>
      <c r="D320" s="31" t="str">
        <f>IF(csv!F310="","",csv!F310)</f>
        <v>Nataša</v>
      </c>
      <c r="E320" s="31" t="str">
        <f>IF(csv!E310="","",csv!E310)</f>
        <v>Kolarek</v>
      </c>
      <c r="F320" s="31" t="s">
        <v>0</v>
      </c>
      <c r="G320" s="73" t="str">
        <f>IF(csv!M310="","",csv!M310)</f>
        <v>51:39</v>
      </c>
      <c r="H320" s="73" t="str">
        <f>IF(csv!N310="","",csv!N310)</f>
        <v>0</v>
      </c>
      <c r="I320" s="31" t="s">
        <v>0</v>
      </c>
      <c r="J320" s="31" t="str">
        <f>IF(csv!P310="","",csv!P310)</f>
        <v>Vihor</v>
      </c>
      <c r="K320" s="31" t="str">
        <f>IF(csv!Q310="","",csv!Q310)</f>
        <v>OK Vihor</v>
      </c>
      <c r="L320" s="31" t="s">
        <v>0</v>
      </c>
      <c r="M320" s="66" t="str">
        <f>IF(csv!R310="","",csv!R310)</f>
        <v>CRO</v>
      </c>
      <c r="N320" s="47" t="s">
        <v>0</v>
      </c>
      <c r="O320" s="243" t="str">
        <f t="shared" si="263"/>
        <v>ok</v>
      </c>
      <c r="P320" s="47"/>
      <c r="Q320" s="52" t="str">
        <f t="shared" si="264"/>
        <v>Ž45</v>
      </c>
      <c r="R320" s="73">
        <f>IF(Q320="","",IF(COUNTIF(Q$12:Q319,Q320)=0,R319+1,R319))</f>
        <v>20</v>
      </c>
      <c r="S320" s="73">
        <f t="shared" si="265"/>
        <v>116</v>
      </c>
      <c r="T320" s="73">
        <f t="shared" si="240"/>
        <v>25</v>
      </c>
      <c r="U320" s="66" t="str">
        <f t="shared" si="241"/>
        <v>Ž45</v>
      </c>
      <c r="V320" s="47" t="s">
        <v>0</v>
      </c>
      <c r="W320" s="222" t="str">
        <f t="shared" si="242"/>
        <v>Ž45</v>
      </c>
      <c r="X320" s="223">
        <f t="shared" si="243"/>
        <v>42</v>
      </c>
      <c r="Y320" s="47" t="s">
        <v>0</v>
      </c>
      <c r="Z320" s="52" t="str">
        <f t="shared" si="266"/>
        <v>CRO</v>
      </c>
      <c r="AA320" s="73">
        <f t="shared" si="244"/>
        <v>1</v>
      </c>
      <c r="AB320" s="31" t="str">
        <f t="shared" si="267"/>
        <v/>
      </c>
      <c r="AC320" s="66" t="str">
        <f>IF(AB320="","",MAX(AC$12:AC319)+1)</f>
        <v/>
      </c>
      <c r="AD320" s="47" t="s">
        <v>0</v>
      </c>
      <c r="AE320" s="125"/>
      <c r="AF320" s="47" t="s">
        <v>0</v>
      </c>
      <c r="AG320" s="19" t="str">
        <f t="shared" si="268"/>
        <v/>
      </c>
      <c r="AH320" s="47" t="s">
        <v>0</v>
      </c>
      <c r="AI320" s="143" t="str">
        <f t="shared" si="269"/>
        <v>CRO</v>
      </c>
      <c r="AJ320" s="47"/>
      <c r="AK320" s="52" t="str">
        <f t="shared" si="270"/>
        <v>Nataša</v>
      </c>
      <c r="AL320" s="31" t="str">
        <f t="shared" si="271"/>
        <v>Kolarek</v>
      </c>
      <c r="AM320" s="73">
        <f t="shared" si="272"/>
        <v>1070</v>
      </c>
      <c r="AN320" s="73" t="str">
        <f t="shared" si="273"/>
        <v/>
      </c>
      <c r="AO320" s="31" t="str">
        <f t="shared" si="245"/>
        <v>Nataša</v>
      </c>
      <c r="AP320" s="66" t="str">
        <f t="shared" si="246"/>
        <v>Kolarek</v>
      </c>
      <c r="AQ320" s="47" t="s">
        <v>0</v>
      </c>
      <c r="AR320" s="82" t="str">
        <f t="shared" si="274"/>
        <v/>
      </c>
      <c r="AS320" s="47" t="s">
        <v>0</v>
      </c>
      <c r="AT320" s="19" t="str">
        <f t="shared" si="275"/>
        <v/>
      </c>
      <c r="AU320" s="47" t="s">
        <v>0</v>
      </c>
      <c r="AV320" s="103"/>
      <c r="AW320" s="105"/>
      <c r="AX320" s="47" t="s">
        <v>0</v>
      </c>
      <c r="AY320" s="256" t="str">
        <f t="shared" si="293"/>
        <v/>
      </c>
      <c r="AZ320" s="47" t="s">
        <v>0</v>
      </c>
      <c r="BA320" s="52" t="str">
        <f t="shared" si="247"/>
        <v/>
      </c>
      <c r="BB320" s="73" t="str">
        <f>IF(AV320&amp;AW320="","",MAX(BB$12:BB319)+1)</f>
        <v/>
      </c>
      <c r="BC320" s="268" t="str">
        <f t="shared" si="248"/>
        <v/>
      </c>
      <c r="BD320" s="53" t="str">
        <f>IF(AND(AM320="NEMA",AN320="NEMA",OR(AV320&amp;AW320="",BC320="NEMA")),MAX(BD$12:BD319)+1,"")</f>
        <v/>
      </c>
      <c r="BE320" s="47" t="s">
        <v>0</v>
      </c>
      <c r="BF320" s="52" t="str">
        <f t="shared" si="249"/>
        <v>Nataša</v>
      </c>
      <c r="BG320" s="31" t="str">
        <f t="shared" si="250"/>
        <v>Kolarek</v>
      </c>
      <c r="BH320" s="73" t="str">
        <f t="shared" si="276"/>
        <v/>
      </c>
      <c r="BI320" s="53">
        <f t="shared" si="277"/>
        <v>1070</v>
      </c>
      <c r="BJ320" s="47" t="s">
        <v>0</v>
      </c>
      <c r="BK320" s="52" t="str">
        <f t="shared" si="251"/>
        <v>Vihor</v>
      </c>
      <c r="BL320" s="31" t="str">
        <f t="shared" si="252"/>
        <v>OK Vihor</v>
      </c>
      <c r="BM320" s="73">
        <f t="shared" si="253"/>
        <v>12</v>
      </c>
      <c r="BN320" s="73" t="str">
        <f t="shared" si="254"/>
        <v/>
      </c>
      <c r="BO320" s="31" t="str" cm="1">
        <f t="array" ref="BO320">IF(BN320="",""&amp;BL320,IF(BN320="NEMA",BL320,INDEX(regKlub_naziv,MATCH(INDEX(regKlub_alias_klubId,BN320),regKlub_id,0))))</f>
        <v>OK Vihor</v>
      </c>
      <c r="BP320" s="31" t="str" cm="1">
        <f t="array" ref="BP320">IFERROR(""&amp;INDEX(regNatjecatelj_klub,DY320),"")</f>
        <v>OK Vihor</v>
      </c>
      <c r="BQ320" s="88" t="str">
        <f t="shared" si="278"/>
        <v/>
      </c>
      <c r="BR320" s="66" t="str">
        <f t="shared" si="279"/>
        <v>OK Vihor</v>
      </c>
      <c r="BS320" s="47" t="s">
        <v>0</v>
      </c>
      <c r="BT320" s="82" t="str">
        <f>IF(BN320&lt;&gt;"NEMA","",IF(IFERROR(MATCH(BL320,BL$12:BL319,0),0)&lt;&gt;0,"",BL320))</f>
        <v/>
      </c>
      <c r="BU320" s="47" t="s">
        <v>0</v>
      </c>
      <c r="BV320" s="125"/>
      <c r="BW320" s="47" t="s">
        <v>0</v>
      </c>
      <c r="BX320" s="58" t="str">
        <f t="shared" si="280"/>
        <v/>
      </c>
      <c r="BY320" s="31" t="str">
        <f t="shared" si="281"/>
        <v/>
      </c>
      <c r="BZ320" s="31" t="str">
        <f>IF(BY320="","",MAX(BZ$12:BZ319)+1)</f>
        <v/>
      </c>
      <c r="CA320" s="31" t="str">
        <f>IF(BY320="","",IF(AA320="","",IF(AA320="NEMA",AC320,AA320)))</f>
        <v/>
      </c>
      <c r="CB320" s="31" t="str">
        <f t="shared" si="282"/>
        <v/>
      </c>
      <c r="CC320" s="31" t="str">
        <f>IF(BV320="","",MAX(CC$12:CC319)+1)</f>
        <v/>
      </c>
      <c r="CD320" s="31" t="str">
        <f t="shared" si="283"/>
        <v/>
      </c>
      <c r="CE320" s="66" t="str">
        <f t="shared" si="284"/>
        <v/>
      </c>
      <c r="CF320" s="47" t="s">
        <v>0</v>
      </c>
      <c r="CG320" s="73" t="str">
        <f>IF(BN320="","",IF(BN320&lt;&gt;"NEMA","",IFERROR(INDEX(nat_klubAliasId,MATCH(BL320,nat_noviKluboviAliasi,0)),"")))</f>
        <v/>
      </c>
      <c r="CH320" s="47"/>
      <c r="CI320" s="19" t="str">
        <f t="shared" si="285"/>
        <v/>
      </c>
      <c r="CJ320" s="47" t="s">
        <v>0</v>
      </c>
      <c r="CK320" s="52" t="str">
        <f>IF(X320&lt;&gt;"NEMA","",IF(IFERROR(MATCH(W320,W$12:W319,0),0)&lt;&gt;0,"",W320))</f>
        <v/>
      </c>
      <c r="CL320" s="73" t="str">
        <f>IF(CK320="","",IFERROR(INDEX(regKlub_alias_id,MATCH(CK320,regKlub_alias_alias,0)),"NEMA"))</f>
        <v/>
      </c>
      <c r="CM320" s="31" t="str">
        <f>IF(OR(CL320="",CL320&lt;&gt;"NEMA"),"",MAX(CM$12:CM319)+1)</f>
        <v/>
      </c>
      <c r="CN320" s="66" t="str">
        <f>IF(OR(CL320="",CL320&lt;&gt;"NEMA"),"",INDEX(regKlub_id,MATCH(CK320,regKlub_naziv,0)))</f>
        <v/>
      </c>
      <c r="CO320" s="47" t="s">
        <v>0</v>
      </c>
      <c r="CP320" s="19" t="str">
        <f>IF(OR(CL320="",CL320&lt;&gt;"NEMA"),"","INSERT INTO klub_alias(id,alias,klub_id) VALUES ("&amp;CM320&amp;",'"&amp;CK320&amp;"',"&amp;CN320&amp;");")</f>
        <v/>
      </c>
      <c r="CQ320" s="47" t="s">
        <v>0</v>
      </c>
      <c r="CR320" s="143" t="str">
        <f>IF(BR320="","",IF(BV320="",IF(IFERROR(MATCH(BR320,nat_noviKluboviAliasi,0),0)&gt;0,INDEX(nat_kluboviAliasi,MATCH(BR320,nat_noviKluboviAliasi,0)),BR320),BV320))</f>
        <v>OK Vihor</v>
      </c>
      <c r="CS320" s="47" t="s">
        <v>0</v>
      </c>
      <c r="CT320" s="58" t="str">
        <f>IF(G320="","",G320)</f>
        <v>51:39</v>
      </c>
      <c r="CU320" s="73" t="str">
        <f>IF(H320="","",H320)</f>
        <v>0</v>
      </c>
      <c r="CV320" s="229" t="str">
        <f>IF(CT320="",IF(OR(AL320="",CU320&lt;&gt;"0"),"","GREŠKA"),IF(AND(65535&gt;=VALUE(LEFT(CT320,SEARCH(":",CT320)-1))*60+VALUE(RIGHT(CT320,2)),OR(CU320="0",CU320="1",CU320="2",CU320="3",CU320="4")),"","GREŠKA"))</f>
        <v/>
      </c>
      <c r="CW320" s="230">
        <f t="shared" si="295"/>
        <v>3099</v>
      </c>
      <c r="CX320" s="163">
        <f t="shared" si="255"/>
        <v>1</v>
      </c>
      <c r="CY320" s="47" t="s">
        <v>0</v>
      </c>
      <c r="CZ320" s="222" t="str">
        <f>IF(CV320&lt;&gt;"GREŠKA","",AK320&amp;" "&amp;AL320&amp;" – Molim u OEventu provjeriti i ispraviti rezultat – vrijeme ("&amp;IF(CT320="","nije upisano",CT320)&amp;") i classifier ("&amp;CU320&amp;").")&amp;IF(OR(CV320&lt;&gt;"GREŠKA",CX320&lt;&gt;5),"
","")&amp;IF(CX320&lt;&gt;5,"",AK320&amp;" "&amp;AL320&amp;" – Molim u provjeriti je li natjecatelj zaista diskvalificiran. Ako je koje je obrazloženje, ako nije molim u OEventu ispraviti rezultat")</f>
        <v xml:space="preserve">
</v>
      </c>
      <c r="DA320" s="223">
        <f t="shared" si="286"/>
        <v>6</v>
      </c>
      <c r="DB320" s="47" t="s">
        <v>0</v>
      </c>
      <c r="DC320" s="47"/>
      <c r="DD320" s="47"/>
      <c r="DE320" s="47"/>
      <c r="DF320" s="47" t="s">
        <v>0</v>
      </c>
      <c r="DG320" s="53" t="str">
        <f>IF(BD320="","",IF(DI320="O",1,""))</f>
        <v/>
      </c>
      <c r="DH320" t="s">
        <v>0</v>
      </c>
      <c r="DI320" s="128" t="str">
        <f>IF(Q320="","",LEFT(INDEX(regKategorija_oznaka,MATCH(S320,regKategorija_id,0)),1))</f>
        <v>Ž</v>
      </c>
      <c r="DJ320" t="s">
        <v>0</v>
      </c>
      <c r="DK320" s="52" t="str">
        <f>IF(BD320="","",IF(M320&lt;&gt;"CRO","","INSERT INTO osoba (id,reg_broj,oib,spol_id,dat_rodjenja) VALUES ("&amp;BD320&amp;",(SELECT max(os.reg_broj)+1 FROM osoba AS os),Null,'"&amp;DI320&amp;"',Null); INSERT INTO osoba_log (id,reg_broj,oib,spol_id,dat_rodjenja,dnevnik_id) SELECT id,reg_broj,oib,spol_id,dat_rodjenja,"&amp;data_dnevnik_id&amp;" FROM osoba WHERE id = "&amp;BD320&amp;";"))</f>
        <v/>
      </c>
      <c r="DL320" s="66" t="str">
        <f>IF(BD320="","","INSERT INTO imeprezime (id,osoba_id,rbr,ime,prezime,klub_id,identitet_id,sintaksa_id,info,aktivno,dnevnik_id) VALUES ("&amp;BD320&amp;","&amp;IF(DK320="","Null",BD320)&amp;",1,'"&amp;IF(AV320&lt;&gt;"",AV320,AK320)&amp;"','"&amp;IF(AW320&lt;&gt;"",AW320,AL320)&amp;"',(SELECT id FROM klub WHERE naziv = '"&amp;CR320&amp;"'),Null,1,'',1,"&amp;data_dnevnik_id&amp;");")</f>
        <v/>
      </c>
      <c r="DM320" t="s">
        <v>0</v>
      </c>
      <c r="DN320" s="19" t="str">
        <f t="shared" si="294"/>
        <v/>
      </c>
      <c r="DO320" s="47" t="s">
        <v>0</v>
      </c>
      <c r="DP320" s="19" t="str">
        <f>IF(BA320="","","INSERT INTO imeprezime_alias(id,alias,imeprezime_id) VALUES ("&amp;BB320&amp;",'"&amp;BA320&amp;"',"&amp;IF(BC320="NEMA",BD320,BC320)&amp;");")</f>
        <v/>
      </c>
      <c r="DQ320" s="47" t="s">
        <v>0</v>
      </c>
      <c r="DR320" s="52" t="str">
        <f>IF(AL320="","",DU320 &amp; IF(Q320="",""," – " &amp; Q320))</f>
        <v>Nataša – Kolarek – OK Vihor – Ž45</v>
      </c>
      <c r="DS320" s="53">
        <f t="shared" si="256"/>
        <v>744</v>
      </c>
      <c r="DT320" s="47" t="s">
        <v>0</v>
      </c>
      <c r="DU320" s="52" t="str">
        <f>IF(AL320="","",DX320 &amp; IF(CR320="",""," – " &amp; CR320))</f>
        <v>Nataša – Kolarek – OK Vihor</v>
      </c>
      <c r="DV320" s="53">
        <f t="shared" si="257"/>
        <v>744</v>
      </c>
      <c r="DW320" s="47" t="s">
        <v>0</v>
      </c>
      <c r="DX320" s="52" t="str">
        <f>IF(BG320="","",BF320&amp;" – "&amp;BG320)</f>
        <v>Nataša – Kolarek</v>
      </c>
      <c r="DY320" s="53">
        <f t="shared" si="258"/>
        <v>744</v>
      </c>
      <c r="DZ320" s="47" t="s">
        <v>0</v>
      </c>
      <c r="EA320" s="58">
        <f t="shared" si="287"/>
        <v>744</v>
      </c>
      <c r="EB320" s="53" cm="1">
        <f t="array" ref="EB320">IF(EA320&lt;&gt;"",INDEX(regNatjecatelj_id,EA320,0),IF(BD320&lt;&gt;"",BD320,""))</f>
        <v>1070</v>
      </c>
      <c r="EC320" s="47" t="s">
        <v>0</v>
      </c>
      <c r="ED320" s="58" t="str">
        <f>IF(AL320="","",IF(BD320&lt;&gt;"","novo",IF(AN320="","imepre","imepre(ali)")))</f>
        <v>imepre</v>
      </c>
      <c r="EE320" s="73" t="str">
        <f>IF(AL320="","",IF(BL320="",IF(IFERROR(INDEX(regNatjecatelj_klub,MATCH(EB320,regNatjecatelj_id,0)),"NEMA")="","klu",""),IF(OR(AND(BN320&lt;&gt;"",BN320&lt;&gt;"NEMA"),CD320&lt;&gt;""),"klu(ali)",IF(AND(BP320&lt;&gt;"",BP320&lt;&gt;BO320),"(raz-klu)","klu"))))</f>
        <v>klu</v>
      </c>
      <c r="EF320" s="73" t="str">
        <f>IF(AL320="","","kat"&amp;IF(AND(W320&lt;&gt;Q320,Q320&lt;&gt;"Open"),"(ali)",""))</f>
        <v>kat</v>
      </c>
      <c r="EG320" s="73" t="str">
        <f t="shared" si="259"/>
        <v/>
      </c>
      <c r="EH320" s="66" t="str">
        <f>IF(AL320="","",ED320&amp;IF(ED320="novo","","-"&amp;EE320&amp;"-"&amp;EF320)&amp;IF(EG320="","","-"&amp;EG320))</f>
        <v>imepre-klu-kat</v>
      </c>
      <c r="EI320" s="47" t="s">
        <v>0</v>
      </c>
      <c r="EJ320" s="58">
        <f>IF(AL320="","",MAX(EJ$12:EJ319)+1)</f>
        <v>468</v>
      </c>
      <c r="EK320" s="73">
        <f>IF(AO320="","",X320)</f>
        <v>42</v>
      </c>
      <c r="EL320" s="73">
        <f t="shared" si="288"/>
        <v>1070</v>
      </c>
      <c r="EM320" s="73">
        <f t="shared" si="260"/>
        <v>3099</v>
      </c>
      <c r="EN320" s="73">
        <f t="shared" si="261"/>
        <v>1</v>
      </c>
      <c r="EO320" s="73">
        <f t="shared" si="289"/>
        <v>1</v>
      </c>
      <c r="EP320" s="73">
        <f t="shared" si="290"/>
        <v>1</v>
      </c>
      <c r="EQ320" s="73" t="str">
        <f t="shared" si="262"/>
        <v>0</v>
      </c>
      <c r="ER320" s="73" t="str">
        <f>IF(OR(AN320="",AN320="NEMA"),BB320,AN320)</f>
        <v/>
      </c>
      <c r="ES320" s="73" t="str">
        <f>IF(AND(BN320&lt;&gt;"",BN320&lt;&gt;"NEMA"),BN320,IF(CG320&lt;&gt;"",CG320,IF(AND(CL320&lt;&gt;"",CL320&lt;&gt;"NEMA"),CL320,IF(CM320&lt;&gt;"",CM320,""))))</f>
        <v/>
      </c>
      <c r="ET320" s="53" t="str">
        <f>IF(INDEX(natKategorija_alias_Id,MATCH(S320,natKategorija_katRegId,0))="","",INDEX(natKategorija_alias_Id,MATCH(S320,natKategorija_katRegId,0)))</f>
        <v/>
      </c>
      <c r="EU320" s="47" t="s">
        <v>0</v>
      </c>
      <c r="EV320" s="19" t="str">
        <f t="shared" si="291"/>
        <v>INSERT INTO rezultat(id,stazakategorija_id,imeprezime_id,vrijeme_sec,status_id,registracija,uparivanje_id,originalstatus_id,imeprezimealias_id,klubalias_id,kategorijaalias_id) VALUES (468,42,1070,3099,1,1,1,0,Null,Null,Null);</v>
      </c>
      <c r="EW320" s="47" t="s">
        <v>0</v>
      </c>
      <c r="EX320" s="19" t="str">
        <f t="shared" si="292"/>
        <v>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0" s="47" t="s">
        <v>0</v>
      </c>
      <c r="EZ320" s="180" t="str">
        <f>AG320&amp;IF(CP320="","","
")&amp;CP320&amp;IF(CI320="","","
")&amp;CI320&amp;IF(DN320="","","
")&amp;DN320&amp;IF(DP320="","","
")&amp;DP320&amp;IF(EV320="","","
")&amp;EV320&amp;IF(EX320="","","
")&amp;EX320</f>
        <v xml:space="preserve">
INSERT INTO rezultat(id,stazakategorija_id,imeprezime_id,vrijeme_sec,status_id,registracija,uparivanje_id,originalstatus_id,imeprezimealias_id,klubalias_id,kategorijaalias_id) VALUES (468,42,1070,3099,1,1,1,0,Null,Null,Null);
UPDATE
	registar
SET
	potvrda = 1
WHERE
	imeprezime_id=1070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0" s="47" t="s">
        <v>0</v>
      </c>
    </row>
    <row r="321" spans="1:157" x14ac:dyDescent="0.25">
      <c r="A321" t="s">
        <v>0</v>
      </c>
      <c r="B321" s="52" t="str">
        <f>IF(csv!F311="","",csv!T311)</f>
        <v>Ž45</v>
      </c>
      <c r="C321" s="31" t="s">
        <v>0</v>
      </c>
      <c r="D321" s="31" t="str">
        <f>IF(csv!F311="","",csv!F311)</f>
        <v>Evelyn</v>
      </c>
      <c r="E321" s="31" t="str">
        <f>IF(csv!E311="","",csv!E311)</f>
        <v>Kraintz</v>
      </c>
      <c r="F321" s="31" t="s">
        <v>0</v>
      </c>
      <c r="G321" s="73" t="str">
        <f>IF(csv!M311="","",csv!M311)</f>
        <v>52:15</v>
      </c>
      <c r="H321" s="73" t="str">
        <f>IF(csv!N311="","",csv!N311)</f>
        <v>0</v>
      </c>
      <c r="I321" s="31" t="s">
        <v>0</v>
      </c>
      <c r="J321" s="31" t="str">
        <f>IF(csv!P311="","",csv!P311)</f>
        <v>Maksimir</v>
      </c>
      <c r="K321" s="31" t="str">
        <f>IF(csv!Q311="","",csv!Q311)</f>
        <v>OK Maksimir</v>
      </c>
      <c r="L321" s="31" t="s">
        <v>0</v>
      </c>
      <c r="M321" s="66" t="str">
        <f>IF(csv!R311="","",csv!R311)</f>
        <v>CRO</v>
      </c>
      <c r="N321" s="47" t="s">
        <v>0</v>
      </c>
      <c r="O321" s="243" t="str">
        <f t="shared" si="263"/>
        <v>ok</v>
      </c>
      <c r="P321" s="47"/>
      <c r="Q321" s="52" t="str">
        <f t="shared" si="264"/>
        <v>Ž45</v>
      </c>
      <c r="R321" s="73">
        <f>IF(Q321="","",IF(COUNTIF(Q$12:Q320,Q321)=0,R320+1,R320))</f>
        <v>20</v>
      </c>
      <c r="S321" s="73">
        <f t="shared" si="265"/>
        <v>116</v>
      </c>
      <c r="T321" s="73">
        <f t="shared" si="240"/>
        <v>25</v>
      </c>
      <c r="U321" s="66" t="str">
        <f t="shared" si="241"/>
        <v>Ž45</v>
      </c>
      <c r="V321" s="47" t="s">
        <v>0</v>
      </c>
      <c r="W321" s="222" t="str">
        <f t="shared" si="242"/>
        <v>Ž45</v>
      </c>
      <c r="X321" s="223">
        <f t="shared" si="243"/>
        <v>42</v>
      </c>
      <c r="Y321" s="47" t="s">
        <v>0</v>
      </c>
      <c r="Z321" s="52" t="str">
        <f t="shared" si="266"/>
        <v>CRO</v>
      </c>
      <c r="AA321" s="73">
        <f t="shared" si="244"/>
        <v>1</v>
      </c>
      <c r="AB321" s="31" t="str">
        <f t="shared" si="267"/>
        <v/>
      </c>
      <c r="AC321" s="66" t="str">
        <f>IF(AB321="","",MAX(AC$12:AC320)+1)</f>
        <v/>
      </c>
      <c r="AD321" s="47" t="s">
        <v>0</v>
      </c>
      <c r="AE321" s="125"/>
      <c r="AF321" s="47" t="s">
        <v>0</v>
      </c>
      <c r="AG321" s="19" t="str">
        <f t="shared" si="268"/>
        <v/>
      </c>
      <c r="AH321" s="47" t="s">
        <v>0</v>
      </c>
      <c r="AI321" s="143" t="str">
        <f t="shared" si="269"/>
        <v>CRO</v>
      </c>
      <c r="AJ321" s="47"/>
      <c r="AK321" s="52" t="str">
        <f t="shared" si="270"/>
        <v>Evelyn</v>
      </c>
      <c r="AL321" s="31" t="str">
        <f t="shared" si="271"/>
        <v>Kraintz</v>
      </c>
      <c r="AM321" s="73">
        <f t="shared" si="272"/>
        <v>1225</v>
      </c>
      <c r="AN321" s="73" t="str">
        <f t="shared" si="273"/>
        <v/>
      </c>
      <c r="AO321" s="31" t="str">
        <f t="shared" si="245"/>
        <v>Evelyn</v>
      </c>
      <c r="AP321" s="66" t="str">
        <f t="shared" si="246"/>
        <v>Kraintz</v>
      </c>
      <c r="AQ321" s="47" t="s">
        <v>0</v>
      </c>
      <c r="AR321" s="82" t="str">
        <f t="shared" si="274"/>
        <v/>
      </c>
      <c r="AS321" s="47" t="s">
        <v>0</v>
      </c>
      <c r="AT321" s="19" t="str">
        <f t="shared" si="275"/>
        <v/>
      </c>
      <c r="AU321" s="47" t="s">
        <v>0</v>
      </c>
      <c r="AV321" s="103"/>
      <c r="AW321" s="105"/>
      <c r="AX321" s="47" t="s">
        <v>0</v>
      </c>
      <c r="AY321" s="256" t="str">
        <f t="shared" si="293"/>
        <v/>
      </c>
      <c r="AZ321" s="47" t="s">
        <v>0</v>
      </c>
      <c r="BA321" s="52" t="str">
        <f t="shared" si="247"/>
        <v/>
      </c>
      <c r="BB321" s="73" t="str">
        <f>IF(AV321&amp;AW321="","",MAX(BB$12:BB320)+1)</f>
        <v/>
      </c>
      <c r="BC321" s="268" t="str">
        <f t="shared" si="248"/>
        <v/>
      </c>
      <c r="BD321" s="53" t="str">
        <f>IF(AND(AM321="NEMA",AN321="NEMA",OR(AV321&amp;AW321="",BC321="NEMA")),MAX(BD$12:BD320)+1,"")</f>
        <v/>
      </c>
      <c r="BE321" s="47" t="s">
        <v>0</v>
      </c>
      <c r="BF321" s="52" t="str">
        <f t="shared" si="249"/>
        <v>Evelyn</v>
      </c>
      <c r="BG321" s="31" t="str">
        <f t="shared" si="250"/>
        <v>Kraintz</v>
      </c>
      <c r="BH321" s="73" t="str">
        <f t="shared" si="276"/>
        <v/>
      </c>
      <c r="BI321" s="53">
        <f t="shared" si="277"/>
        <v>1225</v>
      </c>
      <c r="BJ321" s="47" t="s">
        <v>0</v>
      </c>
      <c r="BK321" s="52" t="str">
        <f t="shared" si="251"/>
        <v>Maksimir</v>
      </c>
      <c r="BL321" s="31" t="str">
        <f t="shared" si="252"/>
        <v>OK Maksimir</v>
      </c>
      <c r="BM321" s="73">
        <f t="shared" si="253"/>
        <v>6</v>
      </c>
      <c r="BN321" s="73" t="str">
        <f t="shared" si="254"/>
        <v/>
      </c>
      <c r="BO321" s="31" t="str" cm="1">
        <f t="array" ref="BO321">IF(BN321="",""&amp;BL321,IF(BN321="NEMA",BL321,INDEX(regKlub_naziv,MATCH(INDEX(regKlub_alias_klubId,BN321),regKlub_id,0))))</f>
        <v>OK Maksimir</v>
      </c>
      <c r="BP321" s="31" t="str" cm="1">
        <f t="array" ref="BP321">IFERROR(""&amp;INDEX(regNatjecatelj_klub,DY321),"")</f>
        <v>OK Maksimir</v>
      </c>
      <c r="BQ321" s="88" t="str">
        <f t="shared" si="278"/>
        <v/>
      </c>
      <c r="BR321" s="66" t="str">
        <f t="shared" si="279"/>
        <v>OK Maksimir</v>
      </c>
      <c r="BS321" s="47" t="s">
        <v>0</v>
      </c>
      <c r="BT321" s="82" t="str">
        <f>IF(BN321&lt;&gt;"NEMA","",IF(IFERROR(MATCH(BL321,BL$12:BL320,0),0)&lt;&gt;0,"",BL321))</f>
        <v/>
      </c>
      <c r="BU321" s="47" t="s">
        <v>0</v>
      </c>
      <c r="BV321" s="125"/>
      <c r="BW321" s="47" t="s">
        <v>0</v>
      </c>
      <c r="BX321" s="58" t="str">
        <f t="shared" si="280"/>
        <v/>
      </c>
      <c r="BY321" s="31" t="str">
        <f t="shared" si="281"/>
        <v/>
      </c>
      <c r="BZ321" s="31" t="str">
        <f>IF(BY321="","",MAX(BZ$12:BZ320)+1)</f>
        <v/>
      </c>
      <c r="CA321" s="31" t="str">
        <f>IF(BY321="","",IF(AA321="","",IF(AA321="NEMA",AC321,AA321)))</f>
        <v/>
      </c>
      <c r="CB321" s="31" t="str">
        <f t="shared" si="282"/>
        <v/>
      </c>
      <c r="CC321" s="31" t="str">
        <f>IF(BV321="","",MAX(CC$12:CC320)+1)</f>
        <v/>
      </c>
      <c r="CD321" s="31" t="str">
        <f t="shared" si="283"/>
        <v/>
      </c>
      <c r="CE321" s="66" t="str">
        <f t="shared" si="284"/>
        <v/>
      </c>
      <c r="CF321" s="47" t="s">
        <v>0</v>
      </c>
      <c r="CG321" s="73" t="str">
        <f>IF(BN321="","",IF(BN321&lt;&gt;"NEMA","",IFERROR(INDEX(nat_klubAliasId,MATCH(BL321,nat_noviKluboviAliasi,0)),"")))</f>
        <v/>
      </c>
      <c r="CH321" s="47"/>
      <c r="CI321" s="19" t="str">
        <f t="shared" si="285"/>
        <v/>
      </c>
      <c r="CJ321" s="47" t="s">
        <v>0</v>
      </c>
      <c r="CK321" s="52" t="str">
        <f>IF(X321&lt;&gt;"NEMA","",IF(IFERROR(MATCH(W321,W$12:W320,0),0)&lt;&gt;0,"",W321))</f>
        <v/>
      </c>
      <c r="CL321" s="73" t="str">
        <f>IF(CK321="","",IFERROR(INDEX(regKlub_alias_id,MATCH(CK321,regKlub_alias_alias,0)),"NEMA"))</f>
        <v/>
      </c>
      <c r="CM321" s="31" t="str">
        <f>IF(OR(CL321="",CL321&lt;&gt;"NEMA"),"",MAX(CM$12:CM320)+1)</f>
        <v/>
      </c>
      <c r="CN321" s="66" t="str">
        <f>IF(OR(CL321="",CL321&lt;&gt;"NEMA"),"",INDEX(regKlub_id,MATCH(CK321,regKlub_naziv,0)))</f>
        <v/>
      </c>
      <c r="CO321" s="47" t="s">
        <v>0</v>
      </c>
      <c r="CP321" s="19" t="str">
        <f>IF(OR(CL321="",CL321&lt;&gt;"NEMA"),"","INSERT INTO klub_alias(id,alias,klub_id) VALUES ("&amp;CM321&amp;",'"&amp;CK321&amp;"',"&amp;CN321&amp;");")</f>
        <v/>
      </c>
      <c r="CQ321" s="47" t="s">
        <v>0</v>
      </c>
      <c r="CR321" s="143" t="str">
        <f>IF(BR321="","",IF(BV321="",IF(IFERROR(MATCH(BR321,nat_noviKluboviAliasi,0),0)&gt;0,INDEX(nat_kluboviAliasi,MATCH(BR321,nat_noviKluboviAliasi,0)),BR321),BV321))</f>
        <v>OK Maksimir</v>
      </c>
      <c r="CS321" s="47" t="s">
        <v>0</v>
      </c>
      <c r="CT321" s="58" t="str">
        <f>IF(G321="","",G321)</f>
        <v>52:15</v>
      </c>
      <c r="CU321" s="73" t="str">
        <f>IF(H321="","",H321)</f>
        <v>0</v>
      </c>
      <c r="CV321" s="229" t="str">
        <f>IF(CT321="",IF(OR(AL321="",CU321&lt;&gt;"0"),"","GREŠKA"),IF(AND(65535&gt;=VALUE(LEFT(CT321,SEARCH(":",CT321)-1))*60+VALUE(RIGHT(CT321,2)),OR(CU321="0",CU321="1",CU321="2",CU321="3",CU321="4")),"","GREŠKA"))</f>
        <v/>
      </c>
      <c r="CW321" s="230">
        <f t="shared" si="295"/>
        <v>3135</v>
      </c>
      <c r="CX321" s="163">
        <f t="shared" si="255"/>
        <v>1</v>
      </c>
      <c r="CY321" s="47" t="s">
        <v>0</v>
      </c>
      <c r="CZ321" s="222" t="str">
        <f>IF(CV321&lt;&gt;"GREŠKA","",AK321&amp;" "&amp;AL321&amp;" – Molim u OEventu provjeriti i ispraviti rezultat – vrijeme ("&amp;IF(CT321="","nije upisano",CT321)&amp;") i classifier ("&amp;CU321&amp;").")&amp;IF(OR(CV321&lt;&gt;"GREŠKA",CX321&lt;&gt;5),"
","")&amp;IF(CX321&lt;&gt;5,"",AK321&amp;" "&amp;AL321&amp;" – Molim u provjeriti je li natjecatelj zaista diskvalificiran. Ako je koje je obrazloženje, ako nije molim u OEventu ispraviti rezultat")</f>
        <v xml:space="preserve">
</v>
      </c>
      <c r="DA321" s="223">
        <f t="shared" si="286"/>
        <v>6</v>
      </c>
      <c r="DB321" s="47" t="s">
        <v>0</v>
      </c>
      <c r="DC321" s="47"/>
      <c r="DD321" s="47"/>
      <c r="DE321" s="47"/>
      <c r="DF321" s="47" t="s">
        <v>0</v>
      </c>
      <c r="DG321" s="53" t="str">
        <f>IF(BD321="","",IF(DI321="O",1,""))</f>
        <v/>
      </c>
      <c r="DH321" t="s">
        <v>0</v>
      </c>
      <c r="DI321" s="128" t="str">
        <f>IF(Q321="","",LEFT(INDEX(regKategorija_oznaka,MATCH(S321,regKategorija_id,0)),1))</f>
        <v>Ž</v>
      </c>
      <c r="DJ321" t="s">
        <v>0</v>
      </c>
      <c r="DK321" s="52" t="str">
        <f>IF(BD321="","",IF(M321&lt;&gt;"CRO","","INSERT INTO osoba (id,reg_broj,oib,spol_id,dat_rodjenja) VALUES ("&amp;BD321&amp;",(SELECT max(os.reg_broj)+1 FROM osoba AS os),Null,'"&amp;DI321&amp;"',Null); INSERT INTO osoba_log (id,reg_broj,oib,spol_id,dat_rodjenja,dnevnik_id) SELECT id,reg_broj,oib,spol_id,dat_rodjenja,"&amp;data_dnevnik_id&amp;" FROM osoba WHERE id = "&amp;BD321&amp;";"))</f>
        <v/>
      </c>
      <c r="DL321" s="66" t="str">
        <f>IF(BD321="","","INSERT INTO imeprezime (id,osoba_id,rbr,ime,prezime,klub_id,identitet_id,sintaksa_id,info,aktivno,dnevnik_id) VALUES ("&amp;BD321&amp;","&amp;IF(DK321="","Null",BD321)&amp;",1,'"&amp;IF(AV321&lt;&gt;"",AV321,AK321)&amp;"','"&amp;IF(AW321&lt;&gt;"",AW321,AL321)&amp;"',(SELECT id FROM klub WHERE naziv = '"&amp;CR321&amp;"'),Null,1,'',1,"&amp;data_dnevnik_id&amp;");")</f>
        <v/>
      </c>
      <c r="DM321" t="s">
        <v>0</v>
      </c>
      <c r="DN321" s="19" t="str">
        <f t="shared" si="294"/>
        <v/>
      </c>
      <c r="DO321" s="47" t="s">
        <v>0</v>
      </c>
      <c r="DP321" s="19" t="str">
        <f>IF(BA321="","","INSERT INTO imeprezime_alias(id,alias,imeprezime_id) VALUES ("&amp;BB321&amp;",'"&amp;BA321&amp;"',"&amp;IF(BC321="NEMA",BD321,BC321)&amp;");")</f>
        <v/>
      </c>
      <c r="DQ321" s="47" t="s">
        <v>0</v>
      </c>
      <c r="DR321" s="52" t="str">
        <f>IF(AL321="","",DU321 &amp; IF(Q321="",""," – " &amp; Q321))</f>
        <v>Evelyn – Kraintz – OK Maksimir – Ž45</v>
      </c>
      <c r="DS321" s="53">
        <f t="shared" si="256"/>
        <v>363</v>
      </c>
      <c r="DT321" s="47" t="s">
        <v>0</v>
      </c>
      <c r="DU321" s="52" t="str">
        <f>IF(AL321="","",DX321 &amp; IF(CR321="",""," – " &amp; CR321))</f>
        <v>Evelyn – Kraintz – OK Maksimir</v>
      </c>
      <c r="DV321" s="53">
        <f t="shared" si="257"/>
        <v>363</v>
      </c>
      <c r="DW321" s="47" t="s">
        <v>0</v>
      </c>
      <c r="DX321" s="52" t="str">
        <f>IF(BG321="","",BF321&amp;" – "&amp;BG321)</f>
        <v>Evelyn – Kraintz</v>
      </c>
      <c r="DY321" s="53">
        <f t="shared" si="258"/>
        <v>363</v>
      </c>
      <c r="DZ321" s="47" t="s">
        <v>0</v>
      </c>
      <c r="EA321" s="58">
        <f t="shared" si="287"/>
        <v>363</v>
      </c>
      <c r="EB321" s="53" cm="1">
        <f t="array" ref="EB321">IF(EA321&lt;&gt;"",INDEX(regNatjecatelj_id,EA321,0),IF(BD321&lt;&gt;"",BD321,""))</f>
        <v>1225</v>
      </c>
      <c r="EC321" s="47" t="s">
        <v>0</v>
      </c>
      <c r="ED321" s="58" t="str">
        <f>IF(AL321="","",IF(BD321&lt;&gt;"","novo",IF(AN321="","imepre","imepre(ali)")))</f>
        <v>imepre</v>
      </c>
      <c r="EE321" s="73" t="str">
        <f>IF(AL321="","",IF(BL321="",IF(IFERROR(INDEX(regNatjecatelj_klub,MATCH(EB321,regNatjecatelj_id,0)),"NEMA")="","klu",""),IF(OR(AND(BN321&lt;&gt;"",BN321&lt;&gt;"NEMA"),CD321&lt;&gt;""),"klu(ali)",IF(AND(BP321&lt;&gt;"",BP321&lt;&gt;BO321),"(raz-klu)","klu"))))</f>
        <v>klu</v>
      </c>
      <c r="EF321" s="73" t="str">
        <f>IF(AL321="","","kat"&amp;IF(AND(W321&lt;&gt;Q321,Q321&lt;&gt;"Open"),"(ali)",""))</f>
        <v>kat</v>
      </c>
      <c r="EG321" s="73" t="str">
        <f t="shared" si="259"/>
        <v/>
      </c>
      <c r="EH321" s="66" t="str">
        <f>IF(AL321="","",ED321&amp;IF(ED321="novo","","-"&amp;EE321&amp;"-"&amp;EF321)&amp;IF(EG321="","","-"&amp;EG321))</f>
        <v>imepre-klu-kat</v>
      </c>
      <c r="EI321" s="47" t="s">
        <v>0</v>
      </c>
      <c r="EJ321" s="58">
        <f>IF(AL321="","",MAX(EJ$12:EJ320)+1)</f>
        <v>469</v>
      </c>
      <c r="EK321" s="73">
        <f>IF(AO321="","",X321)</f>
        <v>42</v>
      </c>
      <c r="EL321" s="73">
        <f t="shared" si="288"/>
        <v>1225</v>
      </c>
      <c r="EM321" s="73">
        <f t="shared" si="260"/>
        <v>3135</v>
      </c>
      <c r="EN321" s="73">
        <f t="shared" si="261"/>
        <v>1</v>
      </c>
      <c r="EO321" s="73">
        <f t="shared" si="289"/>
        <v>1</v>
      </c>
      <c r="EP321" s="73">
        <f t="shared" si="290"/>
        <v>1</v>
      </c>
      <c r="EQ321" s="73" t="str">
        <f t="shared" si="262"/>
        <v>0</v>
      </c>
      <c r="ER321" s="73" t="str">
        <f>IF(OR(AN321="",AN321="NEMA"),BB321,AN321)</f>
        <v/>
      </c>
      <c r="ES321" s="73" t="str">
        <f>IF(AND(BN321&lt;&gt;"",BN321&lt;&gt;"NEMA"),BN321,IF(CG321&lt;&gt;"",CG321,IF(AND(CL321&lt;&gt;"",CL321&lt;&gt;"NEMA"),CL321,IF(CM321&lt;&gt;"",CM321,""))))</f>
        <v/>
      </c>
      <c r="ET321" s="53" t="str">
        <f>IF(INDEX(natKategorija_alias_Id,MATCH(S321,natKategorija_katRegId,0))="","",INDEX(natKategorija_alias_Id,MATCH(S321,natKategorija_katRegId,0)))</f>
        <v/>
      </c>
      <c r="EU321" s="47" t="s">
        <v>0</v>
      </c>
      <c r="EV321" s="19" t="str">
        <f t="shared" si="291"/>
        <v>INSERT INTO rezultat(id,stazakategorija_id,imeprezime_id,vrijeme_sec,status_id,registracija,uparivanje_id,originalstatus_id,imeprezimealias_id,klubalias_id,kategorijaalias_id) VALUES (469,42,1225,3135,1,1,1,0,Null,Null,Null);</v>
      </c>
      <c r="EW321" s="47" t="s">
        <v>0</v>
      </c>
      <c r="EX321" s="19" t="str">
        <f t="shared" si="292"/>
        <v>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1" s="47" t="s">
        <v>0</v>
      </c>
      <c r="EZ321" s="180" t="str">
        <f>AG321&amp;IF(CP321="","","
")&amp;CP321&amp;IF(CI321="","","
")&amp;CI321&amp;IF(DN321="","","
")&amp;DN321&amp;IF(DP321="","","
")&amp;DP321&amp;IF(EV321="","","
")&amp;EV321&amp;IF(EX321="","","
")&amp;EX321</f>
        <v xml:space="preserve">
INSERT INTO rezultat(id,stazakategorija_id,imeprezime_id,vrijeme_sec,status_id,registracija,uparivanje_id,originalstatus_id,imeprezimealias_id,klubalias_id,kategorijaalias_id) VALUES (469,42,1225,3135,1,1,1,0,Null,Null,Null);
UPDATE
	registar
SET
	potvrda = 1
WHERE
	imeprezime_id=1225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1" s="47" t="s">
        <v>0</v>
      </c>
    </row>
    <row r="322" spans="1:157" x14ac:dyDescent="0.25">
      <c r="A322" t="s">
        <v>0</v>
      </c>
      <c r="B322" s="52" t="str">
        <f>IF(csv!F312="","",csv!T312)</f>
        <v>Ž45</v>
      </c>
      <c r="C322" s="31" t="s">
        <v>0</v>
      </c>
      <c r="D322" s="31" t="str">
        <f>IF(csv!F312="","",csv!F312)</f>
        <v>Gabrijela</v>
      </c>
      <c r="E322" s="31" t="str">
        <f>IF(csv!E312="","",csv!E312)</f>
        <v>Baburek</v>
      </c>
      <c r="F322" s="31" t="s">
        <v>0</v>
      </c>
      <c r="G322" s="73" t="str">
        <f>IF(csv!M312="","",csv!M312)</f>
        <v>53:45</v>
      </c>
      <c r="H322" s="73" t="str">
        <f>IF(csv!N312="","",csv!N312)</f>
        <v>0</v>
      </c>
      <c r="I322" s="31" t="s">
        <v>0</v>
      </c>
      <c r="J322" s="31" t="str">
        <f>IF(csv!P312="","",csv!P312)</f>
        <v>JAP</v>
      </c>
      <c r="K322" s="31" t="str">
        <f>IF(csv!Q312="","",csv!Q312)</f>
        <v>OK Japetic</v>
      </c>
      <c r="L322" s="31" t="s">
        <v>0</v>
      </c>
      <c r="M322" s="66" t="str">
        <f>IF(csv!R312="","",csv!R312)</f>
        <v>CRO</v>
      </c>
      <c r="N322" s="47" t="s">
        <v>0</v>
      </c>
      <c r="O322" s="243" t="str">
        <f t="shared" si="263"/>
        <v>ok</v>
      </c>
      <c r="P322" s="47"/>
      <c r="Q322" s="52" t="str">
        <f t="shared" si="264"/>
        <v>Ž45</v>
      </c>
      <c r="R322" s="73">
        <f>IF(Q322="","",IF(COUNTIF(Q$12:Q321,Q322)=0,R321+1,R321))</f>
        <v>20</v>
      </c>
      <c r="S322" s="73">
        <f t="shared" si="265"/>
        <v>116</v>
      </c>
      <c r="T322" s="73">
        <f t="shared" si="240"/>
        <v>25</v>
      </c>
      <c r="U322" s="66" t="str">
        <f t="shared" si="241"/>
        <v>Ž45</v>
      </c>
      <c r="V322" s="47" t="s">
        <v>0</v>
      </c>
      <c r="W322" s="222" t="str">
        <f t="shared" si="242"/>
        <v>Ž45</v>
      </c>
      <c r="X322" s="223">
        <f t="shared" si="243"/>
        <v>42</v>
      </c>
      <c r="Y322" s="47" t="s">
        <v>0</v>
      </c>
      <c r="Z322" s="52" t="str">
        <f t="shared" si="266"/>
        <v>CRO</v>
      </c>
      <c r="AA322" s="73">
        <f t="shared" si="244"/>
        <v>1</v>
      </c>
      <c r="AB322" s="31" t="str">
        <f t="shared" si="267"/>
        <v/>
      </c>
      <c r="AC322" s="66" t="str">
        <f>IF(AB322="","",MAX(AC$12:AC321)+1)</f>
        <v/>
      </c>
      <c r="AD322" s="47" t="s">
        <v>0</v>
      </c>
      <c r="AE322" s="125"/>
      <c r="AF322" s="47" t="s">
        <v>0</v>
      </c>
      <c r="AG322" s="19" t="str">
        <f t="shared" si="268"/>
        <v/>
      </c>
      <c r="AH322" s="47" t="s">
        <v>0</v>
      </c>
      <c r="AI322" s="143" t="str">
        <f t="shared" si="269"/>
        <v>CRO</v>
      </c>
      <c r="AJ322" s="47"/>
      <c r="AK322" s="52" t="str">
        <f t="shared" si="270"/>
        <v>Gabrijela</v>
      </c>
      <c r="AL322" s="31" t="str">
        <f t="shared" si="271"/>
        <v>Baburek</v>
      </c>
      <c r="AM322" s="73">
        <f t="shared" si="272"/>
        <v>1217</v>
      </c>
      <c r="AN322" s="73" t="str">
        <f t="shared" si="273"/>
        <v/>
      </c>
      <c r="AO322" s="31" t="str">
        <f t="shared" si="245"/>
        <v>Gabrijela</v>
      </c>
      <c r="AP322" s="66" t="str">
        <f t="shared" si="246"/>
        <v>Baburek</v>
      </c>
      <c r="AQ322" s="47" t="s">
        <v>0</v>
      </c>
      <c r="AR322" s="82" t="str">
        <f t="shared" si="274"/>
        <v/>
      </c>
      <c r="AS322" s="47" t="s">
        <v>0</v>
      </c>
      <c r="AT322" s="19" t="str">
        <f t="shared" si="275"/>
        <v/>
      </c>
      <c r="AU322" s="47" t="s">
        <v>0</v>
      </c>
      <c r="AV322" s="103"/>
      <c r="AW322" s="105"/>
      <c r="AX322" s="47" t="s">
        <v>0</v>
      </c>
      <c r="AY322" s="256" t="str">
        <f t="shared" si="293"/>
        <v/>
      </c>
      <c r="AZ322" s="47" t="s">
        <v>0</v>
      </c>
      <c r="BA322" s="52" t="str">
        <f t="shared" si="247"/>
        <v/>
      </c>
      <c r="BB322" s="73" t="str">
        <f>IF(AV322&amp;AW322="","",MAX(BB$12:BB321)+1)</f>
        <v/>
      </c>
      <c r="BC322" s="268" t="str">
        <f t="shared" si="248"/>
        <v/>
      </c>
      <c r="BD322" s="53" t="str">
        <f>IF(AND(AM322="NEMA",AN322="NEMA",OR(AV322&amp;AW322="",BC322="NEMA")),MAX(BD$12:BD321)+1,"")</f>
        <v/>
      </c>
      <c r="BE322" s="47" t="s">
        <v>0</v>
      </c>
      <c r="BF322" s="52" t="str">
        <f t="shared" si="249"/>
        <v>Gabrijela</v>
      </c>
      <c r="BG322" s="31" t="str">
        <f t="shared" si="250"/>
        <v>Baburek</v>
      </c>
      <c r="BH322" s="73" t="str">
        <f t="shared" si="276"/>
        <v/>
      </c>
      <c r="BI322" s="53">
        <f t="shared" si="277"/>
        <v>1217</v>
      </c>
      <c r="BJ322" s="47" t="s">
        <v>0</v>
      </c>
      <c r="BK322" s="52" t="str">
        <f t="shared" si="251"/>
        <v>JAP</v>
      </c>
      <c r="BL322" s="31" t="str">
        <f t="shared" si="252"/>
        <v>OK Japetic</v>
      </c>
      <c r="BM322" s="73" t="str">
        <f t="shared" si="253"/>
        <v>NEMA</v>
      </c>
      <c r="BN322" s="73">
        <f t="shared" si="254"/>
        <v>1</v>
      </c>
      <c r="BO322" s="31" t="str" cm="1">
        <f t="array" ref="BO322">IF(BN322="",""&amp;BL322,IF(BN322="NEMA",BL322,INDEX(regKlub_naziv,MATCH(INDEX(regKlub_alias_klubId,BN322),regKlub_id,0))))</f>
        <v>OK Japetić</v>
      </c>
      <c r="BP322" s="31" t="str" cm="1">
        <f t="array" ref="BP322">IFERROR(""&amp;INDEX(regNatjecatelj_klub,DY322),"")</f>
        <v>OK Japetić</v>
      </c>
      <c r="BQ322" s="88" t="str">
        <f t="shared" si="278"/>
        <v/>
      </c>
      <c r="BR322" s="66" t="str">
        <f t="shared" si="279"/>
        <v>OK Japetić</v>
      </c>
      <c r="BS322" s="47" t="s">
        <v>0</v>
      </c>
      <c r="BT322" s="82" t="str">
        <f>IF(BN322&lt;&gt;"NEMA","",IF(IFERROR(MATCH(BL322,BL$12:BL321,0),0)&lt;&gt;0,"",BL322))</f>
        <v/>
      </c>
      <c r="BU322" s="47" t="s">
        <v>0</v>
      </c>
      <c r="BV322" s="125"/>
      <c r="BW322" s="47" t="s">
        <v>0</v>
      </c>
      <c r="BX322" s="58" t="str">
        <f t="shared" si="280"/>
        <v/>
      </c>
      <c r="BY322" s="31" t="str">
        <f t="shared" si="281"/>
        <v/>
      </c>
      <c r="BZ322" s="31" t="str">
        <f>IF(BY322="","",MAX(BZ$12:BZ321)+1)</f>
        <v/>
      </c>
      <c r="CA322" s="31" t="str">
        <f>IF(BY322="","",IF(AA322="","",IF(AA322="NEMA",AC322,AA322)))</f>
        <v/>
      </c>
      <c r="CB322" s="31" t="str">
        <f t="shared" si="282"/>
        <v/>
      </c>
      <c r="CC322" s="31" t="str">
        <f>IF(BV322="","",MAX(CC$12:CC321)+1)</f>
        <v/>
      </c>
      <c r="CD322" s="31" t="str">
        <f t="shared" si="283"/>
        <v/>
      </c>
      <c r="CE322" s="66" t="str">
        <f t="shared" si="284"/>
        <v/>
      </c>
      <c r="CF322" s="47" t="s">
        <v>0</v>
      </c>
      <c r="CG322" s="73" t="str">
        <f>IF(BN322="","",IF(BN322&lt;&gt;"NEMA","",IFERROR(INDEX(nat_klubAliasId,MATCH(BL322,nat_noviKluboviAliasi,0)),"")))</f>
        <v/>
      </c>
      <c r="CH322" s="47"/>
      <c r="CI322" s="19" t="str">
        <f t="shared" si="285"/>
        <v/>
      </c>
      <c r="CJ322" s="47" t="s">
        <v>0</v>
      </c>
      <c r="CK322" s="52" t="str">
        <f>IF(X322&lt;&gt;"NEMA","",IF(IFERROR(MATCH(W322,W$12:W321,0),0)&lt;&gt;0,"",W322))</f>
        <v/>
      </c>
      <c r="CL322" s="73" t="str">
        <f>IF(CK322="","",IFERROR(INDEX(regKlub_alias_id,MATCH(CK322,regKlub_alias_alias,0)),"NEMA"))</f>
        <v/>
      </c>
      <c r="CM322" s="31" t="str">
        <f>IF(OR(CL322="",CL322&lt;&gt;"NEMA"),"",MAX(CM$12:CM321)+1)</f>
        <v/>
      </c>
      <c r="CN322" s="66" t="str">
        <f>IF(OR(CL322="",CL322&lt;&gt;"NEMA"),"",INDEX(regKlub_id,MATCH(CK322,regKlub_naziv,0)))</f>
        <v/>
      </c>
      <c r="CO322" s="47" t="s">
        <v>0</v>
      </c>
      <c r="CP322" s="19" t="str">
        <f>IF(OR(CL322="",CL322&lt;&gt;"NEMA"),"","INSERT INTO klub_alias(id,alias,klub_id) VALUES ("&amp;CM322&amp;",'"&amp;CK322&amp;"',"&amp;CN322&amp;");")</f>
        <v/>
      </c>
      <c r="CQ322" s="47" t="s">
        <v>0</v>
      </c>
      <c r="CR322" s="143" t="str">
        <f>IF(BR322="","",IF(BV322="",IF(IFERROR(MATCH(BR322,nat_noviKluboviAliasi,0),0)&gt;0,INDEX(nat_kluboviAliasi,MATCH(BR322,nat_noviKluboviAliasi,0)),BR322),BV322))</f>
        <v>OK Japetić</v>
      </c>
      <c r="CS322" s="47" t="s">
        <v>0</v>
      </c>
      <c r="CT322" s="58" t="str">
        <f>IF(G322="","",G322)</f>
        <v>53:45</v>
      </c>
      <c r="CU322" s="73" t="str">
        <f>IF(H322="","",H322)</f>
        <v>0</v>
      </c>
      <c r="CV322" s="229" t="str">
        <f>IF(CT322="",IF(OR(AL322="",CU322&lt;&gt;"0"),"","GREŠKA"),IF(AND(65535&gt;=VALUE(LEFT(CT322,SEARCH(":",CT322)-1))*60+VALUE(RIGHT(CT322,2)),OR(CU322="0",CU322="1",CU322="2",CU322="3",CU322="4")),"","GREŠKA"))</f>
        <v/>
      </c>
      <c r="CW322" s="230">
        <f t="shared" si="295"/>
        <v>3225</v>
      </c>
      <c r="CX322" s="163">
        <f t="shared" si="255"/>
        <v>1</v>
      </c>
      <c r="CY322" s="47" t="s">
        <v>0</v>
      </c>
      <c r="CZ322" s="222" t="str">
        <f>IF(CV322&lt;&gt;"GREŠKA","",AK322&amp;" "&amp;AL322&amp;" – Molim u OEventu provjeriti i ispraviti rezultat – vrijeme ("&amp;IF(CT322="","nije upisano",CT322)&amp;") i classifier ("&amp;CU322&amp;").")&amp;IF(OR(CV322&lt;&gt;"GREŠKA",CX322&lt;&gt;5),"
","")&amp;IF(CX322&lt;&gt;5,"",AK322&amp;" "&amp;AL322&amp;" – Molim u provjeriti je li natjecatelj zaista diskvalificiran. Ako je koje je obrazloženje, ako nije molim u OEventu ispraviti rezultat")</f>
        <v xml:space="preserve">
</v>
      </c>
      <c r="DA322" s="223">
        <f t="shared" si="286"/>
        <v>6</v>
      </c>
      <c r="DB322" s="47" t="s">
        <v>0</v>
      </c>
      <c r="DC322" s="47"/>
      <c r="DD322" s="47"/>
      <c r="DE322" s="47"/>
      <c r="DF322" s="47" t="s">
        <v>0</v>
      </c>
      <c r="DG322" s="53" t="str">
        <f>IF(BD322="","",IF(DI322="O",1,""))</f>
        <v/>
      </c>
      <c r="DH322" t="s">
        <v>0</v>
      </c>
      <c r="DI322" s="128" t="str">
        <f>IF(Q322="","",LEFT(INDEX(regKategorija_oznaka,MATCH(S322,regKategorija_id,0)),1))</f>
        <v>Ž</v>
      </c>
      <c r="DJ322" t="s">
        <v>0</v>
      </c>
      <c r="DK322" s="52" t="str">
        <f>IF(BD322="","",IF(M322&lt;&gt;"CRO","","INSERT INTO osoba (id,reg_broj,oib,spol_id,dat_rodjenja) VALUES ("&amp;BD322&amp;",(SELECT max(os.reg_broj)+1 FROM osoba AS os),Null,'"&amp;DI322&amp;"',Null); INSERT INTO osoba_log (id,reg_broj,oib,spol_id,dat_rodjenja,dnevnik_id) SELECT id,reg_broj,oib,spol_id,dat_rodjenja,"&amp;data_dnevnik_id&amp;" FROM osoba WHERE id = "&amp;BD322&amp;";"))</f>
        <v/>
      </c>
      <c r="DL322" s="66" t="str">
        <f>IF(BD322="","","INSERT INTO imeprezime (id,osoba_id,rbr,ime,prezime,klub_id,identitet_id,sintaksa_id,info,aktivno,dnevnik_id) VALUES ("&amp;BD322&amp;","&amp;IF(DK322="","Null",BD322)&amp;",1,'"&amp;IF(AV322&lt;&gt;"",AV322,AK322)&amp;"','"&amp;IF(AW322&lt;&gt;"",AW322,AL322)&amp;"',(SELECT id FROM klub WHERE naziv = '"&amp;CR322&amp;"'),Null,1,'',1,"&amp;data_dnevnik_id&amp;");")</f>
        <v/>
      </c>
      <c r="DM322" t="s">
        <v>0</v>
      </c>
      <c r="DN322" s="19" t="str">
        <f t="shared" si="294"/>
        <v/>
      </c>
      <c r="DO322" s="47" t="s">
        <v>0</v>
      </c>
      <c r="DP322" s="19" t="str">
        <f>IF(BA322="","","INSERT INTO imeprezime_alias(id,alias,imeprezime_id) VALUES ("&amp;BB322&amp;",'"&amp;BA322&amp;"',"&amp;IF(BC322="NEMA",BD322,BC322)&amp;");")</f>
        <v/>
      </c>
      <c r="DQ322" s="47" t="s">
        <v>0</v>
      </c>
      <c r="DR322" s="52" t="str">
        <f>IF(AL322="","",DU322 &amp; IF(Q322="",""," – " &amp; Q322))</f>
        <v>Gabrijela – Baburek – OK Japetić – Ž45</v>
      </c>
      <c r="DS322" s="53">
        <f t="shared" si="256"/>
        <v>73</v>
      </c>
      <c r="DT322" s="47" t="s">
        <v>0</v>
      </c>
      <c r="DU322" s="52" t="str">
        <f>IF(AL322="","",DX322 &amp; IF(CR322="",""," – " &amp; CR322))</f>
        <v>Gabrijela – Baburek – OK Japetić</v>
      </c>
      <c r="DV322" s="53">
        <f t="shared" si="257"/>
        <v>73</v>
      </c>
      <c r="DW322" s="47" t="s">
        <v>0</v>
      </c>
      <c r="DX322" s="52" t="str">
        <f>IF(BG322="","",BF322&amp;" – "&amp;BG322)</f>
        <v>Gabrijela – Baburek</v>
      </c>
      <c r="DY322" s="53">
        <f t="shared" si="258"/>
        <v>73</v>
      </c>
      <c r="DZ322" s="47" t="s">
        <v>0</v>
      </c>
      <c r="EA322" s="58">
        <f t="shared" si="287"/>
        <v>73</v>
      </c>
      <c r="EB322" s="53" cm="1">
        <f t="array" ref="EB322">IF(EA322&lt;&gt;"",INDEX(regNatjecatelj_id,EA322,0),IF(BD322&lt;&gt;"",BD322,""))</f>
        <v>1217</v>
      </c>
      <c r="EC322" s="47" t="s">
        <v>0</v>
      </c>
      <c r="ED322" s="58" t="str">
        <f>IF(AL322="","",IF(BD322&lt;&gt;"","novo",IF(AN322="","imepre","imepre(ali)")))</f>
        <v>imepre</v>
      </c>
      <c r="EE322" s="73" t="str">
        <f>IF(AL322="","",IF(BL322="",IF(IFERROR(INDEX(regNatjecatelj_klub,MATCH(EB322,regNatjecatelj_id,0)),"NEMA")="","klu",""),IF(OR(AND(BN322&lt;&gt;"",BN322&lt;&gt;"NEMA"),CD322&lt;&gt;""),"klu(ali)",IF(AND(BP322&lt;&gt;"",BP322&lt;&gt;BO322),"(raz-klu)","klu"))))</f>
        <v>klu(ali)</v>
      </c>
      <c r="EF322" s="73" t="str">
        <f>IF(AL322="","","kat"&amp;IF(AND(W322&lt;&gt;Q322,Q322&lt;&gt;"Open"),"(ali)",""))</f>
        <v>kat</v>
      </c>
      <c r="EG322" s="73" t="str">
        <f t="shared" si="259"/>
        <v/>
      </c>
      <c r="EH322" s="66" t="str">
        <f>IF(AL322="","",ED322&amp;IF(ED322="novo","","-"&amp;EE322&amp;"-"&amp;EF322)&amp;IF(EG322="","","-"&amp;EG322))</f>
        <v>imepre-klu(ali)-kat</v>
      </c>
      <c r="EI322" s="47" t="s">
        <v>0</v>
      </c>
      <c r="EJ322" s="58">
        <f>IF(AL322="","",MAX(EJ$12:EJ321)+1)</f>
        <v>470</v>
      </c>
      <c r="EK322" s="73">
        <f>IF(AO322="","",X322)</f>
        <v>42</v>
      </c>
      <c r="EL322" s="73">
        <f t="shared" si="288"/>
        <v>1217</v>
      </c>
      <c r="EM322" s="73">
        <f t="shared" si="260"/>
        <v>3225</v>
      </c>
      <c r="EN322" s="73">
        <f t="shared" si="261"/>
        <v>1</v>
      </c>
      <c r="EO322" s="73">
        <f t="shared" si="289"/>
        <v>1</v>
      </c>
      <c r="EP322" s="73">
        <f t="shared" si="290"/>
        <v>3</v>
      </c>
      <c r="EQ322" s="73" t="str">
        <f t="shared" si="262"/>
        <v>0</v>
      </c>
      <c r="ER322" s="73" t="str">
        <f>IF(OR(AN322="",AN322="NEMA"),BB322,AN322)</f>
        <v/>
      </c>
      <c r="ES322" s="73">
        <f>IF(AND(BN322&lt;&gt;"",BN322&lt;&gt;"NEMA"),BN322,IF(CG322&lt;&gt;"",CG322,IF(AND(CL322&lt;&gt;"",CL322&lt;&gt;"NEMA"),CL322,IF(CM322&lt;&gt;"",CM322,""))))</f>
        <v>1</v>
      </c>
      <c r="ET322" s="53" t="str">
        <f>IF(INDEX(natKategorija_alias_Id,MATCH(S322,natKategorija_katRegId,0))="","",INDEX(natKategorija_alias_Id,MATCH(S322,natKategorija_katRegId,0)))</f>
        <v/>
      </c>
      <c r="EU322" s="47" t="s">
        <v>0</v>
      </c>
      <c r="EV322" s="19" t="str">
        <f t="shared" si="291"/>
        <v>INSERT INTO rezultat(id,stazakategorija_id,imeprezime_id,vrijeme_sec,status_id,registracija,uparivanje_id,originalstatus_id,imeprezimealias_id,klubalias_id,kategorijaalias_id) VALUES (470,42,1217,3225,1,1,3,0,Null,1,Null);</v>
      </c>
      <c r="EW322" s="47" t="s">
        <v>0</v>
      </c>
      <c r="EX322" s="19" t="str">
        <f t="shared" si="292"/>
        <v>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2" s="47" t="s">
        <v>0</v>
      </c>
      <c r="EZ322" s="180" t="str">
        <f>AG322&amp;IF(CP322="","","
")&amp;CP322&amp;IF(CI322="","","
")&amp;CI322&amp;IF(DN322="","","
")&amp;DN322&amp;IF(DP322="","","
")&amp;DP322&amp;IF(EV322="","","
")&amp;EV322&amp;IF(EX322="","","
")&amp;EX322</f>
        <v xml:space="preserve">
INSERT INTO rezultat(id,stazakategorija_id,imeprezime_id,vrijeme_sec,status_id,registracija,uparivanje_id,originalstatus_id,imeprezimealias_id,klubalias_id,kategorijaalias_id) VALUES (470,42,1217,3225,1,1,3,0,Null,1,Null);
UPDATE
	registar
SET
	potvrda = 1
WHERE
	imeprezime_id=1217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2" s="47" t="s">
        <v>0</v>
      </c>
    </row>
    <row r="323" spans="1:157" x14ac:dyDescent="0.25">
      <c r="A323" t="s">
        <v>0</v>
      </c>
      <c r="B323" s="52" t="str">
        <f>IF(csv!F313="","",csv!T313)</f>
        <v>Ž45</v>
      </c>
      <c r="C323" s="31" t="s">
        <v>0</v>
      </c>
      <c r="D323" s="31" t="str">
        <f>IF(csv!F313="","",csv!F313)</f>
        <v>Beata Adrianna</v>
      </c>
      <c r="E323" s="31" t="str">
        <f>IF(csv!E313="","",csv!E313)</f>
        <v>Glinska</v>
      </c>
      <c r="F323" s="31" t="s">
        <v>0</v>
      </c>
      <c r="G323" s="73" t="str">
        <f>IF(csv!M313="","",csv!M313)</f>
        <v>54:07</v>
      </c>
      <c r="H323" s="73" t="str">
        <f>IF(csv!N313="","",csv!N313)</f>
        <v>0</v>
      </c>
      <c r="I323" s="31" t="s">
        <v>0</v>
      </c>
      <c r="J323" s="31" t="str">
        <f>IF(csv!P313="","",csv!P313)</f>
        <v>KAP</v>
      </c>
      <c r="K323" s="31" t="str">
        <f>IF(csv!Q313="","",csv!Q313)</f>
        <v>OK Kapela</v>
      </c>
      <c r="L323" s="31" t="s">
        <v>0</v>
      </c>
      <c r="M323" s="66" t="str">
        <f>IF(csv!R313="","",csv!R313)</f>
        <v>CRO</v>
      </c>
      <c r="N323" s="47" t="s">
        <v>0</v>
      </c>
      <c r="O323" s="243" t="str">
        <f t="shared" si="263"/>
        <v>ok</v>
      </c>
      <c r="P323" s="47"/>
      <c r="Q323" s="52" t="str">
        <f t="shared" si="264"/>
        <v>Ž45</v>
      </c>
      <c r="R323" s="73">
        <f>IF(Q323="","",IF(COUNTIF(Q$12:Q322,Q323)=0,R322+1,R322))</f>
        <v>20</v>
      </c>
      <c r="S323" s="73">
        <f t="shared" si="265"/>
        <v>116</v>
      </c>
      <c r="T323" s="73">
        <f t="shared" si="240"/>
        <v>25</v>
      </c>
      <c r="U323" s="66" t="str">
        <f t="shared" si="241"/>
        <v>Ž45</v>
      </c>
      <c r="V323" s="47" t="s">
        <v>0</v>
      </c>
      <c r="W323" s="222" t="str">
        <f t="shared" si="242"/>
        <v>Ž45</v>
      </c>
      <c r="X323" s="223">
        <f t="shared" si="243"/>
        <v>42</v>
      </c>
      <c r="Y323" s="47" t="s">
        <v>0</v>
      </c>
      <c r="Z323" s="52" t="str">
        <f t="shared" si="266"/>
        <v>CRO</v>
      </c>
      <c r="AA323" s="73">
        <f t="shared" si="244"/>
        <v>1</v>
      </c>
      <c r="AB323" s="31" t="str">
        <f t="shared" si="267"/>
        <v/>
      </c>
      <c r="AC323" s="66" t="str">
        <f>IF(AB323="","",MAX(AC$12:AC322)+1)</f>
        <v/>
      </c>
      <c r="AD323" s="47" t="s">
        <v>0</v>
      </c>
      <c r="AE323" s="125"/>
      <c r="AF323" s="47" t="s">
        <v>0</v>
      </c>
      <c r="AG323" s="19" t="str">
        <f t="shared" si="268"/>
        <v/>
      </c>
      <c r="AH323" s="47" t="s">
        <v>0</v>
      </c>
      <c r="AI323" s="143" t="str">
        <f t="shared" si="269"/>
        <v>CRO</v>
      </c>
      <c r="AJ323" s="47"/>
      <c r="AK323" s="52" t="str">
        <f t="shared" si="270"/>
        <v>Beata Adrianna</v>
      </c>
      <c r="AL323" s="31" t="str">
        <f t="shared" si="271"/>
        <v>Glinska</v>
      </c>
      <c r="AM323" s="73">
        <f t="shared" si="272"/>
        <v>1867</v>
      </c>
      <c r="AN323" s="73" t="str">
        <f t="shared" si="273"/>
        <v/>
      </c>
      <c r="AO323" s="31" t="str">
        <f t="shared" si="245"/>
        <v>Beata Adrianna</v>
      </c>
      <c r="AP323" s="66" t="str">
        <f t="shared" si="246"/>
        <v>Glinska</v>
      </c>
      <c r="AQ323" s="47" t="s">
        <v>0</v>
      </c>
      <c r="AR323" s="82" t="str">
        <f t="shared" si="274"/>
        <v/>
      </c>
      <c r="AS323" s="47" t="s">
        <v>0</v>
      </c>
      <c r="AT323" s="19" t="str">
        <f t="shared" si="275"/>
        <v/>
      </c>
      <c r="AU323" s="47" t="s">
        <v>0</v>
      </c>
      <c r="AV323" s="103"/>
      <c r="AW323" s="105"/>
      <c r="AX323" s="47" t="s">
        <v>0</v>
      </c>
      <c r="AY323" s="256" t="str">
        <f t="shared" si="293"/>
        <v/>
      </c>
      <c r="AZ323" s="47" t="s">
        <v>0</v>
      </c>
      <c r="BA323" s="52" t="str">
        <f t="shared" si="247"/>
        <v/>
      </c>
      <c r="BB323" s="73" t="str">
        <f>IF(AV323&amp;AW323="","",MAX(BB$12:BB322)+1)</f>
        <v/>
      </c>
      <c r="BC323" s="268" t="str">
        <f t="shared" si="248"/>
        <v/>
      </c>
      <c r="BD323" s="53" t="str">
        <f>IF(AND(AM323="NEMA",AN323="NEMA",OR(AV323&amp;AW323="",BC323="NEMA")),MAX(BD$12:BD322)+1,"")</f>
        <v/>
      </c>
      <c r="BE323" s="47" t="s">
        <v>0</v>
      </c>
      <c r="BF323" s="52" t="str">
        <f t="shared" si="249"/>
        <v>Beata Adrianna</v>
      </c>
      <c r="BG323" s="31" t="str">
        <f t="shared" si="250"/>
        <v>Glinska</v>
      </c>
      <c r="BH323" s="73" t="str">
        <f t="shared" si="276"/>
        <v/>
      </c>
      <c r="BI323" s="53">
        <f t="shared" si="277"/>
        <v>1867</v>
      </c>
      <c r="BJ323" s="47" t="s">
        <v>0</v>
      </c>
      <c r="BK323" s="52" t="str">
        <f t="shared" si="251"/>
        <v>KAP</v>
      </c>
      <c r="BL323" s="31" t="str">
        <f t="shared" si="252"/>
        <v>OK Kapela</v>
      </c>
      <c r="BM323" s="73">
        <f t="shared" si="253"/>
        <v>5</v>
      </c>
      <c r="BN323" s="73" t="str">
        <f t="shared" si="254"/>
        <v/>
      </c>
      <c r="BO323" s="31" t="str" cm="1">
        <f t="array" ref="BO323">IF(BN323="",""&amp;BL323,IF(BN323="NEMA",BL323,INDEX(regKlub_naziv,MATCH(INDEX(regKlub_alias_klubId,BN323),regKlub_id,0))))</f>
        <v>OK Kapela</v>
      </c>
      <c r="BP323" s="31" t="str" cm="1">
        <f t="array" ref="BP323">IFERROR(""&amp;INDEX(regNatjecatelj_klub,DY323),"")</f>
        <v>OK Kapela</v>
      </c>
      <c r="BQ323" s="88" t="str">
        <f t="shared" si="278"/>
        <v/>
      </c>
      <c r="BR323" s="66" t="str">
        <f t="shared" si="279"/>
        <v>OK Kapela</v>
      </c>
      <c r="BS323" s="47" t="s">
        <v>0</v>
      </c>
      <c r="BT323" s="82" t="str">
        <f>IF(BN323&lt;&gt;"NEMA","",IF(IFERROR(MATCH(BL323,BL$12:BL322,0),0)&lt;&gt;0,"",BL323))</f>
        <v/>
      </c>
      <c r="BU323" s="47" t="s">
        <v>0</v>
      </c>
      <c r="BV323" s="125"/>
      <c r="BW323" s="47" t="s">
        <v>0</v>
      </c>
      <c r="BX323" s="58" t="str">
        <f t="shared" si="280"/>
        <v/>
      </c>
      <c r="BY323" s="31" t="str">
        <f t="shared" si="281"/>
        <v/>
      </c>
      <c r="BZ323" s="31" t="str">
        <f>IF(BY323="","",MAX(BZ$12:BZ322)+1)</f>
        <v/>
      </c>
      <c r="CA323" s="31" t="str">
        <f>IF(BY323="","",IF(AA323="","",IF(AA323="NEMA",AC323,AA323)))</f>
        <v/>
      </c>
      <c r="CB323" s="31" t="str">
        <f t="shared" si="282"/>
        <v/>
      </c>
      <c r="CC323" s="31" t="str">
        <f>IF(BV323="","",MAX(CC$12:CC322)+1)</f>
        <v/>
      </c>
      <c r="CD323" s="31" t="str">
        <f t="shared" si="283"/>
        <v/>
      </c>
      <c r="CE323" s="66" t="str">
        <f t="shared" si="284"/>
        <v/>
      </c>
      <c r="CF323" s="47" t="s">
        <v>0</v>
      </c>
      <c r="CG323" s="73" t="str">
        <f>IF(BN323="","",IF(BN323&lt;&gt;"NEMA","",IFERROR(INDEX(nat_klubAliasId,MATCH(BL323,nat_noviKluboviAliasi,0)),"")))</f>
        <v/>
      </c>
      <c r="CH323" s="47"/>
      <c r="CI323" s="19" t="str">
        <f t="shared" si="285"/>
        <v/>
      </c>
      <c r="CJ323" s="47" t="s">
        <v>0</v>
      </c>
      <c r="CK323" s="52" t="str">
        <f>IF(X323&lt;&gt;"NEMA","",IF(IFERROR(MATCH(W323,W$12:W322,0),0)&lt;&gt;0,"",W323))</f>
        <v/>
      </c>
      <c r="CL323" s="73" t="str">
        <f>IF(CK323="","",IFERROR(INDEX(regKlub_alias_id,MATCH(CK323,regKlub_alias_alias,0)),"NEMA"))</f>
        <v/>
      </c>
      <c r="CM323" s="31" t="str">
        <f>IF(OR(CL323="",CL323&lt;&gt;"NEMA"),"",MAX(CM$12:CM322)+1)</f>
        <v/>
      </c>
      <c r="CN323" s="66" t="str">
        <f>IF(OR(CL323="",CL323&lt;&gt;"NEMA"),"",INDEX(regKlub_id,MATCH(CK323,regKlub_naziv,0)))</f>
        <v/>
      </c>
      <c r="CO323" s="47" t="s">
        <v>0</v>
      </c>
      <c r="CP323" s="19" t="str">
        <f>IF(OR(CL323="",CL323&lt;&gt;"NEMA"),"","INSERT INTO klub_alias(id,alias,klub_id) VALUES ("&amp;CM323&amp;",'"&amp;CK323&amp;"',"&amp;CN323&amp;");")</f>
        <v/>
      </c>
      <c r="CQ323" s="47" t="s">
        <v>0</v>
      </c>
      <c r="CR323" s="143" t="str">
        <f>IF(BR323="","",IF(BV323="",IF(IFERROR(MATCH(BR323,nat_noviKluboviAliasi,0),0)&gt;0,INDEX(nat_kluboviAliasi,MATCH(BR323,nat_noviKluboviAliasi,0)),BR323),BV323))</f>
        <v>OK Kapela</v>
      </c>
      <c r="CS323" s="47" t="s">
        <v>0</v>
      </c>
      <c r="CT323" s="58" t="str">
        <f>IF(G323="","",G323)</f>
        <v>54:07</v>
      </c>
      <c r="CU323" s="73" t="str">
        <f>IF(H323="","",H323)</f>
        <v>0</v>
      </c>
      <c r="CV323" s="229" t="str">
        <f>IF(CT323="",IF(OR(AL323="",CU323&lt;&gt;"0"),"","GREŠKA"),IF(AND(65535&gt;=VALUE(LEFT(CT323,SEARCH(":",CT323)-1))*60+VALUE(RIGHT(CT323,2)),OR(CU323="0",CU323="1",CU323="2",CU323="3",CU323="4")),"","GREŠKA"))</f>
        <v/>
      </c>
      <c r="CW323" s="230">
        <f t="shared" si="295"/>
        <v>3247</v>
      </c>
      <c r="CX323" s="163">
        <f t="shared" si="255"/>
        <v>1</v>
      </c>
      <c r="CY323" s="47" t="s">
        <v>0</v>
      </c>
      <c r="CZ323" s="222" t="str">
        <f>IF(CV323&lt;&gt;"GREŠKA","",AK323&amp;" "&amp;AL323&amp;" – Molim u OEventu provjeriti i ispraviti rezultat – vrijeme ("&amp;IF(CT323="","nije upisano",CT323)&amp;") i classifier ("&amp;CU323&amp;").")&amp;IF(OR(CV323&lt;&gt;"GREŠKA",CX323&lt;&gt;5),"
","")&amp;IF(CX323&lt;&gt;5,"",AK323&amp;" "&amp;AL323&amp;" – Molim u provjeriti je li natjecatelj zaista diskvalificiran. Ako je koje je obrazloženje, ako nije molim u OEventu ispraviti rezultat")</f>
        <v xml:space="preserve">
</v>
      </c>
      <c r="DA323" s="223">
        <f t="shared" si="286"/>
        <v>6</v>
      </c>
      <c r="DB323" s="47" t="s">
        <v>0</v>
      </c>
      <c r="DC323" s="47"/>
      <c r="DD323" s="47"/>
      <c r="DE323" s="47"/>
      <c r="DF323" s="47" t="s">
        <v>0</v>
      </c>
      <c r="DG323" s="53" t="str">
        <f>IF(BD323="","",IF(DI323="O",1,""))</f>
        <v/>
      </c>
      <c r="DH323" t="s">
        <v>0</v>
      </c>
      <c r="DI323" s="128" t="str">
        <f>IF(Q323="","",LEFT(INDEX(regKategorija_oznaka,MATCH(S323,regKategorija_id,0)),1))</f>
        <v>Ž</v>
      </c>
      <c r="DJ323" t="s">
        <v>0</v>
      </c>
      <c r="DK323" s="52" t="str">
        <f>IF(BD323="","",IF(M323&lt;&gt;"CRO","","INSERT INTO osoba (id,reg_broj,oib,spol_id,dat_rodjenja) VALUES ("&amp;BD323&amp;",(SELECT max(os.reg_broj)+1 FROM osoba AS os),Null,'"&amp;DI323&amp;"',Null); INSERT INTO osoba_log (id,reg_broj,oib,spol_id,dat_rodjenja,dnevnik_id) SELECT id,reg_broj,oib,spol_id,dat_rodjenja,"&amp;data_dnevnik_id&amp;" FROM osoba WHERE id = "&amp;BD323&amp;";"))</f>
        <v/>
      </c>
      <c r="DL323" s="66" t="str">
        <f>IF(BD323="","","INSERT INTO imeprezime (id,osoba_id,rbr,ime,prezime,klub_id,identitet_id,sintaksa_id,info,aktivno,dnevnik_id) VALUES ("&amp;BD323&amp;","&amp;IF(DK323="","Null",BD323)&amp;",1,'"&amp;IF(AV323&lt;&gt;"",AV323,AK323)&amp;"','"&amp;IF(AW323&lt;&gt;"",AW323,AL323)&amp;"',(SELECT id FROM klub WHERE naziv = '"&amp;CR323&amp;"'),Null,1,'',1,"&amp;data_dnevnik_id&amp;");")</f>
        <v/>
      </c>
      <c r="DM323" t="s">
        <v>0</v>
      </c>
      <c r="DN323" s="19" t="str">
        <f t="shared" si="294"/>
        <v/>
      </c>
      <c r="DO323" s="47" t="s">
        <v>0</v>
      </c>
      <c r="DP323" s="19" t="str">
        <f>IF(BA323="","","INSERT INTO imeprezime_alias(id,alias,imeprezime_id) VALUES ("&amp;BB323&amp;",'"&amp;BA323&amp;"',"&amp;IF(BC323="NEMA",BD323,BC323)&amp;");")</f>
        <v/>
      </c>
      <c r="DQ323" s="47" t="s">
        <v>0</v>
      </c>
      <c r="DR323" s="52" t="str">
        <f>IF(AL323="","",DU323 &amp; IF(Q323="",""," – " &amp; Q323))</f>
        <v>Beata Adrianna – Glinska – OK Kapela – Ž45</v>
      </c>
      <c r="DS323" s="53">
        <f t="shared" si="256"/>
        <v>244</v>
      </c>
      <c r="DT323" s="47" t="s">
        <v>0</v>
      </c>
      <c r="DU323" s="52" t="str">
        <f>IF(AL323="","",DX323 &amp; IF(CR323="",""," – " &amp; CR323))</f>
        <v>Beata Adrianna – Glinska – OK Kapela</v>
      </c>
      <c r="DV323" s="53">
        <f t="shared" si="257"/>
        <v>244</v>
      </c>
      <c r="DW323" s="47" t="s">
        <v>0</v>
      </c>
      <c r="DX323" s="52" t="str">
        <f>IF(BG323="","",BF323&amp;" – "&amp;BG323)</f>
        <v>Beata Adrianna – Glinska</v>
      </c>
      <c r="DY323" s="53">
        <f t="shared" si="258"/>
        <v>244</v>
      </c>
      <c r="DZ323" s="47" t="s">
        <v>0</v>
      </c>
      <c r="EA323" s="58">
        <f t="shared" si="287"/>
        <v>244</v>
      </c>
      <c r="EB323" s="53" cm="1">
        <f t="array" ref="EB323">IF(EA323&lt;&gt;"",INDEX(regNatjecatelj_id,EA323,0),IF(BD323&lt;&gt;"",BD323,""))</f>
        <v>1867</v>
      </c>
      <c r="EC323" s="47" t="s">
        <v>0</v>
      </c>
      <c r="ED323" s="58" t="str">
        <f>IF(AL323="","",IF(BD323&lt;&gt;"","novo",IF(AN323="","imepre","imepre(ali)")))</f>
        <v>imepre</v>
      </c>
      <c r="EE323" s="73" t="str">
        <f>IF(AL323="","",IF(BL323="",IF(IFERROR(INDEX(regNatjecatelj_klub,MATCH(EB323,regNatjecatelj_id,0)),"NEMA")="","klu",""),IF(OR(AND(BN323&lt;&gt;"",BN323&lt;&gt;"NEMA"),CD323&lt;&gt;""),"klu(ali)",IF(AND(BP323&lt;&gt;"",BP323&lt;&gt;BO323),"(raz-klu)","klu"))))</f>
        <v>klu</v>
      </c>
      <c r="EF323" s="73" t="str">
        <f>IF(AL323="","","kat"&amp;IF(AND(W323&lt;&gt;Q323,Q323&lt;&gt;"Open"),"(ali)",""))</f>
        <v>kat</v>
      </c>
      <c r="EG323" s="73" t="str">
        <f t="shared" si="259"/>
        <v/>
      </c>
      <c r="EH323" s="66" t="str">
        <f>IF(AL323="","",ED323&amp;IF(ED323="novo","","-"&amp;EE323&amp;"-"&amp;EF323)&amp;IF(EG323="","","-"&amp;EG323))</f>
        <v>imepre-klu-kat</v>
      </c>
      <c r="EI323" s="47" t="s">
        <v>0</v>
      </c>
      <c r="EJ323" s="58">
        <f>IF(AL323="","",MAX(EJ$12:EJ322)+1)</f>
        <v>471</v>
      </c>
      <c r="EK323" s="73">
        <f>IF(AO323="","",X323)</f>
        <v>42</v>
      </c>
      <c r="EL323" s="73">
        <f t="shared" si="288"/>
        <v>1867</v>
      </c>
      <c r="EM323" s="73">
        <f t="shared" si="260"/>
        <v>3247</v>
      </c>
      <c r="EN323" s="73">
        <f t="shared" si="261"/>
        <v>1</v>
      </c>
      <c r="EO323" s="73">
        <f t="shared" si="289"/>
        <v>1</v>
      </c>
      <c r="EP323" s="73">
        <f t="shared" si="290"/>
        <v>1</v>
      </c>
      <c r="EQ323" s="73" t="str">
        <f t="shared" si="262"/>
        <v>0</v>
      </c>
      <c r="ER323" s="73" t="str">
        <f>IF(OR(AN323="",AN323="NEMA"),BB323,AN323)</f>
        <v/>
      </c>
      <c r="ES323" s="73" t="str">
        <f>IF(AND(BN323&lt;&gt;"",BN323&lt;&gt;"NEMA"),BN323,IF(CG323&lt;&gt;"",CG323,IF(AND(CL323&lt;&gt;"",CL323&lt;&gt;"NEMA"),CL323,IF(CM323&lt;&gt;"",CM323,""))))</f>
        <v/>
      </c>
      <c r="ET323" s="53" t="str">
        <f>IF(INDEX(natKategorija_alias_Id,MATCH(S323,natKategorija_katRegId,0))="","",INDEX(natKategorija_alias_Id,MATCH(S323,natKategorija_katRegId,0)))</f>
        <v/>
      </c>
      <c r="EU323" s="47" t="s">
        <v>0</v>
      </c>
      <c r="EV323" s="19" t="str">
        <f t="shared" si="291"/>
        <v>INSERT INTO rezultat(id,stazakategorija_id,imeprezime_id,vrijeme_sec,status_id,registracija,uparivanje_id,originalstatus_id,imeprezimealias_id,klubalias_id,kategorijaalias_id) VALUES (471,42,1867,3247,1,1,1,0,Null,Null,Null);</v>
      </c>
      <c r="EW323" s="47" t="s">
        <v>0</v>
      </c>
      <c r="EX323" s="19" t="str">
        <f t="shared" si="292"/>
        <v>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3" s="47" t="s">
        <v>0</v>
      </c>
      <c r="EZ323" s="180" t="str">
        <f>AG323&amp;IF(CP323="","","
")&amp;CP323&amp;IF(CI323="","","
")&amp;CI323&amp;IF(DN323="","","
")&amp;DN323&amp;IF(DP323="","","
")&amp;DP323&amp;IF(EV323="","","
")&amp;EV323&amp;IF(EX323="","","
")&amp;EX323</f>
        <v xml:space="preserve">
INSERT INTO rezultat(id,stazakategorija_id,imeprezime_id,vrijeme_sec,status_id,registracija,uparivanje_id,originalstatus_id,imeprezimealias_id,klubalias_id,kategorijaalias_id) VALUES (471,42,1867,3247,1,1,1,0,Null,Null,Null);
UPDATE
	registar
SET
	potvrda = 1
WHERE
	imeprezime_id=1867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3" s="47" t="s">
        <v>0</v>
      </c>
    </row>
    <row r="324" spans="1:157" x14ac:dyDescent="0.25">
      <c r="A324" t="s">
        <v>0</v>
      </c>
      <c r="B324" s="52" t="str">
        <f>IF(csv!F314="","",csv!T314)</f>
        <v>Ž45</v>
      </c>
      <c r="C324" s="31" t="s">
        <v>0</v>
      </c>
      <c r="D324" s="31" t="str">
        <f>IF(csv!F314="","",csv!F314)</f>
        <v>Marija</v>
      </c>
      <c r="E324" s="31" t="str">
        <f>IF(csv!E314="","",csv!E314)</f>
        <v>Jazvić Mioković</v>
      </c>
      <c r="F324" s="31" t="s">
        <v>0</v>
      </c>
      <c r="G324" s="73" t="str">
        <f>IF(csv!M314="","",csv!M314)</f>
        <v>55:42</v>
      </c>
      <c r="H324" s="73" t="str">
        <f>IF(csv!N314="","",csv!N314)</f>
        <v>0</v>
      </c>
      <c r="I324" s="31" t="s">
        <v>0</v>
      </c>
      <c r="J324" s="31" t="str">
        <f>IF(csv!P314="","",csv!P314)</f>
        <v>KAP</v>
      </c>
      <c r="K324" s="31" t="str">
        <f>IF(csv!Q314="","",csv!Q314)</f>
        <v>OK Kapela</v>
      </c>
      <c r="L324" s="31" t="s">
        <v>0</v>
      </c>
      <c r="M324" s="66" t="str">
        <f>IF(csv!R314="","",csv!R314)</f>
        <v>CRO</v>
      </c>
      <c r="N324" s="47" t="s">
        <v>0</v>
      </c>
      <c r="O324" s="243" t="str">
        <f t="shared" si="263"/>
        <v>ok</v>
      </c>
      <c r="P324" s="47"/>
      <c r="Q324" s="52" t="str">
        <f t="shared" si="264"/>
        <v>Ž45</v>
      </c>
      <c r="R324" s="73">
        <f>IF(Q324="","",IF(COUNTIF(Q$12:Q323,Q324)=0,R323+1,R323))</f>
        <v>20</v>
      </c>
      <c r="S324" s="73">
        <f t="shared" si="265"/>
        <v>116</v>
      </c>
      <c r="T324" s="73">
        <f t="shared" si="240"/>
        <v>25</v>
      </c>
      <c r="U324" s="66" t="str">
        <f t="shared" si="241"/>
        <v>Ž45</v>
      </c>
      <c r="V324" s="47" t="s">
        <v>0</v>
      </c>
      <c r="W324" s="222" t="str">
        <f t="shared" si="242"/>
        <v>Ž45</v>
      </c>
      <c r="X324" s="223">
        <f t="shared" si="243"/>
        <v>42</v>
      </c>
      <c r="Y324" s="47" t="s">
        <v>0</v>
      </c>
      <c r="Z324" s="52" t="str">
        <f t="shared" si="266"/>
        <v>CRO</v>
      </c>
      <c r="AA324" s="73">
        <f t="shared" si="244"/>
        <v>1</v>
      </c>
      <c r="AB324" s="31" t="str">
        <f t="shared" si="267"/>
        <v/>
      </c>
      <c r="AC324" s="66" t="str">
        <f>IF(AB324="","",MAX(AC$12:AC323)+1)</f>
        <v/>
      </c>
      <c r="AD324" s="47" t="s">
        <v>0</v>
      </c>
      <c r="AE324" s="125"/>
      <c r="AF324" s="47" t="s">
        <v>0</v>
      </c>
      <c r="AG324" s="19" t="str">
        <f t="shared" si="268"/>
        <v/>
      </c>
      <c r="AH324" s="47" t="s">
        <v>0</v>
      </c>
      <c r="AI324" s="143" t="str">
        <f t="shared" si="269"/>
        <v>CRO</v>
      </c>
      <c r="AJ324" s="47"/>
      <c r="AK324" s="52" t="str">
        <f t="shared" si="270"/>
        <v>Marija</v>
      </c>
      <c r="AL324" s="31" t="str">
        <f t="shared" si="271"/>
        <v>Jazvić Mioković</v>
      </c>
      <c r="AM324" s="73">
        <f t="shared" si="272"/>
        <v>1128</v>
      </c>
      <c r="AN324" s="73" t="str">
        <f t="shared" si="273"/>
        <v/>
      </c>
      <c r="AO324" s="31" t="str">
        <f t="shared" si="245"/>
        <v>Marija</v>
      </c>
      <c r="AP324" s="66" t="str">
        <f t="shared" si="246"/>
        <v>Jazvić Mioković</v>
      </c>
      <c r="AQ324" s="47" t="s">
        <v>0</v>
      </c>
      <c r="AR324" s="82" t="str">
        <f t="shared" si="274"/>
        <v/>
      </c>
      <c r="AS324" s="47" t="s">
        <v>0</v>
      </c>
      <c r="AT324" s="19" t="str">
        <f t="shared" si="275"/>
        <v/>
      </c>
      <c r="AU324" s="47" t="s">
        <v>0</v>
      </c>
      <c r="AV324" s="103"/>
      <c r="AW324" s="105"/>
      <c r="AX324" s="47" t="s">
        <v>0</v>
      </c>
      <c r="AY324" s="256" t="str">
        <f t="shared" si="293"/>
        <v/>
      </c>
      <c r="AZ324" s="47" t="s">
        <v>0</v>
      </c>
      <c r="BA324" s="52" t="str">
        <f t="shared" si="247"/>
        <v/>
      </c>
      <c r="BB324" s="73" t="str">
        <f>IF(AV324&amp;AW324="","",MAX(BB$12:BB323)+1)</f>
        <v/>
      </c>
      <c r="BC324" s="268" t="str">
        <f t="shared" si="248"/>
        <v/>
      </c>
      <c r="BD324" s="53" t="str">
        <f>IF(AND(AM324="NEMA",AN324="NEMA",OR(AV324&amp;AW324="",BC324="NEMA")),MAX(BD$12:BD323)+1,"")</f>
        <v/>
      </c>
      <c r="BE324" s="47" t="s">
        <v>0</v>
      </c>
      <c r="BF324" s="52" t="str">
        <f t="shared" si="249"/>
        <v>Marija</v>
      </c>
      <c r="BG324" s="31" t="str">
        <f t="shared" si="250"/>
        <v>Jazvić Mioković</v>
      </c>
      <c r="BH324" s="73" t="str">
        <f t="shared" si="276"/>
        <v/>
      </c>
      <c r="BI324" s="53">
        <f t="shared" si="277"/>
        <v>1128</v>
      </c>
      <c r="BJ324" s="47" t="s">
        <v>0</v>
      </c>
      <c r="BK324" s="52" t="str">
        <f t="shared" si="251"/>
        <v>KAP</v>
      </c>
      <c r="BL324" s="31" t="str">
        <f t="shared" si="252"/>
        <v>OK Kapela</v>
      </c>
      <c r="BM324" s="73">
        <f t="shared" si="253"/>
        <v>5</v>
      </c>
      <c r="BN324" s="73" t="str">
        <f t="shared" si="254"/>
        <v/>
      </c>
      <c r="BO324" s="31" t="str" cm="1">
        <f t="array" ref="BO324">IF(BN324="",""&amp;BL324,IF(BN324="NEMA",BL324,INDEX(regKlub_naziv,MATCH(INDEX(regKlub_alias_klubId,BN324),regKlub_id,0))))</f>
        <v>OK Kapela</v>
      </c>
      <c r="BP324" s="31" t="str" cm="1">
        <f t="array" ref="BP324">IFERROR(""&amp;INDEX(regNatjecatelj_klub,DY324),"")</f>
        <v>OK Kapela</v>
      </c>
      <c r="BQ324" s="88" t="str">
        <f t="shared" si="278"/>
        <v/>
      </c>
      <c r="BR324" s="66" t="str">
        <f t="shared" si="279"/>
        <v>OK Kapela</v>
      </c>
      <c r="BS324" s="47" t="s">
        <v>0</v>
      </c>
      <c r="BT324" s="82" t="str">
        <f>IF(BN324&lt;&gt;"NEMA","",IF(IFERROR(MATCH(BL324,BL$12:BL323,0),0)&lt;&gt;0,"",BL324))</f>
        <v/>
      </c>
      <c r="BU324" s="47" t="s">
        <v>0</v>
      </c>
      <c r="BV324" s="125"/>
      <c r="BW324" s="47" t="s">
        <v>0</v>
      </c>
      <c r="BX324" s="58" t="str">
        <f t="shared" si="280"/>
        <v/>
      </c>
      <c r="BY324" s="31" t="str">
        <f t="shared" si="281"/>
        <v/>
      </c>
      <c r="BZ324" s="31" t="str">
        <f>IF(BY324="","",MAX(BZ$12:BZ323)+1)</f>
        <v/>
      </c>
      <c r="CA324" s="31" t="str">
        <f>IF(BY324="","",IF(AA324="","",IF(AA324="NEMA",AC324,AA324)))</f>
        <v/>
      </c>
      <c r="CB324" s="31" t="str">
        <f t="shared" si="282"/>
        <v/>
      </c>
      <c r="CC324" s="31" t="str">
        <f>IF(BV324="","",MAX(CC$12:CC323)+1)</f>
        <v/>
      </c>
      <c r="CD324" s="31" t="str">
        <f t="shared" si="283"/>
        <v/>
      </c>
      <c r="CE324" s="66" t="str">
        <f t="shared" si="284"/>
        <v/>
      </c>
      <c r="CF324" s="47" t="s">
        <v>0</v>
      </c>
      <c r="CG324" s="73" t="str">
        <f>IF(BN324="","",IF(BN324&lt;&gt;"NEMA","",IFERROR(INDEX(nat_klubAliasId,MATCH(BL324,nat_noviKluboviAliasi,0)),"")))</f>
        <v/>
      </c>
      <c r="CH324" s="47"/>
      <c r="CI324" s="19" t="str">
        <f t="shared" si="285"/>
        <v/>
      </c>
      <c r="CJ324" s="47" t="s">
        <v>0</v>
      </c>
      <c r="CK324" s="52" t="str">
        <f>IF(X324&lt;&gt;"NEMA","",IF(IFERROR(MATCH(W324,W$12:W323,0),0)&lt;&gt;0,"",W324))</f>
        <v/>
      </c>
      <c r="CL324" s="73" t="str">
        <f>IF(CK324="","",IFERROR(INDEX(regKlub_alias_id,MATCH(CK324,regKlub_alias_alias,0)),"NEMA"))</f>
        <v/>
      </c>
      <c r="CM324" s="31" t="str">
        <f>IF(OR(CL324="",CL324&lt;&gt;"NEMA"),"",MAX(CM$12:CM323)+1)</f>
        <v/>
      </c>
      <c r="CN324" s="66" t="str">
        <f>IF(OR(CL324="",CL324&lt;&gt;"NEMA"),"",INDEX(regKlub_id,MATCH(CK324,regKlub_naziv,0)))</f>
        <v/>
      </c>
      <c r="CO324" s="47" t="s">
        <v>0</v>
      </c>
      <c r="CP324" s="19" t="str">
        <f>IF(OR(CL324="",CL324&lt;&gt;"NEMA"),"","INSERT INTO klub_alias(id,alias,klub_id) VALUES ("&amp;CM324&amp;",'"&amp;CK324&amp;"',"&amp;CN324&amp;");")</f>
        <v/>
      </c>
      <c r="CQ324" s="47" t="s">
        <v>0</v>
      </c>
      <c r="CR324" s="143" t="str">
        <f>IF(BR324="","",IF(BV324="",IF(IFERROR(MATCH(BR324,nat_noviKluboviAliasi,0),0)&gt;0,INDEX(nat_kluboviAliasi,MATCH(BR324,nat_noviKluboviAliasi,0)),BR324),BV324))</f>
        <v>OK Kapela</v>
      </c>
      <c r="CS324" s="47" t="s">
        <v>0</v>
      </c>
      <c r="CT324" s="58" t="str">
        <f>IF(G324="","",G324)</f>
        <v>55:42</v>
      </c>
      <c r="CU324" s="73" t="str">
        <f>IF(H324="","",H324)</f>
        <v>0</v>
      </c>
      <c r="CV324" s="229" t="str">
        <f>IF(CT324="",IF(OR(AL324="",CU324&lt;&gt;"0"),"","GREŠKA"),IF(AND(65535&gt;=VALUE(LEFT(CT324,SEARCH(":",CT324)-1))*60+VALUE(RIGHT(CT324,2)),OR(CU324="0",CU324="1",CU324="2",CU324="3",CU324="4")),"","GREŠKA"))</f>
        <v/>
      </c>
      <c r="CW324" s="230">
        <f t="shared" si="295"/>
        <v>3342</v>
      </c>
      <c r="CX324" s="163">
        <f t="shared" si="255"/>
        <v>1</v>
      </c>
      <c r="CY324" s="47" t="s">
        <v>0</v>
      </c>
      <c r="CZ324" s="222" t="str">
        <f>IF(CV324&lt;&gt;"GREŠKA","",AK324&amp;" "&amp;AL324&amp;" – Molim u OEventu provjeriti i ispraviti rezultat – vrijeme ("&amp;IF(CT324="","nije upisano",CT324)&amp;") i classifier ("&amp;CU324&amp;").")&amp;IF(OR(CV324&lt;&gt;"GREŠKA",CX324&lt;&gt;5),"
","")&amp;IF(CX324&lt;&gt;5,"",AK324&amp;" "&amp;AL324&amp;" – Molim u provjeriti je li natjecatelj zaista diskvalificiran. Ako je koje je obrazloženje, ako nije molim u OEventu ispraviti rezultat")</f>
        <v xml:space="preserve">
</v>
      </c>
      <c r="DA324" s="223">
        <f t="shared" si="286"/>
        <v>6</v>
      </c>
      <c r="DB324" s="47" t="s">
        <v>0</v>
      </c>
      <c r="DC324" s="47"/>
      <c r="DD324" s="47"/>
      <c r="DE324" s="47"/>
      <c r="DF324" s="47" t="s">
        <v>0</v>
      </c>
      <c r="DG324" s="53" t="str">
        <f>IF(BD324="","",IF(DI324="O",1,""))</f>
        <v/>
      </c>
      <c r="DH324" t="s">
        <v>0</v>
      </c>
      <c r="DI324" s="128" t="str">
        <f>IF(Q324="","",LEFT(INDEX(regKategorija_oznaka,MATCH(S324,regKategorija_id,0)),1))</f>
        <v>Ž</v>
      </c>
      <c r="DJ324" t="s">
        <v>0</v>
      </c>
      <c r="DK324" s="52" t="str">
        <f>IF(BD324="","",IF(M324&lt;&gt;"CRO","","INSERT INTO osoba (id,reg_broj,oib,spol_id,dat_rodjenja) VALUES ("&amp;BD324&amp;",(SELECT max(os.reg_broj)+1 FROM osoba AS os),Null,'"&amp;DI324&amp;"',Null); INSERT INTO osoba_log (id,reg_broj,oib,spol_id,dat_rodjenja,dnevnik_id) SELECT id,reg_broj,oib,spol_id,dat_rodjenja,"&amp;data_dnevnik_id&amp;" FROM osoba WHERE id = "&amp;BD324&amp;";"))</f>
        <v/>
      </c>
      <c r="DL324" s="66" t="str">
        <f>IF(BD324="","","INSERT INTO imeprezime (id,osoba_id,rbr,ime,prezime,klub_id,identitet_id,sintaksa_id,info,aktivno,dnevnik_id) VALUES ("&amp;BD324&amp;","&amp;IF(DK324="","Null",BD324)&amp;",1,'"&amp;IF(AV324&lt;&gt;"",AV324,AK324)&amp;"','"&amp;IF(AW324&lt;&gt;"",AW324,AL324)&amp;"',(SELECT id FROM klub WHERE naziv = '"&amp;CR324&amp;"'),Null,1,'',1,"&amp;data_dnevnik_id&amp;");")</f>
        <v/>
      </c>
      <c r="DM324" t="s">
        <v>0</v>
      </c>
      <c r="DN324" s="19" t="str">
        <f t="shared" si="294"/>
        <v/>
      </c>
      <c r="DO324" s="47" t="s">
        <v>0</v>
      </c>
      <c r="DP324" s="19" t="str">
        <f>IF(BA324="","","INSERT INTO imeprezime_alias(id,alias,imeprezime_id) VALUES ("&amp;BB324&amp;",'"&amp;BA324&amp;"',"&amp;IF(BC324="NEMA",BD324,BC324)&amp;");")</f>
        <v/>
      </c>
      <c r="DQ324" s="47" t="s">
        <v>0</v>
      </c>
      <c r="DR324" s="52" t="str">
        <f>IF(AL324="","",DU324 &amp; IF(Q324="",""," – " &amp; Q324))</f>
        <v>Marija – Jazvić Mioković – OK Kapela – Ž45</v>
      </c>
      <c r="DS324" s="53">
        <f t="shared" si="256"/>
        <v>258</v>
      </c>
      <c r="DT324" s="47" t="s">
        <v>0</v>
      </c>
      <c r="DU324" s="52" t="str">
        <f>IF(AL324="","",DX324 &amp; IF(CR324="",""," – " &amp; CR324))</f>
        <v>Marija – Jazvić Mioković – OK Kapela</v>
      </c>
      <c r="DV324" s="53">
        <f t="shared" si="257"/>
        <v>258</v>
      </c>
      <c r="DW324" s="47" t="s">
        <v>0</v>
      </c>
      <c r="DX324" s="52" t="str">
        <f>IF(BG324="","",BF324&amp;" – "&amp;BG324)</f>
        <v>Marija – Jazvić Mioković</v>
      </c>
      <c r="DY324" s="53">
        <f t="shared" si="258"/>
        <v>258</v>
      </c>
      <c r="DZ324" s="47" t="s">
        <v>0</v>
      </c>
      <c r="EA324" s="58">
        <f t="shared" si="287"/>
        <v>258</v>
      </c>
      <c r="EB324" s="53" cm="1">
        <f t="array" ref="EB324">IF(EA324&lt;&gt;"",INDEX(regNatjecatelj_id,EA324,0),IF(BD324&lt;&gt;"",BD324,""))</f>
        <v>1128</v>
      </c>
      <c r="EC324" s="47" t="s">
        <v>0</v>
      </c>
      <c r="ED324" s="58" t="str">
        <f>IF(AL324="","",IF(BD324&lt;&gt;"","novo",IF(AN324="","imepre","imepre(ali)")))</f>
        <v>imepre</v>
      </c>
      <c r="EE324" s="73" t="str">
        <f>IF(AL324="","",IF(BL324="",IF(IFERROR(INDEX(regNatjecatelj_klub,MATCH(EB324,regNatjecatelj_id,0)),"NEMA")="","klu",""),IF(OR(AND(BN324&lt;&gt;"",BN324&lt;&gt;"NEMA"),CD324&lt;&gt;""),"klu(ali)",IF(AND(BP324&lt;&gt;"",BP324&lt;&gt;BO324),"(raz-klu)","klu"))))</f>
        <v>klu</v>
      </c>
      <c r="EF324" s="73" t="str">
        <f>IF(AL324="","","kat"&amp;IF(AND(W324&lt;&gt;Q324,Q324&lt;&gt;"Open"),"(ali)",""))</f>
        <v>kat</v>
      </c>
      <c r="EG324" s="73" t="str">
        <f t="shared" si="259"/>
        <v/>
      </c>
      <c r="EH324" s="66" t="str">
        <f>IF(AL324="","",ED324&amp;IF(ED324="novo","","-"&amp;EE324&amp;"-"&amp;EF324)&amp;IF(EG324="","","-"&amp;EG324))</f>
        <v>imepre-klu-kat</v>
      </c>
      <c r="EI324" s="47" t="s">
        <v>0</v>
      </c>
      <c r="EJ324" s="58">
        <f>IF(AL324="","",MAX(EJ$12:EJ323)+1)</f>
        <v>472</v>
      </c>
      <c r="EK324" s="73">
        <f>IF(AO324="","",X324)</f>
        <v>42</v>
      </c>
      <c r="EL324" s="73">
        <f t="shared" si="288"/>
        <v>1128</v>
      </c>
      <c r="EM324" s="73">
        <f t="shared" si="260"/>
        <v>3342</v>
      </c>
      <c r="EN324" s="73">
        <f t="shared" si="261"/>
        <v>1</v>
      </c>
      <c r="EO324" s="73">
        <f t="shared" si="289"/>
        <v>1</v>
      </c>
      <c r="EP324" s="73">
        <f t="shared" si="290"/>
        <v>1</v>
      </c>
      <c r="EQ324" s="73" t="str">
        <f t="shared" si="262"/>
        <v>0</v>
      </c>
      <c r="ER324" s="73" t="str">
        <f>IF(OR(AN324="",AN324="NEMA"),BB324,AN324)</f>
        <v/>
      </c>
      <c r="ES324" s="73" t="str">
        <f>IF(AND(BN324&lt;&gt;"",BN324&lt;&gt;"NEMA"),BN324,IF(CG324&lt;&gt;"",CG324,IF(AND(CL324&lt;&gt;"",CL324&lt;&gt;"NEMA"),CL324,IF(CM324&lt;&gt;"",CM324,""))))</f>
        <v/>
      </c>
      <c r="ET324" s="53" t="str">
        <f>IF(INDEX(natKategorija_alias_Id,MATCH(S324,natKategorija_katRegId,0))="","",INDEX(natKategorija_alias_Id,MATCH(S324,natKategorija_katRegId,0)))</f>
        <v/>
      </c>
      <c r="EU324" s="47" t="s">
        <v>0</v>
      </c>
      <c r="EV324" s="19" t="str">
        <f t="shared" si="291"/>
        <v>INSERT INTO rezultat(id,stazakategorija_id,imeprezime_id,vrijeme_sec,status_id,registracija,uparivanje_id,originalstatus_id,imeprezimealias_id,klubalias_id,kategorijaalias_id) VALUES (472,42,1128,3342,1,1,1,0,Null,Null,Null);</v>
      </c>
      <c r="EW324" s="47" t="s">
        <v>0</v>
      </c>
      <c r="EX324" s="19" t="str">
        <f t="shared" si="292"/>
        <v>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4" s="47" t="s">
        <v>0</v>
      </c>
      <c r="EZ324" s="180" t="str">
        <f>AG324&amp;IF(CP324="","","
")&amp;CP324&amp;IF(CI324="","","
")&amp;CI324&amp;IF(DN324="","","
")&amp;DN324&amp;IF(DP324="","","
")&amp;DP324&amp;IF(EV324="","","
")&amp;EV324&amp;IF(EX324="","","
")&amp;EX324</f>
        <v xml:space="preserve">
INSERT INTO rezultat(id,stazakategorija_id,imeprezime_id,vrijeme_sec,status_id,registracija,uparivanje_id,originalstatus_id,imeprezimealias_id,klubalias_id,kategorijaalias_id) VALUES (472,42,1128,3342,1,1,1,0,Null,Null,Null);
UPDATE
	registar
SET
	potvrda = 1
WHERE
	imeprezime_id=1128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4" s="47" t="s">
        <v>0</v>
      </c>
    </row>
    <row r="325" spans="1:157" x14ac:dyDescent="0.25">
      <c r="A325" t="s">
        <v>0</v>
      </c>
      <c r="B325" s="52" t="str">
        <f>IF(csv!F315="","",csv!T315)</f>
        <v>Ž45</v>
      </c>
      <c r="C325" s="31" t="s">
        <v>0</v>
      </c>
      <c r="D325" s="31" t="str">
        <f>IF(csv!F315="","",csv!F315)</f>
        <v>Marija</v>
      </c>
      <c r="E325" s="31" t="str">
        <f>IF(csv!E315="","",csv!E315)</f>
        <v>Schubert</v>
      </c>
      <c r="F325" s="31" t="s">
        <v>0</v>
      </c>
      <c r="G325" s="73" t="str">
        <f>IF(csv!M315="","",csv!M315)</f>
        <v>59:41</v>
      </c>
      <c r="H325" s="73" t="str">
        <f>IF(csv!N315="","",csv!N315)</f>
        <v>0</v>
      </c>
      <c r="I325" s="31" t="s">
        <v>0</v>
      </c>
      <c r="J325" s="31" t="str">
        <f>IF(csv!P315="","",csv!P315)</f>
        <v>OK Varaždin</v>
      </c>
      <c r="K325" s="31" t="str">
        <f>IF(csv!Q315="","",csv!Q315)</f>
        <v>OK Varaždin</v>
      </c>
      <c r="L325" s="31" t="s">
        <v>0</v>
      </c>
      <c r="M325" s="66" t="str">
        <f>IF(csv!R315="","",csv!R315)</f>
        <v>CRO</v>
      </c>
      <c r="N325" s="47" t="s">
        <v>0</v>
      </c>
      <c r="O325" s="243" t="str">
        <f t="shared" si="263"/>
        <v>ok</v>
      </c>
      <c r="P325" s="47"/>
      <c r="Q325" s="52" t="str">
        <f t="shared" si="264"/>
        <v>Ž45</v>
      </c>
      <c r="R325" s="73">
        <f>IF(Q325="","",IF(COUNTIF(Q$12:Q324,Q325)=0,R324+1,R324))</f>
        <v>20</v>
      </c>
      <c r="S325" s="73">
        <f t="shared" si="265"/>
        <v>116</v>
      </c>
      <c r="T325" s="73">
        <f t="shared" si="240"/>
        <v>25</v>
      </c>
      <c r="U325" s="66" t="str">
        <f t="shared" si="241"/>
        <v>Ž45</v>
      </c>
      <c r="V325" s="47" t="s">
        <v>0</v>
      </c>
      <c r="W325" s="222" t="str">
        <f t="shared" si="242"/>
        <v>Ž45</v>
      </c>
      <c r="X325" s="223">
        <f t="shared" si="243"/>
        <v>42</v>
      </c>
      <c r="Y325" s="47" t="s">
        <v>0</v>
      </c>
      <c r="Z325" s="52" t="str">
        <f t="shared" si="266"/>
        <v>CRO</v>
      </c>
      <c r="AA325" s="73">
        <f t="shared" si="244"/>
        <v>1</v>
      </c>
      <c r="AB325" s="31" t="str">
        <f t="shared" si="267"/>
        <v/>
      </c>
      <c r="AC325" s="66" t="str">
        <f>IF(AB325="","",MAX(AC$12:AC324)+1)</f>
        <v/>
      </c>
      <c r="AD325" s="47" t="s">
        <v>0</v>
      </c>
      <c r="AE325" s="125"/>
      <c r="AF325" s="47" t="s">
        <v>0</v>
      </c>
      <c r="AG325" s="19" t="str">
        <f t="shared" si="268"/>
        <v/>
      </c>
      <c r="AH325" s="47" t="s">
        <v>0</v>
      </c>
      <c r="AI325" s="143" t="str">
        <f t="shared" si="269"/>
        <v>CRO</v>
      </c>
      <c r="AJ325" s="47"/>
      <c r="AK325" s="52" t="str">
        <f t="shared" si="270"/>
        <v>Marija</v>
      </c>
      <c r="AL325" s="31" t="str">
        <f t="shared" si="271"/>
        <v>Schubert</v>
      </c>
      <c r="AM325" s="73">
        <f t="shared" si="272"/>
        <v>1270</v>
      </c>
      <c r="AN325" s="73" t="str">
        <f t="shared" si="273"/>
        <v/>
      </c>
      <c r="AO325" s="31" t="str">
        <f t="shared" si="245"/>
        <v>Marija</v>
      </c>
      <c r="AP325" s="66" t="str">
        <f t="shared" si="246"/>
        <v>Schubert</v>
      </c>
      <c r="AQ325" s="47" t="s">
        <v>0</v>
      </c>
      <c r="AR325" s="82" t="str">
        <f t="shared" si="274"/>
        <v/>
      </c>
      <c r="AS325" s="47" t="s">
        <v>0</v>
      </c>
      <c r="AT325" s="19" t="str">
        <f t="shared" si="275"/>
        <v/>
      </c>
      <c r="AU325" s="47" t="s">
        <v>0</v>
      </c>
      <c r="AV325" s="103"/>
      <c r="AW325" s="105"/>
      <c r="AX325" s="47" t="s">
        <v>0</v>
      </c>
      <c r="AY325" s="256" t="str">
        <f t="shared" si="293"/>
        <v/>
      </c>
      <c r="AZ325" s="47" t="s">
        <v>0</v>
      </c>
      <c r="BA325" s="52" t="str">
        <f t="shared" si="247"/>
        <v/>
      </c>
      <c r="BB325" s="73" t="str">
        <f>IF(AV325&amp;AW325="","",MAX(BB$12:BB324)+1)</f>
        <v/>
      </c>
      <c r="BC325" s="268" t="str">
        <f t="shared" si="248"/>
        <v/>
      </c>
      <c r="BD325" s="53" t="str">
        <f>IF(AND(AM325="NEMA",AN325="NEMA",OR(AV325&amp;AW325="",BC325="NEMA")),MAX(BD$12:BD324)+1,"")</f>
        <v/>
      </c>
      <c r="BE325" s="47" t="s">
        <v>0</v>
      </c>
      <c r="BF325" s="52" t="str">
        <f t="shared" si="249"/>
        <v>Marija</v>
      </c>
      <c r="BG325" s="31" t="str">
        <f t="shared" si="250"/>
        <v>Schubert</v>
      </c>
      <c r="BH325" s="73" t="str">
        <f t="shared" si="276"/>
        <v/>
      </c>
      <c r="BI325" s="53">
        <f t="shared" si="277"/>
        <v>1270</v>
      </c>
      <c r="BJ325" s="47" t="s">
        <v>0</v>
      </c>
      <c r="BK325" s="52" t="str">
        <f t="shared" si="251"/>
        <v>OK Varaždin</v>
      </c>
      <c r="BL325" s="31" t="str">
        <f t="shared" si="252"/>
        <v>OK Varaždin</v>
      </c>
      <c r="BM325" s="73">
        <f t="shared" si="253"/>
        <v>11</v>
      </c>
      <c r="BN325" s="73" t="str">
        <f t="shared" si="254"/>
        <v/>
      </c>
      <c r="BO325" s="31" t="str" cm="1">
        <f t="array" ref="BO325">IF(BN325="",""&amp;BL325,IF(BN325="NEMA",BL325,INDEX(regKlub_naziv,MATCH(INDEX(regKlub_alias_klubId,BN325),regKlub_id,0))))</f>
        <v>OK Varaždin</v>
      </c>
      <c r="BP325" s="31" t="str" cm="1">
        <f t="array" ref="BP325">IFERROR(""&amp;INDEX(regNatjecatelj_klub,DY325),"")</f>
        <v>OK Varaždin</v>
      </c>
      <c r="BQ325" s="88" t="str">
        <f t="shared" si="278"/>
        <v/>
      </c>
      <c r="BR325" s="66" t="str">
        <f t="shared" si="279"/>
        <v>OK Varaždin</v>
      </c>
      <c r="BS325" s="47" t="s">
        <v>0</v>
      </c>
      <c r="BT325" s="82" t="str">
        <f>IF(BN325&lt;&gt;"NEMA","",IF(IFERROR(MATCH(BL325,BL$12:BL324,0),0)&lt;&gt;0,"",BL325))</f>
        <v/>
      </c>
      <c r="BU325" s="47" t="s">
        <v>0</v>
      </c>
      <c r="BV325" s="125"/>
      <c r="BW325" s="47" t="s">
        <v>0</v>
      </c>
      <c r="BX325" s="58" t="str">
        <f t="shared" si="280"/>
        <v/>
      </c>
      <c r="BY325" s="31" t="str">
        <f t="shared" si="281"/>
        <v/>
      </c>
      <c r="BZ325" s="31" t="str">
        <f>IF(BY325="","",MAX(BZ$12:BZ324)+1)</f>
        <v/>
      </c>
      <c r="CA325" s="31" t="str">
        <f>IF(BY325="","",IF(AA325="","",IF(AA325="NEMA",AC325,AA325)))</f>
        <v/>
      </c>
      <c r="CB325" s="31" t="str">
        <f t="shared" si="282"/>
        <v/>
      </c>
      <c r="CC325" s="31" t="str">
        <f>IF(BV325="","",MAX(CC$12:CC324)+1)</f>
        <v/>
      </c>
      <c r="CD325" s="31" t="str">
        <f t="shared" si="283"/>
        <v/>
      </c>
      <c r="CE325" s="66" t="str">
        <f t="shared" si="284"/>
        <v/>
      </c>
      <c r="CF325" s="47" t="s">
        <v>0</v>
      </c>
      <c r="CG325" s="73" t="str">
        <f>IF(BN325="","",IF(BN325&lt;&gt;"NEMA","",IFERROR(INDEX(nat_klubAliasId,MATCH(BL325,nat_noviKluboviAliasi,0)),"")))</f>
        <v/>
      </c>
      <c r="CH325" s="47"/>
      <c r="CI325" s="19" t="str">
        <f t="shared" si="285"/>
        <v/>
      </c>
      <c r="CJ325" s="47" t="s">
        <v>0</v>
      </c>
      <c r="CK325" s="52" t="str">
        <f>IF(X325&lt;&gt;"NEMA","",IF(IFERROR(MATCH(W325,W$12:W324,0),0)&lt;&gt;0,"",W325))</f>
        <v/>
      </c>
      <c r="CL325" s="73" t="str">
        <f>IF(CK325="","",IFERROR(INDEX(regKlub_alias_id,MATCH(CK325,regKlub_alias_alias,0)),"NEMA"))</f>
        <v/>
      </c>
      <c r="CM325" s="31" t="str">
        <f>IF(OR(CL325="",CL325&lt;&gt;"NEMA"),"",MAX(CM$12:CM324)+1)</f>
        <v/>
      </c>
      <c r="CN325" s="66" t="str">
        <f>IF(OR(CL325="",CL325&lt;&gt;"NEMA"),"",INDEX(regKlub_id,MATCH(CK325,regKlub_naziv,0)))</f>
        <v/>
      </c>
      <c r="CO325" s="47" t="s">
        <v>0</v>
      </c>
      <c r="CP325" s="19" t="str">
        <f>IF(OR(CL325="",CL325&lt;&gt;"NEMA"),"","INSERT INTO klub_alias(id,alias,klub_id) VALUES ("&amp;CM325&amp;",'"&amp;CK325&amp;"',"&amp;CN325&amp;");")</f>
        <v/>
      </c>
      <c r="CQ325" s="47" t="s">
        <v>0</v>
      </c>
      <c r="CR325" s="143" t="str">
        <f>IF(BR325="","",IF(BV325="",IF(IFERROR(MATCH(BR325,nat_noviKluboviAliasi,0),0)&gt;0,INDEX(nat_kluboviAliasi,MATCH(BR325,nat_noviKluboviAliasi,0)),BR325),BV325))</f>
        <v>OK Varaždin</v>
      </c>
      <c r="CS325" s="47" t="s">
        <v>0</v>
      </c>
      <c r="CT325" s="58" t="str">
        <f>IF(G325="","",G325)</f>
        <v>59:41</v>
      </c>
      <c r="CU325" s="73" t="str">
        <f>IF(H325="","",H325)</f>
        <v>0</v>
      </c>
      <c r="CV325" s="229" t="str">
        <f>IF(CT325="",IF(OR(AL325="",CU325&lt;&gt;"0"),"","GREŠKA"),IF(AND(65535&gt;=VALUE(LEFT(CT325,SEARCH(":",CT325)-1))*60+VALUE(RIGHT(CT325,2)),OR(CU325="0",CU325="1",CU325="2",CU325="3",CU325="4")),"","GREŠKA"))</f>
        <v/>
      </c>
      <c r="CW325" s="230">
        <f t="shared" si="295"/>
        <v>3581</v>
      </c>
      <c r="CX325" s="163">
        <f t="shared" si="255"/>
        <v>1</v>
      </c>
      <c r="CY325" s="47" t="s">
        <v>0</v>
      </c>
      <c r="CZ325" s="222" t="str">
        <f>IF(CV325&lt;&gt;"GREŠKA","",AK325&amp;" "&amp;AL325&amp;" – Molim u OEventu provjeriti i ispraviti rezultat – vrijeme ("&amp;IF(CT325="","nije upisano",CT325)&amp;") i classifier ("&amp;CU325&amp;").")&amp;IF(OR(CV325&lt;&gt;"GREŠKA",CX325&lt;&gt;5),"
","")&amp;IF(CX325&lt;&gt;5,"",AK325&amp;" "&amp;AL325&amp;" – Molim u provjeriti je li natjecatelj zaista diskvalificiran. Ako je koje je obrazloženje, ako nije molim u OEventu ispraviti rezultat")</f>
        <v xml:space="preserve">
</v>
      </c>
      <c r="DA325" s="223">
        <f t="shared" si="286"/>
        <v>6</v>
      </c>
      <c r="DB325" s="47" t="s">
        <v>0</v>
      </c>
      <c r="DC325" s="47"/>
      <c r="DD325" s="47"/>
      <c r="DE325" s="47"/>
      <c r="DF325" s="47" t="s">
        <v>0</v>
      </c>
      <c r="DG325" s="53" t="str">
        <f>IF(BD325="","",IF(DI325="O",1,""))</f>
        <v/>
      </c>
      <c r="DH325" t="s">
        <v>0</v>
      </c>
      <c r="DI325" s="128" t="str">
        <f>IF(Q325="","",LEFT(INDEX(regKategorija_oznaka,MATCH(S325,regKategorija_id,0)),1))</f>
        <v>Ž</v>
      </c>
      <c r="DJ325" t="s">
        <v>0</v>
      </c>
      <c r="DK325" s="52" t="str">
        <f>IF(BD325="","",IF(M325&lt;&gt;"CRO","","INSERT INTO osoba (id,reg_broj,oib,spol_id,dat_rodjenja) VALUES ("&amp;BD325&amp;",(SELECT max(os.reg_broj)+1 FROM osoba AS os),Null,'"&amp;DI325&amp;"',Null); INSERT INTO osoba_log (id,reg_broj,oib,spol_id,dat_rodjenja,dnevnik_id) SELECT id,reg_broj,oib,spol_id,dat_rodjenja,"&amp;data_dnevnik_id&amp;" FROM osoba WHERE id = "&amp;BD325&amp;";"))</f>
        <v/>
      </c>
      <c r="DL325" s="66" t="str">
        <f>IF(BD325="","","INSERT INTO imeprezime (id,osoba_id,rbr,ime,prezime,klub_id,identitet_id,sintaksa_id,info,aktivno,dnevnik_id) VALUES ("&amp;BD325&amp;","&amp;IF(DK325="","Null",BD325)&amp;",1,'"&amp;IF(AV325&lt;&gt;"",AV325,AK325)&amp;"','"&amp;IF(AW325&lt;&gt;"",AW325,AL325)&amp;"',(SELECT id FROM klub WHERE naziv = '"&amp;CR325&amp;"'),Null,1,'',1,"&amp;data_dnevnik_id&amp;");")</f>
        <v/>
      </c>
      <c r="DM325" t="s">
        <v>0</v>
      </c>
      <c r="DN325" s="19" t="str">
        <f t="shared" si="294"/>
        <v/>
      </c>
      <c r="DO325" s="47" t="s">
        <v>0</v>
      </c>
      <c r="DP325" s="19" t="str">
        <f>IF(BA325="","","INSERT INTO imeprezime_alias(id,alias,imeprezime_id) VALUES ("&amp;BB325&amp;",'"&amp;BA325&amp;"',"&amp;IF(BC325="NEMA",BD325,BC325)&amp;");")</f>
        <v/>
      </c>
      <c r="DQ325" s="47" t="s">
        <v>0</v>
      </c>
      <c r="DR325" s="52" t="str">
        <f>IF(AL325="","",DU325 &amp; IF(Q325="",""," – " &amp; Q325))</f>
        <v>Marija – Schubert – OK Varaždin – Ž45</v>
      </c>
      <c r="DS325" s="53">
        <f t="shared" si="256"/>
        <v>589</v>
      </c>
      <c r="DT325" s="47" t="s">
        <v>0</v>
      </c>
      <c r="DU325" s="52" t="str">
        <f>IF(AL325="","",DX325 &amp; IF(CR325="",""," – " &amp; CR325))</f>
        <v>Marija – Schubert – OK Varaždin</v>
      </c>
      <c r="DV325" s="53">
        <f t="shared" si="257"/>
        <v>589</v>
      </c>
      <c r="DW325" s="47" t="s">
        <v>0</v>
      </c>
      <c r="DX325" s="52" t="str">
        <f>IF(BG325="","",BF325&amp;" – "&amp;BG325)</f>
        <v>Marija – Schubert</v>
      </c>
      <c r="DY325" s="53">
        <f t="shared" si="258"/>
        <v>589</v>
      </c>
      <c r="DZ325" s="47" t="s">
        <v>0</v>
      </c>
      <c r="EA325" s="58">
        <f t="shared" si="287"/>
        <v>589</v>
      </c>
      <c r="EB325" s="53" cm="1">
        <f t="array" ref="EB325">IF(EA325&lt;&gt;"",INDEX(regNatjecatelj_id,EA325,0),IF(BD325&lt;&gt;"",BD325,""))</f>
        <v>1270</v>
      </c>
      <c r="EC325" s="47" t="s">
        <v>0</v>
      </c>
      <c r="ED325" s="58" t="str">
        <f>IF(AL325="","",IF(BD325&lt;&gt;"","novo",IF(AN325="","imepre","imepre(ali)")))</f>
        <v>imepre</v>
      </c>
      <c r="EE325" s="73" t="str">
        <f>IF(AL325="","",IF(BL325="",IF(IFERROR(INDEX(regNatjecatelj_klub,MATCH(EB325,regNatjecatelj_id,0)),"NEMA")="","klu",""),IF(OR(AND(BN325&lt;&gt;"",BN325&lt;&gt;"NEMA"),CD325&lt;&gt;""),"klu(ali)",IF(AND(BP325&lt;&gt;"",BP325&lt;&gt;BO325),"(raz-klu)","klu"))))</f>
        <v>klu</v>
      </c>
      <c r="EF325" s="73" t="str">
        <f>IF(AL325="","","kat"&amp;IF(AND(W325&lt;&gt;Q325,Q325&lt;&gt;"Open"),"(ali)",""))</f>
        <v>kat</v>
      </c>
      <c r="EG325" s="73" t="str">
        <f t="shared" si="259"/>
        <v/>
      </c>
      <c r="EH325" s="66" t="str">
        <f>IF(AL325="","",ED325&amp;IF(ED325="novo","","-"&amp;EE325&amp;"-"&amp;EF325)&amp;IF(EG325="","","-"&amp;EG325))</f>
        <v>imepre-klu-kat</v>
      </c>
      <c r="EI325" s="47" t="s">
        <v>0</v>
      </c>
      <c r="EJ325" s="58">
        <f>IF(AL325="","",MAX(EJ$12:EJ324)+1)</f>
        <v>473</v>
      </c>
      <c r="EK325" s="73">
        <f>IF(AO325="","",X325)</f>
        <v>42</v>
      </c>
      <c r="EL325" s="73">
        <f t="shared" si="288"/>
        <v>1270</v>
      </c>
      <c r="EM325" s="73">
        <f t="shared" si="260"/>
        <v>3581</v>
      </c>
      <c r="EN325" s="73">
        <f t="shared" si="261"/>
        <v>1</v>
      </c>
      <c r="EO325" s="73">
        <f t="shared" si="289"/>
        <v>1</v>
      </c>
      <c r="EP325" s="73">
        <f t="shared" si="290"/>
        <v>1</v>
      </c>
      <c r="EQ325" s="73" t="str">
        <f t="shared" si="262"/>
        <v>0</v>
      </c>
      <c r="ER325" s="73" t="str">
        <f>IF(OR(AN325="",AN325="NEMA"),BB325,AN325)</f>
        <v/>
      </c>
      <c r="ES325" s="73" t="str">
        <f>IF(AND(BN325&lt;&gt;"",BN325&lt;&gt;"NEMA"),BN325,IF(CG325&lt;&gt;"",CG325,IF(AND(CL325&lt;&gt;"",CL325&lt;&gt;"NEMA"),CL325,IF(CM325&lt;&gt;"",CM325,""))))</f>
        <v/>
      </c>
      <c r="ET325" s="53" t="str">
        <f>IF(INDEX(natKategorija_alias_Id,MATCH(S325,natKategorija_katRegId,0))="","",INDEX(natKategorija_alias_Id,MATCH(S325,natKategorija_katRegId,0)))</f>
        <v/>
      </c>
      <c r="EU325" s="47" t="s">
        <v>0</v>
      </c>
      <c r="EV325" s="19" t="str">
        <f t="shared" si="291"/>
        <v>INSERT INTO rezultat(id,stazakategorija_id,imeprezime_id,vrijeme_sec,status_id,registracija,uparivanje_id,originalstatus_id,imeprezimealias_id,klubalias_id,kategorijaalias_id) VALUES (473,42,1270,3581,1,1,1,0,Null,Null,Null);</v>
      </c>
      <c r="EW325" s="47" t="s">
        <v>0</v>
      </c>
      <c r="EX325" s="19" t="str">
        <f t="shared" si="292"/>
        <v>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5" s="47" t="s">
        <v>0</v>
      </c>
      <c r="EZ325" s="180" t="str">
        <f>AG325&amp;IF(CP325="","","
")&amp;CP325&amp;IF(CI325="","","
")&amp;CI325&amp;IF(DN325="","","
")&amp;DN325&amp;IF(DP325="","","
")&amp;DP325&amp;IF(EV325="","","
")&amp;EV325&amp;IF(EX325="","","
")&amp;EX325</f>
        <v xml:space="preserve">
INSERT INTO rezultat(id,stazakategorija_id,imeprezime_id,vrijeme_sec,status_id,registracija,uparivanje_id,originalstatus_id,imeprezimealias_id,klubalias_id,kategorijaalias_id) VALUES (473,42,1270,3581,1,1,1,0,Null,Null,Null);
UPDATE
	registar
SET
	potvrda = 1
WHERE
	imeprezime_id=1270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5" s="47" t="s">
        <v>0</v>
      </c>
    </row>
    <row r="326" spans="1:157" x14ac:dyDescent="0.25">
      <c r="A326" t="s">
        <v>0</v>
      </c>
      <c r="B326" s="52" t="str">
        <f>IF(csv!F316="","",csv!T316)</f>
        <v>Ž45</v>
      </c>
      <c r="C326" s="31" t="s">
        <v>0</v>
      </c>
      <c r="D326" s="31" t="str">
        <f>IF(csv!F316="","",csv!F316)</f>
        <v>Marija</v>
      </c>
      <c r="E326" s="31" t="str">
        <f>IF(csv!E316="","",csv!E316)</f>
        <v>Gradečak Galović</v>
      </c>
      <c r="F326" s="31" t="s">
        <v>0</v>
      </c>
      <c r="G326" s="73" t="str">
        <f>IF(csv!M316="","",csv!M316)</f>
        <v>65:32</v>
      </c>
      <c r="H326" s="73" t="str">
        <f>IF(csv!N316="","",csv!N316)</f>
        <v>0</v>
      </c>
      <c r="I326" s="31" t="s">
        <v>0</v>
      </c>
      <c r="J326" s="31" t="str">
        <f>IF(csv!P316="","",csv!P316)</f>
        <v>KAP</v>
      </c>
      <c r="K326" s="31" t="str">
        <f>IF(csv!Q316="","",csv!Q316)</f>
        <v>OK Kapela</v>
      </c>
      <c r="L326" s="31" t="s">
        <v>0</v>
      </c>
      <c r="M326" s="66" t="str">
        <f>IF(csv!R316="","",csv!R316)</f>
        <v>CRO</v>
      </c>
      <c r="N326" s="47" t="s">
        <v>0</v>
      </c>
      <c r="O326" s="243" t="str">
        <f t="shared" si="263"/>
        <v>ok</v>
      </c>
      <c r="P326" s="47"/>
      <c r="Q326" s="52" t="str">
        <f t="shared" si="264"/>
        <v>Ž45</v>
      </c>
      <c r="R326" s="73">
        <f>IF(Q326="","",IF(COUNTIF(Q$12:Q325,Q326)=0,R325+1,R325))</f>
        <v>20</v>
      </c>
      <c r="S326" s="73">
        <f t="shared" si="265"/>
        <v>116</v>
      </c>
      <c r="T326" s="73">
        <f t="shared" si="240"/>
        <v>25</v>
      </c>
      <c r="U326" s="66" t="str">
        <f t="shared" si="241"/>
        <v>Ž45</v>
      </c>
      <c r="V326" s="47" t="s">
        <v>0</v>
      </c>
      <c r="W326" s="222" t="str">
        <f t="shared" si="242"/>
        <v>Ž45</v>
      </c>
      <c r="X326" s="223">
        <f t="shared" si="243"/>
        <v>42</v>
      </c>
      <c r="Y326" s="47" t="s">
        <v>0</v>
      </c>
      <c r="Z326" s="52" t="str">
        <f t="shared" si="266"/>
        <v>CRO</v>
      </c>
      <c r="AA326" s="73">
        <f t="shared" si="244"/>
        <v>1</v>
      </c>
      <c r="AB326" s="31" t="str">
        <f t="shared" si="267"/>
        <v/>
      </c>
      <c r="AC326" s="66" t="str">
        <f>IF(AB326="","",MAX(AC$12:AC325)+1)</f>
        <v/>
      </c>
      <c r="AD326" s="47" t="s">
        <v>0</v>
      </c>
      <c r="AE326" s="125"/>
      <c r="AF326" s="47" t="s">
        <v>0</v>
      </c>
      <c r="AG326" s="19" t="str">
        <f t="shared" si="268"/>
        <v/>
      </c>
      <c r="AH326" s="47" t="s">
        <v>0</v>
      </c>
      <c r="AI326" s="143" t="str">
        <f t="shared" si="269"/>
        <v>CRO</v>
      </c>
      <c r="AJ326" s="47"/>
      <c r="AK326" s="52" t="str">
        <f t="shared" si="270"/>
        <v>Marija</v>
      </c>
      <c r="AL326" s="31" t="str">
        <f t="shared" si="271"/>
        <v>Gradečak Galović</v>
      </c>
      <c r="AM326" s="73">
        <f t="shared" si="272"/>
        <v>1268</v>
      </c>
      <c r="AN326" s="73" t="str">
        <f t="shared" si="273"/>
        <v/>
      </c>
      <c r="AO326" s="31" t="str">
        <f t="shared" si="245"/>
        <v>Marija</v>
      </c>
      <c r="AP326" s="66" t="str">
        <f t="shared" si="246"/>
        <v>Gradečak Galović</v>
      </c>
      <c r="AQ326" s="47" t="s">
        <v>0</v>
      </c>
      <c r="AR326" s="82" t="str">
        <f t="shared" si="274"/>
        <v/>
      </c>
      <c r="AS326" s="47" t="s">
        <v>0</v>
      </c>
      <c r="AT326" s="19" t="str">
        <f t="shared" si="275"/>
        <v/>
      </c>
      <c r="AU326" s="47" t="s">
        <v>0</v>
      </c>
      <c r="AV326" s="103"/>
      <c r="AW326" s="105"/>
      <c r="AX326" s="47" t="s">
        <v>0</v>
      </c>
      <c r="AY326" s="256" t="str">
        <f t="shared" si="293"/>
        <v/>
      </c>
      <c r="AZ326" s="47" t="s">
        <v>0</v>
      </c>
      <c r="BA326" s="52" t="str">
        <f t="shared" si="247"/>
        <v/>
      </c>
      <c r="BB326" s="73" t="str">
        <f>IF(AV326&amp;AW326="","",MAX(BB$12:BB325)+1)</f>
        <v/>
      </c>
      <c r="BC326" s="268" t="str">
        <f t="shared" si="248"/>
        <v/>
      </c>
      <c r="BD326" s="53" t="str">
        <f>IF(AND(AM326="NEMA",AN326="NEMA",OR(AV326&amp;AW326="",BC326="NEMA")),MAX(BD$12:BD325)+1,"")</f>
        <v/>
      </c>
      <c r="BE326" s="47" t="s">
        <v>0</v>
      </c>
      <c r="BF326" s="52" t="str">
        <f t="shared" si="249"/>
        <v>Marija</v>
      </c>
      <c r="BG326" s="31" t="str">
        <f t="shared" si="250"/>
        <v>Gradečak Galović</v>
      </c>
      <c r="BH326" s="73" t="str">
        <f t="shared" si="276"/>
        <v/>
      </c>
      <c r="BI326" s="53">
        <f t="shared" si="277"/>
        <v>1268</v>
      </c>
      <c r="BJ326" s="47" t="s">
        <v>0</v>
      </c>
      <c r="BK326" s="52" t="str">
        <f t="shared" si="251"/>
        <v>KAP</v>
      </c>
      <c r="BL326" s="31" t="str">
        <f t="shared" si="252"/>
        <v>OK Kapela</v>
      </c>
      <c r="BM326" s="73">
        <f t="shared" si="253"/>
        <v>5</v>
      </c>
      <c r="BN326" s="73" t="str">
        <f t="shared" si="254"/>
        <v/>
      </c>
      <c r="BO326" s="31" t="str" cm="1">
        <f t="array" ref="BO326">IF(BN326="",""&amp;BL326,IF(BN326="NEMA",BL326,INDEX(regKlub_naziv,MATCH(INDEX(regKlub_alias_klubId,BN326),regKlub_id,0))))</f>
        <v>OK Kapela</v>
      </c>
      <c r="BP326" s="31" t="str" cm="1">
        <f t="array" ref="BP326">IFERROR(""&amp;INDEX(regNatjecatelj_klub,DY326),"")</f>
        <v>OK Kapela</v>
      </c>
      <c r="BQ326" s="88" t="str">
        <f t="shared" si="278"/>
        <v/>
      </c>
      <c r="BR326" s="66" t="str">
        <f t="shared" si="279"/>
        <v>OK Kapela</v>
      </c>
      <c r="BS326" s="47" t="s">
        <v>0</v>
      </c>
      <c r="BT326" s="82" t="str">
        <f>IF(BN326&lt;&gt;"NEMA","",IF(IFERROR(MATCH(BL326,BL$12:BL325,0),0)&lt;&gt;0,"",BL326))</f>
        <v/>
      </c>
      <c r="BU326" s="47" t="s">
        <v>0</v>
      </c>
      <c r="BV326" s="125"/>
      <c r="BW326" s="47" t="s">
        <v>0</v>
      </c>
      <c r="BX326" s="58" t="str">
        <f t="shared" si="280"/>
        <v/>
      </c>
      <c r="BY326" s="31" t="str">
        <f t="shared" si="281"/>
        <v/>
      </c>
      <c r="BZ326" s="31" t="str">
        <f>IF(BY326="","",MAX(BZ$12:BZ325)+1)</f>
        <v/>
      </c>
      <c r="CA326" s="31" t="str">
        <f>IF(BY326="","",IF(AA326="","",IF(AA326="NEMA",AC326,AA326)))</f>
        <v/>
      </c>
      <c r="CB326" s="31" t="str">
        <f t="shared" si="282"/>
        <v/>
      </c>
      <c r="CC326" s="31" t="str">
        <f>IF(BV326="","",MAX(CC$12:CC325)+1)</f>
        <v/>
      </c>
      <c r="CD326" s="31" t="str">
        <f t="shared" si="283"/>
        <v/>
      </c>
      <c r="CE326" s="66" t="str">
        <f t="shared" si="284"/>
        <v/>
      </c>
      <c r="CF326" s="47" t="s">
        <v>0</v>
      </c>
      <c r="CG326" s="73" t="str">
        <f>IF(BN326="","",IF(BN326&lt;&gt;"NEMA","",IFERROR(INDEX(nat_klubAliasId,MATCH(BL326,nat_noviKluboviAliasi,0)),"")))</f>
        <v/>
      </c>
      <c r="CH326" s="47"/>
      <c r="CI326" s="19" t="str">
        <f t="shared" si="285"/>
        <v/>
      </c>
      <c r="CJ326" s="47" t="s">
        <v>0</v>
      </c>
      <c r="CK326" s="52" t="str">
        <f>IF(X326&lt;&gt;"NEMA","",IF(IFERROR(MATCH(W326,W$12:W325,0),0)&lt;&gt;0,"",W326))</f>
        <v/>
      </c>
      <c r="CL326" s="73" t="str">
        <f>IF(CK326="","",IFERROR(INDEX(regKlub_alias_id,MATCH(CK326,regKlub_alias_alias,0)),"NEMA"))</f>
        <v/>
      </c>
      <c r="CM326" s="31" t="str">
        <f>IF(OR(CL326="",CL326&lt;&gt;"NEMA"),"",MAX(CM$12:CM325)+1)</f>
        <v/>
      </c>
      <c r="CN326" s="66" t="str">
        <f>IF(OR(CL326="",CL326&lt;&gt;"NEMA"),"",INDEX(regKlub_id,MATCH(CK326,regKlub_naziv,0)))</f>
        <v/>
      </c>
      <c r="CO326" s="47" t="s">
        <v>0</v>
      </c>
      <c r="CP326" s="19" t="str">
        <f>IF(OR(CL326="",CL326&lt;&gt;"NEMA"),"","INSERT INTO klub_alias(id,alias,klub_id) VALUES ("&amp;CM326&amp;",'"&amp;CK326&amp;"',"&amp;CN326&amp;");")</f>
        <v/>
      </c>
      <c r="CQ326" s="47" t="s">
        <v>0</v>
      </c>
      <c r="CR326" s="143" t="str">
        <f>IF(BR326="","",IF(BV326="",IF(IFERROR(MATCH(BR326,nat_noviKluboviAliasi,0),0)&gt;0,INDEX(nat_kluboviAliasi,MATCH(BR326,nat_noviKluboviAliasi,0)),BR326),BV326))</f>
        <v>OK Kapela</v>
      </c>
      <c r="CS326" s="47" t="s">
        <v>0</v>
      </c>
      <c r="CT326" s="58" t="str">
        <f>IF(G326="","",G326)</f>
        <v>65:32</v>
      </c>
      <c r="CU326" s="73" t="str">
        <f>IF(H326="","",H326)</f>
        <v>0</v>
      </c>
      <c r="CV326" s="229" t="str">
        <f>IF(CT326="",IF(OR(AL326="",CU326&lt;&gt;"0"),"","GREŠKA"),IF(AND(65535&gt;=VALUE(LEFT(CT326,SEARCH(":",CT326)-1))*60+VALUE(RIGHT(CT326,2)),OR(CU326="0",CU326="1",CU326="2",CU326="3",CU326="4")),"","GREŠKA"))</f>
        <v/>
      </c>
      <c r="CW326" s="230">
        <f t="shared" si="295"/>
        <v>3932</v>
      </c>
      <c r="CX326" s="163">
        <f t="shared" si="255"/>
        <v>1</v>
      </c>
      <c r="CY326" s="47" t="s">
        <v>0</v>
      </c>
      <c r="CZ326" s="222" t="str">
        <f>IF(CV326&lt;&gt;"GREŠKA","",AK326&amp;" "&amp;AL326&amp;" – Molim u OEventu provjeriti i ispraviti rezultat – vrijeme ("&amp;IF(CT326="","nije upisano",CT326)&amp;") i classifier ("&amp;CU326&amp;").")&amp;IF(OR(CV326&lt;&gt;"GREŠKA",CX326&lt;&gt;5),"
","")&amp;IF(CX326&lt;&gt;5,"",AK326&amp;" "&amp;AL326&amp;" – Molim u provjeriti je li natjecatelj zaista diskvalificiran. Ako je koje je obrazloženje, ako nije molim u OEventu ispraviti rezultat")</f>
        <v xml:space="preserve">
</v>
      </c>
      <c r="DA326" s="223">
        <f t="shared" si="286"/>
        <v>6</v>
      </c>
      <c r="DB326" s="47" t="s">
        <v>0</v>
      </c>
      <c r="DC326" s="47"/>
      <c r="DD326" s="47"/>
      <c r="DE326" s="47"/>
      <c r="DF326" s="47" t="s">
        <v>0</v>
      </c>
      <c r="DG326" s="53" t="str">
        <f>IF(BD326="","",IF(DI326="O",1,""))</f>
        <v/>
      </c>
      <c r="DH326" t="s">
        <v>0</v>
      </c>
      <c r="DI326" s="128" t="str">
        <f>IF(Q326="","",LEFT(INDEX(regKategorija_oznaka,MATCH(S326,regKategorija_id,0)),1))</f>
        <v>Ž</v>
      </c>
      <c r="DJ326" t="s">
        <v>0</v>
      </c>
      <c r="DK326" s="52" t="str">
        <f>IF(BD326="","",IF(M326&lt;&gt;"CRO","","INSERT INTO osoba (id,reg_broj,oib,spol_id,dat_rodjenja) VALUES ("&amp;BD326&amp;",(SELECT max(os.reg_broj)+1 FROM osoba AS os),Null,'"&amp;DI326&amp;"',Null); INSERT INTO osoba_log (id,reg_broj,oib,spol_id,dat_rodjenja,dnevnik_id) SELECT id,reg_broj,oib,spol_id,dat_rodjenja,"&amp;data_dnevnik_id&amp;" FROM osoba WHERE id = "&amp;BD326&amp;";"))</f>
        <v/>
      </c>
      <c r="DL326" s="66" t="str">
        <f>IF(BD326="","","INSERT INTO imeprezime (id,osoba_id,rbr,ime,prezime,klub_id,identitet_id,sintaksa_id,info,aktivno,dnevnik_id) VALUES ("&amp;BD326&amp;","&amp;IF(DK326="","Null",BD326)&amp;",1,'"&amp;IF(AV326&lt;&gt;"",AV326,AK326)&amp;"','"&amp;IF(AW326&lt;&gt;"",AW326,AL326)&amp;"',(SELECT id FROM klub WHERE naziv = '"&amp;CR326&amp;"'),Null,1,'',1,"&amp;data_dnevnik_id&amp;");")</f>
        <v/>
      </c>
      <c r="DM326" t="s">
        <v>0</v>
      </c>
      <c r="DN326" s="19" t="str">
        <f t="shared" si="294"/>
        <v/>
      </c>
      <c r="DO326" s="47" t="s">
        <v>0</v>
      </c>
      <c r="DP326" s="19" t="str">
        <f>IF(BA326="","","INSERT INTO imeprezime_alias(id,alias,imeprezime_id) VALUES ("&amp;BB326&amp;",'"&amp;BA326&amp;"',"&amp;IF(BC326="NEMA",BD326,BC326)&amp;");")</f>
        <v/>
      </c>
      <c r="DQ326" s="47" t="s">
        <v>0</v>
      </c>
      <c r="DR326" s="52" t="str">
        <f>IF(AL326="","",DU326 &amp; IF(Q326="",""," – " &amp; Q326))</f>
        <v>Marija – Gradečak Galović – OK Kapela – Ž45</v>
      </c>
      <c r="DS326" s="53">
        <f t="shared" si="256"/>
        <v>246</v>
      </c>
      <c r="DT326" s="47" t="s">
        <v>0</v>
      </c>
      <c r="DU326" s="52" t="str">
        <f>IF(AL326="","",DX326 &amp; IF(CR326="",""," – " &amp; CR326))</f>
        <v>Marija – Gradečak Galović – OK Kapela</v>
      </c>
      <c r="DV326" s="53">
        <f t="shared" si="257"/>
        <v>246</v>
      </c>
      <c r="DW326" s="47" t="s">
        <v>0</v>
      </c>
      <c r="DX326" s="52" t="str">
        <f>IF(BG326="","",BF326&amp;" – "&amp;BG326)</f>
        <v>Marija – Gradečak Galović</v>
      </c>
      <c r="DY326" s="53">
        <f t="shared" si="258"/>
        <v>246</v>
      </c>
      <c r="DZ326" s="47" t="s">
        <v>0</v>
      </c>
      <c r="EA326" s="58">
        <f t="shared" si="287"/>
        <v>246</v>
      </c>
      <c r="EB326" s="53" cm="1">
        <f t="array" ref="EB326">IF(EA326&lt;&gt;"",INDEX(regNatjecatelj_id,EA326,0),IF(BD326&lt;&gt;"",BD326,""))</f>
        <v>1268</v>
      </c>
      <c r="EC326" s="47" t="s">
        <v>0</v>
      </c>
      <c r="ED326" s="58" t="str">
        <f>IF(AL326="","",IF(BD326&lt;&gt;"","novo",IF(AN326="","imepre","imepre(ali)")))</f>
        <v>imepre</v>
      </c>
      <c r="EE326" s="73" t="str">
        <f>IF(AL326="","",IF(BL326="",IF(IFERROR(INDEX(regNatjecatelj_klub,MATCH(EB326,regNatjecatelj_id,0)),"NEMA")="","klu",""),IF(OR(AND(BN326&lt;&gt;"",BN326&lt;&gt;"NEMA"),CD326&lt;&gt;""),"klu(ali)",IF(AND(BP326&lt;&gt;"",BP326&lt;&gt;BO326),"(raz-klu)","klu"))))</f>
        <v>klu</v>
      </c>
      <c r="EF326" s="73" t="str">
        <f>IF(AL326="","","kat"&amp;IF(AND(W326&lt;&gt;Q326,Q326&lt;&gt;"Open"),"(ali)",""))</f>
        <v>kat</v>
      </c>
      <c r="EG326" s="73" t="str">
        <f t="shared" si="259"/>
        <v/>
      </c>
      <c r="EH326" s="66" t="str">
        <f>IF(AL326="","",ED326&amp;IF(ED326="novo","","-"&amp;EE326&amp;"-"&amp;EF326)&amp;IF(EG326="","","-"&amp;EG326))</f>
        <v>imepre-klu-kat</v>
      </c>
      <c r="EI326" s="47" t="s">
        <v>0</v>
      </c>
      <c r="EJ326" s="58">
        <f>IF(AL326="","",MAX(EJ$12:EJ325)+1)</f>
        <v>474</v>
      </c>
      <c r="EK326" s="73">
        <f>IF(AO326="","",X326)</f>
        <v>42</v>
      </c>
      <c r="EL326" s="73">
        <f t="shared" si="288"/>
        <v>1268</v>
      </c>
      <c r="EM326" s="73">
        <f t="shared" si="260"/>
        <v>3932</v>
      </c>
      <c r="EN326" s="73">
        <f t="shared" si="261"/>
        <v>1</v>
      </c>
      <c r="EO326" s="73">
        <f t="shared" si="289"/>
        <v>1</v>
      </c>
      <c r="EP326" s="73">
        <f t="shared" si="290"/>
        <v>1</v>
      </c>
      <c r="EQ326" s="73" t="str">
        <f t="shared" si="262"/>
        <v>0</v>
      </c>
      <c r="ER326" s="73" t="str">
        <f>IF(OR(AN326="",AN326="NEMA"),BB326,AN326)</f>
        <v/>
      </c>
      <c r="ES326" s="73" t="str">
        <f>IF(AND(BN326&lt;&gt;"",BN326&lt;&gt;"NEMA"),BN326,IF(CG326&lt;&gt;"",CG326,IF(AND(CL326&lt;&gt;"",CL326&lt;&gt;"NEMA"),CL326,IF(CM326&lt;&gt;"",CM326,""))))</f>
        <v/>
      </c>
      <c r="ET326" s="53" t="str">
        <f>IF(INDEX(natKategorija_alias_Id,MATCH(S326,natKategorija_katRegId,0))="","",INDEX(natKategorija_alias_Id,MATCH(S326,natKategorija_katRegId,0)))</f>
        <v/>
      </c>
      <c r="EU326" s="47" t="s">
        <v>0</v>
      </c>
      <c r="EV326" s="19" t="str">
        <f t="shared" si="291"/>
        <v>INSERT INTO rezultat(id,stazakategorija_id,imeprezime_id,vrijeme_sec,status_id,registracija,uparivanje_id,originalstatus_id,imeprezimealias_id,klubalias_id,kategorijaalias_id) VALUES (474,42,1268,3932,1,1,1,0,Null,Null,Null);</v>
      </c>
      <c r="EW326" s="47" t="s">
        <v>0</v>
      </c>
      <c r="EX326" s="19" t="str">
        <f t="shared" si="292"/>
        <v>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6" s="47" t="s">
        <v>0</v>
      </c>
      <c r="EZ326" s="180" t="str">
        <f>AG326&amp;IF(CP326="","","
")&amp;CP326&amp;IF(CI326="","","
")&amp;CI326&amp;IF(DN326="","","
")&amp;DN326&amp;IF(DP326="","","
")&amp;DP326&amp;IF(EV326="","","
")&amp;EV326&amp;IF(EX326="","","
")&amp;EX326</f>
        <v xml:space="preserve">
INSERT INTO rezultat(id,stazakategorija_id,imeprezime_id,vrijeme_sec,status_id,registracija,uparivanje_id,originalstatus_id,imeprezimealias_id,klubalias_id,kategorijaalias_id) VALUES (474,42,1268,3932,1,1,1,0,Null,Null,Null);
UPDATE
	registar
SET
	potvrda = 1
WHERE
	imeprezime_id=1268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6" s="47" t="s">
        <v>0</v>
      </c>
    </row>
    <row r="327" spans="1:157" x14ac:dyDescent="0.25">
      <c r="A327" t="s">
        <v>0</v>
      </c>
      <c r="B327" s="52" t="str">
        <f>IF(csv!F317="","",csv!T317)</f>
        <v>Ž45</v>
      </c>
      <c r="C327" s="31" t="s">
        <v>0</v>
      </c>
      <c r="D327" s="31" t="str">
        <f>IF(csv!F317="","",csv!F317)</f>
        <v>Zvjezdana</v>
      </c>
      <c r="E327" s="31" t="str">
        <f>IF(csv!E317="","",csv!E317)</f>
        <v>Govedarica</v>
      </c>
      <c r="F327" s="31" t="s">
        <v>0</v>
      </c>
      <c r="G327" s="73" t="str">
        <f>IF(csv!M317="","",csv!M317)</f>
        <v>76:13</v>
      </c>
      <c r="H327" s="73" t="str">
        <f>IF(csv!N317="","",csv!N317)</f>
        <v>0</v>
      </c>
      <c r="I327" s="31" t="s">
        <v>0</v>
      </c>
      <c r="J327" s="31" t="str">
        <f>IF(csv!P317="","",csv!P317)</f>
        <v>JAP</v>
      </c>
      <c r="K327" s="31" t="str">
        <f>IF(csv!Q317="","",csv!Q317)</f>
        <v>OK Japetic</v>
      </c>
      <c r="L327" s="31" t="s">
        <v>0</v>
      </c>
      <c r="M327" s="66" t="str">
        <f>IF(csv!R317="","",csv!R317)</f>
        <v>CRO</v>
      </c>
      <c r="N327" s="47" t="s">
        <v>0</v>
      </c>
      <c r="O327" s="243" t="str">
        <f t="shared" si="263"/>
        <v>ok</v>
      </c>
      <c r="P327" s="47"/>
      <c r="Q327" s="52" t="str">
        <f t="shared" si="264"/>
        <v>Ž45</v>
      </c>
      <c r="R327" s="73">
        <f>IF(Q327="","",IF(COUNTIF(Q$12:Q326,Q327)=0,R326+1,R326))</f>
        <v>20</v>
      </c>
      <c r="S327" s="73">
        <f t="shared" si="265"/>
        <v>116</v>
      </c>
      <c r="T327" s="73">
        <f t="shared" si="240"/>
        <v>25</v>
      </c>
      <c r="U327" s="66" t="str">
        <f t="shared" si="241"/>
        <v>Ž45</v>
      </c>
      <c r="V327" s="47" t="s">
        <v>0</v>
      </c>
      <c r="W327" s="222" t="str">
        <f t="shared" si="242"/>
        <v>Ž45</v>
      </c>
      <c r="X327" s="223">
        <f t="shared" si="243"/>
        <v>42</v>
      </c>
      <c r="Y327" s="47" t="s">
        <v>0</v>
      </c>
      <c r="Z327" s="52" t="str">
        <f t="shared" si="266"/>
        <v>CRO</v>
      </c>
      <c r="AA327" s="73">
        <f t="shared" si="244"/>
        <v>1</v>
      </c>
      <c r="AB327" s="31" t="str">
        <f t="shared" si="267"/>
        <v/>
      </c>
      <c r="AC327" s="66" t="str">
        <f>IF(AB327="","",MAX(AC$12:AC326)+1)</f>
        <v/>
      </c>
      <c r="AD327" s="47" t="s">
        <v>0</v>
      </c>
      <c r="AE327" s="125"/>
      <c r="AF327" s="47" t="s">
        <v>0</v>
      </c>
      <c r="AG327" s="19" t="str">
        <f t="shared" si="268"/>
        <v/>
      </c>
      <c r="AH327" s="47" t="s">
        <v>0</v>
      </c>
      <c r="AI327" s="143" t="str">
        <f t="shared" si="269"/>
        <v>CRO</v>
      </c>
      <c r="AJ327" s="47"/>
      <c r="AK327" s="52" t="str">
        <f t="shared" si="270"/>
        <v>Zvjezdana</v>
      </c>
      <c r="AL327" s="31" t="str">
        <f t="shared" si="271"/>
        <v>Govedarica</v>
      </c>
      <c r="AM327" s="73">
        <f t="shared" si="272"/>
        <v>1470</v>
      </c>
      <c r="AN327" s="73" t="str">
        <f t="shared" si="273"/>
        <v/>
      </c>
      <c r="AO327" s="31" t="str">
        <f t="shared" si="245"/>
        <v>Zvjezdana</v>
      </c>
      <c r="AP327" s="66" t="str">
        <f t="shared" si="246"/>
        <v>Govedarica</v>
      </c>
      <c r="AQ327" s="47" t="s">
        <v>0</v>
      </c>
      <c r="AR327" s="82" t="str">
        <f t="shared" si="274"/>
        <v/>
      </c>
      <c r="AS327" s="47" t="s">
        <v>0</v>
      </c>
      <c r="AT327" s="19" t="str">
        <f t="shared" si="275"/>
        <v/>
      </c>
      <c r="AU327" s="47" t="s">
        <v>0</v>
      </c>
      <c r="AV327" s="103"/>
      <c r="AW327" s="105"/>
      <c r="AX327" s="47" t="s">
        <v>0</v>
      </c>
      <c r="AY327" s="256" t="str">
        <f t="shared" si="293"/>
        <v/>
      </c>
      <c r="AZ327" s="47" t="s">
        <v>0</v>
      </c>
      <c r="BA327" s="52" t="str">
        <f t="shared" si="247"/>
        <v/>
      </c>
      <c r="BB327" s="73" t="str">
        <f>IF(AV327&amp;AW327="","",MAX(BB$12:BB326)+1)</f>
        <v/>
      </c>
      <c r="BC327" s="268" t="str">
        <f t="shared" si="248"/>
        <v/>
      </c>
      <c r="BD327" s="53" t="str">
        <f>IF(AND(AM327="NEMA",AN327="NEMA",OR(AV327&amp;AW327="",BC327="NEMA")),MAX(BD$12:BD326)+1,"")</f>
        <v/>
      </c>
      <c r="BE327" s="47" t="s">
        <v>0</v>
      </c>
      <c r="BF327" s="52" t="str">
        <f t="shared" si="249"/>
        <v>Zvjezdana</v>
      </c>
      <c r="BG327" s="31" t="str">
        <f t="shared" si="250"/>
        <v>Govedarica</v>
      </c>
      <c r="BH327" s="73" t="str">
        <f t="shared" si="276"/>
        <v/>
      </c>
      <c r="BI327" s="53">
        <f t="shared" si="277"/>
        <v>1470</v>
      </c>
      <c r="BJ327" s="47" t="s">
        <v>0</v>
      </c>
      <c r="BK327" s="52" t="str">
        <f t="shared" si="251"/>
        <v>JAP</v>
      </c>
      <c r="BL327" s="31" t="str">
        <f t="shared" si="252"/>
        <v>OK Japetic</v>
      </c>
      <c r="BM327" s="73" t="str">
        <f t="shared" si="253"/>
        <v>NEMA</v>
      </c>
      <c r="BN327" s="73">
        <f t="shared" si="254"/>
        <v>1</v>
      </c>
      <c r="BO327" s="31" t="str" cm="1">
        <f t="array" ref="BO327">IF(BN327="",""&amp;BL327,IF(BN327="NEMA",BL327,INDEX(regKlub_naziv,MATCH(INDEX(regKlub_alias_klubId,BN327),regKlub_id,0))))</f>
        <v>OK Japetić</v>
      </c>
      <c r="BP327" s="31" t="str" cm="1">
        <f t="array" ref="BP327">IFERROR(""&amp;INDEX(regNatjecatelj_klub,DY327),"")</f>
        <v>OK Japetić</v>
      </c>
      <c r="BQ327" s="88" t="str">
        <f t="shared" si="278"/>
        <v/>
      </c>
      <c r="BR327" s="66" t="str">
        <f t="shared" si="279"/>
        <v>OK Japetić</v>
      </c>
      <c r="BS327" s="47" t="s">
        <v>0</v>
      </c>
      <c r="BT327" s="82" t="str">
        <f>IF(BN327&lt;&gt;"NEMA","",IF(IFERROR(MATCH(BL327,BL$12:BL326,0),0)&lt;&gt;0,"",BL327))</f>
        <v/>
      </c>
      <c r="BU327" s="47" t="s">
        <v>0</v>
      </c>
      <c r="BV327" s="125"/>
      <c r="BW327" s="47" t="s">
        <v>0</v>
      </c>
      <c r="BX327" s="58" t="str">
        <f t="shared" si="280"/>
        <v/>
      </c>
      <c r="BY327" s="31" t="str">
        <f t="shared" si="281"/>
        <v/>
      </c>
      <c r="BZ327" s="31" t="str">
        <f>IF(BY327="","",MAX(BZ$12:BZ326)+1)</f>
        <v/>
      </c>
      <c r="CA327" s="31" t="str">
        <f>IF(BY327="","",IF(AA327="","",IF(AA327="NEMA",AC327,AA327)))</f>
        <v/>
      </c>
      <c r="CB327" s="31" t="str">
        <f t="shared" si="282"/>
        <v/>
      </c>
      <c r="CC327" s="31" t="str">
        <f>IF(BV327="","",MAX(CC$12:CC326)+1)</f>
        <v/>
      </c>
      <c r="CD327" s="31" t="str">
        <f t="shared" si="283"/>
        <v/>
      </c>
      <c r="CE327" s="66" t="str">
        <f t="shared" si="284"/>
        <v/>
      </c>
      <c r="CF327" s="47" t="s">
        <v>0</v>
      </c>
      <c r="CG327" s="73" t="str">
        <f>IF(BN327="","",IF(BN327&lt;&gt;"NEMA","",IFERROR(INDEX(nat_klubAliasId,MATCH(BL327,nat_noviKluboviAliasi,0)),"")))</f>
        <v/>
      </c>
      <c r="CH327" s="47"/>
      <c r="CI327" s="19" t="str">
        <f t="shared" si="285"/>
        <v/>
      </c>
      <c r="CJ327" s="47" t="s">
        <v>0</v>
      </c>
      <c r="CK327" s="52" t="str">
        <f>IF(X327&lt;&gt;"NEMA","",IF(IFERROR(MATCH(W327,W$12:W326,0),0)&lt;&gt;0,"",W327))</f>
        <v/>
      </c>
      <c r="CL327" s="73" t="str">
        <f>IF(CK327="","",IFERROR(INDEX(regKlub_alias_id,MATCH(CK327,regKlub_alias_alias,0)),"NEMA"))</f>
        <v/>
      </c>
      <c r="CM327" s="31" t="str">
        <f>IF(OR(CL327="",CL327&lt;&gt;"NEMA"),"",MAX(CM$12:CM326)+1)</f>
        <v/>
      </c>
      <c r="CN327" s="66" t="str">
        <f>IF(OR(CL327="",CL327&lt;&gt;"NEMA"),"",INDEX(regKlub_id,MATCH(CK327,regKlub_naziv,0)))</f>
        <v/>
      </c>
      <c r="CO327" s="47" t="s">
        <v>0</v>
      </c>
      <c r="CP327" s="19" t="str">
        <f>IF(OR(CL327="",CL327&lt;&gt;"NEMA"),"","INSERT INTO klub_alias(id,alias,klub_id) VALUES ("&amp;CM327&amp;",'"&amp;CK327&amp;"',"&amp;CN327&amp;");")</f>
        <v/>
      </c>
      <c r="CQ327" s="47" t="s">
        <v>0</v>
      </c>
      <c r="CR327" s="143" t="str">
        <f>IF(BR327="","",IF(BV327="",IF(IFERROR(MATCH(BR327,nat_noviKluboviAliasi,0),0)&gt;0,INDEX(nat_kluboviAliasi,MATCH(BR327,nat_noviKluboviAliasi,0)),BR327),BV327))</f>
        <v>OK Japetić</v>
      </c>
      <c r="CS327" s="47" t="s">
        <v>0</v>
      </c>
      <c r="CT327" s="58" t="str">
        <f>IF(G327="","",G327)</f>
        <v>76:13</v>
      </c>
      <c r="CU327" s="73" t="str">
        <f>IF(H327="","",H327)</f>
        <v>0</v>
      </c>
      <c r="CV327" s="229" t="str">
        <f>IF(CT327="",IF(OR(AL327="",CU327&lt;&gt;"0"),"","GREŠKA"),IF(AND(65535&gt;=VALUE(LEFT(CT327,SEARCH(":",CT327)-1))*60+VALUE(RIGHT(CT327,2)),OR(CU327="0",CU327="1",CU327="2",CU327="3",CU327="4")),"","GREŠKA"))</f>
        <v/>
      </c>
      <c r="CW327" s="230">
        <f t="shared" si="295"/>
        <v>4573</v>
      </c>
      <c r="CX327" s="163">
        <f t="shared" si="255"/>
        <v>1</v>
      </c>
      <c r="CY327" s="47" t="s">
        <v>0</v>
      </c>
      <c r="CZ327" s="222" t="str">
        <f>IF(CV327&lt;&gt;"GREŠKA","",AK327&amp;" "&amp;AL327&amp;" – Molim u OEventu provjeriti i ispraviti rezultat – vrijeme ("&amp;IF(CT327="","nije upisano",CT327)&amp;") i classifier ("&amp;CU327&amp;").")&amp;IF(OR(CV327&lt;&gt;"GREŠKA",CX327&lt;&gt;5),"
","")&amp;IF(CX327&lt;&gt;5,"",AK327&amp;" "&amp;AL327&amp;" – Molim u provjeriti je li natjecatelj zaista diskvalificiran. Ako je koje je obrazloženje, ako nije molim u OEventu ispraviti rezultat")</f>
        <v xml:space="preserve">
</v>
      </c>
      <c r="DA327" s="223">
        <f t="shared" si="286"/>
        <v>6</v>
      </c>
      <c r="DB327" s="47" t="s">
        <v>0</v>
      </c>
      <c r="DC327" s="47"/>
      <c r="DD327" s="47"/>
      <c r="DE327" s="47"/>
      <c r="DF327" s="47" t="s">
        <v>0</v>
      </c>
      <c r="DG327" s="53" t="str">
        <f>IF(BD327="","",IF(DI327="O",1,""))</f>
        <v/>
      </c>
      <c r="DH327" t="s">
        <v>0</v>
      </c>
      <c r="DI327" s="128" t="str">
        <f>IF(Q327="","",LEFT(INDEX(regKategorija_oznaka,MATCH(S327,regKategorija_id,0)),1))</f>
        <v>Ž</v>
      </c>
      <c r="DJ327" t="s">
        <v>0</v>
      </c>
      <c r="DK327" s="52" t="str">
        <f>IF(BD327="","",IF(M327&lt;&gt;"CRO","","INSERT INTO osoba (id,reg_broj,oib,spol_id,dat_rodjenja) VALUES ("&amp;BD327&amp;",(SELECT max(os.reg_broj)+1 FROM osoba AS os),Null,'"&amp;DI327&amp;"',Null); INSERT INTO osoba_log (id,reg_broj,oib,spol_id,dat_rodjenja,dnevnik_id) SELECT id,reg_broj,oib,spol_id,dat_rodjenja,"&amp;data_dnevnik_id&amp;" FROM osoba WHERE id = "&amp;BD327&amp;";"))</f>
        <v/>
      </c>
      <c r="DL327" s="66" t="str">
        <f>IF(BD327="","","INSERT INTO imeprezime (id,osoba_id,rbr,ime,prezime,klub_id,identitet_id,sintaksa_id,info,aktivno,dnevnik_id) VALUES ("&amp;BD327&amp;","&amp;IF(DK327="","Null",BD327)&amp;",1,'"&amp;IF(AV327&lt;&gt;"",AV327,AK327)&amp;"','"&amp;IF(AW327&lt;&gt;"",AW327,AL327)&amp;"',(SELECT id FROM klub WHERE naziv = '"&amp;CR327&amp;"'),Null,1,'',1,"&amp;data_dnevnik_id&amp;");")</f>
        <v/>
      </c>
      <c r="DM327" t="s">
        <v>0</v>
      </c>
      <c r="DN327" s="19" t="str">
        <f t="shared" si="294"/>
        <v/>
      </c>
      <c r="DO327" s="47" t="s">
        <v>0</v>
      </c>
      <c r="DP327" s="19" t="str">
        <f>IF(BA327="","","INSERT INTO imeprezime_alias(id,alias,imeprezime_id) VALUES ("&amp;BB327&amp;",'"&amp;BA327&amp;"',"&amp;IF(BC327="NEMA",BD327,BC327)&amp;");")</f>
        <v/>
      </c>
      <c r="DQ327" s="47" t="s">
        <v>0</v>
      </c>
      <c r="DR327" s="52" t="str">
        <f>IF(AL327="","",DU327 &amp; IF(Q327="",""," – " &amp; Q327))</f>
        <v>Zvjezdana – Govedarica – OK Japetić – Ž45</v>
      </c>
      <c r="DS327" s="53">
        <f t="shared" si="256"/>
        <v>90</v>
      </c>
      <c r="DT327" s="47" t="s">
        <v>0</v>
      </c>
      <c r="DU327" s="52" t="str">
        <f>IF(AL327="","",DX327 &amp; IF(CR327="",""," – " &amp; CR327))</f>
        <v>Zvjezdana – Govedarica – OK Japetić</v>
      </c>
      <c r="DV327" s="53">
        <f t="shared" si="257"/>
        <v>90</v>
      </c>
      <c r="DW327" s="47" t="s">
        <v>0</v>
      </c>
      <c r="DX327" s="52" t="str">
        <f>IF(BG327="","",BF327&amp;" – "&amp;BG327)</f>
        <v>Zvjezdana – Govedarica</v>
      </c>
      <c r="DY327" s="53">
        <f t="shared" si="258"/>
        <v>90</v>
      </c>
      <c r="DZ327" s="47" t="s">
        <v>0</v>
      </c>
      <c r="EA327" s="58">
        <f t="shared" si="287"/>
        <v>90</v>
      </c>
      <c r="EB327" s="53" cm="1">
        <f t="array" ref="EB327">IF(EA327&lt;&gt;"",INDEX(regNatjecatelj_id,EA327,0),IF(BD327&lt;&gt;"",BD327,""))</f>
        <v>1470</v>
      </c>
      <c r="EC327" s="47" t="s">
        <v>0</v>
      </c>
      <c r="ED327" s="58" t="str">
        <f>IF(AL327="","",IF(BD327&lt;&gt;"","novo",IF(AN327="","imepre","imepre(ali)")))</f>
        <v>imepre</v>
      </c>
      <c r="EE327" s="73" t="str">
        <f>IF(AL327="","",IF(BL327="",IF(IFERROR(INDEX(regNatjecatelj_klub,MATCH(EB327,regNatjecatelj_id,0)),"NEMA")="","klu",""),IF(OR(AND(BN327&lt;&gt;"",BN327&lt;&gt;"NEMA"),CD327&lt;&gt;""),"klu(ali)",IF(AND(BP327&lt;&gt;"",BP327&lt;&gt;BO327),"(raz-klu)","klu"))))</f>
        <v>klu(ali)</v>
      </c>
      <c r="EF327" s="73" t="str">
        <f>IF(AL327="","","kat"&amp;IF(AND(W327&lt;&gt;Q327,Q327&lt;&gt;"Open"),"(ali)",""))</f>
        <v>kat</v>
      </c>
      <c r="EG327" s="73" t="str">
        <f t="shared" si="259"/>
        <v/>
      </c>
      <c r="EH327" s="66" t="str">
        <f>IF(AL327="","",ED327&amp;IF(ED327="novo","","-"&amp;EE327&amp;"-"&amp;EF327)&amp;IF(EG327="","","-"&amp;EG327))</f>
        <v>imepre-klu(ali)-kat</v>
      </c>
      <c r="EI327" s="47" t="s">
        <v>0</v>
      </c>
      <c r="EJ327" s="58">
        <f>IF(AL327="","",MAX(EJ$12:EJ326)+1)</f>
        <v>475</v>
      </c>
      <c r="EK327" s="73">
        <f>IF(AO327="","",X327)</f>
        <v>42</v>
      </c>
      <c r="EL327" s="73">
        <f t="shared" si="288"/>
        <v>1470</v>
      </c>
      <c r="EM327" s="73">
        <f t="shared" si="260"/>
        <v>4573</v>
      </c>
      <c r="EN327" s="73">
        <f t="shared" si="261"/>
        <v>1</v>
      </c>
      <c r="EO327" s="73">
        <f t="shared" si="289"/>
        <v>1</v>
      </c>
      <c r="EP327" s="73">
        <f t="shared" si="290"/>
        <v>3</v>
      </c>
      <c r="EQ327" s="73" t="str">
        <f t="shared" si="262"/>
        <v>0</v>
      </c>
      <c r="ER327" s="73" t="str">
        <f>IF(OR(AN327="",AN327="NEMA"),BB327,AN327)</f>
        <v/>
      </c>
      <c r="ES327" s="73">
        <f>IF(AND(BN327&lt;&gt;"",BN327&lt;&gt;"NEMA"),BN327,IF(CG327&lt;&gt;"",CG327,IF(AND(CL327&lt;&gt;"",CL327&lt;&gt;"NEMA"),CL327,IF(CM327&lt;&gt;"",CM327,""))))</f>
        <v>1</v>
      </c>
      <c r="ET327" s="53" t="str">
        <f>IF(INDEX(natKategorija_alias_Id,MATCH(S327,natKategorija_katRegId,0))="","",INDEX(natKategorija_alias_Id,MATCH(S327,natKategorija_katRegId,0)))</f>
        <v/>
      </c>
      <c r="EU327" s="47" t="s">
        <v>0</v>
      </c>
      <c r="EV327" s="19" t="str">
        <f t="shared" si="291"/>
        <v>INSERT INTO rezultat(id,stazakategorija_id,imeprezime_id,vrijeme_sec,status_id,registracija,uparivanje_id,originalstatus_id,imeprezimealias_id,klubalias_id,kategorijaalias_id) VALUES (475,42,1470,4573,1,1,3,0,Null,1,Null);</v>
      </c>
      <c r="EW327" s="47" t="s">
        <v>0</v>
      </c>
      <c r="EX327" s="19" t="str">
        <f t="shared" si="292"/>
        <v>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7" s="47" t="s">
        <v>0</v>
      </c>
      <c r="EZ327" s="180" t="str">
        <f>AG327&amp;IF(CP327="","","
")&amp;CP327&amp;IF(CI327="","","
")&amp;CI327&amp;IF(DN327="","","
")&amp;DN327&amp;IF(DP327="","","
")&amp;DP327&amp;IF(EV327="","","
")&amp;EV327&amp;IF(EX327="","","
")&amp;EX327</f>
        <v xml:space="preserve">
INSERT INTO rezultat(id,stazakategorija_id,imeprezime_id,vrijeme_sec,status_id,registracija,uparivanje_id,originalstatus_id,imeprezimealias_id,klubalias_id,kategorijaalias_id) VALUES (475,42,1470,4573,1,1,3,0,Null,1,Null);
UPDATE
	registar
SET
	potvrda = 1
WHERE
	imeprezime_id=1470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7" s="47" t="s">
        <v>0</v>
      </c>
    </row>
    <row r="328" spans="1:157" x14ac:dyDescent="0.25">
      <c r="A328" t="s">
        <v>0</v>
      </c>
      <c r="B328" s="52" t="str">
        <f>IF(csv!F318="","",csv!T318)</f>
        <v>Ž45</v>
      </c>
      <c r="C328" s="31" t="s">
        <v>0</v>
      </c>
      <c r="D328" s="31" t="str">
        <f>IF(csv!F318="","",csv!F318)</f>
        <v>Sanja</v>
      </c>
      <c r="E328" s="31" t="str">
        <f>IF(csv!E318="","",csv!E318)</f>
        <v>Ostroski</v>
      </c>
      <c r="F328" s="31" t="s">
        <v>0</v>
      </c>
      <c r="G328" s="73" t="str">
        <f>IF(csv!M318="","",csv!M318)</f>
        <v>87:55</v>
      </c>
      <c r="H328" s="73" t="str">
        <f>IF(csv!N318="","",csv!N318)</f>
        <v>0</v>
      </c>
      <c r="I328" s="31" t="s">
        <v>0</v>
      </c>
      <c r="J328" s="31" t="str">
        <f>IF(csv!P318="","",csv!P318)</f>
        <v>OK Varaždin</v>
      </c>
      <c r="K328" s="31" t="str">
        <f>IF(csv!Q318="","",csv!Q318)</f>
        <v>OK Varaždin</v>
      </c>
      <c r="L328" s="31" t="s">
        <v>0</v>
      </c>
      <c r="M328" s="66" t="str">
        <f>IF(csv!R318="","",csv!R318)</f>
        <v>CRO</v>
      </c>
      <c r="N328" s="47" t="s">
        <v>0</v>
      </c>
      <c r="O328" s="243" t="str">
        <f t="shared" si="263"/>
        <v>ok</v>
      </c>
      <c r="P328" s="47"/>
      <c r="Q328" s="52" t="str">
        <f t="shared" si="264"/>
        <v>Ž45</v>
      </c>
      <c r="R328" s="73">
        <f>IF(Q328="","",IF(COUNTIF(Q$12:Q327,Q328)=0,R327+1,R327))</f>
        <v>20</v>
      </c>
      <c r="S328" s="73">
        <f t="shared" si="265"/>
        <v>116</v>
      </c>
      <c r="T328" s="73">
        <f t="shared" si="240"/>
        <v>25</v>
      </c>
      <c r="U328" s="66" t="str">
        <f t="shared" si="241"/>
        <v>Ž45</v>
      </c>
      <c r="V328" s="47" t="s">
        <v>0</v>
      </c>
      <c r="W328" s="222" t="str">
        <f t="shared" si="242"/>
        <v>Ž45</v>
      </c>
      <c r="X328" s="223">
        <f t="shared" si="243"/>
        <v>42</v>
      </c>
      <c r="Y328" s="47" t="s">
        <v>0</v>
      </c>
      <c r="Z328" s="52" t="str">
        <f t="shared" si="266"/>
        <v>CRO</v>
      </c>
      <c r="AA328" s="73">
        <f t="shared" si="244"/>
        <v>1</v>
      </c>
      <c r="AB328" s="31" t="str">
        <f t="shared" si="267"/>
        <v/>
      </c>
      <c r="AC328" s="66" t="str">
        <f>IF(AB328="","",MAX(AC$12:AC327)+1)</f>
        <v/>
      </c>
      <c r="AD328" s="47" t="s">
        <v>0</v>
      </c>
      <c r="AE328" s="125"/>
      <c r="AF328" s="47" t="s">
        <v>0</v>
      </c>
      <c r="AG328" s="19" t="str">
        <f t="shared" si="268"/>
        <v/>
      </c>
      <c r="AH328" s="47" t="s">
        <v>0</v>
      </c>
      <c r="AI328" s="143" t="str">
        <f t="shared" si="269"/>
        <v>CRO</v>
      </c>
      <c r="AJ328" s="47"/>
      <c r="AK328" s="52" t="str">
        <f t="shared" si="270"/>
        <v>Sanja</v>
      </c>
      <c r="AL328" s="31" t="str">
        <f t="shared" si="271"/>
        <v>Ostroski</v>
      </c>
      <c r="AM328" s="73" t="str">
        <f t="shared" si="272"/>
        <v>NEMA</v>
      </c>
      <c r="AN328" s="73" t="str">
        <f t="shared" si="273"/>
        <v>NEMA</v>
      </c>
      <c r="AO328" s="31" t="str">
        <f t="shared" si="245"/>
        <v>Sanja</v>
      </c>
      <c r="AP328" s="66" t="str">
        <f t="shared" si="246"/>
        <v>Ostroski</v>
      </c>
      <c r="AQ328" s="47" t="s">
        <v>0</v>
      </c>
      <c r="AR328" s="82" t="str">
        <f t="shared" si="274"/>
        <v>Sanja Ostroski</v>
      </c>
      <c r="AS328" s="47" t="s">
        <v>0</v>
      </c>
      <c r="AT328" s="19" t="str">
        <f t="shared" si="275"/>
        <v>SELECT 'Sanja – Ostroski', ime, prezime FROM imeprezime WHERE ime LIKE '%anj%' Or prezime LIKE '%strosk%' Or ime LIKE '%strosk%' Or prezime LIKE '%anj%' ORDER BY ime, prezime;</v>
      </c>
      <c r="AU328" s="47" t="s">
        <v>0</v>
      </c>
      <c r="AV328" s="103" t="s">
        <v>3599</v>
      </c>
      <c r="AW328" s="105" t="s">
        <v>3715</v>
      </c>
      <c r="AX328" s="47" t="s">
        <v>0</v>
      </c>
      <c r="AY328" s="256" t="str">
        <f t="shared" si="293"/>
        <v/>
      </c>
      <c r="AZ328" s="47" t="s">
        <v>0</v>
      </c>
      <c r="BA328" s="52" t="str">
        <f>IF(AV328&amp;AW328="","",AR328)</f>
        <v>Sanja Ostroski</v>
      </c>
      <c r="BB328" s="73">
        <f>IF(AV328&amp;AW328="","",MAX(BB$12:BB327)+1)</f>
        <v>1</v>
      </c>
      <c r="BC328" s="268">
        <f t="shared" si="248"/>
        <v>1097</v>
      </c>
      <c r="BD328" s="53" t="str">
        <f>IF(AND(AM328="NEMA",AN328="NEMA",OR(AV328&amp;AW328="",BC328="NEMA")),MAX(BD$12:BD327)+1,"")</f>
        <v/>
      </c>
      <c r="BE328" s="47" t="s">
        <v>0</v>
      </c>
      <c r="BF328" s="52" t="str">
        <f t="shared" si="249"/>
        <v>Sanja</v>
      </c>
      <c r="BG328" s="31" t="str">
        <f t="shared" si="250"/>
        <v>Ostroški</v>
      </c>
      <c r="BH328" s="73">
        <f t="shared" si="276"/>
        <v>1</v>
      </c>
      <c r="BI328" s="53">
        <f t="shared" si="277"/>
        <v>1097</v>
      </c>
      <c r="BJ328" s="47" t="s">
        <v>0</v>
      </c>
      <c r="BK328" s="52" t="str">
        <f t="shared" si="251"/>
        <v>OK Varaždin</v>
      </c>
      <c r="BL328" s="31" t="str">
        <f t="shared" si="252"/>
        <v>OK Varaždin</v>
      </c>
      <c r="BM328" s="73">
        <f t="shared" si="253"/>
        <v>11</v>
      </c>
      <c r="BN328" s="73" t="str">
        <f t="shared" si="254"/>
        <v/>
      </c>
      <c r="BO328" s="31" t="str" cm="1">
        <f t="array" ref="BO328">IF(BN328="",""&amp;BL328,IF(BN328="NEMA",BL328,INDEX(regKlub_naziv,MATCH(INDEX(regKlub_alias_klubId,BN328),regKlub_id,0))))</f>
        <v>OK Varaždin</v>
      </c>
      <c r="BP328" s="31" t="str" cm="1">
        <f t="array" ref="BP328">IFERROR(""&amp;INDEX(regNatjecatelj_klub,DY328),"")</f>
        <v>OK Varaždin</v>
      </c>
      <c r="BQ328" s="88" t="str">
        <f t="shared" si="278"/>
        <v/>
      </c>
      <c r="BR328" s="66" t="str">
        <f t="shared" si="279"/>
        <v>OK Varaždin</v>
      </c>
      <c r="BS328" s="47" t="s">
        <v>0</v>
      </c>
      <c r="BT328" s="82" t="str">
        <f>IF(BN328&lt;&gt;"NEMA","",IF(IFERROR(MATCH(BL328,BL$12:BL327,0),0)&lt;&gt;0,"",BL328))</f>
        <v/>
      </c>
      <c r="BU328" s="47" t="s">
        <v>0</v>
      </c>
      <c r="BV328" s="125"/>
      <c r="BW328" s="47" t="s">
        <v>0</v>
      </c>
      <c r="BX328" s="58" t="str">
        <f t="shared" si="280"/>
        <v/>
      </c>
      <c r="BY328" s="31" t="str">
        <f t="shared" si="281"/>
        <v/>
      </c>
      <c r="BZ328" s="31" t="str">
        <f>IF(BY328="","",MAX(BZ$12:BZ327)+1)</f>
        <v/>
      </c>
      <c r="CA328" s="31" t="str">
        <f>IF(BY328="","",IF(AA328="","",IF(AA328="NEMA",AC328,AA328)))</f>
        <v/>
      </c>
      <c r="CB328" s="31" t="str">
        <f t="shared" si="282"/>
        <v/>
      </c>
      <c r="CC328" s="31" t="str">
        <f>IF(BV328="","",MAX(CC$12:CC327)+1)</f>
        <v/>
      </c>
      <c r="CD328" s="31" t="str">
        <f t="shared" si="283"/>
        <v/>
      </c>
      <c r="CE328" s="66" t="str">
        <f t="shared" si="284"/>
        <v/>
      </c>
      <c r="CF328" s="47" t="s">
        <v>0</v>
      </c>
      <c r="CG328" s="73" t="str">
        <f>IF(BN328="","",IF(BN328&lt;&gt;"NEMA","",IFERROR(INDEX(nat_klubAliasId,MATCH(BL328,nat_noviKluboviAliasi,0)),"")))</f>
        <v/>
      </c>
      <c r="CH328" s="47"/>
      <c r="CI328" s="19" t="str">
        <f t="shared" si="285"/>
        <v/>
      </c>
      <c r="CJ328" s="47" t="s">
        <v>0</v>
      </c>
      <c r="CK328" s="52" t="str">
        <f>IF(X328&lt;&gt;"NEMA","",IF(IFERROR(MATCH(W328,W$12:W327,0),0)&lt;&gt;0,"",W328))</f>
        <v/>
      </c>
      <c r="CL328" s="73" t="str">
        <f>IF(CK328="","",IFERROR(INDEX(regKlub_alias_id,MATCH(CK328,regKlub_alias_alias,0)),"NEMA"))</f>
        <v/>
      </c>
      <c r="CM328" s="31" t="str">
        <f>IF(OR(CL328="",CL328&lt;&gt;"NEMA"),"",MAX(CM$12:CM327)+1)</f>
        <v/>
      </c>
      <c r="CN328" s="66" t="str">
        <f>IF(OR(CL328="",CL328&lt;&gt;"NEMA"),"",INDEX(regKlub_id,MATCH(CK328,regKlub_naziv,0)))</f>
        <v/>
      </c>
      <c r="CO328" s="47" t="s">
        <v>0</v>
      </c>
      <c r="CP328" s="19" t="str">
        <f>IF(OR(CL328="",CL328&lt;&gt;"NEMA"),"","INSERT INTO klub_alias(id,alias,klub_id) VALUES ("&amp;CM328&amp;",'"&amp;CK328&amp;"',"&amp;CN328&amp;");")</f>
        <v/>
      </c>
      <c r="CQ328" s="47" t="s">
        <v>0</v>
      </c>
      <c r="CR328" s="143" t="str">
        <f>IF(BR328="","",IF(BV328="",IF(IFERROR(MATCH(BR328,nat_noviKluboviAliasi,0),0)&gt;0,INDEX(nat_kluboviAliasi,MATCH(BR328,nat_noviKluboviAliasi,0)),BR328),BV328))</f>
        <v>OK Varaždin</v>
      </c>
      <c r="CS328" s="47" t="s">
        <v>0</v>
      </c>
      <c r="CT328" s="58" t="str">
        <f>IF(G328="","",G328)</f>
        <v>87:55</v>
      </c>
      <c r="CU328" s="73" t="str">
        <f>IF(H328="","",H328)</f>
        <v>0</v>
      </c>
      <c r="CV328" s="229" t="str">
        <f>IF(CT328="",IF(OR(AL328="",CU328&lt;&gt;"0"),"","GREŠKA"),IF(AND(65535&gt;=VALUE(LEFT(CT328,SEARCH(":",CT328)-1))*60+VALUE(RIGHT(CT328,2)),OR(CU328="0",CU328="1",CU328="2",CU328="3",CU328="4")),"","GREŠKA"))</f>
        <v/>
      </c>
      <c r="CW328" s="230">
        <f t="shared" si="295"/>
        <v>5275</v>
      </c>
      <c r="CX328" s="163">
        <f t="shared" si="255"/>
        <v>1</v>
      </c>
      <c r="CY328" s="47" t="s">
        <v>0</v>
      </c>
      <c r="CZ328" s="222" t="str">
        <f>IF(CV328&lt;&gt;"GREŠKA","",AK328&amp;" "&amp;AL328&amp;" – Molim u OEventu provjeriti i ispraviti rezultat – vrijeme ("&amp;IF(CT328="","nije upisano",CT328)&amp;") i classifier ("&amp;CU328&amp;").")&amp;IF(OR(CV328&lt;&gt;"GREŠKA",CX328&lt;&gt;5),"
","")&amp;IF(CX328&lt;&gt;5,"",AK328&amp;" "&amp;AL328&amp;" – Molim u provjeriti je li natjecatelj zaista diskvalificiran. Ako je koje je obrazloženje, ako nije molim u OEventu ispraviti rezultat")</f>
        <v xml:space="preserve">
</v>
      </c>
      <c r="DA328" s="223">
        <f t="shared" si="286"/>
        <v>6</v>
      </c>
      <c r="DB328" s="47" t="s">
        <v>0</v>
      </c>
      <c r="DC328" s="47"/>
      <c r="DD328" s="47"/>
      <c r="DE328" s="47"/>
      <c r="DF328" s="47" t="s">
        <v>0</v>
      </c>
      <c r="DG328" s="53" t="str">
        <f>IF(BD328="","",IF(DI328="O",1,""))</f>
        <v/>
      </c>
      <c r="DH328" t="s">
        <v>0</v>
      </c>
      <c r="DI328" s="128" t="str">
        <f>IF(Q328="","",LEFT(INDEX(regKategorija_oznaka,MATCH(S328,regKategorija_id,0)),1))</f>
        <v>Ž</v>
      </c>
      <c r="DJ328" t="s">
        <v>0</v>
      </c>
      <c r="DK328" s="52" t="str">
        <f>IF(BD328="","",IF(M328&lt;&gt;"CRO","","INSERT INTO osoba (id,reg_broj,oib,spol_id,dat_rodjenja) VALUES ("&amp;BD328&amp;",(SELECT max(os.reg_broj)+1 FROM osoba AS os),Null,'"&amp;DI328&amp;"',Null); INSERT INTO osoba_log (id,reg_broj,oib,spol_id,dat_rodjenja,dnevnik_id) SELECT id,reg_broj,oib,spol_id,dat_rodjenja,"&amp;data_dnevnik_id&amp;" FROM osoba WHERE id = "&amp;BD328&amp;";"))</f>
        <v/>
      </c>
      <c r="DL328" s="66" t="str">
        <f>IF(BD328="","","INSERT INTO imeprezime (id,osoba_id,rbr,ime,prezime,klub_id,identitet_id,sintaksa_id,info,aktivno,dnevnik_id) VALUES ("&amp;BD328&amp;","&amp;IF(DK328="","Null",BD328)&amp;",1,'"&amp;IF(AV328&lt;&gt;"",AV328,AK328)&amp;"','"&amp;IF(AW328&lt;&gt;"",AW328,AL328)&amp;"',(SELECT id FROM klub WHERE naziv = '"&amp;CR328&amp;"'),Null,1,'',1,"&amp;data_dnevnik_id&amp;");")</f>
        <v/>
      </c>
      <c r="DM328" t="s">
        <v>0</v>
      </c>
      <c r="DN328" s="19" t="str">
        <f t="shared" si="294"/>
        <v/>
      </c>
      <c r="DO328" s="47" t="s">
        <v>0</v>
      </c>
      <c r="DP328" s="19" t="str">
        <f>IF(BA328="","","INSERT INTO imeprezime_alias(id,alias,imeprezime_id) VALUES ("&amp;BB328&amp;",'"&amp;BA328&amp;"',"&amp;IF(BC328="NEMA",BD328,BC328)&amp;");")</f>
        <v>INSERT INTO imeprezime_alias(id,alias,imeprezime_id) VALUES (1,'Sanja Ostroski',1097);</v>
      </c>
      <c r="DQ328" s="47" t="s">
        <v>0</v>
      </c>
      <c r="DR328" s="52" t="str">
        <f>IF(AL328="","",DU328 &amp; IF(Q328="",""," – " &amp; Q328))</f>
        <v>Sanja – Ostroški – OK Varaždin – Ž45</v>
      </c>
      <c r="DS328" s="53">
        <f t="shared" si="256"/>
        <v>567</v>
      </c>
      <c r="DT328" s="47" t="s">
        <v>0</v>
      </c>
      <c r="DU328" s="52" t="str">
        <f>IF(AL328="","",DX328 &amp; IF(CR328="",""," – " &amp; CR328))</f>
        <v>Sanja – Ostroški – OK Varaždin</v>
      </c>
      <c r="DV328" s="53">
        <f t="shared" si="257"/>
        <v>567</v>
      </c>
      <c r="DW328" s="47" t="s">
        <v>0</v>
      </c>
      <c r="DX328" s="52" t="str">
        <f>IF(BG328="","",BF328&amp;" – "&amp;BG328)</f>
        <v>Sanja – Ostroški</v>
      </c>
      <c r="DY328" s="53">
        <f t="shared" si="258"/>
        <v>567</v>
      </c>
      <c r="DZ328" s="47" t="s">
        <v>0</v>
      </c>
      <c r="EA328" s="58">
        <f t="shared" si="287"/>
        <v>567</v>
      </c>
      <c r="EB328" s="53" cm="1">
        <f t="array" ref="EB328">IF(EA328&lt;&gt;"",INDEX(regNatjecatelj_id,EA328,0),IF(BD328&lt;&gt;"",BD328,""))</f>
        <v>1097</v>
      </c>
      <c r="EC328" s="47" t="s">
        <v>0</v>
      </c>
      <c r="ED328" s="58" t="str">
        <f>IF(AL328="","",IF(BD328&lt;&gt;"","novo",IF(AN328="","imepre","imepre(ali)")))</f>
        <v>imepre(ali)</v>
      </c>
      <c r="EE328" s="73" t="str">
        <f>IF(AL328="","",IF(BL328="",IF(IFERROR(INDEX(regNatjecatelj_klub,MATCH(EB328,regNatjecatelj_id,0)),"NEMA")="","klu",""),IF(OR(AND(BN328&lt;&gt;"",BN328&lt;&gt;"NEMA"),CD328&lt;&gt;""),"klu(ali)",IF(AND(BP328&lt;&gt;"",BP328&lt;&gt;BO328),"(raz-klu)","klu"))))</f>
        <v>klu</v>
      </c>
      <c r="EF328" s="73" t="str">
        <f>IF(AL328="","","kat"&amp;IF(AND(W328&lt;&gt;Q328,Q328&lt;&gt;"Open"),"(ali)",""))</f>
        <v>kat</v>
      </c>
      <c r="EG328" s="73" t="str">
        <f t="shared" si="259"/>
        <v/>
      </c>
      <c r="EH328" s="66" t="str">
        <f>IF(AL328="","",ED328&amp;IF(ED328="novo","","-"&amp;EE328&amp;"-"&amp;EF328)&amp;IF(EG328="","","-"&amp;EG328))</f>
        <v>imepre(ali)-klu-kat</v>
      </c>
      <c r="EI328" s="47" t="s">
        <v>0</v>
      </c>
      <c r="EJ328" s="58">
        <f>IF(AL328="","",MAX(EJ$12:EJ327)+1)</f>
        <v>476</v>
      </c>
      <c r="EK328" s="73">
        <f>IF(AO328="","",X328)</f>
        <v>42</v>
      </c>
      <c r="EL328" s="73">
        <f t="shared" si="288"/>
        <v>1097</v>
      </c>
      <c r="EM328" s="73">
        <f t="shared" si="260"/>
        <v>5275</v>
      </c>
      <c r="EN328" s="73">
        <f t="shared" si="261"/>
        <v>1</v>
      </c>
      <c r="EO328" s="73">
        <f t="shared" si="289"/>
        <v>1</v>
      </c>
      <c r="EP328" s="73">
        <f t="shared" si="290"/>
        <v>7</v>
      </c>
      <c r="EQ328" s="73" t="str">
        <f t="shared" si="262"/>
        <v>0</v>
      </c>
      <c r="ER328" s="73">
        <f>IF(OR(AN328="",AN328="NEMA"),BB328,AN328)</f>
        <v>1</v>
      </c>
      <c r="ES328" s="73" t="str">
        <f>IF(AND(BN328&lt;&gt;"",BN328&lt;&gt;"NEMA"),BN328,IF(CG328&lt;&gt;"",CG328,IF(AND(CL328&lt;&gt;"",CL328&lt;&gt;"NEMA"),CL328,IF(CM328&lt;&gt;"",CM328,""))))</f>
        <v/>
      </c>
      <c r="ET328" s="53" t="str">
        <f>IF(INDEX(natKategorija_alias_Id,MATCH(S328,natKategorija_katRegId,0))="","",INDEX(natKategorija_alias_Id,MATCH(S328,natKategorija_katRegId,0)))</f>
        <v/>
      </c>
      <c r="EU328" s="47" t="s">
        <v>0</v>
      </c>
      <c r="EV328" s="19" t="str">
        <f t="shared" si="291"/>
        <v>INSERT INTO rezultat(id,stazakategorija_id,imeprezime_id,vrijeme_sec,status_id,registracija,uparivanje_id,originalstatus_id,imeprezimealias_id,klubalias_id,kategorijaalias_id) VALUES (476,42,1097,5275,1,1,7,0,1,Null,Null);</v>
      </c>
      <c r="EW328" s="47" t="s">
        <v>0</v>
      </c>
      <c r="EX328" s="19" t="str">
        <f t="shared" si="292"/>
        <v>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8" s="47" t="s">
        <v>0</v>
      </c>
      <c r="EZ328" s="180" t="str">
        <f>AG328&amp;IF(CP328="","","
")&amp;CP328&amp;IF(CI328="","","
")&amp;CI328&amp;IF(DN328="","","
")&amp;DN328&amp;IF(DP328="","","
")&amp;DP328&amp;IF(EV328="","","
")&amp;EV328&amp;IF(EX328="","","
")&amp;EX328</f>
        <v xml:space="preserve">
INSERT INTO imeprezime_alias(id,alias,imeprezime_id) VALUES (1,'Sanja Ostroski',1097);
INSERT INTO rezultat(id,stazakategorija_id,imeprezime_id,vrijeme_sec,status_id,registracija,uparivanje_id,originalstatus_id,imeprezimealias_id,klubalias_id,kategorijaalias_id) VALUES (476,42,1097,5275,1,1,7,0,1,Null,Null);
UPDATE
	registar
SET
	potvrda = 1
WHERE
	imeprezime_id=1097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8" s="47" t="s">
        <v>0</v>
      </c>
    </row>
    <row r="329" spans="1:157" x14ac:dyDescent="0.25">
      <c r="A329" t="s">
        <v>0</v>
      </c>
      <c r="B329" s="52" t="str">
        <f>IF(csv!F319="","",csv!T319)</f>
        <v>Ž45</v>
      </c>
      <c r="C329" s="31" t="s">
        <v>0</v>
      </c>
      <c r="D329" s="31" t="str">
        <f>IF(csv!F319="","",csv!F319)</f>
        <v>Davorka</v>
      </c>
      <c r="E329" s="31" t="str">
        <f>IF(csv!E319="","",csv!E319)</f>
        <v>Srebačić</v>
      </c>
      <c r="F329" s="31" t="s">
        <v>0</v>
      </c>
      <c r="G329" s="73" t="str">
        <f>IF(csv!M319="","",csv!M319)</f>
        <v/>
      </c>
      <c r="H329" s="73" t="str">
        <f>IF(csv!N319="","",csv!N319)</f>
        <v>1</v>
      </c>
      <c r="I329" s="31" t="s">
        <v>0</v>
      </c>
      <c r="J329" s="31" t="str">
        <f>IF(csv!P319="","",csv!P319)</f>
        <v>OK Varaždin</v>
      </c>
      <c r="K329" s="31" t="str">
        <f>IF(csv!Q319="","",csv!Q319)</f>
        <v>OK Varaždin</v>
      </c>
      <c r="L329" s="31" t="s">
        <v>0</v>
      </c>
      <c r="M329" s="66" t="str">
        <f>IF(csv!R319="","",csv!R319)</f>
        <v>CRO</v>
      </c>
      <c r="N329" s="47" t="s">
        <v>0</v>
      </c>
      <c r="O329" s="243" t="str">
        <f t="shared" si="263"/>
        <v>ok</v>
      </c>
      <c r="P329" s="47"/>
      <c r="Q329" s="52" t="str">
        <f t="shared" si="264"/>
        <v>Ž45</v>
      </c>
      <c r="R329" s="73">
        <f>IF(Q329="","",IF(COUNTIF(Q$12:Q328,Q329)=0,R328+1,R328))</f>
        <v>20</v>
      </c>
      <c r="S329" s="73">
        <f t="shared" si="265"/>
        <v>116</v>
      </c>
      <c r="T329" s="73">
        <f t="shared" si="240"/>
        <v>25</v>
      </c>
      <c r="U329" s="66" t="str">
        <f t="shared" si="241"/>
        <v>Ž45</v>
      </c>
      <c r="V329" s="47" t="s">
        <v>0</v>
      </c>
      <c r="W329" s="222" t="str">
        <f t="shared" si="242"/>
        <v>Ž45</v>
      </c>
      <c r="X329" s="223">
        <f t="shared" si="243"/>
        <v>42</v>
      </c>
      <c r="Y329" s="47" t="s">
        <v>0</v>
      </c>
      <c r="Z329" s="52" t="str">
        <f t="shared" si="266"/>
        <v>CRO</v>
      </c>
      <c r="AA329" s="73">
        <f t="shared" si="244"/>
        <v>1</v>
      </c>
      <c r="AB329" s="31" t="str">
        <f t="shared" si="267"/>
        <v/>
      </c>
      <c r="AC329" s="66" t="str">
        <f>IF(AB329="","",MAX(AC$12:AC328)+1)</f>
        <v/>
      </c>
      <c r="AD329" s="47" t="s">
        <v>0</v>
      </c>
      <c r="AE329" s="125"/>
      <c r="AF329" s="47" t="s">
        <v>0</v>
      </c>
      <c r="AG329" s="19" t="str">
        <f t="shared" si="268"/>
        <v/>
      </c>
      <c r="AH329" s="47" t="s">
        <v>0</v>
      </c>
      <c r="AI329" s="143" t="str">
        <f t="shared" si="269"/>
        <v>CRO</v>
      </c>
      <c r="AJ329" s="47"/>
      <c r="AK329" s="52" t="str">
        <f t="shared" si="270"/>
        <v>Davorka</v>
      </c>
      <c r="AL329" s="31" t="str">
        <f t="shared" si="271"/>
        <v>Srebačić</v>
      </c>
      <c r="AM329" s="73">
        <f t="shared" si="272"/>
        <v>1067</v>
      </c>
      <c r="AN329" s="73" t="str">
        <f t="shared" si="273"/>
        <v/>
      </c>
      <c r="AO329" s="31" t="str">
        <f t="shared" si="245"/>
        <v>Davorka</v>
      </c>
      <c r="AP329" s="66" t="str">
        <f t="shared" si="246"/>
        <v>Srebačić</v>
      </c>
      <c r="AQ329" s="47" t="s">
        <v>0</v>
      </c>
      <c r="AR329" s="82" t="str">
        <f t="shared" si="274"/>
        <v/>
      </c>
      <c r="AS329" s="47" t="s">
        <v>0</v>
      </c>
      <c r="AT329" s="19" t="str">
        <f t="shared" si="275"/>
        <v/>
      </c>
      <c r="AU329" s="47" t="s">
        <v>0</v>
      </c>
      <c r="AV329" s="103"/>
      <c r="AW329" s="105"/>
      <c r="AX329" s="47" t="s">
        <v>0</v>
      </c>
      <c r="AY329" s="256" t="str">
        <f t="shared" si="293"/>
        <v/>
      </c>
      <c r="AZ329" s="47" t="s">
        <v>0</v>
      </c>
      <c r="BA329" s="52" t="str">
        <f t="shared" ref="BA329:BA392" si="296">IF(AV329&amp;AW329="","",AR329)</f>
        <v/>
      </c>
      <c r="BB329" s="73" t="str">
        <f>IF(AV329&amp;AW329="","",MAX(BB$12:BB328)+1)</f>
        <v/>
      </c>
      <c r="BC329" s="268" t="str">
        <f t="shared" si="248"/>
        <v/>
      </c>
      <c r="BD329" s="53" t="str">
        <f>IF(AND(AM329="NEMA",AN329="NEMA",OR(AV329&amp;AW329="",BC329="NEMA")),MAX(BD$12:BD328)+1,"")</f>
        <v/>
      </c>
      <c r="BE329" s="47" t="s">
        <v>0</v>
      </c>
      <c r="BF329" s="52" t="str">
        <f t="shared" si="249"/>
        <v>Davorka</v>
      </c>
      <c r="BG329" s="31" t="str">
        <f t="shared" si="250"/>
        <v>Srebačić</v>
      </c>
      <c r="BH329" s="73" t="str">
        <f t="shared" si="276"/>
        <v/>
      </c>
      <c r="BI329" s="53">
        <f t="shared" si="277"/>
        <v>1067</v>
      </c>
      <c r="BJ329" s="47" t="s">
        <v>0</v>
      </c>
      <c r="BK329" s="52" t="str">
        <f t="shared" si="251"/>
        <v>OK Varaždin</v>
      </c>
      <c r="BL329" s="31" t="str">
        <f t="shared" si="252"/>
        <v>OK Varaždin</v>
      </c>
      <c r="BM329" s="73">
        <f t="shared" si="253"/>
        <v>11</v>
      </c>
      <c r="BN329" s="73" t="str">
        <f t="shared" si="254"/>
        <v/>
      </c>
      <c r="BO329" s="31" t="str" cm="1">
        <f t="array" ref="BO329">IF(BN329="",""&amp;BL329,IF(BN329="NEMA",BL329,INDEX(regKlub_naziv,MATCH(INDEX(regKlub_alias_klubId,BN329),regKlub_id,0))))</f>
        <v>OK Varaždin</v>
      </c>
      <c r="BP329" s="31" t="str" cm="1">
        <f t="array" ref="BP329">IFERROR(""&amp;INDEX(regNatjecatelj_klub,DY329),"")</f>
        <v>OK Varaždin</v>
      </c>
      <c r="BQ329" s="88" t="str">
        <f t="shared" si="278"/>
        <v/>
      </c>
      <c r="BR329" s="66" t="str">
        <f t="shared" si="279"/>
        <v>OK Varaždin</v>
      </c>
      <c r="BS329" s="47" t="s">
        <v>0</v>
      </c>
      <c r="BT329" s="82" t="str">
        <f>IF(BN329&lt;&gt;"NEMA","",IF(IFERROR(MATCH(BL329,BL$12:BL328,0),0)&lt;&gt;0,"",BL329))</f>
        <v/>
      </c>
      <c r="BU329" s="47" t="s">
        <v>0</v>
      </c>
      <c r="BV329" s="125"/>
      <c r="BW329" s="47" t="s">
        <v>0</v>
      </c>
      <c r="BX329" s="58" t="str">
        <f t="shared" si="280"/>
        <v/>
      </c>
      <c r="BY329" s="31" t="str">
        <f t="shared" si="281"/>
        <v/>
      </c>
      <c r="BZ329" s="31" t="str">
        <f>IF(BY329="","",MAX(BZ$12:BZ328)+1)</f>
        <v/>
      </c>
      <c r="CA329" s="31" t="str">
        <f>IF(BY329="","",IF(AA329="","",IF(AA329="NEMA",AC329,AA329)))</f>
        <v/>
      </c>
      <c r="CB329" s="31" t="str">
        <f t="shared" si="282"/>
        <v/>
      </c>
      <c r="CC329" s="31" t="str">
        <f>IF(BV329="","",MAX(CC$12:CC328)+1)</f>
        <v/>
      </c>
      <c r="CD329" s="31" t="str">
        <f t="shared" si="283"/>
        <v/>
      </c>
      <c r="CE329" s="66" t="str">
        <f t="shared" si="284"/>
        <v/>
      </c>
      <c r="CF329" s="47" t="s">
        <v>0</v>
      </c>
      <c r="CG329" s="73" t="str">
        <f>IF(BN329="","",IF(BN329&lt;&gt;"NEMA","",IFERROR(INDEX(nat_klubAliasId,MATCH(BL329,nat_noviKluboviAliasi,0)),"")))</f>
        <v/>
      </c>
      <c r="CH329" s="47"/>
      <c r="CI329" s="19" t="str">
        <f t="shared" si="285"/>
        <v/>
      </c>
      <c r="CJ329" s="47" t="s">
        <v>0</v>
      </c>
      <c r="CK329" s="52" t="str">
        <f>IF(X329&lt;&gt;"NEMA","",IF(IFERROR(MATCH(W329,W$12:W328,0),0)&lt;&gt;0,"",W329))</f>
        <v/>
      </c>
      <c r="CL329" s="73" t="str">
        <f>IF(CK329="","",IFERROR(INDEX(regKlub_alias_id,MATCH(CK329,regKlub_alias_alias,0)),"NEMA"))</f>
        <v/>
      </c>
      <c r="CM329" s="31" t="str">
        <f>IF(OR(CL329="",CL329&lt;&gt;"NEMA"),"",MAX(CM$12:CM328)+1)</f>
        <v/>
      </c>
      <c r="CN329" s="66" t="str">
        <f>IF(OR(CL329="",CL329&lt;&gt;"NEMA"),"",INDEX(regKlub_id,MATCH(CK329,regKlub_naziv,0)))</f>
        <v/>
      </c>
      <c r="CO329" s="47" t="s">
        <v>0</v>
      </c>
      <c r="CP329" s="19" t="str">
        <f>IF(OR(CL329="",CL329&lt;&gt;"NEMA"),"","INSERT INTO klub_alias(id,alias,klub_id) VALUES ("&amp;CM329&amp;",'"&amp;CK329&amp;"',"&amp;CN329&amp;");")</f>
        <v/>
      </c>
      <c r="CQ329" s="47" t="s">
        <v>0</v>
      </c>
      <c r="CR329" s="143" t="str">
        <f>IF(BR329="","",IF(BV329="",IF(IFERROR(MATCH(BR329,nat_noviKluboviAliasi,0),0)&gt;0,INDEX(nat_kluboviAliasi,MATCH(BR329,nat_noviKluboviAliasi,0)),BR329),BV329))</f>
        <v>OK Varaždin</v>
      </c>
      <c r="CS329" s="47" t="s">
        <v>0</v>
      </c>
      <c r="CT329" s="58" t="str">
        <f>IF(G329="","",G329)</f>
        <v/>
      </c>
      <c r="CU329" s="73" t="str">
        <f>IF(H329="","",H329)</f>
        <v>1</v>
      </c>
      <c r="CV329" s="229" t="str">
        <f>IF(CT329="",IF(OR(AL329="",CU329&lt;&gt;"0"),"","GREŠKA"),IF(AND(65535&gt;=VALUE(LEFT(CT329,SEARCH(":",CT329)-1))*60+VALUE(RIGHT(CT329,2)),OR(CU329="0",CU329="1",CU329="2",CU329="3",CU329="4")),"","GREŠKA"))</f>
        <v/>
      </c>
      <c r="CW329" s="230" t="str">
        <f t="shared" si="295"/>
        <v/>
      </c>
      <c r="CX329" s="163">
        <f t="shared" si="255"/>
        <v>6</v>
      </c>
      <c r="CY329" s="47" t="s">
        <v>0</v>
      </c>
      <c r="CZ329" s="222" t="str">
        <f>IF(CV329&lt;&gt;"GREŠKA","",AK329&amp;" "&amp;AL329&amp;" – Molim u OEventu provjeriti i ispraviti rezultat – vrijeme ("&amp;IF(CT329="","nije upisano",CT329)&amp;") i classifier ("&amp;CU329&amp;").")&amp;IF(OR(CV329&lt;&gt;"GREŠKA",CX329&lt;&gt;5),"
","")&amp;IF(CX329&lt;&gt;5,"",AK329&amp;" "&amp;AL329&amp;" – Molim u provjeriti je li natjecatelj zaista diskvalificiran. Ako je koje je obrazloženje, ako nije molim u OEventu ispraviti rezultat")</f>
        <v xml:space="preserve">
</v>
      </c>
      <c r="DA329" s="223" t="e">
        <f t="shared" si="286"/>
        <v>#N/A</v>
      </c>
      <c r="DB329" s="47" t="s">
        <v>0</v>
      </c>
      <c r="DC329" s="47"/>
      <c r="DD329" s="47"/>
      <c r="DE329" s="47"/>
      <c r="DF329" s="47" t="s">
        <v>0</v>
      </c>
      <c r="DG329" s="53" t="str">
        <f>IF(BD329="","",IF(DI329="O",1,""))</f>
        <v/>
      </c>
      <c r="DH329" t="s">
        <v>0</v>
      </c>
      <c r="DI329" s="128" t="str">
        <f>IF(Q329="","",LEFT(INDEX(regKategorija_oznaka,MATCH(S329,regKategorija_id,0)),1))</f>
        <v>Ž</v>
      </c>
      <c r="DJ329" t="s">
        <v>0</v>
      </c>
      <c r="DK329" s="52" t="str">
        <f>IF(BD329="","",IF(M329&lt;&gt;"CRO","","INSERT INTO osoba (id,reg_broj,oib,spol_id,dat_rodjenja) VALUES ("&amp;BD329&amp;",(SELECT max(os.reg_broj)+1 FROM osoba AS os),Null,'"&amp;DI329&amp;"',Null); INSERT INTO osoba_log (id,reg_broj,oib,spol_id,dat_rodjenja,dnevnik_id) SELECT id,reg_broj,oib,spol_id,dat_rodjenja,"&amp;data_dnevnik_id&amp;" FROM osoba WHERE id = "&amp;BD329&amp;";"))</f>
        <v/>
      </c>
      <c r="DL329" s="66" t="str">
        <f>IF(BD329="","","INSERT INTO imeprezime (id,osoba_id,rbr,ime,prezime,klub_id,identitet_id,sintaksa_id,info,aktivno,dnevnik_id) VALUES ("&amp;BD329&amp;","&amp;IF(DK329="","Null",BD329)&amp;",1,'"&amp;IF(AV329&lt;&gt;"",AV329,AK329)&amp;"','"&amp;IF(AW329&lt;&gt;"",AW329,AL329)&amp;"',(SELECT id FROM klub WHERE naziv = '"&amp;CR329&amp;"'),Null,1,'',1,"&amp;data_dnevnik_id&amp;");")</f>
        <v/>
      </c>
      <c r="DM329" t="s">
        <v>0</v>
      </c>
      <c r="DN329" s="19" t="str">
        <f t="shared" si="294"/>
        <v/>
      </c>
      <c r="DO329" s="47" t="s">
        <v>0</v>
      </c>
      <c r="DP329" s="19" t="str">
        <f>IF(BA329="","","INSERT INTO imeprezime_alias(id,alias,imeprezime_id) VALUES ("&amp;BB329&amp;",'"&amp;BA329&amp;"',"&amp;IF(BC329="NEMA",BD329,BC329)&amp;");")</f>
        <v/>
      </c>
      <c r="DQ329" s="47" t="s">
        <v>0</v>
      </c>
      <c r="DR329" s="52" t="str">
        <f>IF(AL329="","",DU329 &amp; IF(Q329="",""," – " &amp; Q329))</f>
        <v>Davorka – Srebačić – OK Varaždin – Ž45</v>
      </c>
      <c r="DS329" s="53">
        <f t="shared" si="256"/>
        <v>593</v>
      </c>
      <c r="DT329" s="47" t="s">
        <v>0</v>
      </c>
      <c r="DU329" s="52" t="str">
        <f>IF(AL329="","",DX329 &amp; IF(CR329="",""," – " &amp; CR329))</f>
        <v>Davorka – Srebačić – OK Varaždin</v>
      </c>
      <c r="DV329" s="53">
        <f t="shared" si="257"/>
        <v>593</v>
      </c>
      <c r="DW329" s="47" t="s">
        <v>0</v>
      </c>
      <c r="DX329" s="52" t="str">
        <f>IF(BG329="","",BF329&amp;" – "&amp;BG329)</f>
        <v>Davorka – Srebačić</v>
      </c>
      <c r="DY329" s="53">
        <f t="shared" si="258"/>
        <v>593</v>
      </c>
      <c r="DZ329" s="47" t="s">
        <v>0</v>
      </c>
      <c r="EA329" s="58">
        <f t="shared" si="287"/>
        <v>593</v>
      </c>
      <c r="EB329" s="53" cm="1">
        <f t="array" ref="EB329">IF(EA329&lt;&gt;"",INDEX(regNatjecatelj_id,EA329,0),IF(BD329&lt;&gt;"",BD329,""))</f>
        <v>1067</v>
      </c>
      <c r="EC329" s="47" t="s">
        <v>0</v>
      </c>
      <c r="ED329" s="58" t="str">
        <f>IF(AL329="","",IF(BD329&lt;&gt;"","novo",IF(AN329="","imepre","imepre(ali)")))</f>
        <v>imepre</v>
      </c>
      <c r="EE329" s="73" t="str">
        <f>IF(AL329="","",IF(BL329="",IF(IFERROR(INDEX(regNatjecatelj_klub,MATCH(EB329,regNatjecatelj_id,0)),"NEMA")="","klu",""),IF(OR(AND(BN329&lt;&gt;"",BN329&lt;&gt;"NEMA"),CD329&lt;&gt;""),"klu(ali)",IF(AND(BP329&lt;&gt;"",BP329&lt;&gt;BO329),"(raz-klu)","klu"))))</f>
        <v>klu</v>
      </c>
      <c r="EF329" s="73" t="str">
        <f>IF(AL329="","","kat"&amp;IF(AND(W329&lt;&gt;Q329,Q329&lt;&gt;"Open"),"(ali)",""))</f>
        <v>kat</v>
      </c>
      <c r="EG329" s="73" t="str">
        <f t="shared" si="259"/>
        <v/>
      </c>
      <c r="EH329" s="66" t="str">
        <f>IF(AL329="","",ED329&amp;IF(ED329="novo","","-"&amp;EE329&amp;"-"&amp;EF329)&amp;IF(EG329="","","-"&amp;EG329))</f>
        <v>imepre-klu-kat</v>
      </c>
      <c r="EI329" s="47" t="s">
        <v>0</v>
      </c>
      <c r="EJ329" s="58">
        <f>IF(AL329="","",MAX(EJ$12:EJ328)+1)</f>
        <v>477</v>
      </c>
      <c r="EK329" s="73">
        <f>IF(AO329="","",X329)</f>
        <v>42</v>
      </c>
      <c r="EL329" s="73">
        <f t="shared" si="288"/>
        <v>1067</v>
      </c>
      <c r="EM329" s="73" t="str">
        <f t="shared" si="260"/>
        <v/>
      </c>
      <c r="EN329" s="73">
        <f t="shared" si="261"/>
        <v>6</v>
      </c>
      <c r="EO329" s="73">
        <f t="shared" si="289"/>
        <v>1</v>
      </c>
      <c r="EP329" s="73">
        <f t="shared" si="290"/>
        <v>1</v>
      </c>
      <c r="EQ329" s="73" t="str">
        <f t="shared" si="262"/>
        <v>1</v>
      </c>
      <c r="ER329" s="73" t="str">
        <f>IF(OR(AN329="",AN329="NEMA"),BB329,AN329)</f>
        <v/>
      </c>
      <c r="ES329" s="73" t="str">
        <f>IF(AND(BN329&lt;&gt;"",BN329&lt;&gt;"NEMA"),BN329,IF(CG329&lt;&gt;"",CG329,IF(AND(CL329&lt;&gt;"",CL329&lt;&gt;"NEMA"),CL329,IF(CM329&lt;&gt;"",CM329,""))))</f>
        <v/>
      </c>
      <c r="ET329" s="53" t="str">
        <f>IF(INDEX(natKategorija_alias_Id,MATCH(S329,natKategorija_katRegId,0))="","",INDEX(natKategorija_alias_Id,MATCH(S329,natKategorija_katRegId,0)))</f>
        <v/>
      </c>
      <c r="EU329" s="47" t="s">
        <v>0</v>
      </c>
      <c r="EV329" s="19" t="str">
        <f t="shared" si="291"/>
        <v>INSERT INTO rezultat(id,stazakategorija_id,imeprezime_id,vrijeme_sec,status_id,registracija,uparivanje_id,originalstatus_id,imeprezimealias_id,klubalias_id,kategorijaalias_id) VALUES (477,42,1067,Null,6,1,1,1,Null,Null,Null);</v>
      </c>
      <c r="EW329" s="47" t="s">
        <v>0</v>
      </c>
      <c r="EX329" s="19" t="str">
        <f t="shared" si="292"/>
        <v>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EY329" s="47" t="s">
        <v>0</v>
      </c>
      <c r="EZ329" s="180" t="str">
        <f>AG329&amp;IF(CP329="","","
")&amp;CP329&amp;IF(CI329="","","
")&amp;CI329&amp;IF(DN329="","","
")&amp;DN329&amp;IF(DP329="","","
")&amp;DP329&amp;IF(EV329="","","
")&amp;EV329&amp;IF(EX329="","","
")&amp;EX329</f>
        <v xml:space="preserve">
INSERT INTO rezultat(id,stazakategorija_id,imeprezime_id,vrijeme_sec,status_id,registracija,uparivanje_id,originalstatus_id,imeprezimealias_id,klubalias_id,kategorijaalias_id) VALUES (477,42,1067,Null,6,1,1,1,Null,Null,Null);
UPDATE
	registar
SET
	potvrda = 1
WHERE
	imeprezime_id=1067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42)
                         		AND
                         	kategorija_liga.liga_id = 101)
		AND
	datum_od &lt;= '2021-04-18'
    	AND
    datum_do is Null;</v>
      </c>
      <c r="FA329" s="47" t="s">
        <v>0</v>
      </c>
    </row>
    <row r="330" spans="1:157" x14ac:dyDescent="0.25">
      <c r="A330" t="s">
        <v>0</v>
      </c>
      <c r="B330" s="52" t="str">
        <f>IF(csv!F320="","",csv!T320)</f>
        <v>Ž45</v>
      </c>
      <c r="C330" s="31" t="s">
        <v>0</v>
      </c>
      <c r="D330" s="31" t="str">
        <f>IF(csv!F320="","",csv!F320)</f>
        <v>Vacant</v>
      </c>
      <c r="E330" s="31" t="str">
        <f>IF(csv!E320="","",csv!E320)</f>
        <v/>
      </c>
      <c r="F330" s="31" t="s">
        <v>0</v>
      </c>
      <c r="G330" s="73" t="str">
        <f>IF(csv!M320="","",csv!M320)</f>
        <v/>
      </c>
      <c r="H330" s="73" t="str">
        <f>IF(csv!N320="","",csv!N320)</f>
        <v>0</v>
      </c>
      <c r="I330" s="31" t="s">
        <v>0</v>
      </c>
      <c r="J330" s="31" t="str">
        <f>IF(csv!P320="","",csv!P320)</f>
        <v/>
      </c>
      <c r="K330" s="31" t="str">
        <f>IF(csv!Q320="","",csv!Q320)</f>
        <v/>
      </c>
      <c r="L330" s="31" t="s">
        <v>0</v>
      </c>
      <c r="M330" s="66" t="str">
        <f>IF(csv!R320="","",csv!R320)</f>
        <v/>
      </c>
      <c r="N330" s="47" t="s">
        <v>0</v>
      </c>
      <c r="O330" s="243" t="str">
        <f t="shared" si="263"/>
        <v/>
      </c>
      <c r="P330" s="47"/>
      <c r="Q330" s="52" t="str">
        <f t="shared" si="264"/>
        <v>Ž45</v>
      </c>
      <c r="R330" s="73">
        <f>IF(Q330="","",IF(COUNTIF(Q$12:Q329,Q330)=0,R329+1,R329))</f>
        <v>20</v>
      </c>
      <c r="S330" s="73">
        <f t="shared" si="265"/>
        <v>116</v>
      </c>
      <c r="T330" s="73">
        <f t="shared" si="240"/>
        <v>25</v>
      </c>
      <c r="U330" s="66" t="str">
        <f t="shared" si="241"/>
        <v>Ž45</v>
      </c>
      <c r="V330" s="47" t="s">
        <v>0</v>
      </c>
      <c r="W330" s="222" t="str">
        <f t="shared" si="242"/>
        <v/>
      </c>
      <c r="X330" s="223" t="str">
        <f t="shared" si="243"/>
        <v/>
      </c>
      <c r="Y330" s="47" t="s">
        <v>0</v>
      </c>
      <c r="Z330" s="52" t="str">
        <f t="shared" si="266"/>
        <v/>
      </c>
      <c r="AA330" s="73" t="str">
        <f t="shared" si="244"/>
        <v/>
      </c>
      <c r="AB330" s="31" t="str">
        <f t="shared" si="267"/>
        <v/>
      </c>
      <c r="AC330" s="66" t="str">
        <f>IF(AB330="","",MAX(AC$12:AC329)+1)</f>
        <v/>
      </c>
      <c r="AD330" s="47" t="s">
        <v>0</v>
      </c>
      <c r="AE330" s="125"/>
      <c r="AF330" s="47" t="s">
        <v>0</v>
      </c>
      <c r="AG330" s="19" t="str">
        <f t="shared" si="268"/>
        <v/>
      </c>
      <c r="AH330" s="47" t="s">
        <v>0</v>
      </c>
      <c r="AI330" s="143" t="str">
        <f t="shared" si="269"/>
        <v/>
      </c>
      <c r="AJ330" s="47"/>
      <c r="AK330" s="52" t="str">
        <f t="shared" si="270"/>
        <v/>
      </c>
      <c r="AL330" s="31" t="str">
        <f t="shared" si="271"/>
        <v/>
      </c>
      <c r="AM330" s="73" t="str">
        <f t="shared" si="272"/>
        <v/>
      </c>
      <c r="AN330" s="73" t="str">
        <f t="shared" si="273"/>
        <v/>
      </c>
      <c r="AO330" s="31" t="str">
        <f t="shared" si="245"/>
        <v/>
      </c>
      <c r="AP330" s="66" t="str">
        <f t="shared" si="246"/>
        <v/>
      </c>
      <c r="AQ330" s="47" t="s">
        <v>0</v>
      </c>
      <c r="AR330" s="82" t="str">
        <f t="shared" si="274"/>
        <v/>
      </c>
      <c r="AS330" s="47" t="s">
        <v>0</v>
      </c>
      <c r="AT330" s="19" t="str">
        <f t="shared" si="275"/>
        <v/>
      </c>
      <c r="AU330" s="47" t="s">
        <v>0</v>
      </c>
      <c r="AV330" s="103"/>
      <c r="AW330" s="105"/>
      <c r="AX330" s="47" t="s">
        <v>0</v>
      </c>
      <c r="AY330" s="256" t="str">
        <f t="shared" si="293"/>
        <v/>
      </c>
      <c r="AZ330" s="47" t="s">
        <v>0</v>
      </c>
      <c r="BA330" s="52" t="str">
        <f t="shared" si="296"/>
        <v/>
      </c>
      <c r="BB330" s="73" t="str">
        <f>IF(AV330&amp;AW330="","",MAX(BB$12:BB329)+1)</f>
        <v/>
      </c>
      <c r="BC330" s="268" t="str">
        <f t="shared" si="248"/>
        <v/>
      </c>
      <c r="BD330" s="53" t="str">
        <f>IF(AND(AM330="NEMA",AN330="NEMA",OR(AV330&amp;AW330="",BC330="NEMA")),MAX(BD$12:BD329)+1,"")</f>
        <v/>
      </c>
      <c r="BE330" s="47" t="s">
        <v>0</v>
      </c>
      <c r="BF330" s="52" t="str">
        <f t="shared" si="249"/>
        <v/>
      </c>
      <c r="BG330" s="31" t="str">
        <f t="shared" si="250"/>
        <v/>
      </c>
      <c r="BH330" s="73" t="str">
        <f t="shared" si="276"/>
        <v/>
      </c>
      <c r="BI330" s="53" t="str">
        <f t="shared" si="277"/>
        <v/>
      </c>
      <c r="BJ330" s="47" t="s">
        <v>0</v>
      </c>
      <c r="BK330" s="52" t="str">
        <f t="shared" si="251"/>
        <v/>
      </c>
      <c r="BL330" s="31" t="str">
        <f t="shared" si="252"/>
        <v/>
      </c>
      <c r="BM330" s="73" t="str">
        <f t="shared" si="253"/>
        <v/>
      </c>
      <c r="BN330" s="73" t="str">
        <f t="shared" si="254"/>
        <v/>
      </c>
      <c r="BO330" s="31" t="str" cm="1">
        <f t="array" ref="BO330">IF(BN330="",""&amp;BL330,IF(BN330="NEMA",BL330,INDEX(regKlub_naziv,MATCH(INDEX(regKlub_alias_klubId,BN330),regKlub_id,0))))</f>
        <v/>
      </c>
      <c r="BP330" s="31" t="str" cm="1">
        <f t="array" ref="BP330">IFERROR(""&amp;INDEX(regNatjecatelj_klub,DY330),"")</f>
        <v/>
      </c>
      <c r="BQ330" s="88" t="str">
        <f t="shared" si="278"/>
        <v/>
      </c>
      <c r="BR330" s="66" t="str">
        <f t="shared" si="279"/>
        <v/>
      </c>
      <c r="BS330" s="47" t="s">
        <v>0</v>
      </c>
      <c r="BT330" s="82" t="str">
        <f>IF(BN330&lt;&gt;"NEMA","",IF(IFERROR(MATCH(BL330,BL$12:BL329,0),0)&lt;&gt;0,"",BL330))</f>
        <v/>
      </c>
      <c r="BU330" s="47" t="s">
        <v>0</v>
      </c>
      <c r="BV330" s="125"/>
      <c r="BW330" s="47" t="s">
        <v>0</v>
      </c>
      <c r="BX330" s="58" t="str">
        <f t="shared" si="280"/>
        <v/>
      </c>
      <c r="BY330" s="31" t="str">
        <f t="shared" si="281"/>
        <v/>
      </c>
      <c r="BZ330" s="31" t="str">
        <f>IF(BY330="","",MAX(BZ$12:BZ329)+1)</f>
        <v/>
      </c>
      <c r="CA330" s="31" t="str">
        <f>IF(BY330="","",IF(AA330="","",IF(AA330="NEMA",AC330,AA330)))</f>
        <v/>
      </c>
      <c r="CB330" s="31" t="str">
        <f t="shared" si="282"/>
        <v/>
      </c>
      <c r="CC330" s="31" t="str">
        <f>IF(BV330="","",MAX(CC$12:CC329)+1)</f>
        <v/>
      </c>
      <c r="CD330" s="31" t="str">
        <f t="shared" si="283"/>
        <v/>
      </c>
      <c r="CE330" s="66" t="str">
        <f t="shared" si="284"/>
        <v/>
      </c>
      <c r="CF330" s="47" t="s">
        <v>0</v>
      </c>
      <c r="CG330" s="73" t="str">
        <f>IF(BN330="","",IF(BN330&lt;&gt;"NEMA","",IFERROR(INDEX(nat_klubAliasId,MATCH(BL330,nat_noviKluboviAliasi,0)),"")))</f>
        <v/>
      </c>
      <c r="CH330" s="47"/>
      <c r="CI330" s="19" t="str">
        <f t="shared" si="285"/>
        <v/>
      </c>
      <c r="CJ330" s="47" t="s">
        <v>0</v>
      </c>
      <c r="CK330" s="52" t="str">
        <f>IF(X330&lt;&gt;"NEMA","",IF(IFERROR(MATCH(W330,W$12:W329,0),0)&lt;&gt;0,"",W330))</f>
        <v/>
      </c>
      <c r="CL330" s="73" t="str">
        <f>IF(CK330="","",IFERROR(INDEX(regKlub_alias_id,MATCH(CK330,regKlub_alias_alias,0)),"NEMA"))</f>
        <v/>
      </c>
      <c r="CM330" s="31" t="str">
        <f>IF(OR(CL330="",CL330&lt;&gt;"NEMA"),"",MAX(CM$12:CM329)+1)</f>
        <v/>
      </c>
      <c r="CN330" s="66" t="str">
        <f>IF(OR(CL330="",CL330&lt;&gt;"NEMA"),"",INDEX(regKlub_id,MATCH(CK330,regKlub_naziv,0)))</f>
        <v/>
      </c>
      <c r="CO330" s="47" t="s">
        <v>0</v>
      </c>
      <c r="CP330" s="19" t="str">
        <f>IF(OR(CL330="",CL330&lt;&gt;"NEMA"),"","INSERT INTO klub_alias(id,alias,klub_id) VALUES ("&amp;CM330&amp;",'"&amp;CK330&amp;"',"&amp;CN330&amp;");")</f>
        <v/>
      </c>
      <c r="CQ330" s="47" t="s">
        <v>0</v>
      </c>
      <c r="CR330" s="143" t="str">
        <f>IF(BR330="","",IF(BV330="",IF(IFERROR(MATCH(BR330,nat_noviKluboviAliasi,0),0)&gt;0,INDEX(nat_kluboviAliasi,MATCH(BR330,nat_noviKluboviAliasi,0)),BR330),BV330))</f>
        <v/>
      </c>
      <c r="CS330" s="47" t="s">
        <v>0</v>
      </c>
      <c r="CT330" s="58" t="str">
        <f>IF(G330="","",G330)</f>
        <v/>
      </c>
      <c r="CU330" s="73" t="str">
        <f>IF(H330="","",H330)</f>
        <v>0</v>
      </c>
      <c r="CV330" s="229" t="str">
        <f>IF(CT330="",IF(OR(AL330="",CU330&lt;&gt;"0"),"","GREŠKA"),IF(AND(65535&gt;=VALUE(LEFT(CT330,SEARCH(":",CT330)-1))*60+VALUE(RIGHT(CT330,2)),OR(CU330="0",CU330="1",CU330="2",CU330="3",CU330="4")),"","GREŠKA"))</f>
        <v/>
      </c>
      <c r="CW330" s="230" t="str">
        <f t="shared" si="295"/>
        <v/>
      </c>
      <c r="CX330" s="163" t="str">
        <f t="shared" si="255"/>
        <v/>
      </c>
      <c r="CY330" s="47" t="s">
        <v>0</v>
      </c>
      <c r="CZ330" s="222" t="str">
        <f>IF(CV330&lt;&gt;"GREŠKA","",AK330&amp;" "&amp;AL330&amp;" – Molim u OEventu provjeriti i ispraviti rezultat – vrijeme ("&amp;IF(CT330="","nije upisano",CT330)&amp;") i classifier ("&amp;CU330&amp;").")&amp;IF(OR(CV330&lt;&gt;"GREŠKA",CX330&lt;&gt;5),"
","")&amp;IF(CX330&lt;&gt;5,"",AK330&amp;" "&amp;AL330&amp;" – Molim u provjeriti je li natjecatelj zaista diskvalificiran. Ako je koje je obrazloženje, ako nije molim u OEventu ispraviti rezultat")</f>
        <v xml:space="preserve">
</v>
      </c>
      <c r="DA330" s="223" t="str">
        <f t="shared" si="286"/>
        <v/>
      </c>
      <c r="DB330" s="47" t="s">
        <v>0</v>
      </c>
      <c r="DC330" s="47"/>
      <c r="DD330" s="47"/>
      <c r="DE330" s="47"/>
      <c r="DF330" s="47" t="s">
        <v>0</v>
      </c>
      <c r="DG330" s="53" t="str">
        <f>IF(BD330="","",IF(DI330="O",1,""))</f>
        <v/>
      </c>
      <c r="DH330" t="s">
        <v>0</v>
      </c>
      <c r="DI330" s="128" t="str">
        <f>IF(Q330="","",LEFT(INDEX(regKategorija_oznaka,MATCH(S330,regKategorija_id,0)),1))</f>
        <v>Ž</v>
      </c>
      <c r="DJ330" t="s">
        <v>0</v>
      </c>
      <c r="DK330" s="52" t="str">
        <f>IF(BD330="","",IF(M330&lt;&gt;"CRO","","INSERT INTO osoba (id,reg_broj,oib,spol_id,dat_rodjenja) VALUES ("&amp;BD330&amp;",(SELECT max(os.reg_broj)+1 FROM osoba AS os),Null,'"&amp;DI330&amp;"',Null); INSERT INTO osoba_log (id,reg_broj,oib,spol_id,dat_rodjenja,dnevnik_id) SELECT id,reg_broj,oib,spol_id,dat_rodjenja,"&amp;data_dnevnik_id&amp;" FROM osoba WHERE id = "&amp;BD330&amp;";"))</f>
        <v/>
      </c>
      <c r="DL330" s="66" t="str">
        <f>IF(BD330="","","INSERT INTO imeprezime (id,osoba_id,rbr,ime,prezime,klub_id,identitet_id,sintaksa_id,info,aktivno,dnevnik_id) VALUES ("&amp;BD330&amp;","&amp;IF(DK330="","Null",BD330)&amp;",1,'"&amp;IF(AV330&lt;&gt;"",AV330,AK330)&amp;"','"&amp;IF(AW330&lt;&gt;"",AW330,AL330)&amp;"',(SELECT id FROM klub WHERE naziv = '"&amp;CR330&amp;"'),Null,1,'',1,"&amp;data_dnevnik_id&amp;");")</f>
        <v/>
      </c>
      <c r="DM330" t="s">
        <v>0</v>
      </c>
      <c r="DN330" s="19" t="str">
        <f t="shared" si="294"/>
        <v/>
      </c>
      <c r="DO330" s="47" t="s">
        <v>0</v>
      </c>
      <c r="DP330" s="19" t="str">
        <f>IF(BA330="","","INSERT INTO imeprezime_alias(id,alias,imeprezime_id) VALUES ("&amp;BB330&amp;",'"&amp;BA330&amp;"',"&amp;IF(BC330="NEMA",BD330,BC330)&amp;");")</f>
        <v/>
      </c>
      <c r="DQ330" s="47" t="s">
        <v>0</v>
      </c>
      <c r="DR330" s="52" t="str">
        <f>IF(AL330="","",DU330 &amp; IF(Q330="",""," – " &amp; Q330))</f>
        <v/>
      </c>
      <c r="DS330" s="53" t="str">
        <f t="shared" si="256"/>
        <v/>
      </c>
      <c r="DT330" s="47" t="s">
        <v>0</v>
      </c>
      <c r="DU330" s="52" t="str">
        <f>IF(AL330="","",DX330 &amp; IF(CR330="",""," – " &amp; CR330))</f>
        <v/>
      </c>
      <c r="DV330" s="53" t="str">
        <f t="shared" si="257"/>
        <v/>
      </c>
      <c r="DW330" s="47" t="s">
        <v>0</v>
      </c>
      <c r="DX330" s="52" t="str">
        <f>IF(BG330="","",BF330&amp;" – "&amp;BG330)</f>
        <v/>
      </c>
      <c r="DY330" s="53" t="str">
        <f t="shared" si="258"/>
        <v/>
      </c>
      <c r="DZ330" s="47" t="s">
        <v>0</v>
      </c>
      <c r="EA330" s="58" t="str">
        <f t="shared" si="287"/>
        <v/>
      </c>
      <c r="EB330" s="53" t="str" cm="1">
        <f t="array" ref="EB330">IF(EA330&lt;&gt;"",INDEX(regNatjecatelj_id,EA330,0),IF(BD330&lt;&gt;"",BD330,""))</f>
        <v/>
      </c>
      <c r="EC330" s="47" t="s">
        <v>0</v>
      </c>
      <c r="ED330" s="58" t="str">
        <f>IF(AL330="","",IF(BD330&lt;&gt;"","novo",IF(AN330="","imepre","imepre(ali)")))</f>
        <v/>
      </c>
      <c r="EE330" s="73" t="str">
        <f>IF(AL330="","",IF(BL330="",IF(IFERROR(INDEX(regNatjecatelj_klub,MATCH(EB330,regNatjecatelj_id,0)),"NEMA")="","klu",""),IF(OR(AND(BN330&lt;&gt;"",BN330&lt;&gt;"NEMA"),CD330&lt;&gt;""),"klu(ali)",IF(AND(BP330&lt;&gt;"",BP330&lt;&gt;BO330),"(raz-klu)","klu"))))</f>
        <v/>
      </c>
      <c r="EF330" s="73" t="str">
        <f>IF(AL330="","","kat"&amp;IF(AND(W330&lt;&gt;Q330,Q330&lt;&gt;"Open"),"(ali)",""))</f>
        <v/>
      </c>
      <c r="EG330" s="73" t="str">
        <f t="shared" si="259"/>
        <v/>
      </c>
      <c r="EH330" s="66" t="str">
        <f>IF(AL330="","",ED330&amp;IF(ED330="novo","","-"&amp;EE330&amp;"-"&amp;EF330)&amp;IF(EG330="","","-"&amp;EG330))</f>
        <v/>
      </c>
      <c r="EI330" s="47" t="s">
        <v>0</v>
      </c>
      <c r="EJ330" s="58" t="str">
        <f>IF(AL330="","",MAX(EJ$12:EJ329)+1)</f>
        <v/>
      </c>
      <c r="EK330" s="73" t="str">
        <f>IF(AO330="","",X330)</f>
        <v/>
      </c>
      <c r="EL330" s="73" t="str">
        <f t="shared" si="288"/>
        <v/>
      </c>
      <c r="EM330" s="73" t="str">
        <f t="shared" si="260"/>
        <v/>
      </c>
      <c r="EN330" s="73" t="str">
        <f t="shared" si="261"/>
        <v/>
      </c>
      <c r="EO330" s="73" t="str">
        <f t="shared" si="289"/>
        <v/>
      </c>
      <c r="EP330" s="73" t="str">
        <f t="shared" si="290"/>
        <v/>
      </c>
      <c r="EQ330" s="73" t="str">
        <f t="shared" si="262"/>
        <v/>
      </c>
      <c r="ER330" s="73" t="str">
        <f>IF(OR(AN330="",AN330="NEMA"),BB330,AN330)</f>
        <v/>
      </c>
      <c r="ES330" s="73" t="str">
        <f>IF(AND(BN330&lt;&gt;"",BN330&lt;&gt;"NEMA"),BN330,IF(CG330&lt;&gt;"",CG330,IF(AND(CL330&lt;&gt;"",CL330&lt;&gt;"NEMA"),CL330,IF(CM330&lt;&gt;"",CM330,""))))</f>
        <v/>
      </c>
      <c r="ET330" s="53" t="str">
        <f>IF(INDEX(natKategorija_alias_Id,MATCH(S330,natKategorija_katRegId,0))="","",INDEX(natKategorija_alias_Id,MATCH(S330,natKategorija_katRegId,0)))</f>
        <v/>
      </c>
      <c r="EU330" s="47" t="s">
        <v>0</v>
      </c>
      <c r="EV330" s="19" t="str">
        <f t="shared" si="291"/>
        <v/>
      </c>
      <c r="EW330" s="47" t="s">
        <v>0</v>
      </c>
      <c r="EX330" s="19" t="str">
        <f t="shared" si="292"/>
        <v/>
      </c>
      <c r="EY330" s="47" t="s">
        <v>0</v>
      </c>
      <c r="EZ330" s="180" t="str">
        <f>AG330&amp;IF(CP330="","","
")&amp;CP330&amp;IF(CI330="","","
")&amp;CI330&amp;IF(DN330="","","
")&amp;DN330&amp;IF(DP330="","","
")&amp;DP330&amp;IF(EV330="","","
")&amp;EV330&amp;IF(EX330="","","
")&amp;EX330</f>
        <v/>
      </c>
      <c r="FA330" s="47" t="s">
        <v>0</v>
      </c>
    </row>
    <row r="331" spans="1:157" x14ac:dyDescent="0.25">
      <c r="A331" t="s">
        <v>0</v>
      </c>
      <c r="B331" s="52" t="str">
        <f>IF(csv!F321="","",csv!T321)</f>
        <v>Ž45</v>
      </c>
      <c r="C331" s="31" t="s">
        <v>0</v>
      </c>
      <c r="D331" s="31" t="str">
        <f>IF(csv!F321="","",csv!F321)</f>
        <v>Vacant</v>
      </c>
      <c r="E331" s="31" t="str">
        <f>IF(csv!E321="","",csv!E321)</f>
        <v/>
      </c>
      <c r="F331" s="31" t="s">
        <v>0</v>
      </c>
      <c r="G331" s="73" t="str">
        <f>IF(csv!M321="","",csv!M321)</f>
        <v/>
      </c>
      <c r="H331" s="73" t="str">
        <f>IF(csv!N321="","",csv!N321)</f>
        <v>0</v>
      </c>
      <c r="I331" s="31" t="s">
        <v>0</v>
      </c>
      <c r="J331" s="31" t="str">
        <f>IF(csv!P321="","",csv!P321)</f>
        <v/>
      </c>
      <c r="K331" s="31" t="str">
        <f>IF(csv!Q321="","",csv!Q321)</f>
        <v/>
      </c>
      <c r="L331" s="31" t="s">
        <v>0</v>
      </c>
      <c r="M331" s="66" t="str">
        <f>IF(csv!R321="","",csv!R321)</f>
        <v/>
      </c>
      <c r="N331" s="47" t="s">
        <v>0</v>
      </c>
      <c r="O331" s="243" t="str">
        <f t="shared" si="263"/>
        <v/>
      </c>
      <c r="P331" s="47"/>
      <c r="Q331" s="52" t="str">
        <f t="shared" si="264"/>
        <v>Ž45</v>
      </c>
      <c r="R331" s="73">
        <f>IF(Q331="","",IF(COUNTIF(Q$12:Q330,Q331)=0,R330+1,R330))</f>
        <v>20</v>
      </c>
      <c r="S331" s="73">
        <f t="shared" si="265"/>
        <v>116</v>
      </c>
      <c r="T331" s="73">
        <f t="shared" si="240"/>
        <v>25</v>
      </c>
      <c r="U331" s="66" t="str">
        <f t="shared" si="241"/>
        <v>Ž45</v>
      </c>
      <c r="V331" s="47" t="s">
        <v>0</v>
      </c>
      <c r="W331" s="222" t="str">
        <f t="shared" si="242"/>
        <v/>
      </c>
      <c r="X331" s="223" t="str">
        <f t="shared" si="243"/>
        <v/>
      </c>
      <c r="Y331" s="47" t="s">
        <v>0</v>
      </c>
      <c r="Z331" s="52" t="str">
        <f t="shared" si="266"/>
        <v/>
      </c>
      <c r="AA331" s="73" t="str">
        <f t="shared" si="244"/>
        <v/>
      </c>
      <c r="AB331" s="31" t="str">
        <f t="shared" si="267"/>
        <v/>
      </c>
      <c r="AC331" s="66" t="str">
        <f>IF(AB331="","",MAX(AC$12:AC330)+1)</f>
        <v/>
      </c>
      <c r="AD331" s="47" t="s">
        <v>0</v>
      </c>
      <c r="AE331" s="125"/>
      <c r="AF331" s="47" t="s">
        <v>0</v>
      </c>
      <c r="AG331" s="19" t="str">
        <f t="shared" si="268"/>
        <v/>
      </c>
      <c r="AH331" s="47" t="s">
        <v>0</v>
      </c>
      <c r="AI331" s="143" t="str">
        <f t="shared" si="269"/>
        <v/>
      </c>
      <c r="AJ331" s="47"/>
      <c r="AK331" s="52" t="str">
        <f t="shared" si="270"/>
        <v/>
      </c>
      <c r="AL331" s="31" t="str">
        <f t="shared" si="271"/>
        <v/>
      </c>
      <c r="AM331" s="73" t="str">
        <f t="shared" si="272"/>
        <v/>
      </c>
      <c r="AN331" s="73" t="str">
        <f t="shared" si="273"/>
        <v/>
      </c>
      <c r="AO331" s="31" t="str">
        <f t="shared" si="245"/>
        <v/>
      </c>
      <c r="AP331" s="66" t="str">
        <f t="shared" si="246"/>
        <v/>
      </c>
      <c r="AQ331" s="47" t="s">
        <v>0</v>
      </c>
      <c r="AR331" s="82" t="str">
        <f t="shared" si="274"/>
        <v/>
      </c>
      <c r="AS331" s="47" t="s">
        <v>0</v>
      </c>
      <c r="AT331" s="19" t="str">
        <f t="shared" si="275"/>
        <v/>
      </c>
      <c r="AU331" s="47" t="s">
        <v>0</v>
      </c>
      <c r="AV331" s="103"/>
      <c r="AW331" s="105"/>
      <c r="AX331" s="47" t="s">
        <v>0</v>
      </c>
      <c r="AY331" s="256" t="str">
        <f t="shared" si="293"/>
        <v/>
      </c>
      <c r="AZ331" s="47" t="s">
        <v>0</v>
      </c>
      <c r="BA331" s="52" t="str">
        <f t="shared" si="296"/>
        <v/>
      </c>
      <c r="BB331" s="73" t="str">
        <f>IF(AV331&amp;AW331="","",MAX(BB$12:BB330)+1)</f>
        <v/>
      </c>
      <c r="BC331" s="268" t="str">
        <f t="shared" si="248"/>
        <v/>
      </c>
      <c r="BD331" s="53" t="str">
        <f>IF(AND(AM331="NEMA",AN331="NEMA",OR(AV331&amp;AW331="",BC331="NEMA")),MAX(BD$12:BD330)+1,"")</f>
        <v/>
      </c>
      <c r="BE331" s="47" t="s">
        <v>0</v>
      </c>
      <c r="BF331" s="52" t="str">
        <f t="shared" si="249"/>
        <v/>
      </c>
      <c r="BG331" s="31" t="str">
        <f t="shared" si="250"/>
        <v/>
      </c>
      <c r="BH331" s="73" t="str">
        <f t="shared" si="276"/>
        <v/>
      </c>
      <c r="BI331" s="53" t="str">
        <f t="shared" si="277"/>
        <v/>
      </c>
      <c r="BJ331" s="47" t="s">
        <v>0</v>
      </c>
      <c r="BK331" s="52" t="str">
        <f t="shared" si="251"/>
        <v/>
      </c>
      <c r="BL331" s="31" t="str">
        <f t="shared" si="252"/>
        <v/>
      </c>
      <c r="BM331" s="73" t="str">
        <f t="shared" si="253"/>
        <v/>
      </c>
      <c r="BN331" s="73" t="str">
        <f t="shared" si="254"/>
        <v/>
      </c>
      <c r="BO331" s="31" t="str" cm="1">
        <f t="array" ref="BO331">IF(BN331="",""&amp;BL331,IF(BN331="NEMA",BL331,INDEX(regKlub_naziv,MATCH(INDEX(regKlub_alias_klubId,BN331),regKlub_id,0))))</f>
        <v/>
      </c>
      <c r="BP331" s="31" t="str" cm="1">
        <f t="array" ref="BP331">IFERROR(""&amp;INDEX(regNatjecatelj_klub,DY331),"")</f>
        <v/>
      </c>
      <c r="BQ331" s="88" t="str">
        <f t="shared" si="278"/>
        <v/>
      </c>
      <c r="BR331" s="66" t="str">
        <f t="shared" si="279"/>
        <v/>
      </c>
      <c r="BS331" s="47" t="s">
        <v>0</v>
      </c>
      <c r="BT331" s="82" t="str">
        <f>IF(BN331&lt;&gt;"NEMA","",IF(IFERROR(MATCH(BL331,BL$12:BL330,0),0)&lt;&gt;0,"",BL331))</f>
        <v/>
      </c>
      <c r="BU331" s="47" t="s">
        <v>0</v>
      </c>
      <c r="BV331" s="125"/>
      <c r="BW331" s="47" t="s">
        <v>0</v>
      </c>
      <c r="BX331" s="58" t="str">
        <f t="shared" si="280"/>
        <v/>
      </c>
      <c r="BY331" s="31" t="str">
        <f t="shared" si="281"/>
        <v/>
      </c>
      <c r="BZ331" s="31" t="str">
        <f>IF(BY331="","",MAX(BZ$12:BZ330)+1)</f>
        <v/>
      </c>
      <c r="CA331" s="31" t="str">
        <f>IF(BY331="","",IF(AA331="","",IF(AA331="NEMA",AC331,AA331)))</f>
        <v/>
      </c>
      <c r="CB331" s="31" t="str">
        <f t="shared" si="282"/>
        <v/>
      </c>
      <c r="CC331" s="31" t="str">
        <f>IF(BV331="","",MAX(CC$12:CC330)+1)</f>
        <v/>
      </c>
      <c r="CD331" s="31" t="str">
        <f t="shared" si="283"/>
        <v/>
      </c>
      <c r="CE331" s="66" t="str">
        <f t="shared" si="284"/>
        <v/>
      </c>
      <c r="CF331" s="47" t="s">
        <v>0</v>
      </c>
      <c r="CG331" s="73" t="str">
        <f>IF(BN331="","",IF(BN331&lt;&gt;"NEMA","",IFERROR(INDEX(nat_klubAliasId,MATCH(BL331,nat_noviKluboviAliasi,0)),"")))</f>
        <v/>
      </c>
      <c r="CH331" s="47"/>
      <c r="CI331" s="19" t="str">
        <f t="shared" si="285"/>
        <v/>
      </c>
      <c r="CJ331" s="47" t="s">
        <v>0</v>
      </c>
      <c r="CK331" s="52" t="str">
        <f>IF(X331&lt;&gt;"NEMA","",IF(IFERROR(MATCH(W331,W$12:W330,0),0)&lt;&gt;0,"",W331))</f>
        <v/>
      </c>
      <c r="CL331" s="73" t="str">
        <f>IF(CK331="","",IFERROR(INDEX(regKlub_alias_id,MATCH(CK331,regKlub_alias_alias,0)),"NEMA"))</f>
        <v/>
      </c>
      <c r="CM331" s="31" t="str">
        <f>IF(OR(CL331="",CL331&lt;&gt;"NEMA"),"",MAX(CM$12:CM330)+1)</f>
        <v/>
      </c>
      <c r="CN331" s="66" t="str">
        <f>IF(OR(CL331="",CL331&lt;&gt;"NEMA"),"",INDEX(regKlub_id,MATCH(CK331,regKlub_naziv,0)))</f>
        <v/>
      </c>
      <c r="CO331" s="47" t="s">
        <v>0</v>
      </c>
      <c r="CP331" s="19" t="str">
        <f>IF(OR(CL331="",CL331&lt;&gt;"NEMA"),"","INSERT INTO klub_alias(id,alias,klub_id) VALUES ("&amp;CM331&amp;",'"&amp;CK331&amp;"',"&amp;CN331&amp;");")</f>
        <v/>
      </c>
      <c r="CQ331" s="47" t="s">
        <v>0</v>
      </c>
      <c r="CR331" s="143" t="str">
        <f>IF(BR331="","",IF(BV331="",IF(IFERROR(MATCH(BR331,nat_noviKluboviAliasi,0),0)&gt;0,INDEX(nat_kluboviAliasi,MATCH(BR331,nat_noviKluboviAliasi,0)),BR331),BV331))</f>
        <v/>
      </c>
      <c r="CS331" s="47" t="s">
        <v>0</v>
      </c>
      <c r="CT331" s="58" t="str">
        <f>IF(G331="","",G331)</f>
        <v/>
      </c>
      <c r="CU331" s="73" t="str">
        <f>IF(H331="","",H331)</f>
        <v>0</v>
      </c>
      <c r="CV331" s="229" t="str">
        <f>IF(CT331="",IF(OR(AL331="",CU331&lt;&gt;"0"),"","GREŠKA"),IF(AND(65535&gt;=VALUE(LEFT(CT331,SEARCH(":",CT331)-1))*60+VALUE(RIGHT(CT331,2)),OR(CU331="0",CU331="1",CU331="2",CU331="3",CU331="4")),"","GREŠKA"))</f>
        <v/>
      </c>
      <c r="CW331" s="230" t="str">
        <f t="shared" si="295"/>
        <v/>
      </c>
      <c r="CX331" s="163" t="str">
        <f t="shared" si="255"/>
        <v/>
      </c>
      <c r="CY331" s="47" t="s">
        <v>0</v>
      </c>
      <c r="CZ331" s="222" t="str">
        <f>IF(CV331&lt;&gt;"GREŠKA","",AK331&amp;" "&amp;AL331&amp;" – Molim u OEventu provjeriti i ispraviti rezultat – vrijeme ("&amp;IF(CT331="","nije upisano",CT331)&amp;") i classifier ("&amp;CU331&amp;").")&amp;IF(OR(CV331&lt;&gt;"GREŠKA",CX331&lt;&gt;5),"
","")&amp;IF(CX331&lt;&gt;5,"",AK331&amp;" "&amp;AL331&amp;" – Molim u provjeriti je li natjecatelj zaista diskvalificiran. Ako je koje je obrazloženje, ako nije molim u OEventu ispraviti rezultat")</f>
        <v xml:space="preserve">
</v>
      </c>
      <c r="DA331" s="223" t="str">
        <f t="shared" si="286"/>
        <v/>
      </c>
      <c r="DB331" s="47" t="s">
        <v>0</v>
      </c>
      <c r="DC331" s="47"/>
      <c r="DD331" s="47"/>
      <c r="DE331" s="47"/>
      <c r="DF331" s="47" t="s">
        <v>0</v>
      </c>
      <c r="DG331" s="53" t="str">
        <f>IF(BD331="","",IF(DI331="O",1,""))</f>
        <v/>
      </c>
      <c r="DH331" t="s">
        <v>0</v>
      </c>
      <c r="DI331" s="128" t="str">
        <f>IF(Q331="","",LEFT(INDEX(regKategorija_oznaka,MATCH(S331,regKategorija_id,0)),1))</f>
        <v>Ž</v>
      </c>
      <c r="DJ331" t="s">
        <v>0</v>
      </c>
      <c r="DK331" s="52" t="str">
        <f>IF(BD331="","",IF(M331&lt;&gt;"CRO","","INSERT INTO osoba (id,reg_broj,oib,spol_id,dat_rodjenja) VALUES ("&amp;BD331&amp;",(SELECT max(os.reg_broj)+1 FROM osoba AS os),Null,'"&amp;DI331&amp;"',Null); INSERT INTO osoba_log (id,reg_broj,oib,spol_id,dat_rodjenja,dnevnik_id) SELECT id,reg_broj,oib,spol_id,dat_rodjenja,"&amp;data_dnevnik_id&amp;" FROM osoba WHERE id = "&amp;BD331&amp;";"))</f>
        <v/>
      </c>
      <c r="DL331" s="66" t="str">
        <f>IF(BD331="","","INSERT INTO imeprezime (id,osoba_id,rbr,ime,prezime,klub_id,identitet_id,sintaksa_id,info,aktivno,dnevnik_id) VALUES ("&amp;BD331&amp;","&amp;IF(DK331="","Null",BD331)&amp;",1,'"&amp;IF(AV331&lt;&gt;"",AV331,AK331)&amp;"','"&amp;IF(AW331&lt;&gt;"",AW331,AL331)&amp;"',(SELECT id FROM klub WHERE naziv = '"&amp;CR331&amp;"'),Null,1,'',1,"&amp;data_dnevnik_id&amp;");")</f>
        <v/>
      </c>
      <c r="DM331" t="s">
        <v>0</v>
      </c>
      <c r="DN331" s="19" t="str">
        <f t="shared" si="294"/>
        <v/>
      </c>
      <c r="DO331" s="47" t="s">
        <v>0</v>
      </c>
      <c r="DP331" s="19" t="str">
        <f>IF(BA331="","","INSERT INTO imeprezime_alias(id,alias,imeprezime_id) VALUES ("&amp;BB331&amp;",'"&amp;BA331&amp;"',"&amp;IF(BC331="NEMA",BD331,BC331)&amp;");")</f>
        <v/>
      </c>
      <c r="DQ331" s="47" t="s">
        <v>0</v>
      </c>
      <c r="DR331" s="52" t="str">
        <f>IF(AL331="","",DU331 &amp; IF(Q331="",""," – " &amp; Q331))</f>
        <v/>
      </c>
      <c r="DS331" s="53" t="str">
        <f t="shared" si="256"/>
        <v/>
      </c>
      <c r="DT331" s="47" t="s">
        <v>0</v>
      </c>
      <c r="DU331" s="52" t="str">
        <f>IF(AL331="","",DX331 &amp; IF(CR331="",""," – " &amp; CR331))</f>
        <v/>
      </c>
      <c r="DV331" s="53" t="str">
        <f t="shared" si="257"/>
        <v/>
      </c>
      <c r="DW331" s="47" t="s">
        <v>0</v>
      </c>
      <c r="DX331" s="52" t="str">
        <f>IF(BG331="","",BF331&amp;" – "&amp;BG331)</f>
        <v/>
      </c>
      <c r="DY331" s="53" t="str">
        <f t="shared" si="258"/>
        <v/>
      </c>
      <c r="DZ331" s="47" t="s">
        <v>0</v>
      </c>
      <c r="EA331" s="58" t="str">
        <f t="shared" si="287"/>
        <v/>
      </c>
      <c r="EB331" s="53" t="str" cm="1">
        <f t="array" ref="EB331">IF(EA331&lt;&gt;"",INDEX(regNatjecatelj_id,EA331,0),IF(BD331&lt;&gt;"",BD331,""))</f>
        <v/>
      </c>
      <c r="EC331" s="47" t="s">
        <v>0</v>
      </c>
      <c r="ED331" s="58" t="str">
        <f>IF(AL331="","",IF(BD331&lt;&gt;"","novo",IF(AN331="","imepre","imepre(ali)")))</f>
        <v/>
      </c>
      <c r="EE331" s="73" t="str">
        <f>IF(AL331="","",IF(BL331="",IF(IFERROR(INDEX(regNatjecatelj_klub,MATCH(EB331,regNatjecatelj_id,0)),"NEMA")="","klu",""),IF(OR(AND(BN331&lt;&gt;"",BN331&lt;&gt;"NEMA"),CD331&lt;&gt;""),"klu(ali)",IF(AND(BP331&lt;&gt;"",BP331&lt;&gt;BO331),"(raz-klu)","klu"))))</f>
        <v/>
      </c>
      <c r="EF331" s="73" t="str">
        <f>IF(AL331="","","kat"&amp;IF(AND(W331&lt;&gt;Q331,Q331&lt;&gt;"Open"),"(ali)",""))</f>
        <v/>
      </c>
      <c r="EG331" s="73" t="str">
        <f t="shared" si="259"/>
        <v/>
      </c>
      <c r="EH331" s="66" t="str">
        <f>IF(AL331="","",ED331&amp;IF(ED331="novo","","-"&amp;EE331&amp;"-"&amp;EF331)&amp;IF(EG331="","","-"&amp;EG331))</f>
        <v/>
      </c>
      <c r="EI331" s="47" t="s">
        <v>0</v>
      </c>
      <c r="EJ331" s="58" t="str">
        <f>IF(AL331="","",MAX(EJ$12:EJ330)+1)</f>
        <v/>
      </c>
      <c r="EK331" s="73" t="str">
        <f>IF(AO331="","",X331)</f>
        <v/>
      </c>
      <c r="EL331" s="73" t="str">
        <f t="shared" si="288"/>
        <v/>
      </c>
      <c r="EM331" s="73" t="str">
        <f t="shared" si="260"/>
        <v/>
      </c>
      <c r="EN331" s="73" t="str">
        <f t="shared" si="261"/>
        <v/>
      </c>
      <c r="EO331" s="73" t="str">
        <f t="shared" si="289"/>
        <v/>
      </c>
      <c r="EP331" s="73" t="str">
        <f t="shared" si="290"/>
        <v/>
      </c>
      <c r="EQ331" s="73" t="str">
        <f t="shared" si="262"/>
        <v/>
      </c>
      <c r="ER331" s="73" t="str">
        <f>IF(OR(AN331="",AN331="NEMA"),BB331,AN331)</f>
        <v/>
      </c>
      <c r="ES331" s="73" t="str">
        <f>IF(AND(BN331&lt;&gt;"",BN331&lt;&gt;"NEMA"),BN331,IF(CG331&lt;&gt;"",CG331,IF(AND(CL331&lt;&gt;"",CL331&lt;&gt;"NEMA"),CL331,IF(CM331&lt;&gt;"",CM331,""))))</f>
        <v/>
      </c>
      <c r="ET331" s="53" t="str">
        <f>IF(INDEX(natKategorija_alias_Id,MATCH(S331,natKategorija_katRegId,0))="","",INDEX(natKategorija_alias_Id,MATCH(S331,natKategorija_katRegId,0)))</f>
        <v/>
      </c>
      <c r="EU331" s="47" t="s">
        <v>0</v>
      </c>
      <c r="EV331" s="19" t="str">
        <f t="shared" si="291"/>
        <v/>
      </c>
      <c r="EW331" s="47" t="s">
        <v>0</v>
      </c>
      <c r="EX331" s="19" t="str">
        <f t="shared" si="292"/>
        <v/>
      </c>
      <c r="EY331" s="47" t="s">
        <v>0</v>
      </c>
      <c r="EZ331" s="180" t="str">
        <f>AG331&amp;IF(CP331="","","
")&amp;CP331&amp;IF(CI331="","","
")&amp;CI331&amp;IF(DN331="","","
")&amp;DN331&amp;IF(DP331="","","
")&amp;DP331&amp;IF(EV331="","","
")&amp;EV331&amp;IF(EX331="","","
")&amp;EX331</f>
        <v/>
      </c>
      <c r="FA331" s="47" t="s">
        <v>0</v>
      </c>
    </row>
    <row r="332" spans="1:157" x14ac:dyDescent="0.25">
      <c r="A332" t="s">
        <v>0</v>
      </c>
      <c r="B332" s="52" t="str">
        <f>IF(csv!F322="","",csv!T322)</f>
        <v>Ž55</v>
      </c>
      <c r="C332" s="31" t="s">
        <v>0</v>
      </c>
      <c r="D332" s="31" t="str">
        <f>IF(csv!F322="","",csv!F322)</f>
        <v>Maja</v>
      </c>
      <c r="E332" s="31" t="str">
        <f>IF(csv!E322="","",csv!E322)</f>
        <v>Cvitković</v>
      </c>
      <c r="F332" s="31" t="s">
        <v>0</v>
      </c>
      <c r="G332" s="73" t="str">
        <f>IF(csv!M322="","",csv!M322)</f>
        <v>48:51</v>
      </c>
      <c r="H332" s="73" t="str">
        <f>IF(csv!N322="","",csv!N322)</f>
        <v>0</v>
      </c>
      <c r="I332" s="31" t="s">
        <v>0</v>
      </c>
      <c r="J332" s="31" t="str">
        <f>IF(csv!P322="","",csv!P322)</f>
        <v>Vihor</v>
      </c>
      <c r="K332" s="31" t="str">
        <f>IF(csv!Q322="","",csv!Q322)</f>
        <v>OK Vihor</v>
      </c>
      <c r="L332" s="31" t="s">
        <v>0</v>
      </c>
      <c r="M332" s="66" t="str">
        <f>IF(csv!R322="","",csv!R322)</f>
        <v>CRO</v>
      </c>
      <c r="N332" s="47" t="s">
        <v>0</v>
      </c>
      <c r="O332" s="243" t="str">
        <f t="shared" si="263"/>
        <v>ok</v>
      </c>
      <c r="P332" s="47"/>
      <c r="Q332" s="52" t="str">
        <f t="shared" si="264"/>
        <v>Ž55</v>
      </c>
      <c r="R332" s="73">
        <f>IF(Q332="","",IF(COUNTIF(Q$12:Q331,Q332)=0,R331+1,R331))</f>
        <v>21</v>
      </c>
      <c r="S332" s="73">
        <f t="shared" si="265"/>
        <v>115</v>
      </c>
      <c r="T332" s="73">
        <f t="shared" si="240"/>
        <v>24</v>
      </c>
      <c r="U332" s="66" t="str">
        <f t="shared" si="241"/>
        <v>Ž55</v>
      </c>
      <c r="V332" s="47" t="s">
        <v>0</v>
      </c>
      <c r="W332" s="222" t="str">
        <f t="shared" si="242"/>
        <v>Ž55</v>
      </c>
      <c r="X332" s="223">
        <f t="shared" si="243"/>
        <v>43</v>
      </c>
      <c r="Y332" s="47" t="s">
        <v>0</v>
      </c>
      <c r="Z332" s="52" t="str">
        <f t="shared" si="266"/>
        <v>CRO</v>
      </c>
      <c r="AA332" s="73">
        <f t="shared" si="244"/>
        <v>1</v>
      </c>
      <c r="AB332" s="31" t="str">
        <f t="shared" si="267"/>
        <v/>
      </c>
      <c r="AC332" s="66" t="str">
        <f>IF(AB332="","",MAX(AC$12:AC331)+1)</f>
        <v/>
      </c>
      <c r="AD332" s="47" t="s">
        <v>0</v>
      </c>
      <c r="AE332" s="125"/>
      <c r="AF332" s="47" t="s">
        <v>0</v>
      </c>
      <c r="AG332" s="19" t="str">
        <f t="shared" si="268"/>
        <v/>
      </c>
      <c r="AH332" s="47" t="s">
        <v>0</v>
      </c>
      <c r="AI332" s="143" t="str">
        <f t="shared" si="269"/>
        <v>CRO</v>
      </c>
      <c r="AJ332" s="47"/>
      <c r="AK332" s="52" t="str">
        <f t="shared" si="270"/>
        <v>Maja</v>
      </c>
      <c r="AL332" s="31" t="str">
        <f t="shared" si="271"/>
        <v>Cvitković</v>
      </c>
      <c r="AM332" s="73">
        <f t="shared" si="272"/>
        <v>1296</v>
      </c>
      <c r="AN332" s="73" t="str">
        <f t="shared" si="273"/>
        <v/>
      </c>
      <c r="AO332" s="31" t="str">
        <f t="shared" si="245"/>
        <v>Maja</v>
      </c>
      <c r="AP332" s="66" t="str">
        <f t="shared" si="246"/>
        <v>Cvitković</v>
      </c>
      <c r="AQ332" s="47" t="s">
        <v>0</v>
      </c>
      <c r="AR332" s="82" t="str">
        <f t="shared" si="274"/>
        <v/>
      </c>
      <c r="AS332" s="47" t="s">
        <v>0</v>
      </c>
      <c r="AT332" s="19" t="str">
        <f t="shared" si="275"/>
        <v/>
      </c>
      <c r="AU332" s="47" t="s">
        <v>0</v>
      </c>
      <c r="AV332" s="103"/>
      <c r="AW332" s="105"/>
      <c r="AX332" s="47" t="s">
        <v>0</v>
      </c>
      <c r="AY332" s="256" t="str">
        <f t="shared" si="293"/>
        <v/>
      </c>
      <c r="AZ332" s="47" t="s">
        <v>0</v>
      </c>
      <c r="BA332" s="52" t="str">
        <f t="shared" si="296"/>
        <v/>
      </c>
      <c r="BB332" s="73" t="str">
        <f>IF(AV332&amp;AW332="","",MAX(BB$12:BB331)+1)</f>
        <v/>
      </c>
      <c r="BC332" s="268" t="str">
        <f t="shared" si="248"/>
        <v/>
      </c>
      <c r="BD332" s="53" t="str">
        <f>IF(AND(AM332="NEMA",AN332="NEMA",OR(AV332&amp;AW332="",BC332="NEMA")),MAX(BD$12:BD331)+1,"")</f>
        <v/>
      </c>
      <c r="BE332" s="47" t="s">
        <v>0</v>
      </c>
      <c r="BF332" s="52" t="str">
        <f t="shared" si="249"/>
        <v>Maja</v>
      </c>
      <c r="BG332" s="31" t="str">
        <f t="shared" si="250"/>
        <v>Cvitković</v>
      </c>
      <c r="BH332" s="73" t="str">
        <f t="shared" si="276"/>
        <v/>
      </c>
      <c r="BI332" s="53">
        <f t="shared" si="277"/>
        <v>1296</v>
      </c>
      <c r="BJ332" s="47" t="s">
        <v>0</v>
      </c>
      <c r="BK332" s="52" t="str">
        <f t="shared" si="251"/>
        <v>Vihor</v>
      </c>
      <c r="BL332" s="31" t="str">
        <f t="shared" si="252"/>
        <v>OK Vihor</v>
      </c>
      <c r="BM332" s="73">
        <f t="shared" si="253"/>
        <v>12</v>
      </c>
      <c r="BN332" s="73" t="str">
        <f t="shared" si="254"/>
        <v/>
      </c>
      <c r="BO332" s="31" t="str" cm="1">
        <f t="array" ref="BO332">IF(BN332="",""&amp;BL332,IF(BN332="NEMA",BL332,INDEX(regKlub_naziv,MATCH(INDEX(regKlub_alias_klubId,BN332),regKlub_id,0))))</f>
        <v>OK Vihor</v>
      </c>
      <c r="BP332" s="31" t="str" cm="1">
        <f t="array" ref="BP332">IFERROR(""&amp;INDEX(regNatjecatelj_klub,DY332),"")</f>
        <v>OK Vihor</v>
      </c>
      <c r="BQ332" s="88" t="str">
        <f t="shared" si="278"/>
        <v/>
      </c>
      <c r="BR332" s="66" t="str">
        <f t="shared" si="279"/>
        <v>OK Vihor</v>
      </c>
      <c r="BS332" s="47" t="s">
        <v>0</v>
      </c>
      <c r="BT332" s="82" t="str">
        <f>IF(BN332&lt;&gt;"NEMA","",IF(IFERROR(MATCH(BL332,BL$12:BL331,0),0)&lt;&gt;0,"",BL332))</f>
        <v/>
      </c>
      <c r="BU332" s="47" t="s">
        <v>0</v>
      </c>
      <c r="BV332" s="125"/>
      <c r="BW332" s="47" t="s">
        <v>0</v>
      </c>
      <c r="BX332" s="58" t="str">
        <f t="shared" si="280"/>
        <v/>
      </c>
      <c r="BY332" s="31" t="str">
        <f t="shared" si="281"/>
        <v/>
      </c>
      <c r="BZ332" s="31" t="str">
        <f>IF(BY332="","",MAX(BZ$12:BZ331)+1)</f>
        <v/>
      </c>
      <c r="CA332" s="31" t="str">
        <f>IF(BY332="","",IF(AA332="","",IF(AA332="NEMA",AC332,AA332)))</f>
        <v/>
      </c>
      <c r="CB332" s="31" t="str">
        <f t="shared" si="282"/>
        <v/>
      </c>
      <c r="CC332" s="31" t="str">
        <f>IF(BV332="","",MAX(CC$12:CC331)+1)</f>
        <v/>
      </c>
      <c r="CD332" s="31" t="str">
        <f t="shared" si="283"/>
        <v/>
      </c>
      <c r="CE332" s="66" t="str">
        <f t="shared" si="284"/>
        <v/>
      </c>
      <c r="CF332" s="47" t="s">
        <v>0</v>
      </c>
      <c r="CG332" s="73" t="str">
        <f>IF(BN332="","",IF(BN332&lt;&gt;"NEMA","",IFERROR(INDEX(nat_klubAliasId,MATCH(BL332,nat_noviKluboviAliasi,0)),"")))</f>
        <v/>
      </c>
      <c r="CH332" s="47"/>
      <c r="CI332" s="19" t="str">
        <f t="shared" si="285"/>
        <v/>
      </c>
      <c r="CJ332" s="47" t="s">
        <v>0</v>
      </c>
      <c r="CK332" s="52" t="str">
        <f>IF(X332&lt;&gt;"NEMA","",IF(IFERROR(MATCH(W332,W$12:W331,0),0)&lt;&gt;0,"",W332))</f>
        <v/>
      </c>
      <c r="CL332" s="73" t="str">
        <f>IF(CK332="","",IFERROR(INDEX(regKlub_alias_id,MATCH(CK332,regKlub_alias_alias,0)),"NEMA"))</f>
        <v/>
      </c>
      <c r="CM332" s="31" t="str">
        <f>IF(OR(CL332="",CL332&lt;&gt;"NEMA"),"",MAX(CM$12:CM331)+1)</f>
        <v/>
      </c>
      <c r="CN332" s="66" t="str">
        <f>IF(OR(CL332="",CL332&lt;&gt;"NEMA"),"",INDEX(regKlub_id,MATCH(CK332,regKlub_naziv,0)))</f>
        <v/>
      </c>
      <c r="CO332" s="47" t="s">
        <v>0</v>
      </c>
      <c r="CP332" s="19" t="str">
        <f>IF(OR(CL332="",CL332&lt;&gt;"NEMA"),"","INSERT INTO klub_alias(id,alias,klub_id) VALUES ("&amp;CM332&amp;",'"&amp;CK332&amp;"',"&amp;CN332&amp;");")</f>
        <v/>
      </c>
      <c r="CQ332" s="47" t="s">
        <v>0</v>
      </c>
      <c r="CR332" s="143" t="str">
        <f>IF(BR332="","",IF(BV332="",IF(IFERROR(MATCH(BR332,nat_noviKluboviAliasi,0),0)&gt;0,INDEX(nat_kluboviAliasi,MATCH(BR332,nat_noviKluboviAliasi,0)),BR332),BV332))</f>
        <v>OK Vihor</v>
      </c>
      <c r="CS332" s="47" t="s">
        <v>0</v>
      </c>
      <c r="CT332" s="58" t="str">
        <f>IF(G332="","",G332)</f>
        <v>48:51</v>
      </c>
      <c r="CU332" s="73" t="str">
        <f>IF(H332="","",H332)</f>
        <v>0</v>
      </c>
      <c r="CV332" s="229" t="str">
        <f>IF(CT332="",IF(OR(AL332="",CU332&lt;&gt;"0"),"","GREŠKA"),IF(AND(65535&gt;=VALUE(LEFT(CT332,SEARCH(":",CT332)-1))*60+VALUE(RIGHT(CT332,2)),OR(CU332="0",CU332="1",CU332="2",CU332="3",CU332="4")),"","GREŠKA"))</f>
        <v/>
      </c>
      <c r="CW332" s="230">
        <f t="shared" si="295"/>
        <v>2931</v>
      </c>
      <c r="CX332" s="163">
        <f t="shared" si="255"/>
        <v>1</v>
      </c>
      <c r="CY332" s="47" t="s">
        <v>0</v>
      </c>
      <c r="CZ332" s="222" t="str">
        <f>IF(CV332&lt;&gt;"GREŠKA","",AK332&amp;" "&amp;AL332&amp;" – Molim u OEventu provjeriti i ispraviti rezultat – vrijeme ("&amp;IF(CT332="","nije upisano",CT332)&amp;") i classifier ("&amp;CU332&amp;").")&amp;IF(OR(CV332&lt;&gt;"GREŠKA",CX332&lt;&gt;5),"
","")&amp;IF(CX332&lt;&gt;5,"",AK332&amp;" "&amp;AL332&amp;" – Molim u provjeriti je li natjecatelj zaista diskvalificiran. Ako je koje je obrazloženje, ako nije molim u OEventu ispraviti rezultat")</f>
        <v xml:space="preserve">
</v>
      </c>
      <c r="DA332" s="223">
        <f t="shared" si="286"/>
        <v>6</v>
      </c>
      <c r="DB332" s="47" t="s">
        <v>0</v>
      </c>
      <c r="DC332" s="47"/>
      <c r="DD332" s="47"/>
      <c r="DE332" s="47"/>
      <c r="DF332" s="47" t="s">
        <v>0</v>
      </c>
      <c r="DG332" s="53" t="str">
        <f>IF(BD332="","",IF(DI332="O",1,""))</f>
        <v/>
      </c>
      <c r="DH332" t="s">
        <v>0</v>
      </c>
      <c r="DI332" s="128" t="str">
        <f>IF(Q332="","",LEFT(INDEX(regKategorija_oznaka,MATCH(S332,regKategorija_id,0)),1))</f>
        <v>Ž</v>
      </c>
      <c r="DJ332" t="s">
        <v>0</v>
      </c>
      <c r="DK332" s="52" t="str">
        <f>IF(BD332="","",IF(M332&lt;&gt;"CRO","","INSERT INTO osoba (id,reg_broj,oib,spol_id,dat_rodjenja) VALUES ("&amp;BD332&amp;",(SELECT max(os.reg_broj)+1 FROM osoba AS os),Null,'"&amp;DI332&amp;"',Null); INSERT INTO osoba_log (id,reg_broj,oib,spol_id,dat_rodjenja,dnevnik_id) SELECT id,reg_broj,oib,spol_id,dat_rodjenja,"&amp;data_dnevnik_id&amp;" FROM osoba WHERE id = "&amp;BD332&amp;";"))</f>
        <v/>
      </c>
      <c r="DL332" s="66" t="str">
        <f>IF(BD332="","","INSERT INTO imeprezime (id,osoba_id,rbr,ime,prezime,klub_id,identitet_id,sintaksa_id,info,aktivno,dnevnik_id) VALUES ("&amp;BD332&amp;","&amp;IF(DK332="","Null",BD332)&amp;",1,'"&amp;IF(AV332&lt;&gt;"",AV332,AK332)&amp;"','"&amp;IF(AW332&lt;&gt;"",AW332,AL332)&amp;"',(SELECT id FROM klub WHERE naziv = '"&amp;CR332&amp;"'),Null,1,'',1,"&amp;data_dnevnik_id&amp;");")</f>
        <v/>
      </c>
      <c r="DM332" t="s">
        <v>0</v>
      </c>
      <c r="DN332" s="19" t="str">
        <f t="shared" si="294"/>
        <v/>
      </c>
      <c r="DO332" s="47" t="s">
        <v>0</v>
      </c>
      <c r="DP332" s="19" t="str">
        <f>IF(BA332="","","INSERT INTO imeprezime_alias(id,alias,imeprezime_id) VALUES ("&amp;BB332&amp;",'"&amp;BA332&amp;"',"&amp;IF(BC332="NEMA",BD332,BC332)&amp;");")</f>
        <v/>
      </c>
      <c r="DQ332" s="47" t="s">
        <v>0</v>
      </c>
      <c r="DR332" s="52" t="str">
        <f>IF(AL332="","",DU332 &amp; IF(Q332="",""," – " &amp; Q332))</f>
        <v>Maja – Cvitković – OK Vihor – Ž55</v>
      </c>
      <c r="DS332" s="53">
        <f t="shared" si="256"/>
        <v>652</v>
      </c>
      <c r="DT332" s="47" t="s">
        <v>0</v>
      </c>
      <c r="DU332" s="52" t="str">
        <f>IF(AL332="","",DX332 &amp; IF(CR332="",""," – " &amp; CR332))</f>
        <v>Maja – Cvitković – OK Vihor</v>
      </c>
      <c r="DV332" s="53">
        <f t="shared" si="257"/>
        <v>652</v>
      </c>
      <c r="DW332" s="47" t="s">
        <v>0</v>
      </c>
      <c r="DX332" s="52" t="str">
        <f>IF(BG332="","",BF332&amp;" – "&amp;BG332)</f>
        <v>Maja – Cvitković</v>
      </c>
      <c r="DY332" s="53">
        <f t="shared" si="258"/>
        <v>652</v>
      </c>
      <c r="DZ332" s="47" t="s">
        <v>0</v>
      </c>
      <c r="EA332" s="58">
        <f t="shared" si="287"/>
        <v>652</v>
      </c>
      <c r="EB332" s="53" cm="1">
        <f t="array" ref="EB332">IF(EA332&lt;&gt;"",INDEX(regNatjecatelj_id,EA332,0),IF(BD332&lt;&gt;"",BD332,""))</f>
        <v>1296</v>
      </c>
      <c r="EC332" s="47" t="s">
        <v>0</v>
      </c>
      <c r="ED332" s="58" t="str">
        <f>IF(AL332="","",IF(BD332&lt;&gt;"","novo",IF(AN332="","imepre","imepre(ali)")))</f>
        <v>imepre</v>
      </c>
      <c r="EE332" s="73" t="str">
        <f>IF(AL332="","",IF(BL332="",IF(IFERROR(INDEX(regNatjecatelj_klub,MATCH(EB332,regNatjecatelj_id,0)),"NEMA")="","klu",""),IF(OR(AND(BN332&lt;&gt;"",BN332&lt;&gt;"NEMA"),CD332&lt;&gt;""),"klu(ali)",IF(AND(BP332&lt;&gt;"",BP332&lt;&gt;BO332),"(raz-klu)","klu"))))</f>
        <v>klu</v>
      </c>
      <c r="EF332" s="73" t="str">
        <f>IF(AL332="","","kat"&amp;IF(AND(W332&lt;&gt;Q332,Q332&lt;&gt;"Open"),"(ali)",""))</f>
        <v>kat</v>
      </c>
      <c r="EG332" s="73" t="str">
        <f t="shared" si="259"/>
        <v/>
      </c>
      <c r="EH332" s="66" t="str">
        <f>IF(AL332="","",ED332&amp;IF(ED332="novo","","-"&amp;EE332&amp;"-"&amp;EF332)&amp;IF(EG332="","","-"&amp;EG332))</f>
        <v>imepre-klu-kat</v>
      </c>
      <c r="EI332" s="47" t="s">
        <v>0</v>
      </c>
      <c r="EJ332" s="58">
        <f>IF(AL332="","",MAX(EJ$12:EJ331)+1)</f>
        <v>478</v>
      </c>
      <c r="EK332" s="73">
        <f>IF(AO332="","",X332)</f>
        <v>43</v>
      </c>
      <c r="EL332" s="73">
        <f t="shared" si="288"/>
        <v>1296</v>
      </c>
      <c r="EM332" s="73">
        <f t="shared" si="260"/>
        <v>2931</v>
      </c>
      <c r="EN332" s="73">
        <f t="shared" si="261"/>
        <v>1</v>
      </c>
      <c r="EO332" s="73">
        <f t="shared" si="289"/>
        <v>1</v>
      </c>
      <c r="EP332" s="73">
        <f t="shared" si="290"/>
        <v>1</v>
      </c>
      <c r="EQ332" s="73" t="str">
        <f t="shared" si="262"/>
        <v>0</v>
      </c>
      <c r="ER332" s="73" t="str">
        <f>IF(OR(AN332="",AN332="NEMA"),BB332,AN332)</f>
        <v/>
      </c>
      <c r="ES332" s="73" t="str">
        <f>IF(AND(BN332&lt;&gt;"",BN332&lt;&gt;"NEMA"),BN332,IF(CG332&lt;&gt;"",CG332,IF(AND(CL332&lt;&gt;"",CL332&lt;&gt;"NEMA"),CL332,IF(CM332&lt;&gt;"",CM332,""))))</f>
        <v/>
      </c>
      <c r="ET332" s="53" t="str">
        <f>IF(INDEX(natKategorija_alias_Id,MATCH(S332,natKategorija_katRegId,0))="","",INDEX(natKategorija_alias_Id,MATCH(S332,natKategorija_katRegId,0)))</f>
        <v/>
      </c>
      <c r="EU332" s="47" t="s">
        <v>0</v>
      </c>
      <c r="EV332" s="19" t="str">
        <f t="shared" si="291"/>
        <v>INSERT INTO rezultat(id,stazakategorija_id,imeprezime_id,vrijeme_sec,status_id,registracija,uparivanje_id,originalstatus_id,imeprezimealias_id,klubalias_id,kategorijaalias_id) VALUES (478,43,1296,2931,1,1,1,0,Null,Null,Null);</v>
      </c>
      <c r="EW332" s="47" t="s">
        <v>0</v>
      </c>
      <c r="EX332" s="19" t="str">
        <f t="shared" si="292"/>
        <v>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Y332" s="47" t="s">
        <v>0</v>
      </c>
      <c r="EZ332" s="180" t="str">
        <f>AG332&amp;IF(CP332="","","
")&amp;CP332&amp;IF(CI332="","","
")&amp;CI332&amp;IF(DN332="","","
")&amp;DN332&amp;IF(DP332="","","
")&amp;DP332&amp;IF(EV332="","","
")&amp;EV332&amp;IF(EX332="","","
")&amp;EX332</f>
        <v xml:space="preserve">
INSERT INTO rezultat(id,stazakategorija_id,imeprezime_id,vrijeme_sec,status_id,registracija,uparivanje_id,originalstatus_id,imeprezimealias_id,klubalias_id,kategorijaalias_id) VALUES (478,43,1296,2931,1,1,1,0,Null,Null,Null);
UPDATE
	registar
SET
	potvrda = 1
WHERE
	imeprezime_id=1296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FA332" s="47" t="s">
        <v>0</v>
      </c>
    </row>
    <row r="333" spans="1:157" x14ac:dyDescent="0.25">
      <c r="A333" t="s">
        <v>0</v>
      </c>
      <c r="B333" s="52" t="str">
        <f>IF(csv!F323="","",csv!T323)</f>
        <v>Ž55</v>
      </c>
      <c r="C333" s="31" t="s">
        <v>0</v>
      </c>
      <c r="D333" s="31" t="str">
        <f>IF(csv!F323="","",csv!F323)</f>
        <v>Teodora</v>
      </c>
      <c r="E333" s="31" t="str">
        <f>IF(csv!E323="","",csv!E323)</f>
        <v>Kučinac</v>
      </c>
      <c r="F333" s="31" t="s">
        <v>0</v>
      </c>
      <c r="G333" s="73" t="str">
        <f>IF(csv!M323="","",csv!M323)</f>
        <v>52:48</v>
      </c>
      <c r="H333" s="73" t="str">
        <f>IF(csv!N323="","",csv!N323)</f>
        <v>0</v>
      </c>
      <c r="I333" s="31" t="s">
        <v>0</v>
      </c>
      <c r="J333" s="31" t="str">
        <f>IF(csv!P323="","",csv!P323)</f>
        <v>Vihor</v>
      </c>
      <c r="K333" s="31" t="str">
        <f>IF(csv!Q323="","",csv!Q323)</f>
        <v>OK Vihor</v>
      </c>
      <c r="L333" s="31" t="s">
        <v>0</v>
      </c>
      <c r="M333" s="66" t="str">
        <f>IF(csv!R323="","",csv!R323)</f>
        <v>CRO</v>
      </c>
      <c r="N333" s="47" t="s">
        <v>0</v>
      </c>
      <c r="O333" s="243" t="str">
        <f t="shared" si="263"/>
        <v>ok</v>
      </c>
      <c r="P333" s="47"/>
      <c r="Q333" s="52" t="str">
        <f t="shared" si="264"/>
        <v>Ž55</v>
      </c>
      <c r="R333" s="73">
        <f>IF(Q333="","",IF(COUNTIF(Q$12:Q332,Q333)=0,R332+1,R332))</f>
        <v>21</v>
      </c>
      <c r="S333" s="73">
        <f t="shared" si="265"/>
        <v>115</v>
      </c>
      <c r="T333" s="73">
        <f t="shared" ref="T333:T396" si="297">IF(Q333="","",IFERROR(INDEX(natStaza_id,MATCH(Q333,natStaza_kategorija,0)),""))</f>
        <v>24</v>
      </c>
      <c r="U333" s="66" t="str">
        <f t="shared" ref="U333:U396" si="298">IF(T333="","",INDEX(natStaza_naziv,MATCH(T333,natStaza_id,0)))</f>
        <v>Ž55</v>
      </c>
      <c r="V333" s="47" t="s">
        <v>0</v>
      </c>
      <c r="W333" s="222" t="str">
        <f t="shared" ref="W333:W396" si="299">IF(O333="","",INDEX(regKategorija_oznaka,MATCH(S333,regKategorija_id,0)))</f>
        <v>Ž55</v>
      </c>
      <c r="X333" s="223">
        <f t="shared" ref="X333:X396" si="300">IF(W333="","",INDEX(natKategorija_stazaKatId,MATCH(S333,natKategorija_katRegId,0)))</f>
        <v>43</v>
      </c>
      <c r="Y333" s="47" t="s">
        <v>0</v>
      </c>
      <c r="Z333" s="52" t="str">
        <f t="shared" si="266"/>
        <v>CRO</v>
      </c>
      <c r="AA333" s="73">
        <f t="shared" ref="AA333:AA396" si="301">IF(Z333="","",IFERROR(INDEX(regDrzava_id,MATCH(Z333,regDrzava_oznaka,0)),"NEMA"))</f>
        <v>1</v>
      </c>
      <c r="AB333" s="31" t="str">
        <f t="shared" si="267"/>
        <v/>
      </c>
      <c r="AC333" s="66" t="str">
        <f>IF(AB333="","",MAX(AC$12:AC332)+1)</f>
        <v/>
      </c>
      <c r="AD333" s="47" t="s">
        <v>0</v>
      </c>
      <c r="AE333" s="125"/>
      <c r="AF333" s="47" t="s">
        <v>0</v>
      </c>
      <c r="AG333" s="19" t="str">
        <f t="shared" si="268"/>
        <v/>
      </c>
      <c r="AH333" s="47" t="s">
        <v>0</v>
      </c>
      <c r="AI333" s="143" t="str">
        <f t="shared" si="269"/>
        <v>CRO</v>
      </c>
      <c r="AJ333" s="47"/>
      <c r="AK333" s="52" t="str">
        <f t="shared" si="270"/>
        <v>Teodora</v>
      </c>
      <c r="AL333" s="31" t="str">
        <f t="shared" si="271"/>
        <v>Kučinac</v>
      </c>
      <c r="AM333" s="73">
        <f t="shared" si="272"/>
        <v>1544</v>
      </c>
      <c r="AN333" s="73" t="str">
        <f t="shared" si="273"/>
        <v/>
      </c>
      <c r="AO333" s="31" t="str">
        <f t="shared" ref="AO333:AO396" si="302">IF(O333="","",IF(OR(AN333="",AN333="NEMA"),AK333,INDEX(regNatjecatelj_ime,MATCH(AN333,regNatjecatelj_id,0))))</f>
        <v>Teodora</v>
      </c>
      <c r="AP333" s="66" t="str">
        <f t="shared" ref="AP333:AP396" si="303">IF(O333="","",IF(OR(AN333="",AN333="NEMA"),AL333,INDEX(regNatjecatelj_prezime,MATCH(AN333,regNatjecatelj_id,0))))</f>
        <v>Kučinac</v>
      </c>
      <c r="AQ333" s="47" t="s">
        <v>0</v>
      </c>
      <c r="AR333" s="82" t="str">
        <f t="shared" si="274"/>
        <v/>
      </c>
      <c r="AS333" s="47" t="s">
        <v>0</v>
      </c>
      <c r="AT333" s="19" t="str">
        <f t="shared" si="275"/>
        <v/>
      </c>
      <c r="AU333" s="47" t="s">
        <v>0</v>
      </c>
      <c r="AV333" s="103"/>
      <c r="AW333" s="105"/>
      <c r="AX333" s="47" t="s">
        <v>0</v>
      </c>
      <c r="AY333" s="256" t="str">
        <f t="shared" si="293"/>
        <v/>
      </c>
      <c r="AZ333" s="47" t="s">
        <v>0</v>
      </c>
      <c r="BA333" s="52" t="str">
        <f t="shared" si="296"/>
        <v/>
      </c>
      <c r="BB333" s="73" t="str">
        <f>IF(AV333&amp;AW333="","",MAX(BB$12:BB332)+1)</f>
        <v/>
      </c>
      <c r="BC333" s="268" t="str">
        <f t="shared" ref="BC333:BC396" si="304">IF(AV333&amp;AW333="","",IFERROR(INDEX(regNatjecatelj_id,MATCH(AV333&amp;" – "&amp;AW333,regNatjecatelj_imePrezime,0)),"NEMA"))</f>
        <v/>
      </c>
      <c r="BD333" s="53" t="str">
        <f>IF(AND(AM333="NEMA",AN333="NEMA",OR(AV333&amp;AW333="",BC333="NEMA")),MAX(BD$12:BD332)+1,"")</f>
        <v/>
      </c>
      <c r="BE333" s="47" t="s">
        <v>0</v>
      </c>
      <c r="BF333" s="52" t="str">
        <f t="shared" ref="BF333:BF396" si="305">IF(O333="","",IF(BC333="",AO333,IF(BC333="NEMA",AV333,INDEX(regNatjecatelj_ime,MATCH(BC333,regNatjecatelj_id,0)))))</f>
        <v>Teodora</v>
      </c>
      <c r="BG333" s="31" t="str">
        <f t="shared" ref="BG333:BG396" si="306">IF(O333="","",IF(BC333="",AP333,IF(BC333="NEMA",AW333,INDEX(regNatjecatelj_prezime,MATCH(BC333,regNatjecatelj_id,0)))))</f>
        <v>Kučinac</v>
      </c>
      <c r="BH333" s="73" t="str">
        <f t="shared" si="276"/>
        <v/>
      </c>
      <c r="BI333" s="53">
        <f t="shared" si="277"/>
        <v>1544</v>
      </c>
      <c r="BJ333" s="47" t="s">
        <v>0</v>
      </c>
      <c r="BK333" s="52" t="str">
        <f t="shared" ref="BK333:BK396" si="307">IF(O333="","",J333)</f>
        <v>Vihor</v>
      </c>
      <c r="BL333" s="31" t="str">
        <f t="shared" ref="BL333:BL396" si="308">IF(O333="","",K333)</f>
        <v>OK Vihor</v>
      </c>
      <c r="BM333" s="73">
        <f t="shared" ref="BM333:BM396" si="309">IF(BL333="","",IFERROR(INDEX(regKlub_id,MATCH(BL333,regKlub_naziv,0)),"NEMA"))</f>
        <v>12</v>
      </c>
      <c r="BN333" s="73" t="str">
        <f t="shared" ref="BN333:BN396" si="310">IF(BL333="","",IF(IFERROR(MATCH(BL333,regKlub_naziv,0),"")&lt;&gt;"","",IFERROR(MATCH(BL333,regKlub_alias_alias,0),"NEMA")))</f>
        <v/>
      </c>
      <c r="BO333" s="31" t="str" cm="1">
        <f t="array" ref="BO333">IF(BN333="",""&amp;BL333,IF(BN333="NEMA",BL333,INDEX(regKlub_naziv,MATCH(INDEX(regKlub_alias_klubId,BN333),regKlub_id,0))))</f>
        <v>OK Vihor</v>
      </c>
      <c r="BP333" s="31" t="str" cm="1">
        <f t="array" ref="BP333">IFERROR(""&amp;INDEX(regNatjecatelj_klub,DY333),"")</f>
        <v>OK Vihor</v>
      </c>
      <c r="BQ333" s="88" t="str">
        <f t="shared" si="278"/>
        <v/>
      </c>
      <c r="BR333" s="66" t="str">
        <f t="shared" si="279"/>
        <v>OK Vihor</v>
      </c>
      <c r="BS333" s="47" t="s">
        <v>0</v>
      </c>
      <c r="BT333" s="82" t="str">
        <f>IF(BN333&lt;&gt;"NEMA","",IF(IFERROR(MATCH(BL333,BL$12:BL332,0),0)&lt;&gt;0,"",BL333))</f>
        <v/>
      </c>
      <c r="BU333" s="47" t="s">
        <v>0</v>
      </c>
      <c r="BV333" s="125"/>
      <c r="BW333" s="47" t="s">
        <v>0</v>
      </c>
      <c r="BX333" s="58" t="str">
        <f t="shared" si="280"/>
        <v/>
      </c>
      <c r="BY333" s="31" t="str">
        <f t="shared" si="281"/>
        <v/>
      </c>
      <c r="BZ333" s="31" t="str">
        <f>IF(BY333="","",MAX(BZ$12:BZ332)+1)</f>
        <v/>
      </c>
      <c r="CA333" s="31" t="str">
        <f>IF(BY333="","",IF(AA333="","",IF(AA333="NEMA",AC333,AA333)))</f>
        <v/>
      </c>
      <c r="CB333" s="31" t="str">
        <f t="shared" si="282"/>
        <v/>
      </c>
      <c r="CC333" s="31" t="str">
        <f>IF(BV333="","",MAX(CC$12:CC332)+1)</f>
        <v/>
      </c>
      <c r="CD333" s="31" t="str">
        <f t="shared" si="283"/>
        <v/>
      </c>
      <c r="CE333" s="66" t="str">
        <f t="shared" si="284"/>
        <v/>
      </c>
      <c r="CF333" s="47" t="s">
        <v>0</v>
      </c>
      <c r="CG333" s="73" t="str">
        <f>IF(BN333="","",IF(BN333&lt;&gt;"NEMA","",IFERROR(INDEX(nat_klubAliasId,MATCH(BL333,nat_noviKluboviAliasi,0)),"")))</f>
        <v/>
      </c>
      <c r="CH333" s="47"/>
      <c r="CI333" s="19" t="str">
        <f t="shared" si="285"/>
        <v/>
      </c>
      <c r="CJ333" s="47" t="s">
        <v>0</v>
      </c>
      <c r="CK333" s="52" t="str">
        <f>IF(X333&lt;&gt;"NEMA","",IF(IFERROR(MATCH(W333,W$12:W332,0),0)&lt;&gt;0,"",W333))</f>
        <v/>
      </c>
      <c r="CL333" s="73" t="str">
        <f>IF(CK333="","",IFERROR(INDEX(regKlub_alias_id,MATCH(CK333,regKlub_alias_alias,0)),"NEMA"))</f>
        <v/>
      </c>
      <c r="CM333" s="31" t="str">
        <f>IF(OR(CL333="",CL333&lt;&gt;"NEMA"),"",MAX(CM$12:CM332)+1)</f>
        <v/>
      </c>
      <c r="CN333" s="66" t="str">
        <f>IF(OR(CL333="",CL333&lt;&gt;"NEMA"),"",INDEX(regKlub_id,MATCH(CK333,regKlub_naziv,0)))</f>
        <v/>
      </c>
      <c r="CO333" s="47" t="s">
        <v>0</v>
      </c>
      <c r="CP333" s="19" t="str">
        <f>IF(OR(CL333="",CL333&lt;&gt;"NEMA"),"","INSERT INTO klub_alias(id,alias,klub_id) VALUES ("&amp;CM333&amp;",'"&amp;CK333&amp;"',"&amp;CN333&amp;");")</f>
        <v/>
      </c>
      <c r="CQ333" s="47" t="s">
        <v>0</v>
      </c>
      <c r="CR333" s="143" t="str">
        <f>IF(BR333="","",IF(BV333="",IF(IFERROR(MATCH(BR333,nat_noviKluboviAliasi,0),0)&gt;0,INDEX(nat_kluboviAliasi,MATCH(BR333,nat_noviKluboviAliasi,0)),BR333),BV333))</f>
        <v>OK Vihor</v>
      </c>
      <c r="CS333" s="47" t="s">
        <v>0</v>
      </c>
      <c r="CT333" s="58" t="str">
        <f>IF(G333="","",G333)</f>
        <v>52:48</v>
      </c>
      <c r="CU333" s="73" t="str">
        <f>IF(H333="","",H333)</f>
        <v>0</v>
      </c>
      <c r="CV333" s="229" t="str">
        <f>IF(CT333="",IF(OR(AL333="",CU333&lt;&gt;"0"),"","GREŠKA"),IF(AND(65535&gt;=VALUE(LEFT(CT333,SEARCH(":",CT333)-1))*60+VALUE(RIGHT(CT333,2)),OR(CU333="0",CU333="1",CU333="2",CU333="3",CU333="4")),"","GREŠKA"))</f>
        <v/>
      </c>
      <c r="CW333" s="230">
        <f t="shared" si="295"/>
        <v>3168</v>
      </c>
      <c r="CX333" s="163">
        <f t="shared" ref="CX333:CX396" si="311">IF(DX333="","",IF(AND(CU333="0",N(CW333)&gt;data_max_minuta*60),2,INDEX(regStatusRezultat_id,MATCH(VALUE(CU333),regStatusRezultat_oEvent,0))))</f>
        <v>1</v>
      </c>
      <c r="CY333" s="47" t="s">
        <v>0</v>
      </c>
      <c r="CZ333" s="222" t="str">
        <f>IF(CV333&lt;&gt;"GREŠKA","",AK333&amp;" "&amp;AL333&amp;" – Molim u OEventu provjeriti i ispraviti rezultat – vrijeme ("&amp;IF(CT333="","nije upisano",CT333)&amp;") i classifier ("&amp;CU333&amp;").")&amp;IF(OR(CV333&lt;&gt;"GREŠKA",CX333&lt;&gt;5),"
","")&amp;IF(CX333&lt;&gt;5,"",AK333&amp;" "&amp;AL333&amp;" – Molim u provjeriti je li natjecatelj zaista diskvalificiran. Ako je koje je obrazloženje, ako nije molim u OEventu ispraviti rezultat")</f>
        <v xml:space="preserve">
</v>
      </c>
      <c r="DA333" s="223">
        <f t="shared" si="286"/>
        <v>6</v>
      </c>
      <c r="DB333" s="47" t="s">
        <v>0</v>
      </c>
      <c r="DC333" s="47"/>
      <c r="DD333" s="47"/>
      <c r="DE333" s="47"/>
      <c r="DF333" s="47" t="s">
        <v>0</v>
      </c>
      <c r="DG333" s="53" t="str">
        <f>IF(BD333="","",IF(DI333="O",1,""))</f>
        <v/>
      </c>
      <c r="DH333" t="s">
        <v>0</v>
      </c>
      <c r="DI333" s="128" t="str">
        <f>IF(Q333="","",LEFT(INDEX(regKategorija_oznaka,MATCH(S333,regKategorija_id,0)),1))</f>
        <v>Ž</v>
      </c>
      <c r="DJ333" t="s">
        <v>0</v>
      </c>
      <c r="DK333" s="52" t="str">
        <f>IF(BD333="","",IF(M333&lt;&gt;"CRO","","INSERT INTO osoba (id,reg_broj,oib,spol_id,dat_rodjenja) VALUES ("&amp;BD333&amp;",(SELECT max(os.reg_broj)+1 FROM osoba AS os),Null,'"&amp;DI333&amp;"',Null); INSERT INTO osoba_log (id,reg_broj,oib,spol_id,dat_rodjenja,dnevnik_id) SELECT id,reg_broj,oib,spol_id,dat_rodjenja,"&amp;data_dnevnik_id&amp;" FROM osoba WHERE id = "&amp;BD333&amp;";"))</f>
        <v/>
      </c>
      <c r="DL333" s="66" t="str">
        <f>IF(BD333="","","INSERT INTO imeprezime (id,osoba_id,rbr,ime,prezime,klub_id,identitet_id,sintaksa_id,info,aktivno,dnevnik_id) VALUES ("&amp;BD333&amp;","&amp;IF(DK333="","Null",BD333)&amp;",1,'"&amp;IF(AV333&lt;&gt;"",AV333,AK333)&amp;"','"&amp;IF(AW333&lt;&gt;"",AW333,AL333)&amp;"',(SELECT id FROM klub WHERE naziv = '"&amp;CR333&amp;"'),Null,1,'',1,"&amp;data_dnevnik_id&amp;");")</f>
        <v/>
      </c>
      <c r="DM333" t="s">
        <v>0</v>
      </c>
      <c r="DN333" s="19" t="str">
        <f t="shared" si="294"/>
        <v/>
      </c>
      <c r="DO333" s="47" t="s">
        <v>0</v>
      </c>
      <c r="DP333" s="19" t="str">
        <f>IF(BA333="","","INSERT INTO imeprezime_alias(id,alias,imeprezime_id) VALUES ("&amp;BB333&amp;",'"&amp;BA333&amp;"',"&amp;IF(BC333="NEMA",BD333,BC333)&amp;");")</f>
        <v/>
      </c>
      <c r="DQ333" s="47" t="s">
        <v>0</v>
      </c>
      <c r="DR333" s="52" t="str">
        <f>IF(AL333="","",DU333 &amp; IF(Q333="",""," – " &amp; Q333))</f>
        <v>Teodora – Kučinac – OK Vihor – Ž55</v>
      </c>
      <c r="DS333" s="53">
        <f t="shared" ref="DS333:DS396" si="312">IF(DR333="","",IFERROR(MATCH(DR333,regNatjecatelj_imePrezimeKlubKategorija,0),"NEMA"))</f>
        <v>762</v>
      </c>
      <c r="DT333" s="47" t="s">
        <v>0</v>
      </c>
      <c r="DU333" s="52" t="str">
        <f>IF(AL333="","",DX333 &amp; IF(CR333="",""," – " &amp; CR333))</f>
        <v>Teodora – Kučinac – OK Vihor</v>
      </c>
      <c r="DV333" s="53">
        <f t="shared" ref="DV333:DV396" si="313">IF(DU333="","",IFERROR(MATCH(DU333,regNatjecatelj_imePrezimeKlub,0),"NEMA"))</f>
        <v>762</v>
      </c>
      <c r="DW333" s="47" t="s">
        <v>0</v>
      </c>
      <c r="DX333" s="52" t="str">
        <f>IF(BG333="","",BF333&amp;" – "&amp;BG333)</f>
        <v>Teodora – Kučinac</v>
      </c>
      <c r="DY333" s="53">
        <f t="shared" ref="DY333:DY396" si="314">IF(DX333="","",IFERROR(MATCH(DX333,regNatjecatelj_imePrezime,0),"NEMA"))</f>
        <v>762</v>
      </c>
      <c r="DZ333" s="47" t="s">
        <v>0</v>
      </c>
      <c r="EA333" s="58">
        <f t="shared" si="287"/>
        <v>762</v>
      </c>
      <c r="EB333" s="53" cm="1">
        <f t="array" ref="EB333">IF(EA333&lt;&gt;"",INDEX(regNatjecatelj_id,EA333,0),IF(BD333&lt;&gt;"",BD333,""))</f>
        <v>1544</v>
      </c>
      <c r="EC333" s="47" t="s">
        <v>0</v>
      </c>
      <c r="ED333" s="58" t="str">
        <f>IF(AL333="","",IF(BD333&lt;&gt;"","novo",IF(AN333="","imepre","imepre(ali)")))</f>
        <v>imepre</v>
      </c>
      <c r="EE333" s="73" t="str">
        <f>IF(AL333="","",IF(BL333="",IF(IFERROR(INDEX(regNatjecatelj_klub,MATCH(EB333,regNatjecatelj_id,0)),"NEMA")="","klu",""),IF(OR(AND(BN333&lt;&gt;"",BN333&lt;&gt;"NEMA"),CD333&lt;&gt;""),"klu(ali)",IF(AND(BP333&lt;&gt;"",BP333&lt;&gt;BO333),"(raz-klu)","klu"))))</f>
        <v>klu</v>
      </c>
      <c r="EF333" s="73" t="str">
        <f>IF(AL333="","","kat"&amp;IF(AND(W333&lt;&gt;Q333,Q333&lt;&gt;"Open"),"(ali)",""))</f>
        <v>kat</v>
      </c>
      <c r="EG333" s="73" t="str">
        <f t="shared" ref="EG333:EG396" si="315">IF(OR(CV333&lt;&gt;"",CX333=2),"ot","")</f>
        <v/>
      </c>
      <c r="EH333" s="66" t="str">
        <f>IF(AL333="","",ED333&amp;IF(ED333="novo","","-"&amp;EE333&amp;"-"&amp;EF333)&amp;IF(EG333="","","-"&amp;EG333))</f>
        <v>imepre-klu-kat</v>
      </c>
      <c r="EI333" s="47" t="s">
        <v>0</v>
      </c>
      <c r="EJ333" s="58">
        <f>IF(AL333="","",MAX(EJ$12:EJ332)+1)</f>
        <v>479</v>
      </c>
      <c r="EK333" s="73">
        <f>IF(AO333="","",X333)</f>
        <v>43</v>
      </c>
      <c r="EL333" s="73">
        <f t="shared" si="288"/>
        <v>1544</v>
      </c>
      <c r="EM333" s="73">
        <f t="shared" ref="EM333:EM396" si="316">IF(CW333="","",CW333)</f>
        <v>3168</v>
      </c>
      <c r="EN333" s="73">
        <f t="shared" ref="EN333:EN396" si="317">IF(CX333="","",IF(AND(EM333="",CX333=1),6,CX333))</f>
        <v>1</v>
      </c>
      <c r="EO333" s="73">
        <f t="shared" si="289"/>
        <v>1</v>
      </c>
      <c r="EP333" s="73">
        <f t="shared" si="290"/>
        <v>1</v>
      </c>
      <c r="EQ333" s="73" t="str">
        <f t="shared" ref="EQ333:EQ396" si="318">IF(CX333="","",CU333)</f>
        <v>0</v>
      </c>
      <c r="ER333" s="73" t="str">
        <f>IF(OR(AN333="",AN333="NEMA"),BB333,AN333)</f>
        <v/>
      </c>
      <c r="ES333" s="73" t="str">
        <f>IF(AND(BN333&lt;&gt;"",BN333&lt;&gt;"NEMA"),BN333,IF(CG333&lt;&gt;"",CG333,IF(AND(CL333&lt;&gt;"",CL333&lt;&gt;"NEMA"),CL333,IF(CM333&lt;&gt;"",CM333,""))))</f>
        <v/>
      </c>
      <c r="ET333" s="53" t="str">
        <f>IF(INDEX(natKategorija_alias_Id,MATCH(S333,natKategorija_katRegId,0))="","",INDEX(natKategorija_alias_Id,MATCH(S333,natKategorija_katRegId,0)))</f>
        <v/>
      </c>
      <c r="EU333" s="47" t="s">
        <v>0</v>
      </c>
      <c r="EV333" s="19" t="str">
        <f t="shared" si="291"/>
        <v>INSERT INTO rezultat(id,stazakategorija_id,imeprezime_id,vrijeme_sec,status_id,registracija,uparivanje_id,originalstatus_id,imeprezimealias_id,klubalias_id,kategorijaalias_id) VALUES (479,43,1544,3168,1,1,1,0,Null,Null,Null);</v>
      </c>
      <c r="EW333" s="47" t="s">
        <v>0</v>
      </c>
      <c r="EX333" s="19" t="str">
        <f t="shared" si="292"/>
        <v>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Y333" s="47" t="s">
        <v>0</v>
      </c>
      <c r="EZ333" s="180" t="str">
        <f>AG333&amp;IF(CP333="","","
")&amp;CP333&amp;IF(CI333="","","
")&amp;CI333&amp;IF(DN333="","","
")&amp;DN333&amp;IF(DP333="","","
")&amp;DP333&amp;IF(EV333="","","
")&amp;EV333&amp;IF(EX333="","","
")&amp;EX333</f>
        <v xml:space="preserve">
INSERT INTO rezultat(id,stazakategorija_id,imeprezime_id,vrijeme_sec,status_id,registracija,uparivanje_id,originalstatus_id,imeprezimealias_id,klubalias_id,kategorijaalias_id) VALUES (479,43,1544,3168,1,1,1,0,Null,Null,Null);
UPDATE
	registar
SET
	potvrda = 1
WHERE
	imeprezime_id=1544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FA333" s="47" t="s">
        <v>0</v>
      </c>
    </row>
    <row r="334" spans="1:157" x14ac:dyDescent="0.25">
      <c r="A334" t="s">
        <v>0</v>
      </c>
      <c r="B334" s="52" t="str">
        <f>IF(csv!F324="","",csv!T324)</f>
        <v>Ž55</v>
      </c>
      <c r="C334" s="31" t="s">
        <v>0</v>
      </c>
      <c r="D334" s="31" t="str">
        <f>IF(csv!F324="","",csv!F324)</f>
        <v>Branka</v>
      </c>
      <c r="E334" s="31" t="str">
        <f>IF(csv!E324="","",csv!E324)</f>
        <v>Fabek</v>
      </c>
      <c r="F334" s="31" t="s">
        <v>0</v>
      </c>
      <c r="G334" s="73" t="str">
        <f>IF(csv!M324="","",csv!M324)</f>
        <v>53:38</v>
      </c>
      <c r="H334" s="73" t="str">
        <f>IF(csv!N324="","",csv!N324)</f>
        <v>0</v>
      </c>
      <c r="I334" s="31" t="s">
        <v>0</v>
      </c>
      <c r="J334" s="31" t="str">
        <f>IF(csv!P324="","",csv!P324)</f>
        <v>JAP</v>
      </c>
      <c r="K334" s="31" t="str">
        <f>IF(csv!Q324="","",csv!Q324)</f>
        <v>OK Japetic</v>
      </c>
      <c r="L334" s="31" t="s">
        <v>0</v>
      </c>
      <c r="M334" s="66" t="str">
        <f>IF(csv!R324="","",csv!R324)</f>
        <v>CRO</v>
      </c>
      <c r="N334" s="47" t="s">
        <v>0</v>
      </c>
      <c r="O334" s="243" t="str">
        <f t="shared" ref="O334:O397" si="319">IF(E334="","","ok")</f>
        <v>ok</v>
      </c>
      <c r="P334" s="47"/>
      <c r="Q334" s="52" t="str">
        <f t="shared" ref="Q334:Q397" si="320">IF(B334="","",B334)</f>
        <v>Ž55</v>
      </c>
      <c r="R334" s="73">
        <f>IF(Q334="","",IF(COUNTIF(Q$12:Q333,Q334)=0,R333+1,R333))</f>
        <v>21</v>
      </c>
      <c r="S334" s="73">
        <f t="shared" ref="S334:S397" si="321">IF(Q334="","",IFERROR(INDEX(regKategorija_id,MATCH(Q334,regKategorija_oznaka,0)),IFERROR(INDEX(regKategorija_alias_id,MATCH(Q334,regKategorija_alias_oznaka,0)),INDEX(natKategorija_katRegId,MATCH(Q334,natKategorija_kategorija,0)))))</f>
        <v>115</v>
      </c>
      <c r="T334" s="73">
        <f t="shared" si="297"/>
        <v>24</v>
      </c>
      <c r="U334" s="66" t="str">
        <f t="shared" si="298"/>
        <v>Ž55</v>
      </c>
      <c r="V334" s="47" t="s">
        <v>0</v>
      </c>
      <c r="W334" s="222" t="str">
        <f t="shared" si="299"/>
        <v>Ž55</v>
      </c>
      <c r="X334" s="223">
        <f t="shared" si="300"/>
        <v>43</v>
      </c>
      <c r="Y334" s="47" t="s">
        <v>0</v>
      </c>
      <c r="Z334" s="52" t="str">
        <f t="shared" ref="Z334:Z397" si="322">IF(O334="","",M334)</f>
        <v>CRO</v>
      </c>
      <c r="AA334" s="73">
        <f t="shared" si="301"/>
        <v>1</v>
      </c>
      <c r="AB334" s="31" t="str">
        <f t="shared" ref="AB334:AB397" si="323">IF(OR(AA334="",AA334&lt;&gt;"NEMA"),"",Z334)</f>
        <v/>
      </c>
      <c r="AC334" s="66" t="str">
        <f>IF(AB334="","",MAX(AC$12:AC333)+1)</f>
        <v/>
      </c>
      <c r="AD334" s="47" t="s">
        <v>0</v>
      </c>
      <c r="AE334" s="125"/>
      <c r="AF334" s="47" t="s">
        <v>0</v>
      </c>
      <c r="AG334" s="19" t="str">
        <f t="shared" ref="AG334:AG397" si="324">IF(AB334="","","INSERT INTO drzava(id,naziv,oznaka) VALUES ("&amp;AC334&amp;",'"&amp;AE334&amp;"','"&amp;UPPER(LEFT(AB334,1))&amp;LOWER(RIGHT(AB334,2))&amp;"');")</f>
        <v/>
      </c>
      <c r="AH334" s="47" t="s">
        <v>0</v>
      </c>
      <c r="AI334" s="143" t="str">
        <f t="shared" ref="AI334:AI397" si="325">IF(AA334="","",IF(AA334="NEMA",AB334,Z334))</f>
        <v>CRO</v>
      </c>
      <c r="AJ334" s="47"/>
      <c r="AK334" s="52" t="str">
        <f t="shared" ref="AK334:AK397" si="326">IF(O334="","",D334)</f>
        <v>Branka</v>
      </c>
      <c r="AL334" s="31" t="str">
        <f t="shared" ref="AL334:AL397" si="327">IF(O334="","",E334)</f>
        <v>Fabek</v>
      </c>
      <c r="AM334" s="73">
        <f t="shared" ref="AM334:AM397" si="328">IF(AL334="","",IFERROR(INDEX(regNatjecatelj_id,MATCH(AK334&amp;" – "&amp;AL334,regNatjecatelj_imePrezime,0)),"NEMA"))</f>
        <v>1231</v>
      </c>
      <c r="AN334" s="73" t="str">
        <f t="shared" ref="AN334:AN397" si="329">IF(AM334&lt;&gt;"NEMA","",IFERROR(INDEX(regNatjecatelj_alias_natjecateljId,MATCH(AK334&amp;" "&amp;AL334,regNatjecatelj_alias_alias,0)),"NEMA"))</f>
        <v/>
      </c>
      <c r="AO334" s="31" t="str">
        <f t="shared" si="302"/>
        <v>Branka</v>
      </c>
      <c r="AP334" s="66" t="str">
        <f t="shared" si="303"/>
        <v>Fabek</v>
      </c>
      <c r="AQ334" s="47" t="s">
        <v>0</v>
      </c>
      <c r="AR334" s="82" t="str">
        <f t="shared" ref="AR334:AR397" si="330">IF(OR(O334="",AN334&lt;&gt;"NEMA"),"",AK334&amp;" "&amp;AL334)</f>
        <v/>
      </c>
      <c r="AS334" s="47" t="s">
        <v>0</v>
      </c>
      <c r="AT334" s="19" t="str">
        <f t="shared" ref="AT334:AT397" si="331">IF(OR(AM334&lt;&gt;"NEMA",AN334&lt;&gt;"NEMA"),"","SELECT '"&amp;AO334&amp;" – "&amp;AP334&amp;"', ime, prezime FROM imeprezime WHERE ime LIKE '%"&amp;MID(AO334,2,LEN(AO334)-2)&amp;"%' Or prezime LIKE '%"&amp;MID(AP334,2,LEN(AP334)-2)&amp;"%' Or ime LIKE '%"&amp;MID(AP334,2,LEN(AP334)-2)&amp;"%' Or prezime LIKE '%"&amp;MID(AO334,2,LEN(AO334)-2)&amp;"%' ORDER BY ime, prezime;")</f>
        <v/>
      </c>
      <c r="AU334" s="47" t="s">
        <v>0</v>
      </c>
      <c r="AV334" s="103"/>
      <c r="AW334" s="105"/>
      <c r="AX334" s="47" t="s">
        <v>0</v>
      </c>
      <c r="AY334" s="256" t="str">
        <f t="shared" si="293"/>
        <v/>
      </c>
      <c r="AZ334" s="47" t="s">
        <v>0</v>
      </c>
      <c r="BA334" s="52" t="str">
        <f t="shared" si="296"/>
        <v/>
      </c>
      <c r="BB334" s="73" t="str">
        <f>IF(AV334&amp;AW334="","",MAX(BB$12:BB333)+1)</f>
        <v/>
      </c>
      <c r="BC334" s="268" t="str">
        <f t="shared" si="304"/>
        <v/>
      </c>
      <c r="BD334" s="53" t="str">
        <f>IF(AND(AM334="NEMA",AN334="NEMA",OR(AV334&amp;AW334="",BC334="NEMA")),MAX(BD$12:BD333)+1,"")</f>
        <v/>
      </c>
      <c r="BE334" s="47" t="s">
        <v>0</v>
      </c>
      <c r="BF334" s="52" t="str">
        <f t="shared" si="305"/>
        <v>Branka</v>
      </c>
      <c r="BG334" s="31" t="str">
        <f t="shared" si="306"/>
        <v>Fabek</v>
      </c>
      <c r="BH334" s="73" t="str">
        <f t="shared" ref="BH334:BH397" si="332">IF(AND(AN334&lt;&gt;"",AN334&lt;&gt;"NEMA"),AN334,IF(BB334&lt;&gt;"",BB334,""))</f>
        <v/>
      </c>
      <c r="BI334" s="53">
        <f t="shared" ref="BI334:BI397" si="333">IF(AND(AM334&lt;&gt;"",AM334&lt;&gt;"NEMA"),AM334,IF(BC334&lt;&gt;"",BC334,IF(BD334&lt;&gt;"",BD334,"")))</f>
        <v>1231</v>
      </c>
      <c r="BJ334" s="47" t="s">
        <v>0</v>
      </c>
      <c r="BK334" s="52" t="str">
        <f t="shared" si="307"/>
        <v>JAP</v>
      </c>
      <c r="BL334" s="31" t="str">
        <f t="shared" si="308"/>
        <v>OK Japetic</v>
      </c>
      <c r="BM334" s="73" t="str">
        <f t="shared" si="309"/>
        <v>NEMA</v>
      </c>
      <c r="BN334" s="73">
        <f t="shared" si="310"/>
        <v>1</v>
      </c>
      <c r="BO334" s="31" t="str" cm="1">
        <f t="array" ref="BO334">IF(BN334="",""&amp;BL334,IF(BN334="NEMA",BL334,INDEX(regKlub_naziv,MATCH(INDEX(regKlub_alias_klubId,BN334),regKlub_id,0))))</f>
        <v>OK Japetić</v>
      </c>
      <c r="BP334" s="31" t="str" cm="1">
        <f t="array" ref="BP334">IFERROR(""&amp;INDEX(regNatjecatelj_klub,DY334),"")</f>
        <v>OK Japetić</v>
      </c>
      <c r="BQ334" s="88" t="str">
        <f t="shared" ref="BQ334:BQ397" si="334">IF(BO334=BP334,"",IF(BP334="","",1))</f>
        <v/>
      </c>
      <c r="BR334" s="66" t="str">
        <f t="shared" ref="BR334:BR397" si="335">IF(AND(BP334&lt;&gt;"",BP334&lt;&gt;BO334),BP334,""&amp;BO334)</f>
        <v>OK Japetić</v>
      </c>
      <c r="BS334" s="47" t="s">
        <v>0</v>
      </c>
      <c r="BT334" s="82" t="str">
        <f>IF(BN334&lt;&gt;"NEMA","",IF(IFERROR(MATCH(BL334,BL$12:BL333,0),0)&lt;&gt;0,"",BL334))</f>
        <v/>
      </c>
      <c r="BU334" s="47" t="s">
        <v>0</v>
      </c>
      <c r="BV334" s="125"/>
      <c r="BW334" s="47" t="s">
        <v>0</v>
      </c>
      <c r="BX334" s="58" t="str">
        <f t="shared" ref="BX334:BX397" si="336">IF(BV334="","",IFERROR(INDEX(regKlub_id,MATCH(BV334,regKlub_naziv,0)),"NEMA"))</f>
        <v/>
      </c>
      <c r="BY334" s="31" t="str">
        <f t="shared" ref="BY334:BY397" si="337">IF(BT334="","",IF(BV334="",BT334,""))</f>
        <v/>
      </c>
      <c r="BZ334" s="31" t="str">
        <f>IF(BY334="","",MAX(BZ$12:BZ333)+1)</f>
        <v/>
      </c>
      <c r="CA334" s="31" t="str">
        <f>IF(BY334="","",IF(AA334="","",IF(AA334="NEMA",AC334,AA334)))</f>
        <v/>
      </c>
      <c r="CB334" s="31" t="str">
        <f t="shared" ref="CB334:CB397" si="338">IF(BY334="","","INSERT INTO klub(id,naziv,drzava_id,aktivan) VALUES ("&amp;BZ334&amp;",'"&amp;BY334&amp;"',"&amp;CA334&amp;",1);")</f>
        <v/>
      </c>
      <c r="CC334" s="31" t="str">
        <f>IF(BV334="","",MAX(CC$12:CC333)+1)</f>
        <v/>
      </c>
      <c r="CD334" s="31" t="str">
        <f t="shared" ref="CD334:CD397" si="339">IF(BV334="","",IF(BZ334="",INDEX(regKlub_id,MATCH(BV334,regKlub_naziv,0)),BZ334))</f>
        <v/>
      </c>
      <c r="CE334" s="66" t="str">
        <f t="shared" ref="CE334:CE397" si="340">IF(BV334="","","INSERT INTO klub_alias(id,alias,klub_id) VALUES ("&amp;CC334&amp;",'"&amp;BT334&amp;"',"&amp;CD334&amp;");")</f>
        <v/>
      </c>
      <c r="CF334" s="47" t="s">
        <v>0</v>
      </c>
      <c r="CG334" s="73" t="str">
        <f>IF(BN334="","",IF(BN334&lt;&gt;"NEMA","",IFERROR(INDEX(nat_klubAliasId,MATCH(BL334,nat_noviKluboviAliasi,0)),"")))</f>
        <v/>
      </c>
      <c r="CH334" s="47"/>
      <c r="CI334" s="19" t="str">
        <f t="shared" ref="CI334:CI397" si="341">""&amp;CB334&amp;IF(AND(CB334&lt;&gt;"",CE334&lt;&gt;""),"
","")&amp;CE334</f>
        <v/>
      </c>
      <c r="CJ334" s="47" t="s">
        <v>0</v>
      </c>
      <c r="CK334" s="52" t="str">
        <f>IF(X334&lt;&gt;"NEMA","",IF(IFERROR(MATCH(W334,W$12:W333,0),0)&lt;&gt;0,"",W334))</f>
        <v/>
      </c>
      <c r="CL334" s="73" t="str">
        <f>IF(CK334="","",IFERROR(INDEX(regKlub_alias_id,MATCH(CK334,regKlub_alias_alias,0)),"NEMA"))</f>
        <v/>
      </c>
      <c r="CM334" s="31" t="str">
        <f>IF(OR(CL334="",CL334&lt;&gt;"NEMA"),"",MAX(CM$12:CM333)+1)</f>
        <v/>
      </c>
      <c r="CN334" s="66" t="str">
        <f>IF(OR(CL334="",CL334&lt;&gt;"NEMA"),"",INDEX(regKlub_id,MATCH(CK334,regKlub_naziv,0)))</f>
        <v/>
      </c>
      <c r="CO334" s="47" t="s">
        <v>0</v>
      </c>
      <c r="CP334" s="19" t="str">
        <f>IF(OR(CL334="",CL334&lt;&gt;"NEMA"),"","INSERT INTO klub_alias(id,alias,klub_id) VALUES ("&amp;CM334&amp;",'"&amp;CK334&amp;"',"&amp;CN334&amp;");")</f>
        <v/>
      </c>
      <c r="CQ334" s="47" t="s">
        <v>0</v>
      </c>
      <c r="CR334" s="143" t="str">
        <f>IF(BR334="","",IF(BV334="",IF(IFERROR(MATCH(BR334,nat_noviKluboviAliasi,0),0)&gt;0,INDEX(nat_kluboviAliasi,MATCH(BR334,nat_noviKluboviAliasi,0)),BR334),BV334))</f>
        <v>OK Japetić</v>
      </c>
      <c r="CS334" s="47" t="s">
        <v>0</v>
      </c>
      <c r="CT334" s="58" t="str">
        <f>IF(G334="","",G334)</f>
        <v>53:38</v>
      </c>
      <c r="CU334" s="73" t="str">
        <f>IF(H334="","",H334)</f>
        <v>0</v>
      </c>
      <c r="CV334" s="229" t="str">
        <f>IF(CT334="",IF(OR(AL334="",CU334&lt;&gt;"0"),"","GREŠKA"),IF(AND(65535&gt;=VALUE(LEFT(CT334,SEARCH(":",CT334)-1))*60+VALUE(RIGHT(CT334,2)),OR(CU334="0",CU334="1",CU334="2",CU334="3",CU334="4")),"","GREŠKA"))</f>
        <v/>
      </c>
      <c r="CW334" s="230">
        <f t="shared" si="295"/>
        <v>3218</v>
      </c>
      <c r="CX334" s="163">
        <f t="shared" si="311"/>
        <v>1</v>
      </c>
      <c r="CY334" s="47" t="s">
        <v>0</v>
      </c>
      <c r="CZ334" s="222" t="str">
        <f>IF(CV334&lt;&gt;"GREŠKA","",AK334&amp;" "&amp;AL334&amp;" – Molim u OEventu provjeriti i ispraviti rezultat – vrijeme ("&amp;IF(CT334="","nije upisano",CT334)&amp;") i classifier ("&amp;CU334&amp;").")&amp;IF(OR(CV334&lt;&gt;"GREŠKA",CX334&lt;&gt;5),"
","")&amp;IF(CX334&lt;&gt;5,"",AK334&amp;" "&amp;AL334&amp;" – Molim u provjeriti je li natjecatelj zaista diskvalificiran. Ako je koje je obrazloženje, ako nije molim u OEventu ispraviti rezultat")</f>
        <v xml:space="preserve">
</v>
      </c>
      <c r="DA334" s="223">
        <f t="shared" ref="DA334:DA397" si="342">IF(EA334="","",IF(AND(CX334="0",N(CZ334)&gt;data_max_minuta*60),2,INDEX(regStatusRezultat_id,MATCH(VALUE(CX334),regStatusRezultat_oEvent,0))))</f>
        <v>6</v>
      </c>
      <c r="DB334" s="47" t="s">
        <v>0</v>
      </c>
      <c r="DC334" s="47"/>
      <c r="DD334" s="47"/>
      <c r="DE334" s="47"/>
      <c r="DF334" s="47" t="s">
        <v>0</v>
      </c>
      <c r="DG334" s="53" t="str">
        <f>IF(BD334="","",IF(DI334="O",1,""))</f>
        <v/>
      </c>
      <c r="DH334" t="s">
        <v>0</v>
      </c>
      <c r="DI334" s="128" t="str">
        <f>IF(Q334="","",LEFT(INDEX(regKategorija_oznaka,MATCH(S334,regKategorija_id,0)),1))</f>
        <v>Ž</v>
      </c>
      <c r="DJ334" t="s">
        <v>0</v>
      </c>
      <c r="DK334" s="52" t="str">
        <f>IF(BD334="","",IF(M334&lt;&gt;"CRO","","INSERT INTO osoba (id,reg_broj,oib,spol_id,dat_rodjenja) VALUES ("&amp;BD334&amp;",(SELECT max(os.reg_broj)+1 FROM osoba AS os),Null,'"&amp;DI334&amp;"',Null); INSERT INTO osoba_log (id,reg_broj,oib,spol_id,dat_rodjenja,dnevnik_id) SELECT id,reg_broj,oib,spol_id,dat_rodjenja,"&amp;data_dnevnik_id&amp;" FROM osoba WHERE id = "&amp;BD334&amp;";"))</f>
        <v/>
      </c>
      <c r="DL334" s="66" t="str">
        <f>IF(BD334="","","INSERT INTO imeprezime (id,osoba_id,rbr,ime,prezime,klub_id,identitet_id,sintaksa_id,info,aktivno,dnevnik_id) VALUES ("&amp;BD334&amp;","&amp;IF(DK334="","Null",BD334)&amp;",1,'"&amp;IF(AV334&lt;&gt;"",AV334,AK334)&amp;"','"&amp;IF(AW334&lt;&gt;"",AW334,AL334)&amp;"',(SELECT id FROM klub WHERE naziv = '"&amp;CR334&amp;"'),Null,1,'',1,"&amp;data_dnevnik_id&amp;");")</f>
        <v/>
      </c>
      <c r="DM334" t="s">
        <v>0</v>
      </c>
      <c r="DN334" s="19" t="str">
        <f t="shared" si="294"/>
        <v/>
      </c>
      <c r="DO334" s="47" t="s">
        <v>0</v>
      </c>
      <c r="DP334" s="19" t="str">
        <f>IF(BA334="","","INSERT INTO imeprezime_alias(id,alias,imeprezime_id) VALUES ("&amp;BB334&amp;",'"&amp;BA334&amp;"',"&amp;IF(BC334="NEMA",BD334,BC334)&amp;");")</f>
        <v/>
      </c>
      <c r="DQ334" s="47" t="s">
        <v>0</v>
      </c>
      <c r="DR334" s="52" t="str">
        <f>IF(AL334="","",DU334 &amp; IF(Q334="",""," – " &amp; Q334))</f>
        <v>Branka – Fabek – OK Japetić – Ž55</v>
      </c>
      <c r="DS334" s="53">
        <f t="shared" si="312"/>
        <v>85</v>
      </c>
      <c r="DT334" s="47" t="s">
        <v>0</v>
      </c>
      <c r="DU334" s="52" t="str">
        <f>IF(AL334="","",DX334 &amp; IF(CR334="",""," – " &amp; CR334))</f>
        <v>Branka – Fabek – OK Japetić</v>
      </c>
      <c r="DV334" s="53">
        <f t="shared" si="313"/>
        <v>85</v>
      </c>
      <c r="DW334" s="47" t="s">
        <v>0</v>
      </c>
      <c r="DX334" s="52" t="str">
        <f>IF(BG334="","",BF334&amp;" – "&amp;BG334)</f>
        <v>Branka – Fabek</v>
      </c>
      <c r="DY334" s="53">
        <f t="shared" si="314"/>
        <v>85</v>
      </c>
      <c r="DZ334" s="47" t="s">
        <v>0</v>
      </c>
      <c r="EA334" s="58">
        <f t="shared" ref="EA334:EA397" si="343">IF(DS334="","",IF(DS334&lt;&gt;"NEMA",DS334,IF(DV334&lt;&gt;"NEMA",DV334,IF(DY334&lt;&gt;"NEMA",DY334,""))))</f>
        <v>85</v>
      </c>
      <c r="EB334" s="53" cm="1">
        <f t="array" ref="EB334">IF(EA334&lt;&gt;"",INDEX(regNatjecatelj_id,EA334,0),IF(BD334&lt;&gt;"",BD334,""))</f>
        <v>1231</v>
      </c>
      <c r="EC334" s="47" t="s">
        <v>0</v>
      </c>
      <c r="ED334" s="58" t="str">
        <f>IF(AL334="","",IF(BD334&lt;&gt;"","novo",IF(AN334="","imepre","imepre(ali)")))</f>
        <v>imepre</v>
      </c>
      <c r="EE334" s="73" t="str">
        <f>IF(AL334="","",IF(BL334="",IF(IFERROR(INDEX(regNatjecatelj_klub,MATCH(EB334,regNatjecatelj_id,0)),"NEMA")="","klu",""),IF(OR(AND(BN334&lt;&gt;"",BN334&lt;&gt;"NEMA"),CD334&lt;&gt;""),"klu(ali)",IF(AND(BP334&lt;&gt;"",BP334&lt;&gt;BO334),"(raz-klu)","klu"))))</f>
        <v>klu(ali)</v>
      </c>
      <c r="EF334" s="73" t="str">
        <f>IF(AL334="","","kat"&amp;IF(AND(W334&lt;&gt;Q334,Q334&lt;&gt;"Open"),"(ali)",""))</f>
        <v>kat</v>
      </c>
      <c r="EG334" s="73" t="str">
        <f t="shared" si="315"/>
        <v/>
      </c>
      <c r="EH334" s="66" t="str">
        <f>IF(AL334="","",ED334&amp;IF(ED334="novo","","-"&amp;EE334&amp;"-"&amp;EF334)&amp;IF(EG334="","","-"&amp;EG334))</f>
        <v>imepre-klu(ali)-kat</v>
      </c>
      <c r="EI334" s="47" t="s">
        <v>0</v>
      </c>
      <c r="EJ334" s="58">
        <f>IF(AL334="","",MAX(EJ$12:EJ333)+1)</f>
        <v>480</v>
      </c>
      <c r="EK334" s="73">
        <f>IF(AO334="","",X334)</f>
        <v>43</v>
      </c>
      <c r="EL334" s="73">
        <f t="shared" ref="EL334:EL397" si="344">IF(EB334="","",EB334)</f>
        <v>1231</v>
      </c>
      <c r="EM334" s="73">
        <f t="shared" si="316"/>
        <v>3218</v>
      </c>
      <c r="EN334" s="73">
        <f t="shared" si="317"/>
        <v>1</v>
      </c>
      <c r="EO334" s="73">
        <f t="shared" ref="EO334:EO397" si="345">IF(DX334="","",IF(data_trka_je_rangirana=0,0,IF(OR(DS334="",DS334="NEMA"),0,1)))</f>
        <v>1</v>
      </c>
      <c r="EP334" s="73">
        <f t="shared" ref="EP334:EP397" si="346">IF(EJ334="","",INDEX(regUparivanje_id,MATCH(EH334,regUparivanje_oznaka,0)))</f>
        <v>3</v>
      </c>
      <c r="EQ334" s="73" t="str">
        <f t="shared" si="318"/>
        <v>0</v>
      </c>
      <c r="ER334" s="73" t="str">
        <f>IF(OR(AN334="",AN334="NEMA"),BB334,AN334)</f>
        <v/>
      </c>
      <c r="ES334" s="73">
        <f>IF(AND(BN334&lt;&gt;"",BN334&lt;&gt;"NEMA"),BN334,IF(CG334&lt;&gt;"",CG334,IF(AND(CL334&lt;&gt;"",CL334&lt;&gt;"NEMA"),CL334,IF(CM334&lt;&gt;"",CM334,""))))</f>
        <v>1</v>
      </c>
      <c r="ET334" s="53" t="str">
        <f>IF(INDEX(natKategorija_alias_Id,MATCH(S334,natKategorija_katRegId,0))="","",INDEX(natKategorija_alias_Id,MATCH(S334,natKategorija_katRegId,0)))</f>
        <v/>
      </c>
      <c r="EU334" s="47" t="s">
        <v>0</v>
      </c>
      <c r="EV334" s="19" t="str">
        <f t="shared" ref="EV334:EV397" si="347">IF(EK334="","","INSERT INTO rezultat(id,stazakategorija_id,imeprezime_id,vrijeme_sec,status_id,registracija,uparivanje_id,originalstatus_id,imeprezimealias_id,klubalias_id,kategorijaalias_id) VALUES ("&amp;EJ334&amp;","&amp;EK334&amp;","&amp;EL334&amp;","&amp;IF(EM334="","Null",EM334)&amp;","&amp;EN334&amp;","&amp;EO334&amp;","&amp;EP334&amp;","&amp;EQ334&amp;","&amp;IF(ER334="","Null",ER334)&amp;","&amp;IF(ES334="","Null",ES334)&amp;","&amp;IF(ET334="","Null",ET334)&amp;");")</f>
        <v>INSERT INTO rezultat(id,stazakategorija_id,imeprezime_id,vrijeme_sec,status_id,registracija,uparivanje_id,originalstatus_id,imeprezimealias_id,klubalias_id,kategorijaalias_id) VALUES (480,43,1231,3218,1,1,3,0,Null,1,Null);</v>
      </c>
      <c r="EW334" s="47" t="s">
        <v>0</v>
      </c>
      <c r="EX334" s="19" t="str">
        <f t="shared" ref="EX334:EX397" si="348">IF(EK334="","",IF(EO334=1,"UPDATE
	registar
SET
	potvrda = 1
WHERE
	imeprezime_id="&amp;EL334&amp;"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"&amp;EK334&amp;")
                         		AND
                         	kategorija_liga.liga_id = "&amp;data_liga_id&amp;")
		AND
	datum_od &lt;= '"&amp;data_datum_natjecanja&amp;"'
    	AND
    datum_do is Null;",""))</f>
        <v>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Y334" s="47" t="s">
        <v>0</v>
      </c>
      <c r="EZ334" s="180" t="str">
        <f>AG334&amp;IF(CP334="","","
")&amp;CP334&amp;IF(CI334="","","
")&amp;CI334&amp;IF(DN334="","","
")&amp;DN334&amp;IF(DP334="","","
")&amp;DP334&amp;IF(EV334="","","
")&amp;EV334&amp;IF(EX334="","","
")&amp;EX334</f>
        <v xml:space="preserve">
INSERT INTO rezultat(id,stazakategorija_id,imeprezime_id,vrijeme_sec,status_id,registracija,uparivanje_id,originalstatus_id,imeprezimealias_id,klubalias_id,kategorijaalias_id) VALUES (480,43,1231,3218,1,1,3,0,Null,1,Null);
UPDATE
	registar
SET
	potvrda = 1
WHERE
	imeprezime_id=1231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FA334" s="47" t="s">
        <v>0</v>
      </c>
    </row>
    <row r="335" spans="1:157" x14ac:dyDescent="0.25">
      <c r="A335" t="s">
        <v>0</v>
      </c>
      <c r="B335" s="52" t="str">
        <f>IF(csv!F325="","",csv!T325)</f>
        <v>Ž55</v>
      </c>
      <c r="C335" s="31" t="s">
        <v>0</v>
      </c>
      <c r="D335" s="31" t="str">
        <f>IF(csv!F325="","",csv!F325)</f>
        <v>Sanja</v>
      </c>
      <c r="E335" s="31" t="str">
        <f>IF(csv!E325="","",csv!E325)</f>
        <v>Radočaj</v>
      </c>
      <c r="F335" s="31" t="s">
        <v>0</v>
      </c>
      <c r="G335" s="73" t="str">
        <f>IF(csv!M325="","",csv!M325)</f>
        <v>58:27</v>
      </c>
      <c r="H335" s="73" t="str">
        <f>IF(csv!N325="","",csv!N325)</f>
        <v>0</v>
      </c>
      <c r="I335" s="31" t="s">
        <v>0</v>
      </c>
      <c r="J335" s="31" t="str">
        <f>IF(csv!P325="","",csv!P325)</f>
        <v>BJE</v>
      </c>
      <c r="K335" s="31" t="str">
        <f>IF(csv!Q325="","",csv!Q325)</f>
        <v>OK Bjelovar</v>
      </c>
      <c r="L335" s="31" t="s">
        <v>0</v>
      </c>
      <c r="M335" s="66" t="str">
        <f>IF(csv!R325="","",csv!R325)</f>
        <v>CRO</v>
      </c>
      <c r="N335" s="47" t="s">
        <v>0</v>
      </c>
      <c r="O335" s="243" t="str">
        <f t="shared" si="319"/>
        <v>ok</v>
      </c>
      <c r="P335" s="47"/>
      <c r="Q335" s="52" t="str">
        <f t="shared" si="320"/>
        <v>Ž55</v>
      </c>
      <c r="R335" s="73">
        <f>IF(Q335="","",IF(COUNTIF(Q$12:Q334,Q335)=0,R334+1,R334))</f>
        <v>21</v>
      </c>
      <c r="S335" s="73">
        <f t="shared" si="321"/>
        <v>115</v>
      </c>
      <c r="T335" s="73">
        <f t="shared" si="297"/>
        <v>24</v>
      </c>
      <c r="U335" s="66" t="str">
        <f t="shared" si="298"/>
        <v>Ž55</v>
      </c>
      <c r="V335" s="47" t="s">
        <v>0</v>
      </c>
      <c r="W335" s="222" t="str">
        <f t="shared" si="299"/>
        <v>Ž55</v>
      </c>
      <c r="X335" s="223">
        <f t="shared" si="300"/>
        <v>43</v>
      </c>
      <c r="Y335" s="47" t="s">
        <v>0</v>
      </c>
      <c r="Z335" s="52" t="str">
        <f t="shared" si="322"/>
        <v>CRO</v>
      </c>
      <c r="AA335" s="73">
        <f t="shared" si="301"/>
        <v>1</v>
      </c>
      <c r="AB335" s="31" t="str">
        <f t="shared" si="323"/>
        <v/>
      </c>
      <c r="AC335" s="66" t="str">
        <f>IF(AB335="","",MAX(AC$12:AC334)+1)</f>
        <v/>
      </c>
      <c r="AD335" s="47" t="s">
        <v>0</v>
      </c>
      <c r="AE335" s="125"/>
      <c r="AF335" s="47" t="s">
        <v>0</v>
      </c>
      <c r="AG335" s="19" t="str">
        <f t="shared" si="324"/>
        <v/>
      </c>
      <c r="AH335" s="47" t="s">
        <v>0</v>
      </c>
      <c r="AI335" s="143" t="str">
        <f t="shared" si="325"/>
        <v>CRO</v>
      </c>
      <c r="AJ335" s="47"/>
      <c r="AK335" s="52" t="str">
        <f t="shared" si="326"/>
        <v>Sanja</v>
      </c>
      <c r="AL335" s="31" t="str">
        <f t="shared" si="327"/>
        <v>Radočaj</v>
      </c>
      <c r="AM335" s="73">
        <f t="shared" si="328"/>
        <v>1939</v>
      </c>
      <c r="AN335" s="73" t="str">
        <f t="shared" si="329"/>
        <v/>
      </c>
      <c r="AO335" s="31" t="str">
        <f t="shared" si="302"/>
        <v>Sanja</v>
      </c>
      <c r="AP335" s="66" t="str">
        <f t="shared" si="303"/>
        <v>Radočaj</v>
      </c>
      <c r="AQ335" s="47" t="s">
        <v>0</v>
      </c>
      <c r="AR335" s="82" t="str">
        <f t="shared" si="330"/>
        <v/>
      </c>
      <c r="AS335" s="47" t="s">
        <v>0</v>
      </c>
      <c r="AT335" s="19" t="str">
        <f t="shared" si="331"/>
        <v/>
      </c>
      <c r="AU335" s="47" t="s">
        <v>0</v>
      </c>
      <c r="AV335" s="103"/>
      <c r="AW335" s="105"/>
      <c r="AX335" s="47" t="s">
        <v>0</v>
      </c>
      <c r="AY335" s="256" t="str">
        <f t="shared" si="293"/>
        <v/>
      </c>
      <c r="AZ335" s="47" t="s">
        <v>0</v>
      </c>
      <c r="BA335" s="52" t="str">
        <f t="shared" si="296"/>
        <v/>
      </c>
      <c r="BB335" s="73" t="str">
        <f>IF(AV335&amp;AW335="","",MAX(BB$12:BB334)+1)</f>
        <v/>
      </c>
      <c r="BC335" s="268" t="str">
        <f t="shared" si="304"/>
        <v/>
      </c>
      <c r="BD335" s="53" t="str">
        <f>IF(AND(AM335="NEMA",AN335="NEMA",OR(AV335&amp;AW335="",BC335="NEMA")),MAX(BD$12:BD334)+1,"")</f>
        <v/>
      </c>
      <c r="BE335" s="47" t="s">
        <v>0</v>
      </c>
      <c r="BF335" s="52" t="str">
        <f t="shared" si="305"/>
        <v>Sanja</v>
      </c>
      <c r="BG335" s="31" t="str">
        <f t="shared" si="306"/>
        <v>Radočaj</v>
      </c>
      <c r="BH335" s="73" t="str">
        <f t="shared" si="332"/>
        <v/>
      </c>
      <c r="BI335" s="53">
        <f t="shared" si="333"/>
        <v>1939</v>
      </c>
      <c r="BJ335" s="47" t="s">
        <v>0</v>
      </c>
      <c r="BK335" s="52" t="str">
        <f t="shared" si="307"/>
        <v>BJE</v>
      </c>
      <c r="BL335" s="31" t="str">
        <f t="shared" si="308"/>
        <v>OK Bjelovar</v>
      </c>
      <c r="BM335" s="73">
        <f t="shared" si="309"/>
        <v>1</v>
      </c>
      <c r="BN335" s="73" t="str">
        <f t="shared" si="310"/>
        <v/>
      </c>
      <c r="BO335" s="31" t="str" cm="1">
        <f t="array" ref="BO335">IF(BN335="",""&amp;BL335,IF(BN335="NEMA",BL335,INDEX(regKlub_naziv,MATCH(INDEX(regKlub_alias_klubId,BN335),regKlub_id,0))))</f>
        <v>OK Bjelovar</v>
      </c>
      <c r="BP335" s="31" t="str" cm="1">
        <f t="array" ref="BP335">IFERROR(""&amp;INDEX(regNatjecatelj_klub,DY335),"")</f>
        <v>OK Bjelovar</v>
      </c>
      <c r="BQ335" s="88" t="str">
        <f t="shared" si="334"/>
        <v/>
      </c>
      <c r="BR335" s="66" t="str">
        <f t="shared" si="335"/>
        <v>OK Bjelovar</v>
      </c>
      <c r="BS335" s="47" t="s">
        <v>0</v>
      </c>
      <c r="BT335" s="82" t="str">
        <f>IF(BN335&lt;&gt;"NEMA","",IF(IFERROR(MATCH(BL335,BL$12:BL334,0),0)&lt;&gt;0,"",BL335))</f>
        <v/>
      </c>
      <c r="BU335" s="47" t="s">
        <v>0</v>
      </c>
      <c r="BV335" s="125"/>
      <c r="BW335" s="47" t="s">
        <v>0</v>
      </c>
      <c r="BX335" s="58" t="str">
        <f t="shared" si="336"/>
        <v/>
      </c>
      <c r="BY335" s="31" t="str">
        <f t="shared" si="337"/>
        <v/>
      </c>
      <c r="BZ335" s="31" t="str">
        <f>IF(BY335="","",MAX(BZ$12:BZ334)+1)</f>
        <v/>
      </c>
      <c r="CA335" s="31" t="str">
        <f>IF(BY335="","",IF(AA335="","",IF(AA335="NEMA",AC335,AA335)))</f>
        <v/>
      </c>
      <c r="CB335" s="31" t="str">
        <f t="shared" si="338"/>
        <v/>
      </c>
      <c r="CC335" s="31" t="str">
        <f>IF(BV335="","",MAX(CC$12:CC334)+1)</f>
        <v/>
      </c>
      <c r="CD335" s="31" t="str">
        <f t="shared" si="339"/>
        <v/>
      </c>
      <c r="CE335" s="66" t="str">
        <f t="shared" si="340"/>
        <v/>
      </c>
      <c r="CF335" s="47" t="s">
        <v>0</v>
      </c>
      <c r="CG335" s="73" t="str">
        <f>IF(BN335="","",IF(BN335&lt;&gt;"NEMA","",IFERROR(INDEX(nat_klubAliasId,MATCH(BL335,nat_noviKluboviAliasi,0)),"")))</f>
        <v/>
      </c>
      <c r="CH335" s="47"/>
      <c r="CI335" s="19" t="str">
        <f t="shared" si="341"/>
        <v/>
      </c>
      <c r="CJ335" s="47" t="s">
        <v>0</v>
      </c>
      <c r="CK335" s="52" t="str">
        <f>IF(X335&lt;&gt;"NEMA","",IF(IFERROR(MATCH(W335,W$12:W334,0),0)&lt;&gt;0,"",W335))</f>
        <v/>
      </c>
      <c r="CL335" s="73" t="str">
        <f>IF(CK335="","",IFERROR(INDEX(regKlub_alias_id,MATCH(CK335,regKlub_alias_alias,0)),"NEMA"))</f>
        <v/>
      </c>
      <c r="CM335" s="31" t="str">
        <f>IF(OR(CL335="",CL335&lt;&gt;"NEMA"),"",MAX(CM$12:CM334)+1)</f>
        <v/>
      </c>
      <c r="CN335" s="66" t="str">
        <f>IF(OR(CL335="",CL335&lt;&gt;"NEMA"),"",INDEX(regKlub_id,MATCH(CK335,regKlub_naziv,0)))</f>
        <v/>
      </c>
      <c r="CO335" s="47" t="s">
        <v>0</v>
      </c>
      <c r="CP335" s="19" t="str">
        <f>IF(OR(CL335="",CL335&lt;&gt;"NEMA"),"","INSERT INTO klub_alias(id,alias,klub_id) VALUES ("&amp;CM335&amp;",'"&amp;CK335&amp;"',"&amp;CN335&amp;");")</f>
        <v/>
      </c>
      <c r="CQ335" s="47" t="s">
        <v>0</v>
      </c>
      <c r="CR335" s="143" t="str">
        <f>IF(BR335="","",IF(BV335="",IF(IFERROR(MATCH(BR335,nat_noviKluboviAliasi,0),0)&gt;0,INDEX(nat_kluboviAliasi,MATCH(BR335,nat_noviKluboviAliasi,0)),BR335),BV335))</f>
        <v>OK Bjelovar</v>
      </c>
      <c r="CS335" s="47" t="s">
        <v>0</v>
      </c>
      <c r="CT335" s="58" t="str">
        <f>IF(G335="","",G335)</f>
        <v>58:27</v>
      </c>
      <c r="CU335" s="73" t="str">
        <f>IF(H335="","",H335)</f>
        <v>0</v>
      </c>
      <c r="CV335" s="229" t="str">
        <f>IF(CT335="",IF(OR(AL335="",CU335&lt;&gt;"0"),"","GREŠKA"),IF(AND(65535&gt;=VALUE(LEFT(CT335,SEARCH(":",CT335)-1))*60+VALUE(RIGHT(CT335,2)),OR(CU335="0",CU335="1",CU335="2",CU335="3",CU335="4")),"","GREŠKA"))</f>
        <v/>
      </c>
      <c r="CW335" s="230">
        <f t="shared" si="295"/>
        <v>3507</v>
      </c>
      <c r="CX335" s="163">
        <f t="shared" si="311"/>
        <v>1</v>
      </c>
      <c r="CY335" s="47" t="s">
        <v>0</v>
      </c>
      <c r="CZ335" s="222" t="str">
        <f>IF(CV335&lt;&gt;"GREŠKA","",AK335&amp;" "&amp;AL335&amp;" – Molim u OEventu provjeriti i ispraviti rezultat – vrijeme ("&amp;IF(CT335="","nije upisano",CT335)&amp;") i classifier ("&amp;CU335&amp;").")&amp;IF(OR(CV335&lt;&gt;"GREŠKA",CX335&lt;&gt;5),"
","")&amp;IF(CX335&lt;&gt;5,"",AK335&amp;" "&amp;AL335&amp;" – Molim u provjeriti je li natjecatelj zaista diskvalificiran. Ako je koje je obrazloženje, ako nije molim u OEventu ispraviti rezultat")</f>
        <v xml:space="preserve">
</v>
      </c>
      <c r="DA335" s="223">
        <f t="shared" si="342"/>
        <v>6</v>
      </c>
      <c r="DB335" s="47" t="s">
        <v>0</v>
      </c>
      <c r="DC335" s="47"/>
      <c r="DD335" s="47"/>
      <c r="DE335" s="47"/>
      <c r="DF335" s="47" t="s">
        <v>0</v>
      </c>
      <c r="DG335" s="53" t="str">
        <f>IF(BD335="","",IF(DI335="O",1,""))</f>
        <v/>
      </c>
      <c r="DH335" t="s">
        <v>0</v>
      </c>
      <c r="DI335" s="128" t="str">
        <f>IF(Q335="","",LEFT(INDEX(regKategorija_oznaka,MATCH(S335,regKategorija_id,0)),1))</f>
        <v>Ž</v>
      </c>
      <c r="DJ335" t="s">
        <v>0</v>
      </c>
      <c r="DK335" s="52" t="str">
        <f>IF(BD335="","",IF(M335&lt;&gt;"CRO","","INSERT INTO osoba (id,reg_broj,oib,spol_id,dat_rodjenja) VALUES ("&amp;BD335&amp;",(SELECT max(os.reg_broj)+1 FROM osoba AS os),Null,'"&amp;DI335&amp;"',Null); INSERT INTO osoba_log (id,reg_broj,oib,spol_id,dat_rodjenja,dnevnik_id) SELECT id,reg_broj,oib,spol_id,dat_rodjenja,"&amp;data_dnevnik_id&amp;" FROM osoba WHERE id = "&amp;BD335&amp;";"))</f>
        <v/>
      </c>
      <c r="DL335" s="66" t="str">
        <f>IF(BD335="","","INSERT INTO imeprezime (id,osoba_id,rbr,ime,prezime,klub_id,identitet_id,sintaksa_id,info,aktivno,dnevnik_id) VALUES ("&amp;BD335&amp;","&amp;IF(DK335="","Null",BD335)&amp;",1,'"&amp;IF(AV335&lt;&gt;"",AV335,AK335)&amp;"','"&amp;IF(AW335&lt;&gt;"",AW335,AL335)&amp;"',(SELECT id FROM klub WHERE naziv = '"&amp;CR335&amp;"'),Null,1,'',1,"&amp;data_dnevnik_id&amp;");")</f>
        <v/>
      </c>
      <c r="DM335" t="s">
        <v>0</v>
      </c>
      <c r="DN335" s="19" t="str">
        <f t="shared" si="294"/>
        <v/>
      </c>
      <c r="DO335" s="47" t="s">
        <v>0</v>
      </c>
      <c r="DP335" s="19" t="str">
        <f>IF(BA335="","","INSERT INTO imeprezime_alias(id,alias,imeprezime_id) VALUES ("&amp;BB335&amp;",'"&amp;BA335&amp;"',"&amp;IF(BC335="NEMA",BD335,BC335)&amp;");")</f>
        <v/>
      </c>
      <c r="DQ335" s="47" t="s">
        <v>0</v>
      </c>
      <c r="DR335" s="52" t="str">
        <f>IF(AL335="","",DU335 &amp; IF(Q335="",""," – " &amp; Q335))</f>
        <v>Sanja – Radočaj – OK Bjelovar – Ž55</v>
      </c>
      <c r="DS335" s="53">
        <f t="shared" si="312"/>
        <v>22</v>
      </c>
      <c r="DT335" s="47" t="s">
        <v>0</v>
      </c>
      <c r="DU335" s="52" t="str">
        <f>IF(AL335="","",DX335 &amp; IF(CR335="",""," – " &amp; CR335))</f>
        <v>Sanja – Radočaj – OK Bjelovar</v>
      </c>
      <c r="DV335" s="53">
        <f t="shared" si="313"/>
        <v>22</v>
      </c>
      <c r="DW335" s="47" t="s">
        <v>0</v>
      </c>
      <c r="DX335" s="52" t="str">
        <f>IF(BG335="","",BF335&amp;" – "&amp;BG335)</f>
        <v>Sanja – Radočaj</v>
      </c>
      <c r="DY335" s="53">
        <f t="shared" si="314"/>
        <v>22</v>
      </c>
      <c r="DZ335" s="47" t="s">
        <v>0</v>
      </c>
      <c r="EA335" s="58">
        <f t="shared" si="343"/>
        <v>22</v>
      </c>
      <c r="EB335" s="53" cm="1">
        <f t="array" ref="EB335">IF(EA335&lt;&gt;"",INDEX(regNatjecatelj_id,EA335,0),IF(BD335&lt;&gt;"",BD335,""))</f>
        <v>1939</v>
      </c>
      <c r="EC335" s="47" t="s">
        <v>0</v>
      </c>
      <c r="ED335" s="58" t="str">
        <f>IF(AL335="","",IF(BD335&lt;&gt;"","novo",IF(AN335="","imepre","imepre(ali)")))</f>
        <v>imepre</v>
      </c>
      <c r="EE335" s="73" t="str">
        <f>IF(AL335="","",IF(BL335="",IF(IFERROR(INDEX(regNatjecatelj_klub,MATCH(EB335,regNatjecatelj_id,0)),"NEMA")="","klu",""),IF(OR(AND(BN335&lt;&gt;"",BN335&lt;&gt;"NEMA"),CD335&lt;&gt;""),"klu(ali)",IF(AND(BP335&lt;&gt;"",BP335&lt;&gt;BO335),"(raz-klu)","klu"))))</f>
        <v>klu</v>
      </c>
      <c r="EF335" s="73" t="str">
        <f>IF(AL335="","","kat"&amp;IF(AND(W335&lt;&gt;Q335,Q335&lt;&gt;"Open"),"(ali)",""))</f>
        <v>kat</v>
      </c>
      <c r="EG335" s="73" t="str">
        <f t="shared" si="315"/>
        <v/>
      </c>
      <c r="EH335" s="66" t="str">
        <f>IF(AL335="","",ED335&amp;IF(ED335="novo","","-"&amp;EE335&amp;"-"&amp;EF335)&amp;IF(EG335="","","-"&amp;EG335))</f>
        <v>imepre-klu-kat</v>
      </c>
      <c r="EI335" s="47" t="s">
        <v>0</v>
      </c>
      <c r="EJ335" s="58">
        <f>IF(AL335="","",MAX(EJ$12:EJ334)+1)</f>
        <v>481</v>
      </c>
      <c r="EK335" s="73">
        <f>IF(AO335="","",X335)</f>
        <v>43</v>
      </c>
      <c r="EL335" s="73">
        <f t="shared" si="344"/>
        <v>1939</v>
      </c>
      <c r="EM335" s="73">
        <f t="shared" si="316"/>
        <v>3507</v>
      </c>
      <c r="EN335" s="73">
        <f t="shared" si="317"/>
        <v>1</v>
      </c>
      <c r="EO335" s="73">
        <f t="shared" si="345"/>
        <v>1</v>
      </c>
      <c r="EP335" s="73">
        <f t="shared" si="346"/>
        <v>1</v>
      </c>
      <c r="EQ335" s="73" t="str">
        <f t="shared" si="318"/>
        <v>0</v>
      </c>
      <c r="ER335" s="73" t="str">
        <f>IF(OR(AN335="",AN335="NEMA"),BB335,AN335)</f>
        <v/>
      </c>
      <c r="ES335" s="73" t="str">
        <f>IF(AND(BN335&lt;&gt;"",BN335&lt;&gt;"NEMA"),BN335,IF(CG335&lt;&gt;"",CG335,IF(AND(CL335&lt;&gt;"",CL335&lt;&gt;"NEMA"),CL335,IF(CM335&lt;&gt;"",CM335,""))))</f>
        <v/>
      </c>
      <c r="ET335" s="53" t="str">
        <f>IF(INDEX(natKategorija_alias_Id,MATCH(S335,natKategorija_katRegId,0))="","",INDEX(natKategorija_alias_Id,MATCH(S335,natKategorija_katRegId,0)))</f>
        <v/>
      </c>
      <c r="EU335" s="47" t="s">
        <v>0</v>
      </c>
      <c r="EV335" s="19" t="str">
        <f t="shared" si="347"/>
        <v>INSERT INTO rezultat(id,stazakategorija_id,imeprezime_id,vrijeme_sec,status_id,registracija,uparivanje_id,originalstatus_id,imeprezimealias_id,klubalias_id,kategorijaalias_id) VALUES (481,43,1939,3507,1,1,1,0,Null,Null,Null);</v>
      </c>
      <c r="EW335" s="47" t="s">
        <v>0</v>
      </c>
      <c r="EX335" s="19" t="str">
        <f t="shared" si="348"/>
        <v>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Y335" s="47" t="s">
        <v>0</v>
      </c>
      <c r="EZ335" s="180" t="str">
        <f>AG335&amp;IF(CP335="","","
")&amp;CP335&amp;IF(CI335="","","
")&amp;CI335&amp;IF(DN335="","","
")&amp;DN335&amp;IF(DP335="","","
")&amp;DP335&amp;IF(EV335="","","
")&amp;EV335&amp;IF(EX335="","","
")&amp;EX335</f>
        <v xml:space="preserve">
INSERT INTO rezultat(id,stazakategorija_id,imeprezime_id,vrijeme_sec,status_id,registracija,uparivanje_id,originalstatus_id,imeprezimealias_id,klubalias_id,kategorijaalias_id) VALUES (481,43,1939,3507,1,1,1,0,Null,Null,Null);
UPDATE
	registar
SET
	potvrda = 1
WHERE
	imeprezime_id=1939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FA335" s="47" t="s">
        <v>0</v>
      </c>
    </row>
    <row r="336" spans="1:157" x14ac:dyDescent="0.25">
      <c r="A336" t="s">
        <v>0</v>
      </c>
      <c r="B336" s="52" t="str">
        <f>IF(csv!F326="","",csv!T326)</f>
        <v>Ž55</v>
      </c>
      <c r="C336" s="31" t="s">
        <v>0</v>
      </c>
      <c r="D336" s="31" t="str">
        <f>IF(csv!F326="","",csv!F326)</f>
        <v>Emilija</v>
      </c>
      <c r="E336" s="31" t="str">
        <f>IF(csv!E326="","",csv!E326)</f>
        <v>Ebenspanger</v>
      </c>
      <c r="F336" s="31" t="s">
        <v>0</v>
      </c>
      <c r="G336" s="73" t="str">
        <f>IF(csv!M326="","",csv!M326)</f>
        <v>61:28</v>
      </c>
      <c r="H336" s="73" t="str">
        <f>IF(csv!N326="","",csv!N326)</f>
        <v>0</v>
      </c>
      <c r="I336" s="31" t="s">
        <v>0</v>
      </c>
      <c r="J336" s="31" t="str">
        <f>IF(csv!P326="","",csv!P326)</f>
        <v>KAP</v>
      </c>
      <c r="K336" s="31" t="str">
        <f>IF(csv!Q326="","",csv!Q326)</f>
        <v>OK Kapela</v>
      </c>
      <c r="L336" s="31" t="s">
        <v>0</v>
      </c>
      <c r="M336" s="66" t="str">
        <f>IF(csv!R326="","",csv!R326)</f>
        <v>CRO</v>
      </c>
      <c r="N336" s="47" t="s">
        <v>0</v>
      </c>
      <c r="O336" s="243" t="str">
        <f t="shared" si="319"/>
        <v>ok</v>
      </c>
      <c r="P336" s="47"/>
      <c r="Q336" s="52" t="str">
        <f t="shared" si="320"/>
        <v>Ž55</v>
      </c>
      <c r="R336" s="73">
        <f>IF(Q336="","",IF(COUNTIF(Q$12:Q335,Q336)=0,R335+1,R335))</f>
        <v>21</v>
      </c>
      <c r="S336" s="73">
        <f t="shared" si="321"/>
        <v>115</v>
      </c>
      <c r="T336" s="73">
        <f t="shared" si="297"/>
        <v>24</v>
      </c>
      <c r="U336" s="66" t="str">
        <f t="shared" si="298"/>
        <v>Ž55</v>
      </c>
      <c r="V336" s="47" t="s">
        <v>0</v>
      </c>
      <c r="W336" s="222" t="str">
        <f t="shared" si="299"/>
        <v>Ž55</v>
      </c>
      <c r="X336" s="223">
        <f t="shared" si="300"/>
        <v>43</v>
      </c>
      <c r="Y336" s="47" t="s">
        <v>0</v>
      </c>
      <c r="Z336" s="52" t="str">
        <f t="shared" si="322"/>
        <v>CRO</v>
      </c>
      <c r="AA336" s="73">
        <f t="shared" si="301"/>
        <v>1</v>
      </c>
      <c r="AB336" s="31" t="str">
        <f t="shared" si="323"/>
        <v/>
      </c>
      <c r="AC336" s="66" t="str">
        <f>IF(AB336="","",MAX(AC$12:AC335)+1)</f>
        <v/>
      </c>
      <c r="AD336" s="47" t="s">
        <v>0</v>
      </c>
      <c r="AE336" s="125"/>
      <c r="AF336" s="47" t="s">
        <v>0</v>
      </c>
      <c r="AG336" s="19" t="str">
        <f t="shared" si="324"/>
        <v/>
      </c>
      <c r="AH336" s="47" t="s">
        <v>0</v>
      </c>
      <c r="AI336" s="143" t="str">
        <f t="shared" si="325"/>
        <v>CRO</v>
      </c>
      <c r="AJ336" s="47"/>
      <c r="AK336" s="52" t="str">
        <f t="shared" si="326"/>
        <v>Emilija</v>
      </c>
      <c r="AL336" s="31" t="str">
        <f t="shared" si="327"/>
        <v>Ebenspanger</v>
      </c>
      <c r="AM336" s="73">
        <f t="shared" si="328"/>
        <v>1227</v>
      </c>
      <c r="AN336" s="73" t="str">
        <f t="shared" si="329"/>
        <v/>
      </c>
      <c r="AO336" s="31" t="str">
        <f t="shared" si="302"/>
        <v>Emilija</v>
      </c>
      <c r="AP336" s="66" t="str">
        <f t="shared" si="303"/>
        <v>Ebenspanger</v>
      </c>
      <c r="AQ336" s="47" t="s">
        <v>0</v>
      </c>
      <c r="AR336" s="82" t="str">
        <f t="shared" si="330"/>
        <v/>
      </c>
      <c r="AS336" s="47" t="s">
        <v>0</v>
      </c>
      <c r="AT336" s="19" t="str">
        <f t="shared" si="331"/>
        <v/>
      </c>
      <c r="AU336" s="47" t="s">
        <v>0</v>
      </c>
      <c r="AV336" s="103"/>
      <c r="AW336" s="105"/>
      <c r="AX336" s="47" t="s">
        <v>0</v>
      </c>
      <c r="AY336" s="256" t="str">
        <f t="shared" si="293"/>
        <v/>
      </c>
      <c r="AZ336" s="47" t="s">
        <v>0</v>
      </c>
      <c r="BA336" s="52" t="str">
        <f t="shared" si="296"/>
        <v/>
      </c>
      <c r="BB336" s="73" t="str">
        <f>IF(AV336&amp;AW336="","",MAX(BB$12:BB335)+1)</f>
        <v/>
      </c>
      <c r="BC336" s="268" t="str">
        <f t="shared" si="304"/>
        <v/>
      </c>
      <c r="BD336" s="53" t="str">
        <f>IF(AND(AM336="NEMA",AN336="NEMA",OR(AV336&amp;AW336="",BC336="NEMA")),MAX(BD$12:BD335)+1,"")</f>
        <v/>
      </c>
      <c r="BE336" s="47" t="s">
        <v>0</v>
      </c>
      <c r="BF336" s="52" t="str">
        <f t="shared" si="305"/>
        <v>Emilija</v>
      </c>
      <c r="BG336" s="31" t="str">
        <f t="shared" si="306"/>
        <v>Ebenspanger</v>
      </c>
      <c r="BH336" s="73" t="str">
        <f t="shared" si="332"/>
        <v/>
      </c>
      <c r="BI336" s="53">
        <f t="shared" si="333"/>
        <v>1227</v>
      </c>
      <c r="BJ336" s="47" t="s">
        <v>0</v>
      </c>
      <c r="BK336" s="52" t="str">
        <f t="shared" si="307"/>
        <v>KAP</v>
      </c>
      <c r="BL336" s="31" t="str">
        <f t="shared" si="308"/>
        <v>OK Kapela</v>
      </c>
      <c r="BM336" s="73">
        <f t="shared" si="309"/>
        <v>5</v>
      </c>
      <c r="BN336" s="73" t="str">
        <f t="shared" si="310"/>
        <v/>
      </c>
      <c r="BO336" s="31" t="str" cm="1">
        <f t="array" ref="BO336">IF(BN336="",""&amp;BL336,IF(BN336="NEMA",BL336,INDEX(regKlub_naziv,MATCH(INDEX(regKlub_alias_klubId,BN336),regKlub_id,0))))</f>
        <v>OK Kapela</v>
      </c>
      <c r="BP336" s="31" t="str" cm="1">
        <f t="array" ref="BP336">IFERROR(""&amp;INDEX(regNatjecatelj_klub,DY336),"")</f>
        <v>OK Kapela</v>
      </c>
      <c r="BQ336" s="88" t="str">
        <f t="shared" si="334"/>
        <v/>
      </c>
      <c r="BR336" s="66" t="str">
        <f t="shared" si="335"/>
        <v>OK Kapela</v>
      </c>
      <c r="BS336" s="47" t="s">
        <v>0</v>
      </c>
      <c r="BT336" s="82" t="str">
        <f>IF(BN336&lt;&gt;"NEMA","",IF(IFERROR(MATCH(BL336,BL$12:BL335,0),0)&lt;&gt;0,"",BL336))</f>
        <v/>
      </c>
      <c r="BU336" s="47" t="s">
        <v>0</v>
      </c>
      <c r="BV336" s="125"/>
      <c r="BW336" s="47" t="s">
        <v>0</v>
      </c>
      <c r="BX336" s="58" t="str">
        <f t="shared" si="336"/>
        <v/>
      </c>
      <c r="BY336" s="31" t="str">
        <f t="shared" si="337"/>
        <v/>
      </c>
      <c r="BZ336" s="31" t="str">
        <f>IF(BY336="","",MAX(BZ$12:BZ335)+1)</f>
        <v/>
      </c>
      <c r="CA336" s="31" t="str">
        <f>IF(BY336="","",IF(AA336="","",IF(AA336="NEMA",AC336,AA336)))</f>
        <v/>
      </c>
      <c r="CB336" s="31" t="str">
        <f t="shared" si="338"/>
        <v/>
      </c>
      <c r="CC336" s="31" t="str">
        <f>IF(BV336="","",MAX(CC$12:CC335)+1)</f>
        <v/>
      </c>
      <c r="CD336" s="31" t="str">
        <f t="shared" si="339"/>
        <v/>
      </c>
      <c r="CE336" s="66" t="str">
        <f t="shared" si="340"/>
        <v/>
      </c>
      <c r="CF336" s="47" t="s">
        <v>0</v>
      </c>
      <c r="CG336" s="73" t="str">
        <f>IF(BN336="","",IF(BN336&lt;&gt;"NEMA","",IFERROR(INDEX(nat_klubAliasId,MATCH(BL336,nat_noviKluboviAliasi,0)),"")))</f>
        <v/>
      </c>
      <c r="CH336" s="47"/>
      <c r="CI336" s="19" t="str">
        <f t="shared" si="341"/>
        <v/>
      </c>
      <c r="CJ336" s="47" t="s">
        <v>0</v>
      </c>
      <c r="CK336" s="52" t="str">
        <f>IF(X336&lt;&gt;"NEMA","",IF(IFERROR(MATCH(W336,W$12:W335,0),0)&lt;&gt;0,"",W336))</f>
        <v/>
      </c>
      <c r="CL336" s="73" t="str">
        <f>IF(CK336="","",IFERROR(INDEX(regKlub_alias_id,MATCH(CK336,regKlub_alias_alias,0)),"NEMA"))</f>
        <v/>
      </c>
      <c r="CM336" s="31" t="str">
        <f>IF(OR(CL336="",CL336&lt;&gt;"NEMA"),"",MAX(CM$12:CM335)+1)</f>
        <v/>
      </c>
      <c r="CN336" s="66" t="str">
        <f>IF(OR(CL336="",CL336&lt;&gt;"NEMA"),"",INDEX(regKlub_id,MATCH(CK336,regKlub_naziv,0)))</f>
        <v/>
      </c>
      <c r="CO336" s="47" t="s">
        <v>0</v>
      </c>
      <c r="CP336" s="19" t="str">
        <f>IF(OR(CL336="",CL336&lt;&gt;"NEMA"),"","INSERT INTO klub_alias(id,alias,klub_id) VALUES ("&amp;CM336&amp;",'"&amp;CK336&amp;"',"&amp;CN336&amp;");")</f>
        <v/>
      </c>
      <c r="CQ336" s="47" t="s">
        <v>0</v>
      </c>
      <c r="CR336" s="143" t="str">
        <f>IF(BR336="","",IF(BV336="",IF(IFERROR(MATCH(BR336,nat_noviKluboviAliasi,0),0)&gt;0,INDEX(nat_kluboviAliasi,MATCH(BR336,nat_noviKluboviAliasi,0)),BR336),BV336))</f>
        <v>OK Kapela</v>
      </c>
      <c r="CS336" s="47" t="s">
        <v>0</v>
      </c>
      <c r="CT336" s="58" t="str">
        <f>IF(G336="","",G336)</f>
        <v>61:28</v>
      </c>
      <c r="CU336" s="73" t="str">
        <f>IF(H336="","",H336)</f>
        <v>0</v>
      </c>
      <c r="CV336" s="229" t="str">
        <f>IF(CT336="",IF(OR(AL336="",CU336&lt;&gt;"0"),"","GREŠKA"),IF(AND(65535&gt;=VALUE(LEFT(CT336,SEARCH(":",CT336)-1))*60+VALUE(RIGHT(CT336,2)),OR(CU336="0",CU336="1",CU336="2",CU336="3",CU336="4")),"","GREŠKA"))</f>
        <v/>
      </c>
      <c r="CW336" s="230">
        <f t="shared" si="295"/>
        <v>3688</v>
      </c>
      <c r="CX336" s="163">
        <f t="shared" si="311"/>
        <v>1</v>
      </c>
      <c r="CY336" s="47" t="s">
        <v>0</v>
      </c>
      <c r="CZ336" s="222" t="str">
        <f>IF(CV336&lt;&gt;"GREŠKA","",AK336&amp;" "&amp;AL336&amp;" – Molim u OEventu provjeriti i ispraviti rezultat – vrijeme ("&amp;IF(CT336="","nije upisano",CT336)&amp;") i classifier ("&amp;CU336&amp;").")&amp;IF(OR(CV336&lt;&gt;"GREŠKA",CX336&lt;&gt;5),"
","")&amp;IF(CX336&lt;&gt;5,"",AK336&amp;" "&amp;AL336&amp;" – Molim u provjeriti je li natjecatelj zaista diskvalificiran. Ako je koje je obrazloženje, ako nije molim u OEventu ispraviti rezultat")</f>
        <v xml:space="preserve">
</v>
      </c>
      <c r="DA336" s="223">
        <f t="shared" si="342"/>
        <v>6</v>
      </c>
      <c r="DB336" s="47" t="s">
        <v>0</v>
      </c>
      <c r="DC336" s="47"/>
      <c r="DD336" s="47"/>
      <c r="DE336" s="47"/>
      <c r="DF336" s="47" t="s">
        <v>0</v>
      </c>
      <c r="DG336" s="53" t="str">
        <f>IF(BD336="","",IF(DI336="O",1,""))</f>
        <v/>
      </c>
      <c r="DH336" t="s">
        <v>0</v>
      </c>
      <c r="DI336" s="128" t="str">
        <f>IF(Q336="","",LEFT(INDEX(regKategorija_oznaka,MATCH(S336,regKategorija_id,0)),1))</f>
        <v>Ž</v>
      </c>
      <c r="DJ336" t="s">
        <v>0</v>
      </c>
      <c r="DK336" s="52" t="str">
        <f>IF(BD336="","",IF(M336&lt;&gt;"CRO","","INSERT INTO osoba (id,reg_broj,oib,spol_id,dat_rodjenja) VALUES ("&amp;BD336&amp;",(SELECT max(os.reg_broj)+1 FROM osoba AS os),Null,'"&amp;DI336&amp;"',Null); INSERT INTO osoba_log (id,reg_broj,oib,spol_id,dat_rodjenja,dnevnik_id) SELECT id,reg_broj,oib,spol_id,dat_rodjenja,"&amp;data_dnevnik_id&amp;" FROM osoba WHERE id = "&amp;BD336&amp;";"))</f>
        <v/>
      </c>
      <c r="DL336" s="66" t="str">
        <f>IF(BD336="","","INSERT INTO imeprezime (id,osoba_id,rbr,ime,prezime,klub_id,identitet_id,sintaksa_id,info,aktivno,dnevnik_id) VALUES ("&amp;BD336&amp;","&amp;IF(DK336="","Null",BD336)&amp;",1,'"&amp;IF(AV336&lt;&gt;"",AV336,AK336)&amp;"','"&amp;IF(AW336&lt;&gt;"",AW336,AL336)&amp;"',(SELECT id FROM klub WHERE naziv = '"&amp;CR336&amp;"'),Null,1,'',1,"&amp;data_dnevnik_id&amp;");")</f>
        <v/>
      </c>
      <c r="DM336" t="s">
        <v>0</v>
      </c>
      <c r="DN336" s="19" t="str">
        <f t="shared" si="294"/>
        <v/>
      </c>
      <c r="DO336" s="47" t="s">
        <v>0</v>
      </c>
      <c r="DP336" s="19" t="str">
        <f>IF(BA336="","","INSERT INTO imeprezime_alias(id,alias,imeprezime_id) VALUES ("&amp;BB336&amp;",'"&amp;BA336&amp;"',"&amp;IF(BC336="NEMA",BD336,BC336)&amp;");")</f>
        <v/>
      </c>
      <c r="DQ336" s="47" t="s">
        <v>0</v>
      </c>
      <c r="DR336" s="52" t="str">
        <f>IF(AL336="","",DU336 &amp; IF(Q336="",""," – " &amp; Q336))</f>
        <v>Emilija – Ebenspanger – OK Kapela – Ž55</v>
      </c>
      <c r="DS336" s="53">
        <f t="shared" si="312"/>
        <v>234</v>
      </c>
      <c r="DT336" s="47" t="s">
        <v>0</v>
      </c>
      <c r="DU336" s="52" t="str">
        <f>IF(AL336="","",DX336 &amp; IF(CR336="",""," – " &amp; CR336))</f>
        <v>Emilija – Ebenspanger – OK Kapela</v>
      </c>
      <c r="DV336" s="53">
        <f t="shared" si="313"/>
        <v>234</v>
      </c>
      <c r="DW336" s="47" t="s">
        <v>0</v>
      </c>
      <c r="DX336" s="52" t="str">
        <f>IF(BG336="","",BF336&amp;" – "&amp;BG336)</f>
        <v>Emilija – Ebenspanger</v>
      </c>
      <c r="DY336" s="53">
        <f t="shared" si="314"/>
        <v>234</v>
      </c>
      <c r="DZ336" s="47" t="s">
        <v>0</v>
      </c>
      <c r="EA336" s="58">
        <f t="shared" si="343"/>
        <v>234</v>
      </c>
      <c r="EB336" s="53" cm="1">
        <f t="array" ref="EB336">IF(EA336&lt;&gt;"",INDEX(regNatjecatelj_id,EA336,0),IF(BD336&lt;&gt;"",BD336,""))</f>
        <v>1227</v>
      </c>
      <c r="EC336" s="47" t="s">
        <v>0</v>
      </c>
      <c r="ED336" s="58" t="str">
        <f>IF(AL336="","",IF(BD336&lt;&gt;"","novo",IF(AN336="","imepre","imepre(ali)")))</f>
        <v>imepre</v>
      </c>
      <c r="EE336" s="73" t="str">
        <f>IF(AL336="","",IF(BL336="",IF(IFERROR(INDEX(regNatjecatelj_klub,MATCH(EB336,regNatjecatelj_id,0)),"NEMA")="","klu",""),IF(OR(AND(BN336&lt;&gt;"",BN336&lt;&gt;"NEMA"),CD336&lt;&gt;""),"klu(ali)",IF(AND(BP336&lt;&gt;"",BP336&lt;&gt;BO336),"(raz-klu)","klu"))))</f>
        <v>klu</v>
      </c>
      <c r="EF336" s="73" t="str">
        <f>IF(AL336="","","kat"&amp;IF(AND(W336&lt;&gt;Q336,Q336&lt;&gt;"Open"),"(ali)",""))</f>
        <v>kat</v>
      </c>
      <c r="EG336" s="73" t="str">
        <f t="shared" si="315"/>
        <v/>
      </c>
      <c r="EH336" s="66" t="str">
        <f>IF(AL336="","",ED336&amp;IF(ED336="novo","","-"&amp;EE336&amp;"-"&amp;EF336)&amp;IF(EG336="","","-"&amp;EG336))</f>
        <v>imepre-klu-kat</v>
      </c>
      <c r="EI336" s="47" t="s">
        <v>0</v>
      </c>
      <c r="EJ336" s="58">
        <f>IF(AL336="","",MAX(EJ$12:EJ335)+1)</f>
        <v>482</v>
      </c>
      <c r="EK336" s="73">
        <f>IF(AO336="","",X336)</f>
        <v>43</v>
      </c>
      <c r="EL336" s="73">
        <f t="shared" si="344"/>
        <v>1227</v>
      </c>
      <c r="EM336" s="73">
        <f t="shared" si="316"/>
        <v>3688</v>
      </c>
      <c r="EN336" s="73">
        <f t="shared" si="317"/>
        <v>1</v>
      </c>
      <c r="EO336" s="73">
        <f t="shared" si="345"/>
        <v>1</v>
      </c>
      <c r="EP336" s="73">
        <f t="shared" si="346"/>
        <v>1</v>
      </c>
      <c r="EQ336" s="73" t="str">
        <f t="shared" si="318"/>
        <v>0</v>
      </c>
      <c r="ER336" s="73" t="str">
        <f>IF(OR(AN336="",AN336="NEMA"),BB336,AN336)</f>
        <v/>
      </c>
      <c r="ES336" s="73" t="str">
        <f>IF(AND(BN336&lt;&gt;"",BN336&lt;&gt;"NEMA"),BN336,IF(CG336&lt;&gt;"",CG336,IF(AND(CL336&lt;&gt;"",CL336&lt;&gt;"NEMA"),CL336,IF(CM336&lt;&gt;"",CM336,""))))</f>
        <v/>
      </c>
      <c r="ET336" s="53" t="str">
        <f>IF(INDEX(natKategorija_alias_Id,MATCH(S336,natKategorija_katRegId,0))="","",INDEX(natKategorija_alias_Id,MATCH(S336,natKategorija_katRegId,0)))</f>
        <v/>
      </c>
      <c r="EU336" s="47" t="s">
        <v>0</v>
      </c>
      <c r="EV336" s="19" t="str">
        <f t="shared" si="347"/>
        <v>INSERT INTO rezultat(id,stazakategorija_id,imeprezime_id,vrijeme_sec,status_id,registracija,uparivanje_id,originalstatus_id,imeprezimealias_id,klubalias_id,kategorijaalias_id) VALUES (482,43,1227,3688,1,1,1,0,Null,Null,Null);</v>
      </c>
      <c r="EW336" s="47" t="s">
        <v>0</v>
      </c>
      <c r="EX336" s="19" t="str">
        <f t="shared" si="348"/>
        <v>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Y336" s="47" t="s">
        <v>0</v>
      </c>
      <c r="EZ336" s="180" t="str">
        <f>AG336&amp;IF(CP336="","","
")&amp;CP336&amp;IF(CI336="","","
")&amp;CI336&amp;IF(DN336="","","
")&amp;DN336&amp;IF(DP336="","","
")&amp;DP336&amp;IF(EV336="","","
")&amp;EV336&amp;IF(EX336="","","
")&amp;EX336</f>
        <v xml:space="preserve">
INSERT INTO rezultat(id,stazakategorija_id,imeprezime_id,vrijeme_sec,status_id,registracija,uparivanje_id,originalstatus_id,imeprezimealias_id,klubalias_id,kategorijaalias_id) VALUES (482,43,1227,3688,1,1,1,0,Null,Null,Null);
UPDATE
	registar
SET
	potvrda = 1
WHERE
	imeprezime_id=1227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FA336" s="47" t="s">
        <v>0</v>
      </c>
    </row>
    <row r="337" spans="1:157" x14ac:dyDescent="0.25">
      <c r="A337" t="s">
        <v>0</v>
      </c>
      <c r="B337" s="52" t="str">
        <f>IF(csv!F327="","",csv!T327)</f>
        <v>Ž55</v>
      </c>
      <c r="C337" s="31" t="s">
        <v>0</v>
      </c>
      <c r="D337" s="31" t="str">
        <f>IF(csv!F327="","",csv!F327)</f>
        <v>Karmen</v>
      </c>
      <c r="E337" s="31" t="str">
        <f>IF(csv!E327="","",csv!E327)</f>
        <v>Holenda</v>
      </c>
      <c r="F337" s="31" t="s">
        <v>0</v>
      </c>
      <c r="G337" s="73" t="str">
        <f>IF(csv!M327="","",csv!M327)</f>
        <v>157:02</v>
      </c>
      <c r="H337" s="73" t="str">
        <f>IF(csv!N327="","",csv!N327)</f>
        <v>0</v>
      </c>
      <c r="I337" s="31" t="s">
        <v>0</v>
      </c>
      <c r="J337" s="31" t="str">
        <f>IF(csv!P327="","",csv!P327)</f>
        <v>OK Varaždin</v>
      </c>
      <c r="K337" s="31" t="str">
        <f>IF(csv!Q327="","",csv!Q327)</f>
        <v>OK Varaždin</v>
      </c>
      <c r="L337" s="31" t="s">
        <v>0</v>
      </c>
      <c r="M337" s="66" t="str">
        <f>IF(csv!R327="","",csv!R327)</f>
        <v>CRO</v>
      </c>
      <c r="N337" s="47" t="s">
        <v>0</v>
      </c>
      <c r="O337" s="243" t="str">
        <f t="shared" si="319"/>
        <v>ok</v>
      </c>
      <c r="P337" s="47"/>
      <c r="Q337" s="52" t="str">
        <f t="shared" si="320"/>
        <v>Ž55</v>
      </c>
      <c r="R337" s="73">
        <f>IF(Q337="","",IF(COUNTIF(Q$12:Q336,Q337)=0,R336+1,R336))</f>
        <v>21</v>
      </c>
      <c r="S337" s="73">
        <f t="shared" si="321"/>
        <v>115</v>
      </c>
      <c r="T337" s="73">
        <f t="shared" si="297"/>
        <v>24</v>
      </c>
      <c r="U337" s="66" t="str">
        <f t="shared" si="298"/>
        <v>Ž55</v>
      </c>
      <c r="V337" s="47" t="s">
        <v>0</v>
      </c>
      <c r="W337" s="222" t="str">
        <f t="shared" si="299"/>
        <v>Ž55</v>
      </c>
      <c r="X337" s="223">
        <f t="shared" si="300"/>
        <v>43</v>
      </c>
      <c r="Y337" s="47" t="s">
        <v>0</v>
      </c>
      <c r="Z337" s="52" t="str">
        <f t="shared" si="322"/>
        <v>CRO</v>
      </c>
      <c r="AA337" s="73">
        <f t="shared" si="301"/>
        <v>1</v>
      </c>
      <c r="AB337" s="31" t="str">
        <f t="shared" si="323"/>
        <v/>
      </c>
      <c r="AC337" s="66" t="str">
        <f>IF(AB337="","",MAX(AC$12:AC336)+1)</f>
        <v/>
      </c>
      <c r="AD337" s="47" t="s">
        <v>0</v>
      </c>
      <c r="AE337" s="125"/>
      <c r="AF337" s="47" t="s">
        <v>0</v>
      </c>
      <c r="AG337" s="19" t="str">
        <f t="shared" si="324"/>
        <v/>
      </c>
      <c r="AH337" s="47" t="s">
        <v>0</v>
      </c>
      <c r="AI337" s="143" t="str">
        <f t="shared" si="325"/>
        <v>CRO</v>
      </c>
      <c r="AJ337" s="47"/>
      <c r="AK337" s="52" t="str">
        <f t="shared" si="326"/>
        <v>Karmen</v>
      </c>
      <c r="AL337" s="31" t="str">
        <f t="shared" si="327"/>
        <v>Holenda</v>
      </c>
      <c r="AM337" s="73">
        <f t="shared" si="328"/>
        <v>1403</v>
      </c>
      <c r="AN337" s="73" t="str">
        <f t="shared" si="329"/>
        <v/>
      </c>
      <c r="AO337" s="31" t="str">
        <f t="shared" si="302"/>
        <v>Karmen</v>
      </c>
      <c r="AP337" s="66" t="str">
        <f t="shared" si="303"/>
        <v>Holenda</v>
      </c>
      <c r="AQ337" s="47" t="s">
        <v>0</v>
      </c>
      <c r="AR337" s="82" t="str">
        <f t="shared" si="330"/>
        <v/>
      </c>
      <c r="AS337" s="47" t="s">
        <v>0</v>
      </c>
      <c r="AT337" s="19" t="str">
        <f t="shared" si="331"/>
        <v/>
      </c>
      <c r="AU337" s="47" t="s">
        <v>0</v>
      </c>
      <c r="AV337" s="103"/>
      <c r="AW337" s="105"/>
      <c r="AX337" s="47" t="s">
        <v>0</v>
      </c>
      <c r="AY337" s="256" t="str">
        <f t="shared" si="293"/>
        <v/>
      </c>
      <c r="AZ337" s="47" t="s">
        <v>0</v>
      </c>
      <c r="BA337" s="52" t="str">
        <f t="shared" si="296"/>
        <v/>
      </c>
      <c r="BB337" s="73" t="str">
        <f>IF(AV337&amp;AW337="","",MAX(BB$12:BB336)+1)</f>
        <v/>
      </c>
      <c r="BC337" s="268" t="str">
        <f t="shared" si="304"/>
        <v/>
      </c>
      <c r="BD337" s="53" t="str">
        <f>IF(AND(AM337="NEMA",AN337="NEMA",OR(AV337&amp;AW337="",BC337="NEMA")),MAX(BD$12:BD336)+1,"")</f>
        <v/>
      </c>
      <c r="BE337" s="47" t="s">
        <v>0</v>
      </c>
      <c r="BF337" s="52" t="str">
        <f t="shared" si="305"/>
        <v>Karmen</v>
      </c>
      <c r="BG337" s="31" t="str">
        <f t="shared" si="306"/>
        <v>Holenda</v>
      </c>
      <c r="BH337" s="73" t="str">
        <f t="shared" si="332"/>
        <v/>
      </c>
      <c r="BI337" s="53">
        <f t="shared" si="333"/>
        <v>1403</v>
      </c>
      <c r="BJ337" s="47" t="s">
        <v>0</v>
      </c>
      <c r="BK337" s="52" t="str">
        <f t="shared" si="307"/>
        <v>OK Varaždin</v>
      </c>
      <c r="BL337" s="31" t="str">
        <f t="shared" si="308"/>
        <v>OK Varaždin</v>
      </c>
      <c r="BM337" s="73">
        <f t="shared" si="309"/>
        <v>11</v>
      </c>
      <c r="BN337" s="73" t="str">
        <f t="shared" si="310"/>
        <v/>
      </c>
      <c r="BO337" s="31" t="str" cm="1">
        <f t="array" ref="BO337">IF(BN337="",""&amp;BL337,IF(BN337="NEMA",BL337,INDEX(regKlub_naziv,MATCH(INDEX(regKlub_alias_klubId,BN337),regKlub_id,0))))</f>
        <v>OK Varaždin</v>
      </c>
      <c r="BP337" s="31" t="str" cm="1">
        <f t="array" ref="BP337">IFERROR(""&amp;INDEX(regNatjecatelj_klub,DY337),"")</f>
        <v>OK Varaždin</v>
      </c>
      <c r="BQ337" s="88" t="str">
        <f t="shared" si="334"/>
        <v/>
      </c>
      <c r="BR337" s="66" t="str">
        <f t="shared" si="335"/>
        <v>OK Varaždin</v>
      </c>
      <c r="BS337" s="47" t="s">
        <v>0</v>
      </c>
      <c r="BT337" s="82" t="str">
        <f>IF(BN337&lt;&gt;"NEMA","",IF(IFERROR(MATCH(BL337,BL$12:BL336,0),0)&lt;&gt;0,"",BL337))</f>
        <v/>
      </c>
      <c r="BU337" s="47" t="s">
        <v>0</v>
      </c>
      <c r="BV337" s="125"/>
      <c r="BW337" s="47" t="s">
        <v>0</v>
      </c>
      <c r="BX337" s="58" t="str">
        <f t="shared" si="336"/>
        <v/>
      </c>
      <c r="BY337" s="31" t="str">
        <f t="shared" si="337"/>
        <v/>
      </c>
      <c r="BZ337" s="31" t="str">
        <f>IF(BY337="","",MAX(BZ$12:BZ336)+1)</f>
        <v/>
      </c>
      <c r="CA337" s="31" t="str">
        <f>IF(BY337="","",IF(AA337="","",IF(AA337="NEMA",AC337,AA337)))</f>
        <v/>
      </c>
      <c r="CB337" s="31" t="str">
        <f t="shared" si="338"/>
        <v/>
      </c>
      <c r="CC337" s="31" t="str">
        <f>IF(BV337="","",MAX(CC$12:CC336)+1)</f>
        <v/>
      </c>
      <c r="CD337" s="31" t="str">
        <f t="shared" si="339"/>
        <v/>
      </c>
      <c r="CE337" s="66" t="str">
        <f t="shared" si="340"/>
        <v/>
      </c>
      <c r="CF337" s="47" t="s">
        <v>0</v>
      </c>
      <c r="CG337" s="73" t="str">
        <f>IF(BN337="","",IF(BN337&lt;&gt;"NEMA","",IFERROR(INDEX(nat_klubAliasId,MATCH(BL337,nat_noviKluboviAliasi,0)),"")))</f>
        <v/>
      </c>
      <c r="CH337" s="47"/>
      <c r="CI337" s="19" t="str">
        <f t="shared" si="341"/>
        <v/>
      </c>
      <c r="CJ337" s="47" t="s">
        <v>0</v>
      </c>
      <c r="CK337" s="52" t="str">
        <f>IF(X337&lt;&gt;"NEMA","",IF(IFERROR(MATCH(W337,W$12:W336,0),0)&lt;&gt;0,"",W337))</f>
        <v/>
      </c>
      <c r="CL337" s="73" t="str">
        <f>IF(CK337="","",IFERROR(INDEX(regKlub_alias_id,MATCH(CK337,regKlub_alias_alias,0)),"NEMA"))</f>
        <v/>
      </c>
      <c r="CM337" s="31" t="str">
        <f>IF(OR(CL337="",CL337&lt;&gt;"NEMA"),"",MAX(CM$12:CM336)+1)</f>
        <v/>
      </c>
      <c r="CN337" s="66" t="str">
        <f>IF(OR(CL337="",CL337&lt;&gt;"NEMA"),"",INDEX(regKlub_id,MATCH(CK337,regKlub_naziv,0)))</f>
        <v/>
      </c>
      <c r="CO337" s="47" t="s">
        <v>0</v>
      </c>
      <c r="CP337" s="19" t="str">
        <f>IF(OR(CL337="",CL337&lt;&gt;"NEMA"),"","INSERT INTO klub_alias(id,alias,klub_id) VALUES ("&amp;CM337&amp;",'"&amp;CK337&amp;"',"&amp;CN337&amp;");")</f>
        <v/>
      </c>
      <c r="CQ337" s="47" t="s">
        <v>0</v>
      </c>
      <c r="CR337" s="143" t="str">
        <f>IF(BR337="","",IF(BV337="",IF(IFERROR(MATCH(BR337,nat_noviKluboviAliasi,0),0)&gt;0,INDEX(nat_kluboviAliasi,MATCH(BR337,nat_noviKluboviAliasi,0)),BR337),BV337))</f>
        <v>OK Varaždin</v>
      </c>
      <c r="CS337" s="47" t="s">
        <v>0</v>
      </c>
      <c r="CT337" s="58" t="str">
        <f>IF(G337="","",G337)</f>
        <v>157:02</v>
      </c>
      <c r="CU337" s="73" t="str">
        <f>IF(H337="","",H337)</f>
        <v>0</v>
      </c>
      <c r="CV337" s="229" t="str">
        <f>IF(CT337="",IF(OR(AL337="",CU337&lt;&gt;"0"),"","GREŠKA"),IF(AND(65535&gt;=VALUE(LEFT(CT337,SEARCH(":",CT337)-1))*60+VALUE(RIGHT(CT337,2)),OR(CU337="0",CU337="1",CU337="2",CU337="3",CU337="4")),"","GREŠKA"))</f>
        <v/>
      </c>
      <c r="CW337" s="230">
        <f t="shared" si="295"/>
        <v>9422</v>
      </c>
      <c r="CX337" s="163">
        <f t="shared" si="311"/>
        <v>1</v>
      </c>
      <c r="CY337" s="47" t="s">
        <v>0</v>
      </c>
      <c r="CZ337" s="222" t="str">
        <f>IF(CV337&lt;&gt;"GREŠKA","",AK337&amp;" "&amp;AL337&amp;" – Molim u OEventu provjeriti i ispraviti rezultat – vrijeme ("&amp;IF(CT337="","nije upisano",CT337)&amp;") i classifier ("&amp;CU337&amp;").")&amp;IF(OR(CV337&lt;&gt;"GREŠKA",CX337&lt;&gt;5),"
","")&amp;IF(CX337&lt;&gt;5,"",AK337&amp;" "&amp;AL337&amp;" – Molim u provjeriti je li natjecatelj zaista diskvalificiran. Ako je koje je obrazloženje, ako nije molim u OEventu ispraviti rezultat")</f>
        <v xml:space="preserve">
</v>
      </c>
      <c r="DA337" s="223">
        <f t="shared" si="342"/>
        <v>6</v>
      </c>
      <c r="DB337" s="47" t="s">
        <v>0</v>
      </c>
      <c r="DC337" s="47"/>
      <c r="DD337" s="47"/>
      <c r="DE337" s="47"/>
      <c r="DF337" s="47" t="s">
        <v>0</v>
      </c>
      <c r="DG337" s="53" t="str">
        <f>IF(BD337="","",IF(DI337="O",1,""))</f>
        <v/>
      </c>
      <c r="DH337" t="s">
        <v>0</v>
      </c>
      <c r="DI337" s="128" t="str">
        <f>IF(Q337="","",LEFT(INDEX(regKategorija_oznaka,MATCH(S337,regKategorija_id,0)),1))</f>
        <v>Ž</v>
      </c>
      <c r="DJ337" t="s">
        <v>0</v>
      </c>
      <c r="DK337" s="52" t="str">
        <f>IF(BD337="","",IF(M337&lt;&gt;"CRO","","INSERT INTO osoba (id,reg_broj,oib,spol_id,dat_rodjenja) VALUES ("&amp;BD337&amp;",(SELECT max(os.reg_broj)+1 FROM osoba AS os),Null,'"&amp;DI337&amp;"',Null); INSERT INTO osoba_log (id,reg_broj,oib,spol_id,dat_rodjenja,dnevnik_id) SELECT id,reg_broj,oib,spol_id,dat_rodjenja,"&amp;data_dnevnik_id&amp;" FROM osoba WHERE id = "&amp;BD337&amp;";"))</f>
        <v/>
      </c>
      <c r="DL337" s="66" t="str">
        <f>IF(BD337="","","INSERT INTO imeprezime (id,osoba_id,rbr,ime,prezime,klub_id,identitet_id,sintaksa_id,info,aktivno,dnevnik_id) VALUES ("&amp;BD337&amp;","&amp;IF(DK337="","Null",BD337)&amp;",1,'"&amp;IF(AV337&lt;&gt;"",AV337,AK337)&amp;"','"&amp;IF(AW337&lt;&gt;"",AW337,AL337)&amp;"',(SELECT id FROM klub WHERE naziv = '"&amp;CR337&amp;"'),Null,1,'',1,"&amp;data_dnevnik_id&amp;");")</f>
        <v/>
      </c>
      <c r="DM337" t="s">
        <v>0</v>
      </c>
      <c r="DN337" s="19" t="str">
        <f t="shared" si="294"/>
        <v/>
      </c>
      <c r="DO337" s="47" t="s">
        <v>0</v>
      </c>
      <c r="DP337" s="19" t="str">
        <f>IF(BA337="","","INSERT INTO imeprezime_alias(id,alias,imeprezime_id) VALUES ("&amp;BB337&amp;",'"&amp;BA337&amp;"',"&amp;IF(BC337="NEMA",BD337,BC337)&amp;");")</f>
        <v/>
      </c>
      <c r="DQ337" s="47" t="s">
        <v>0</v>
      </c>
      <c r="DR337" s="52" t="str">
        <f>IF(AL337="","",DU337 &amp; IF(Q337="",""," – " &amp; Q337))</f>
        <v>Karmen – Holenda – OK Varaždin – Ž55</v>
      </c>
      <c r="DS337" s="53">
        <f t="shared" si="312"/>
        <v>537</v>
      </c>
      <c r="DT337" s="47" t="s">
        <v>0</v>
      </c>
      <c r="DU337" s="52" t="str">
        <f>IF(AL337="","",DX337 &amp; IF(CR337="",""," – " &amp; CR337))</f>
        <v>Karmen – Holenda – OK Varaždin</v>
      </c>
      <c r="DV337" s="53">
        <f t="shared" si="313"/>
        <v>537</v>
      </c>
      <c r="DW337" s="47" t="s">
        <v>0</v>
      </c>
      <c r="DX337" s="52" t="str">
        <f>IF(BG337="","",BF337&amp;" – "&amp;BG337)</f>
        <v>Karmen – Holenda</v>
      </c>
      <c r="DY337" s="53">
        <f t="shared" si="314"/>
        <v>537</v>
      </c>
      <c r="DZ337" s="47" t="s">
        <v>0</v>
      </c>
      <c r="EA337" s="58">
        <f t="shared" si="343"/>
        <v>537</v>
      </c>
      <c r="EB337" s="53" cm="1">
        <f t="array" ref="EB337">IF(EA337&lt;&gt;"",INDEX(regNatjecatelj_id,EA337,0),IF(BD337&lt;&gt;"",BD337,""))</f>
        <v>1403</v>
      </c>
      <c r="EC337" s="47" t="s">
        <v>0</v>
      </c>
      <c r="ED337" s="58" t="str">
        <f>IF(AL337="","",IF(BD337&lt;&gt;"","novo",IF(AN337="","imepre","imepre(ali)")))</f>
        <v>imepre</v>
      </c>
      <c r="EE337" s="73" t="str">
        <f>IF(AL337="","",IF(BL337="",IF(IFERROR(INDEX(regNatjecatelj_klub,MATCH(EB337,regNatjecatelj_id,0)),"NEMA")="","klu",""),IF(OR(AND(BN337&lt;&gt;"",BN337&lt;&gt;"NEMA"),CD337&lt;&gt;""),"klu(ali)",IF(AND(BP337&lt;&gt;"",BP337&lt;&gt;BO337),"(raz-klu)","klu"))))</f>
        <v>klu</v>
      </c>
      <c r="EF337" s="73" t="str">
        <f>IF(AL337="","","kat"&amp;IF(AND(W337&lt;&gt;Q337,Q337&lt;&gt;"Open"),"(ali)",""))</f>
        <v>kat</v>
      </c>
      <c r="EG337" s="73" t="str">
        <f t="shared" si="315"/>
        <v/>
      </c>
      <c r="EH337" s="66" t="str">
        <f>IF(AL337="","",ED337&amp;IF(ED337="novo","","-"&amp;EE337&amp;"-"&amp;EF337)&amp;IF(EG337="","","-"&amp;EG337))</f>
        <v>imepre-klu-kat</v>
      </c>
      <c r="EI337" s="47" t="s">
        <v>0</v>
      </c>
      <c r="EJ337" s="58">
        <f>IF(AL337="","",MAX(EJ$12:EJ336)+1)</f>
        <v>483</v>
      </c>
      <c r="EK337" s="73">
        <f>IF(AO337="","",X337)</f>
        <v>43</v>
      </c>
      <c r="EL337" s="73">
        <f t="shared" si="344"/>
        <v>1403</v>
      </c>
      <c r="EM337" s="73">
        <f t="shared" si="316"/>
        <v>9422</v>
      </c>
      <c r="EN337" s="73">
        <f t="shared" si="317"/>
        <v>1</v>
      </c>
      <c r="EO337" s="73">
        <f t="shared" si="345"/>
        <v>1</v>
      </c>
      <c r="EP337" s="73">
        <f t="shared" si="346"/>
        <v>1</v>
      </c>
      <c r="EQ337" s="73" t="str">
        <f t="shared" si="318"/>
        <v>0</v>
      </c>
      <c r="ER337" s="73" t="str">
        <f>IF(OR(AN337="",AN337="NEMA"),BB337,AN337)</f>
        <v/>
      </c>
      <c r="ES337" s="73" t="str">
        <f>IF(AND(BN337&lt;&gt;"",BN337&lt;&gt;"NEMA"),BN337,IF(CG337&lt;&gt;"",CG337,IF(AND(CL337&lt;&gt;"",CL337&lt;&gt;"NEMA"),CL337,IF(CM337&lt;&gt;"",CM337,""))))</f>
        <v/>
      </c>
      <c r="ET337" s="53" t="str">
        <f>IF(INDEX(natKategorija_alias_Id,MATCH(S337,natKategorija_katRegId,0))="","",INDEX(natKategorija_alias_Id,MATCH(S337,natKategorija_katRegId,0)))</f>
        <v/>
      </c>
      <c r="EU337" s="47" t="s">
        <v>0</v>
      </c>
      <c r="EV337" s="19" t="str">
        <f t="shared" si="347"/>
        <v>INSERT INTO rezultat(id,stazakategorija_id,imeprezime_id,vrijeme_sec,status_id,registracija,uparivanje_id,originalstatus_id,imeprezimealias_id,klubalias_id,kategorijaalias_id) VALUES (483,43,1403,9422,1,1,1,0,Null,Null,Null);</v>
      </c>
      <c r="EW337" s="47" t="s">
        <v>0</v>
      </c>
      <c r="EX337" s="19" t="str">
        <f t="shared" si="348"/>
        <v>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EY337" s="47" t="s">
        <v>0</v>
      </c>
      <c r="EZ337" s="180" t="str">
        <f>AG337&amp;IF(CP337="","","
")&amp;CP337&amp;IF(CI337="","","
")&amp;CI337&amp;IF(DN337="","","
")&amp;DN337&amp;IF(DP337="","","
")&amp;DP337&amp;IF(EV337="","","
")&amp;EV337&amp;IF(EX337="","","
")&amp;EX337</f>
        <v xml:space="preserve">
INSERT INTO rezultat(id,stazakategorija_id,imeprezime_id,vrijeme_sec,status_id,registracija,uparivanje_id,originalstatus_id,imeprezimealias_id,klubalias_id,kategorijaalias_id) VALUES (483,43,1403,9422,1,1,1,0,Null,Null,Null);
UPDATE
	registar
SET
	potvrda = 1
WHERE
	imeprezime_id=1403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43)
                         		AND
                         	kategorija_liga.liga_id = 101)
		AND
	datum_od &lt;= '2021-04-18'
    	AND
    datum_do is Null;</v>
      </c>
      <c r="FA337" s="47" t="s">
        <v>0</v>
      </c>
    </row>
    <row r="338" spans="1:157" x14ac:dyDescent="0.25">
      <c r="A338" t="s">
        <v>0</v>
      </c>
      <c r="B338" s="52" t="str">
        <f>IF(csv!F328="","",csv!T328)</f>
        <v>Ž55</v>
      </c>
      <c r="C338" s="31" t="s">
        <v>0</v>
      </c>
      <c r="D338" s="31" t="str">
        <f>IF(csv!F328="","",csv!F328)</f>
        <v>Vacant</v>
      </c>
      <c r="E338" s="31" t="str">
        <f>IF(csv!E328="","",csv!E328)</f>
        <v/>
      </c>
      <c r="F338" s="31" t="s">
        <v>0</v>
      </c>
      <c r="G338" s="73" t="str">
        <f>IF(csv!M328="","",csv!M328)</f>
        <v/>
      </c>
      <c r="H338" s="73" t="str">
        <f>IF(csv!N328="","",csv!N328)</f>
        <v>0</v>
      </c>
      <c r="I338" s="31" t="s">
        <v>0</v>
      </c>
      <c r="J338" s="31" t="str">
        <f>IF(csv!P328="","",csv!P328)</f>
        <v/>
      </c>
      <c r="K338" s="31" t="str">
        <f>IF(csv!Q328="","",csv!Q328)</f>
        <v/>
      </c>
      <c r="L338" s="31" t="s">
        <v>0</v>
      </c>
      <c r="M338" s="66" t="str">
        <f>IF(csv!R328="","",csv!R328)</f>
        <v/>
      </c>
      <c r="N338" s="47" t="s">
        <v>0</v>
      </c>
      <c r="O338" s="243" t="str">
        <f t="shared" si="319"/>
        <v/>
      </c>
      <c r="P338" s="47"/>
      <c r="Q338" s="52" t="str">
        <f t="shared" si="320"/>
        <v>Ž55</v>
      </c>
      <c r="R338" s="73">
        <f>IF(Q338="","",IF(COUNTIF(Q$12:Q337,Q338)=0,R337+1,R337))</f>
        <v>21</v>
      </c>
      <c r="S338" s="73">
        <f t="shared" si="321"/>
        <v>115</v>
      </c>
      <c r="T338" s="73">
        <f t="shared" si="297"/>
        <v>24</v>
      </c>
      <c r="U338" s="66" t="str">
        <f t="shared" si="298"/>
        <v>Ž55</v>
      </c>
      <c r="V338" s="47" t="s">
        <v>0</v>
      </c>
      <c r="W338" s="222" t="str">
        <f t="shared" si="299"/>
        <v/>
      </c>
      <c r="X338" s="223" t="str">
        <f t="shared" si="300"/>
        <v/>
      </c>
      <c r="Y338" s="47" t="s">
        <v>0</v>
      </c>
      <c r="Z338" s="52" t="str">
        <f t="shared" si="322"/>
        <v/>
      </c>
      <c r="AA338" s="73" t="str">
        <f t="shared" si="301"/>
        <v/>
      </c>
      <c r="AB338" s="31" t="str">
        <f t="shared" si="323"/>
        <v/>
      </c>
      <c r="AC338" s="66" t="str">
        <f>IF(AB338="","",MAX(AC$12:AC337)+1)</f>
        <v/>
      </c>
      <c r="AD338" s="47" t="s">
        <v>0</v>
      </c>
      <c r="AE338" s="125"/>
      <c r="AF338" s="47" t="s">
        <v>0</v>
      </c>
      <c r="AG338" s="19" t="str">
        <f t="shared" si="324"/>
        <v/>
      </c>
      <c r="AH338" s="47" t="s">
        <v>0</v>
      </c>
      <c r="AI338" s="143" t="str">
        <f t="shared" si="325"/>
        <v/>
      </c>
      <c r="AJ338" s="47"/>
      <c r="AK338" s="52" t="str">
        <f t="shared" si="326"/>
        <v/>
      </c>
      <c r="AL338" s="31" t="str">
        <f t="shared" si="327"/>
        <v/>
      </c>
      <c r="AM338" s="73" t="str">
        <f t="shared" si="328"/>
        <v/>
      </c>
      <c r="AN338" s="73" t="str">
        <f t="shared" si="329"/>
        <v/>
      </c>
      <c r="AO338" s="31" t="str">
        <f t="shared" si="302"/>
        <v/>
      </c>
      <c r="AP338" s="66" t="str">
        <f t="shared" si="303"/>
        <v/>
      </c>
      <c r="AQ338" s="47" t="s">
        <v>0</v>
      </c>
      <c r="AR338" s="82" t="str">
        <f t="shared" si="330"/>
        <v/>
      </c>
      <c r="AS338" s="47" t="s">
        <v>0</v>
      </c>
      <c r="AT338" s="19" t="str">
        <f t="shared" si="331"/>
        <v/>
      </c>
      <c r="AU338" s="47" t="s">
        <v>0</v>
      </c>
      <c r="AV338" s="103"/>
      <c r="AW338" s="105"/>
      <c r="AX338" s="47" t="s">
        <v>0</v>
      </c>
      <c r="AY338" s="256" t="str">
        <f t="shared" si="293"/>
        <v/>
      </c>
      <c r="AZ338" s="47" t="s">
        <v>0</v>
      </c>
      <c r="BA338" s="52" t="str">
        <f t="shared" si="296"/>
        <v/>
      </c>
      <c r="BB338" s="73" t="str">
        <f>IF(AV338&amp;AW338="","",MAX(BB$12:BB337)+1)</f>
        <v/>
      </c>
      <c r="BC338" s="268" t="str">
        <f t="shared" si="304"/>
        <v/>
      </c>
      <c r="BD338" s="53" t="str">
        <f>IF(AND(AM338="NEMA",AN338="NEMA",OR(AV338&amp;AW338="",BC338="NEMA")),MAX(BD$12:BD337)+1,"")</f>
        <v/>
      </c>
      <c r="BE338" s="47" t="s">
        <v>0</v>
      </c>
      <c r="BF338" s="52" t="str">
        <f t="shared" si="305"/>
        <v/>
      </c>
      <c r="BG338" s="31" t="str">
        <f t="shared" si="306"/>
        <v/>
      </c>
      <c r="BH338" s="73" t="str">
        <f t="shared" si="332"/>
        <v/>
      </c>
      <c r="BI338" s="53" t="str">
        <f t="shared" si="333"/>
        <v/>
      </c>
      <c r="BJ338" s="47" t="s">
        <v>0</v>
      </c>
      <c r="BK338" s="52" t="str">
        <f t="shared" si="307"/>
        <v/>
      </c>
      <c r="BL338" s="31" t="str">
        <f t="shared" si="308"/>
        <v/>
      </c>
      <c r="BM338" s="73" t="str">
        <f t="shared" si="309"/>
        <v/>
      </c>
      <c r="BN338" s="73" t="str">
        <f t="shared" si="310"/>
        <v/>
      </c>
      <c r="BO338" s="31" t="str" cm="1">
        <f t="array" ref="BO338">IF(BN338="",""&amp;BL338,IF(BN338="NEMA",BL338,INDEX(regKlub_naziv,MATCH(INDEX(regKlub_alias_klubId,BN338),regKlub_id,0))))</f>
        <v/>
      </c>
      <c r="BP338" s="31" t="str" cm="1">
        <f t="array" ref="BP338">IFERROR(""&amp;INDEX(regNatjecatelj_klub,DY338),"")</f>
        <v/>
      </c>
      <c r="BQ338" s="88" t="str">
        <f t="shared" si="334"/>
        <v/>
      </c>
      <c r="BR338" s="66" t="str">
        <f t="shared" si="335"/>
        <v/>
      </c>
      <c r="BS338" s="47" t="s">
        <v>0</v>
      </c>
      <c r="BT338" s="82" t="str">
        <f>IF(BN338&lt;&gt;"NEMA","",IF(IFERROR(MATCH(BL338,BL$12:BL337,0),0)&lt;&gt;0,"",BL338))</f>
        <v/>
      </c>
      <c r="BU338" s="47" t="s">
        <v>0</v>
      </c>
      <c r="BV338" s="125"/>
      <c r="BW338" s="47" t="s">
        <v>0</v>
      </c>
      <c r="BX338" s="58" t="str">
        <f t="shared" si="336"/>
        <v/>
      </c>
      <c r="BY338" s="31" t="str">
        <f t="shared" si="337"/>
        <v/>
      </c>
      <c r="BZ338" s="31" t="str">
        <f>IF(BY338="","",MAX(BZ$12:BZ337)+1)</f>
        <v/>
      </c>
      <c r="CA338" s="31" t="str">
        <f>IF(BY338="","",IF(AA338="","",IF(AA338="NEMA",AC338,AA338)))</f>
        <v/>
      </c>
      <c r="CB338" s="31" t="str">
        <f t="shared" si="338"/>
        <v/>
      </c>
      <c r="CC338" s="31" t="str">
        <f>IF(BV338="","",MAX(CC$12:CC337)+1)</f>
        <v/>
      </c>
      <c r="CD338" s="31" t="str">
        <f t="shared" si="339"/>
        <v/>
      </c>
      <c r="CE338" s="66" t="str">
        <f t="shared" si="340"/>
        <v/>
      </c>
      <c r="CF338" s="47" t="s">
        <v>0</v>
      </c>
      <c r="CG338" s="73" t="str">
        <f>IF(BN338="","",IF(BN338&lt;&gt;"NEMA","",IFERROR(INDEX(nat_klubAliasId,MATCH(BL338,nat_noviKluboviAliasi,0)),"")))</f>
        <v/>
      </c>
      <c r="CH338" s="47"/>
      <c r="CI338" s="19" t="str">
        <f t="shared" si="341"/>
        <v/>
      </c>
      <c r="CJ338" s="47" t="s">
        <v>0</v>
      </c>
      <c r="CK338" s="52" t="str">
        <f>IF(X338&lt;&gt;"NEMA","",IF(IFERROR(MATCH(W338,W$12:W337,0),0)&lt;&gt;0,"",W338))</f>
        <v/>
      </c>
      <c r="CL338" s="73" t="str">
        <f>IF(CK338="","",IFERROR(INDEX(regKlub_alias_id,MATCH(CK338,regKlub_alias_alias,0)),"NEMA"))</f>
        <v/>
      </c>
      <c r="CM338" s="31" t="str">
        <f>IF(OR(CL338="",CL338&lt;&gt;"NEMA"),"",MAX(CM$12:CM337)+1)</f>
        <v/>
      </c>
      <c r="CN338" s="66" t="str">
        <f>IF(OR(CL338="",CL338&lt;&gt;"NEMA"),"",INDEX(regKlub_id,MATCH(CK338,regKlub_naziv,0)))</f>
        <v/>
      </c>
      <c r="CO338" s="47" t="s">
        <v>0</v>
      </c>
      <c r="CP338" s="19" t="str">
        <f>IF(OR(CL338="",CL338&lt;&gt;"NEMA"),"","INSERT INTO klub_alias(id,alias,klub_id) VALUES ("&amp;CM338&amp;",'"&amp;CK338&amp;"',"&amp;CN338&amp;");")</f>
        <v/>
      </c>
      <c r="CQ338" s="47" t="s">
        <v>0</v>
      </c>
      <c r="CR338" s="143" t="str">
        <f>IF(BR338="","",IF(BV338="",IF(IFERROR(MATCH(BR338,nat_noviKluboviAliasi,0),0)&gt;0,INDEX(nat_kluboviAliasi,MATCH(BR338,nat_noviKluboviAliasi,0)),BR338),BV338))</f>
        <v/>
      </c>
      <c r="CS338" s="47" t="s">
        <v>0</v>
      </c>
      <c r="CT338" s="58" t="str">
        <f>IF(G338="","",G338)</f>
        <v/>
      </c>
      <c r="CU338" s="73" t="str">
        <f>IF(H338="","",H338)</f>
        <v>0</v>
      </c>
      <c r="CV338" s="229" t="str">
        <f>IF(CT338="",IF(OR(AL338="",CU338&lt;&gt;"0"),"","GREŠKA"),IF(AND(65535&gt;=VALUE(LEFT(CT338,SEARCH(":",CT338)-1))*60+VALUE(RIGHT(CT338,2)),OR(CU338="0",CU338="1",CU338="2",CU338="3",CU338="4")),"","GREŠKA"))</f>
        <v/>
      </c>
      <c r="CW338" s="230" t="str">
        <f t="shared" si="295"/>
        <v/>
      </c>
      <c r="CX338" s="163" t="str">
        <f t="shared" si="311"/>
        <v/>
      </c>
      <c r="CY338" s="47" t="s">
        <v>0</v>
      </c>
      <c r="CZ338" s="222" t="str">
        <f>IF(CV338&lt;&gt;"GREŠKA","",AK338&amp;" "&amp;AL338&amp;" – Molim u OEventu provjeriti i ispraviti rezultat – vrijeme ("&amp;IF(CT338="","nije upisano",CT338)&amp;") i classifier ("&amp;CU338&amp;").")&amp;IF(OR(CV338&lt;&gt;"GREŠKA",CX338&lt;&gt;5),"
","")&amp;IF(CX338&lt;&gt;5,"",AK338&amp;" "&amp;AL338&amp;" – Molim u provjeriti je li natjecatelj zaista diskvalificiran. Ako je koje je obrazloženje, ako nije molim u OEventu ispraviti rezultat")</f>
        <v xml:space="preserve">
</v>
      </c>
      <c r="DA338" s="223" t="str">
        <f t="shared" si="342"/>
        <v/>
      </c>
      <c r="DB338" s="47" t="s">
        <v>0</v>
      </c>
      <c r="DC338" s="47"/>
      <c r="DD338" s="47"/>
      <c r="DE338" s="47"/>
      <c r="DF338" s="47" t="s">
        <v>0</v>
      </c>
      <c r="DG338" s="53" t="str">
        <f>IF(BD338="","",IF(DI338="O",1,""))</f>
        <v/>
      </c>
      <c r="DH338" t="s">
        <v>0</v>
      </c>
      <c r="DI338" s="128" t="str">
        <f>IF(Q338="","",LEFT(INDEX(regKategorija_oznaka,MATCH(S338,regKategorija_id,0)),1))</f>
        <v>Ž</v>
      </c>
      <c r="DJ338" t="s">
        <v>0</v>
      </c>
      <c r="DK338" s="52" t="str">
        <f>IF(BD338="","",IF(M338&lt;&gt;"CRO","","INSERT INTO osoba (id,reg_broj,oib,spol_id,dat_rodjenja) VALUES ("&amp;BD338&amp;",(SELECT max(os.reg_broj)+1 FROM osoba AS os),Null,'"&amp;DI338&amp;"',Null); INSERT INTO osoba_log (id,reg_broj,oib,spol_id,dat_rodjenja,dnevnik_id) SELECT id,reg_broj,oib,spol_id,dat_rodjenja,"&amp;data_dnevnik_id&amp;" FROM osoba WHERE id = "&amp;BD338&amp;";"))</f>
        <v/>
      </c>
      <c r="DL338" s="66" t="str">
        <f>IF(BD338="","","INSERT INTO imeprezime (id,osoba_id,rbr,ime,prezime,klub_id,identitet_id,sintaksa_id,info,aktivno,dnevnik_id) VALUES ("&amp;BD338&amp;","&amp;IF(DK338="","Null",BD338)&amp;",1,'"&amp;IF(AV338&lt;&gt;"",AV338,AK338)&amp;"','"&amp;IF(AW338&lt;&gt;"",AW338,AL338)&amp;"',(SELECT id FROM klub WHERE naziv = '"&amp;CR338&amp;"'),Null,1,'',1,"&amp;data_dnevnik_id&amp;");")</f>
        <v/>
      </c>
      <c r="DM338" t="s">
        <v>0</v>
      </c>
      <c r="DN338" s="19" t="str">
        <f t="shared" si="294"/>
        <v/>
      </c>
      <c r="DO338" s="47" t="s">
        <v>0</v>
      </c>
      <c r="DP338" s="19" t="str">
        <f>IF(BA338="","","INSERT INTO imeprezime_alias(id,alias,imeprezime_id) VALUES ("&amp;BB338&amp;",'"&amp;BA338&amp;"',"&amp;IF(BC338="NEMA",BD338,BC338)&amp;");")</f>
        <v/>
      </c>
      <c r="DQ338" s="47" t="s">
        <v>0</v>
      </c>
      <c r="DR338" s="52" t="str">
        <f>IF(AL338="","",DU338 &amp; IF(Q338="",""," – " &amp; Q338))</f>
        <v/>
      </c>
      <c r="DS338" s="53" t="str">
        <f t="shared" si="312"/>
        <v/>
      </c>
      <c r="DT338" s="47" t="s">
        <v>0</v>
      </c>
      <c r="DU338" s="52" t="str">
        <f>IF(AL338="","",DX338 &amp; IF(CR338="",""," – " &amp; CR338))</f>
        <v/>
      </c>
      <c r="DV338" s="53" t="str">
        <f t="shared" si="313"/>
        <v/>
      </c>
      <c r="DW338" s="47" t="s">
        <v>0</v>
      </c>
      <c r="DX338" s="52" t="str">
        <f>IF(BG338="","",BF338&amp;" – "&amp;BG338)</f>
        <v/>
      </c>
      <c r="DY338" s="53" t="str">
        <f t="shared" si="314"/>
        <v/>
      </c>
      <c r="DZ338" s="47" t="s">
        <v>0</v>
      </c>
      <c r="EA338" s="58" t="str">
        <f t="shared" si="343"/>
        <v/>
      </c>
      <c r="EB338" s="53" t="str" cm="1">
        <f t="array" ref="EB338">IF(EA338&lt;&gt;"",INDEX(regNatjecatelj_id,EA338,0),IF(BD338&lt;&gt;"",BD338,""))</f>
        <v/>
      </c>
      <c r="EC338" s="47" t="s">
        <v>0</v>
      </c>
      <c r="ED338" s="58" t="str">
        <f>IF(AL338="","",IF(BD338&lt;&gt;"","novo",IF(AN338="","imepre","imepre(ali)")))</f>
        <v/>
      </c>
      <c r="EE338" s="73" t="str">
        <f>IF(AL338="","",IF(BL338="",IF(IFERROR(INDEX(regNatjecatelj_klub,MATCH(EB338,regNatjecatelj_id,0)),"NEMA")="","klu",""),IF(OR(AND(BN338&lt;&gt;"",BN338&lt;&gt;"NEMA"),CD338&lt;&gt;""),"klu(ali)",IF(AND(BP338&lt;&gt;"",BP338&lt;&gt;BO338),"(raz-klu)","klu"))))</f>
        <v/>
      </c>
      <c r="EF338" s="73" t="str">
        <f>IF(AL338="","","kat"&amp;IF(AND(W338&lt;&gt;Q338,Q338&lt;&gt;"Open"),"(ali)",""))</f>
        <v/>
      </c>
      <c r="EG338" s="73" t="str">
        <f t="shared" si="315"/>
        <v/>
      </c>
      <c r="EH338" s="66" t="str">
        <f>IF(AL338="","",ED338&amp;IF(ED338="novo","","-"&amp;EE338&amp;"-"&amp;EF338)&amp;IF(EG338="","","-"&amp;EG338))</f>
        <v/>
      </c>
      <c r="EI338" s="47" t="s">
        <v>0</v>
      </c>
      <c r="EJ338" s="58" t="str">
        <f>IF(AL338="","",MAX(EJ$12:EJ337)+1)</f>
        <v/>
      </c>
      <c r="EK338" s="73" t="str">
        <f>IF(AO338="","",X338)</f>
        <v/>
      </c>
      <c r="EL338" s="73" t="str">
        <f t="shared" si="344"/>
        <v/>
      </c>
      <c r="EM338" s="73" t="str">
        <f t="shared" si="316"/>
        <v/>
      </c>
      <c r="EN338" s="73" t="str">
        <f t="shared" si="317"/>
        <v/>
      </c>
      <c r="EO338" s="73" t="str">
        <f t="shared" si="345"/>
        <v/>
      </c>
      <c r="EP338" s="73" t="str">
        <f t="shared" si="346"/>
        <v/>
      </c>
      <c r="EQ338" s="73" t="str">
        <f t="shared" si="318"/>
        <v/>
      </c>
      <c r="ER338" s="73" t="str">
        <f>IF(OR(AN338="",AN338="NEMA"),BB338,AN338)</f>
        <v/>
      </c>
      <c r="ES338" s="73" t="str">
        <f>IF(AND(BN338&lt;&gt;"",BN338&lt;&gt;"NEMA"),BN338,IF(CG338&lt;&gt;"",CG338,IF(AND(CL338&lt;&gt;"",CL338&lt;&gt;"NEMA"),CL338,IF(CM338&lt;&gt;"",CM338,""))))</f>
        <v/>
      </c>
      <c r="ET338" s="53" t="str">
        <f>IF(INDEX(natKategorija_alias_Id,MATCH(S338,natKategorija_katRegId,0))="","",INDEX(natKategorija_alias_Id,MATCH(S338,natKategorija_katRegId,0)))</f>
        <v/>
      </c>
      <c r="EU338" s="47" t="s">
        <v>0</v>
      </c>
      <c r="EV338" s="19" t="str">
        <f t="shared" si="347"/>
        <v/>
      </c>
      <c r="EW338" s="47" t="s">
        <v>0</v>
      </c>
      <c r="EX338" s="19" t="str">
        <f t="shared" si="348"/>
        <v/>
      </c>
      <c r="EY338" s="47" t="s">
        <v>0</v>
      </c>
      <c r="EZ338" s="180" t="str">
        <f>AG338&amp;IF(CP338="","","
")&amp;CP338&amp;IF(CI338="","","
")&amp;CI338&amp;IF(DN338="","","
")&amp;DN338&amp;IF(DP338="","","
")&amp;DP338&amp;IF(EV338="","","
")&amp;EV338&amp;IF(EX338="","","
")&amp;EX338</f>
        <v/>
      </c>
      <c r="FA338" s="47" t="s">
        <v>0</v>
      </c>
    </row>
    <row r="339" spans="1:157" x14ac:dyDescent="0.25">
      <c r="A339" t="s">
        <v>0</v>
      </c>
      <c r="B339" s="52" t="str">
        <f>IF(csv!F329="","",csv!T329)</f>
        <v>Ž55</v>
      </c>
      <c r="C339" s="31" t="s">
        <v>0</v>
      </c>
      <c r="D339" s="31" t="str">
        <f>IF(csv!F329="","",csv!F329)</f>
        <v>Vacant</v>
      </c>
      <c r="E339" s="31" t="str">
        <f>IF(csv!E329="","",csv!E329)</f>
        <v/>
      </c>
      <c r="F339" s="31" t="s">
        <v>0</v>
      </c>
      <c r="G339" s="73" t="str">
        <f>IF(csv!M329="","",csv!M329)</f>
        <v/>
      </c>
      <c r="H339" s="73" t="str">
        <f>IF(csv!N329="","",csv!N329)</f>
        <v>0</v>
      </c>
      <c r="I339" s="31" t="s">
        <v>0</v>
      </c>
      <c r="J339" s="31" t="str">
        <f>IF(csv!P329="","",csv!P329)</f>
        <v/>
      </c>
      <c r="K339" s="31" t="str">
        <f>IF(csv!Q329="","",csv!Q329)</f>
        <v/>
      </c>
      <c r="L339" s="31" t="s">
        <v>0</v>
      </c>
      <c r="M339" s="66" t="str">
        <f>IF(csv!R329="","",csv!R329)</f>
        <v/>
      </c>
      <c r="N339" s="47" t="s">
        <v>0</v>
      </c>
      <c r="O339" s="243" t="str">
        <f t="shared" si="319"/>
        <v/>
      </c>
      <c r="P339" s="47"/>
      <c r="Q339" s="52" t="str">
        <f t="shared" si="320"/>
        <v>Ž55</v>
      </c>
      <c r="R339" s="73">
        <f>IF(Q339="","",IF(COUNTIF(Q$12:Q338,Q339)=0,R338+1,R338))</f>
        <v>21</v>
      </c>
      <c r="S339" s="73">
        <f t="shared" si="321"/>
        <v>115</v>
      </c>
      <c r="T339" s="73">
        <f t="shared" si="297"/>
        <v>24</v>
      </c>
      <c r="U339" s="66" t="str">
        <f t="shared" si="298"/>
        <v>Ž55</v>
      </c>
      <c r="V339" s="47" t="s">
        <v>0</v>
      </c>
      <c r="W339" s="222" t="str">
        <f t="shared" si="299"/>
        <v/>
      </c>
      <c r="X339" s="223" t="str">
        <f t="shared" si="300"/>
        <v/>
      </c>
      <c r="Y339" s="47" t="s">
        <v>0</v>
      </c>
      <c r="Z339" s="52" t="str">
        <f t="shared" si="322"/>
        <v/>
      </c>
      <c r="AA339" s="73" t="str">
        <f t="shared" si="301"/>
        <v/>
      </c>
      <c r="AB339" s="31" t="str">
        <f t="shared" si="323"/>
        <v/>
      </c>
      <c r="AC339" s="66" t="str">
        <f>IF(AB339="","",MAX(AC$12:AC338)+1)</f>
        <v/>
      </c>
      <c r="AD339" s="47" t="s">
        <v>0</v>
      </c>
      <c r="AE339" s="125"/>
      <c r="AF339" s="47" t="s">
        <v>0</v>
      </c>
      <c r="AG339" s="19" t="str">
        <f t="shared" si="324"/>
        <v/>
      </c>
      <c r="AH339" s="47" t="s">
        <v>0</v>
      </c>
      <c r="AI339" s="143" t="str">
        <f t="shared" si="325"/>
        <v/>
      </c>
      <c r="AJ339" s="47"/>
      <c r="AK339" s="52" t="str">
        <f t="shared" si="326"/>
        <v/>
      </c>
      <c r="AL339" s="31" t="str">
        <f t="shared" si="327"/>
        <v/>
      </c>
      <c r="AM339" s="73" t="str">
        <f t="shared" si="328"/>
        <v/>
      </c>
      <c r="AN339" s="73" t="str">
        <f t="shared" si="329"/>
        <v/>
      </c>
      <c r="AO339" s="31" t="str">
        <f t="shared" si="302"/>
        <v/>
      </c>
      <c r="AP339" s="66" t="str">
        <f t="shared" si="303"/>
        <v/>
      </c>
      <c r="AQ339" s="47" t="s">
        <v>0</v>
      </c>
      <c r="AR339" s="82" t="str">
        <f t="shared" si="330"/>
        <v/>
      </c>
      <c r="AS339" s="47" t="s">
        <v>0</v>
      </c>
      <c r="AT339" s="19" t="str">
        <f t="shared" si="331"/>
        <v/>
      </c>
      <c r="AU339" s="47" t="s">
        <v>0</v>
      </c>
      <c r="AV339" s="103"/>
      <c r="AW339" s="105"/>
      <c r="AX339" s="47" t="s">
        <v>0</v>
      </c>
      <c r="AY339" s="256" t="str">
        <f t="shared" si="293"/>
        <v/>
      </c>
      <c r="AZ339" s="47" t="s">
        <v>0</v>
      </c>
      <c r="BA339" s="52" t="str">
        <f t="shared" si="296"/>
        <v/>
      </c>
      <c r="BB339" s="73" t="str">
        <f>IF(AV339&amp;AW339="","",MAX(BB$12:BB338)+1)</f>
        <v/>
      </c>
      <c r="BC339" s="268" t="str">
        <f t="shared" si="304"/>
        <v/>
      </c>
      <c r="BD339" s="53" t="str">
        <f>IF(AND(AM339="NEMA",AN339="NEMA",OR(AV339&amp;AW339="",BC339="NEMA")),MAX(BD$12:BD338)+1,"")</f>
        <v/>
      </c>
      <c r="BE339" s="47" t="s">
        <v>0</v>
      </c>
      <c r="BF339" s="52" t="str">
        <f t="shared" si="305"/>
        <v/>
      </c>
      <c r="BG339" s="31" t="str">
        <f t="shared" si="306"/>
        <v/>
      </c>
      <c r="BH339" s="73" t="str">
        <f t="shared" si="332"/>
        <v/>
      </c>
      <c r="BI339" s="53" t="str">
        <f t="shared" si="333"/>
        <v/>
      </c>
      <c r="BJ339" s="47" t="s">
        <v>0</v>
      </c>
      <c r="BK339" s="52" t="str">
        <f t="shared" si="307"/>
        <v/>
      </c>
      <c r="BL339" s="31" t="str">
        <f t="shared" si="308"/>
        <v/>
      </c>
      <c r="BM339" s="73" t="str">
        <f t="shared" si="309"/>
        <v/>
      </c>
      <c r="BN339" s="73" t="str">
        <f t="shared" si="310"/>
        <v/>
      </c>
      <c r="BO339" s="31" t="str" cm="1">
        <f t="array" ref="BO339">IF(BN339="",""&amp;BL339,IF(BN339="NEMA",BL339,INDEX(regKlub_naziv,MATCH(INDEX(regKlub_alias_klubId,BN339),regKlub_id,0))))</f>
        <v/>
      </c>
      <c r="BP339" s="31" t="str" cm="1">
        <f t="array" ref="BP339">IFERROR(""&amp;INDEX(regNatjecatelj_klub,DY339),"")</f>
        <v/>
      </c>
      <c r="BQ339" s="88" t="str">
        <f t="shared" si="334"/>
        <v/>
      </c>
      <c r="BR339" s="66" t="str">
        <f t="shared" si="335"/>
        <v/>
      </c>
      <c r="BS339" s="47" t="s">
        <v>0</v>
      </c>
      <c r="BT339" s="82" t="str">
        <f>IF(BN339&lt;&gt;"NEMA","",IF(IFERROR(MATCH(BL339,BL$12:BL338,0),0)&lt;&gt;0,"",BL339))</f>
        <v/>
      </c>
      <c r="BU339" s="47" t="s">
        <v>0</v>
      </c>
      <c r="BV339" s="125"/>
      <c r="BW339" s="47" t="s">
        <v>0</v>
      </c>
      <c r="BX339" s="58" t="str">
        <f t="shared" si="336"/>
        <v/>
      </c>
      <c r="BY339" s="31" t="str">
        <f t="shared" si="337"/>
        <v/>
      </c>
      <c r="BZ339" s="31" t="str">
        <f>IF(BY339="","",MAX(BZ$12:BZ338)+1)</f>
        <v/>
      </c>
      <c r="CA339" s="31" t="str">
        <f>IF(BY339="","",IF(AA339="","",IF(AA339="NEMA",AC339,AA339)))</f>
        <v/>
      </c>
      <c r="CB339" s="31" t="str">
        <f t="shared" si="338"/>
        <v/>
      </c>
      <c r="CC339" s="31" t="str">
        <f>IF(BV339="","",MAX(CC$12:CC338)+1)</f>
        <v/>
      </c>
      <c r="CD339" s="31" t="str">
        <f t="shared" si="339"/>
        <v/>
      </c>
      <c r="CE339" s="66" t="str">
        <f t="shared" si="340"/>
        <v/>
      </c>
      <c r="CF339" s="47" t="s">
        <v>0</v>
      </c>
      <c r="CG339" s="73" t="str">
        <f>IF(BN339="","",IF(BN339&lt;&gt;"NEMA","",IFERROR(INDEX(nat_klubAliasId,MATCH(BL339,nat_noviKluboviAliasi,0)),"")))</f>
        <v/>
      </c>
      <c r="CH339" s="47"/>
      <c r="CI339" s="19" t="str">
        <f t="shared" si="341"/>
        <v/>
      </c>
      <c r="CJ339" s="47" t="s">
        <v>0</v>
      </c>
      <c r="CK339" s="52" t="str">
        <f>IF(X339&lt;&gt;"NEMA","",IF(IFERROR(MATCH(W339,W$12:W338,0),0)&lt;&gt;0,"",W339))</f>
        <v/>
      </c>
      <c r="CL339" s="73" t="str">
        <f>IF(CK339="","",IFERROR(INDEX(regKlub_alias_id,MATCH(CK339,regKlub_alias_alias,0)),"NEMA"))</f>
        <v/>
      </c>
      <c r="CM339" s="31" t="str">
        <f>IF(OR(CL339="",CL339&lt;&gt;"NEMA"),"",MAX(CM$12:CM338)+1)</f>
        <v/>
      </c>
      <c r="CN339" s="66" t="str">
        <f>IF(OR(CL339="",CL339&lt;&gt;"NEMA"),"",INDEX(regKlub_id,MATCH(CK339,regKlub_naziv,0)))</f>
        <v/>
      </c>
      <c r="CO339" s="47" t="s">
        <v>0</v>
      </c>
      <c r="CP339" s="19" t="str">
        <f>IF(OR(CL339="",CL339&lt;&gt;"NEMA"),"","INSERT INTO klub_alias(id,alias,klub_id) VALUES ("&amp;CM339&amp;",'"&amp;CK339&amp;"',"&amp;CN339&amp;");")</f>
        <v/>
      </c>
      <c r="CQ339" s="47" t="s">
        <v>0</v>
      </c>
      <c r="CR339" s="143" t="str">
        <f>IF(BR339="","",IF(BV339="",IF(IFERROR(MATCH(BR339,nat_noviKluboviAliasi,0),0)&gt;0,INDEX(nat_kluboviAliasi,MATCH(BR339,nat_noviKluboviAliasi,0)),BR339),BV339))</f>
        <v/>
      </c>
      <c r="CS339" s="47" t="s">
        <v>0</v>
      </c>
      <c r="CT339" s="58" t="str">
        <f>IF(G339="","",G339)</f>
        <v/>
      </c>
      <c r="CU339" s="73" t="str">
        <f>IF(H339="","",H339)</f>
        <v>0</v>
      </c>
      <c r="CV339" s="229" t="str">
        <f>IF(CT339="",IF(OR(AL339="",CU339&lt;&gt;"0"),"","GREŠKA"),IF(AND(65535&gt;=VALUE(LEFT(CT339,SEARCH(":",CT339)-1))*60+VALUE(RIGHT(CT339,2)),OR(CU339="0",CU339="1",CU339="2",CU339="3",CU339="4")),"","GREŠKA"))</f>
        <v/>
      </c>
      <c r="CW339" s="230" t="str">
        <f t="shared" si="295"/>
        <v/>
      </c>
      <c r="CX339" s="163" t="str">
        <f t="shared" si="311"/>
        <v/>
      </c>
      <c r="CY339" s="47" t="s">
        <v>0</v>
      </c>
      <c r="CZ339" s="222" t="str">
        <f>IF(CV339&lt;&gt;"GREŠKA","",AK339&amp;" "&amp;AL339&amp;" – Molim u OEventu provjeriti i ispraviti rezultat – vrijeme ("&amp;IF(CT339="","nije upisano",CT339)&amp;") i classifier ("&amp;CU339&amp;").")&amp;IF(OR(CV339&lt;&gt;"GREŠKA",CX339&lt;&gt;5),"
","")&amp;IF(CX339&lt;&gt;5,"",AK339&amp;" "&amp;AL339&amp;" – Molim u provjeriti je li natjecatelj zaista diskvalificiran. Ako je koje je obrazloženje, ako nije molim u OEventu ispraviti rezultat")</f>
        <v xml:space="preserve">
</v>
      </c>
      <c r="DA339" s="223" t="str">
        <f t="shared" si="342"/>
        <v/>
      </c>
      <c r="DB339" s="47" t="s">
        <v>0</v>
      </c>
      <c r="DC339" s="47"/>
      <c r="DD339" s="47"/>
      <c r="DE339" s="47"/>
      <c r="DF339" s="47" t="s">
        <v>0</v>
      </c>
      <c r="DG339" s="53" t="str">
        <f>IF(BD339="","",IF(DI339="O",1,""))</f>
        <v/>
      </c>
      <c r="DH339" t="s">
        <v>0</v>
      </c>
      <c r="DI339" s="128" t="str">
        <f>IF(Q339="","",LEFT(INDEX(regKategorija_oznaka,MATCH(S339,regKategorija_id,0)),1))</f>
        <v>Ž</v>
      </c>
      <c r="DJ339" t="s">
        <v>0</v>
      </c>
      <c r="DK339" s="52" t="str">
        <f>IF(BD339="","",IF(M339&lt;&gt;"CRO","","INSERT INTO osoba (id,reg_broj,oib,spol_id,dat_rodjenja) VALUES ("&amp;BD339&amp;",(SELECT max(os.reg_broj)+1 FROM osoba AS os),Null,'"&amp;DI339&amp;"',Null); INSERT INTO osoba_log (id,reg_broj,oib,spol_id,dat_rodjenja,dnevnik_id) SELECT id,reg_broj,oib,spol_id,dat_rodjenja,"&amp;data_dnevnik_id&amp;" FROM osoba WHERE id = "&amp;BD339&amp;";"))</f>
        <v/>
      </c>
      <c r="DL339" s="66" t="str">
        <f>IF(BD339="","","INSERT INTO imeprezime (id,osoba_id,rbr,ime,prezime,klub_id,identitet_id,sintaksa_id,info,aktivno,dnevnik_id) VALUES ("&amp;BD339&amp;","&amp;IF(DK339="","Null",BD339)&amp;",1,'"&amp;IF(AV339&lt;&gt;"",AV339,AK339)&amp;"','"&amp;IF(AW339&lt;&gt;"",AW339,AL339)&amp;"',(SELECT id FROM klub WHERE naziv = '"&amp;CR339&amp;"'),Null,1,'',1,"&amp;data_dnevnik_id&amp;");")</f>
        <v/>
      </c>
      <c r="DM339" t="s">
        <v>0</v>
      </c>
      <c r="DN339" s="19" t="str">
        <f t="shared" si="294"/>
        <v/>
      </c>
      <c r="DO339" s="47" t="s">
        <v>0</v>
      </c>
      <c r="DP339" s="19" t="str">
        <f>IF(BA339="","","INSERT INTO imeprezime_alias(id,alias,imeprezime_id) VALUES ("&amp;BB339&amp;",'"&amp;BA339&amp;"',"&amp;IF(BC339="NEMA",BD339,BC339)&amp;");")</f>
        <v/>
      </c>
      <c r="DQ339" s="47" t="s">
        <v>0</v>
      </c>
      <c r="DR339" s="52" t="str">
        <f>IF(AL339="","",DU339 &amp; IF(Q339="",""," – " &amp; Q339))</f>
        <v/>
      </c>
      <c r="DS339" s="53" t="str">
        <f t="shared" si="312"/>
        <v/>
      </c>
      <c r="DT339" s="47" t="s">
        <v>0</v>
      </c>
      <c r="DU339" s="52" t="str">
        <f>IF(AL339="","",DX339 &amp; IF(CR339="",""," – " &amp; CR339))</f>
        <v/>
      </c>
      <c r="DV339" s="53" t="str">
        <f t="shared" si="313"/>
        <v/>
      </c>
      <c r="DW339" s="47" t="s">
        <v>0</v>
      </c>
      <c r="DX339" s="52" t="str">
        <f>IF(BG339="","",BF339&amp;" – "&amp;BG339)</f>
        <v/>
      </c>
      <c r="DY339" s="53" t="str">
        <f t="shared" si="314"/>
        <v/>
      </c>
      <c r="DZ339" s="47" t="s">
        <v>0</v>
      </c>
      <c r="EA339" s="58" t="str">
        <f t="shared" si="343"/>
        <v/>
      </c>
      <c r="EB339" s="53" t="str" cm="1">
        <f t="array" ref="EB339">IF(EA339&lt;&gt;"",INDEX(regNatjecatelj_id,EA339,0),IF(BD339&lt;&gt;"",BD339,""))</f>
        <v/>
      </c>
      <c r="EC339" s="47" t="s">
        <v>0</v>
      </c>
      <c r="ED339" s="58" t="str">
        <f>IF(AL339="","",IF(BD339&lt;&gt;"","novo",IF(AN339="","imepre","imepre(ali)")))</f>
        <v/>
      </c>
      <c r="EE339" s="73" t="str">
        <f>IF(AL339="","",IF(BL339="",IF(IFERROR(INDEX(regNatjecatelj_klub,MATCH(EB339,regNatjecatelj_id,0)),"NEMA")="","klu",""),IF(OR(AND(BN339&lt;&gt;"",BN339&lt;&gt;"NEMA"),CD339&lt;&gt;""),"klu(ali)",IF(AND(BP339&lt;&gt;"",BP339&lt;&gt;BO339),"(raz-klu)","klu"))))</f>
        <v/>
      </c>
      <c r="EF339" s="73" t="str">
        <f>IF(AL339="","","kat"&amp;IF(AND(W339&lt;&gt;Q339,Q339&lt;&gt;"Open"),"(ali)",""))</f>
        <v/>
      </c>
      <c r="EG339" s="73" t="str">
        <f t="shared" si="315"/>
        <v/>
      </c>
      <c r="EH339" s="66" t="str">
        <f>IF(AL339="","",ED339&amp;IF(ED339="novo","","-"&amp;EE339&amp;"-"&amp;EF339)&amp;IF(EG339="","","-"&amp;EG339))</f>
        <v/>
      </c>
      <c r="EI339" s="47" t="s">
        <v>0</v>
      </c>
      <c r="EJ339" s="58" t="str">
        <f>IF(AL339="","",MAX(EJ$12:EJ338)+1)</f>
        <v/>
      </c>
      <c r="EK339" s="73" t="str">
        <f>IF(AO339="","",X339)</f>
        <v/>
      </c>
      <c r="EL339" s="73" t="str">
        <f t="shared" si="344"/>
        <v/>
      </c>
      <c r="EM339" s="73" t="str">
        <f t="shared" si="316"/>
        <v/>
      </c>
      <c r="EN339" s="73" t="str">
        <f t="shared" si="317"/>
        <v/>
      </c>
      <c r="EO339" s="73" t="str">
        <f t="shared" si="345"/>
        <v/>
      </c>
      <c r="EP339" s="73" t="str">
        <f t="shared" si="346"/>
        <v/>
      </c>
      <c r="EQ339" s="73" t="str">
        <f t="shared" si="318"/>
        <v/>
      </c>
      <c r="ER339" s="73" t="str">
        <f>IF(OR(AN339="",AN339="NEMA"),BB339,AN339)</f>
        <v/>
      </c>
      <c r="ES339" s="73" t="str">
        <f>IF(AND(BN339&lt;&gt;"",BN339&lt;&gt;"NEMA"),BN339,IF(CG339&lt;&gt;"",CG339,IF(AND(CL339&lt;&gt;"",CL339&lt;&gt;"NEMA"),CL339,IF(CM339&lt;&gt;"",CM339,""))))</f>
        <v/>
      </c>
      <c r="ET339" s="53" t="str">
        <f>IF(INDEX(natKategorija_alias_Id,MATCH(S339,natKategorija_katRegId,0))="","",INDEX(natKategorija_alias_Id,MATCH(S339,natKategorija_katRegId,0)))</f>
        <v/>
      </c>
      <c r="EU339" s="47" t="s">
        <v>0</v>
      </c>
      <c r="EV339" s="19" t="str">
        <f t="shared" si="347"/>
        <v/>
      </c>
      <c r="EW339" s="47" t="s">
        <v>0</v>
      </c>
      <c r="EX339" s="19" t="str">
        <f t="shared" si="348"/>
        <v/>
      </c>
      <c r="EY339" s="47" t="s">
        <v>0</v>
      </c>
      <c r="EZ339" s="180" t="str">
        <f>AG339&amp;IF(CP339="","","
")&amp;CP339&amp;IF(CI339="","","
")&amp;CI339&amp;IF(DN339="","","
")&amp;DN339&amp;IF(DP339="","","
")&amp;DP339&amp;IF(EV339="","","
")&amp;EV339&amp;IF(EX339="","","
")&amp;EX339</f>
        <v/>
      </c>
      <c r="FA339" s="47" t="s">
        <v>0</v>
      </c>
    </row>
    <row r="340" spans="1:157" x14ac:dyDescent="0.25">
      <c r="A340" t="s">
        <v>0</v>
      </c>
      <c r="B340" s="52" t="str">
        <f>IF(csv!F330="","",csv!T330)</f>
        <v>Ž65</v>
      </c>
      <c r="C340" s="31" t="s">
        <v>0</v>
      </c>
      <c r="D340" s="31" t="str">
        <f>IF(csv!F330="","",csv!F330)</f>
        <v>Željka</v>
      </c>
      <c r="E340" s="31" t="str">
        <f>IF(csv!E330="","",csv!E330)</f>
        <v>Vendler Čepelak</v>
      </c>
      <c r="F340" s="31" t="s">
        <v>0</v>
      </c>
      <c r="G340" s="73" t="str">
        <f>IF(csv!M330="","",csv!M330)</f>
        <v>53:15</v>
      </c>
      <c r="H340" s="73" t="str">
        <f>IF(csv!N330="","",csv!N330)</f>
        <v>0</v>
      </c>
      <c r="I340" s="31" t="s">
        <v>0</v>
      </c>
      <c r="J340" s="31" t="str">
        <f>IF(csv!P330="","",csv!P330)</f>
        <v>Maksimir</v>
      </c>
      <c r="K340" s="31" t="str">
        <f>IF(csv!Q330="","",csv!Q330)</f>
        <v>OK Maksimir</v>
      </c>
      <c r="L340" s="31" t="s">
        <v>0</v>
      </c>
      <c r="M340" s="66" t="str">
        <f>IF(csv!R330="","",csv!R330)</f>
        <v>CRO</v>
      </c>
      <c r="N340" s="47" t="s">
        <v>0</v>
      </c>
      <c r="O340" s="243" t="str">
        <f t="shared" si="319"/>
        <v>ok</v>
      </c>
      <c r="P340" s="47"/>
      <c r="Q340" s="52" t="str">
        <f t="shared" si="320"/>
        <v>Ž65</v>
      </c>
      <c r="R340" s="73">
        <f>IF(Q340="","",IF(COUNTIF(Q$12:Q339,Q340)=0,R339+1,R339))</f>
        <v>22</v>
      </c>
      <c r="S340" s="73">
        <f t="shared" si="321"/>
        <v>114</v>
      </c>
      <c r="T340" s="73">
        <f t="shared" si="297"/>
        <v>23</v>
      </c>
      <c r="U340" s="66" t="str">
        <f t="shared" si="298"/>
        <v>Ž65</v>
      </c>
      <c r="V340" s="47" t="s">
        <v>0</v>
      </c>
      <c r="W340" s="222" t="str">
        <f t="shared" si="299"/>
        <v>Ž65</v>
      </c>
      <c r="X340" s="223">
        <f t="shared" si="300"/>
        <v>44</v>
      </c>
      <c r="Y340" s="47" t="s">
        <v>0</v>
      </c>
      <c r="Z340" s="52" t="str">
        <f t="shared" si="322"/>
        <v>CRO</v>
      </c>
      <c r="AA340" s="73">
        <f t="shared" si="301"/>
        <v>1</v>
      </c>
      <c r="AB340" s="31" t="str">
        <f t="shared" si="323"/>
        <v/>
      </c>
      <c r="AC340" s="66" t="str">
        <f>IF(AB340="","",MAX(AC$12:AC339)+1)</f>
        <v/>
      </c>
      <c r="AD340" s="47" t="s">
        <v>0</v>
      </c>
      <c r="AE340" s="125"/>
      <c r="AF340" s="47" t="s">
        <v>0</v>
      </c>
      <c r="AG340" s="19" t="str">
        <f t="shared" si="324"/>
        <v/>
      </c>
      <c r="AH340" s="47" t="s">
        <v>0</v>
      </c>
      <c r="AI340" s="143" t="str">
        <f t="shared" si="325"/>
        <v>CRO</v>
      </c>
      <c r="AJ340" s="47"/>
      <c r="AK340" s="52" t="str">
        <f t="shared" si="326"/>
        <v>Željka</v>
      </c>
      <c r="AL340" s="31" t="str">
        <f t="shared" si="327"/>
        <v>Vendler Čepelak</v>
      </c>
      <c r="AM340" s="73">
        <f t="shared" si="328"/>
        <v>1878</v>
      </c>
      <c r="AN340" s="73" t="str">
        <f t="shared" si="329"/>
        <v/>
      </c>
      <c r="AO340" s="31" t="str">
        <f t="shared" si="302"/>
        <v>Željka</v>
      </c>
      <c r="AP340" s="66" t="str">
        <f t="shared" si="303"/>
        <v>Vendler Čepelak</v>
      </c>
      <c r="AQ340" s="47" t="s">
        <v>0</v>
      </c>
      <c r="AR340" s="82" t="str">
        <f t="shared" si="330"/>
        <v/>
      </c>
      <c r="AS340" s="47" t="s">
        <v>0</v>
      </c>
      <c r="AT340" s="19" t="str">
        <f t="shared" si="331"/>
        <v/>
      </c>
      <c r="AU340" s="47" t="s">
        <v>0</v>
      </c>
      <c r="AV340" s="103"/>
      <c r="AW340" s="105"/>
      <c r="AX340" s="47" t="s">
        <v>0</v>
      </c>
      <c r="AY340" s="256" t="str">
        <f t="shared" si="293"/>
        <v/>
      </c>
      <c r="AZ340" s="47" t="s">
        <v>0</v>
      </c>
      <c r="BA340" s="52" t="str">
        <f t="shared" si="296"/>
        <v/>
      </c>
      <c r="BB340" s="73" t="str">
        <f>IF(AV340&amp;AW340="","",MAX(BB$12:BB339)+1)</f>
        <v/>
      </c>
      <c r="BC340" s="268" t="str">
        <f t="shared" si="304"/>
        <v/>
      </c>
      <c r="BD340" s="53" t="str">
        <f>IF(AND(AM340="NEMA",AN340="NEMA",OR(AV340&amp;AW340="",BC340="NEMA")),MAX(BD$12:BD339)+1,"")</f>
        <v/>
      </c>
      <c r="BE340" s="47" t="s">
        <v>0</v>
      </c>
      <c r="BF340" s="52" t="str">
        <f t="shared" si="305"/>
        <v>Željka</v>
      </c>
      <c r="BG340" s="31" t="str">
        <f t="shared" si="306"/>
        <v>Vendler Čepelak</v>
      </c>
      <c r="BH340" s="73" t="str">
        <f t="shared" si="332"/>
        <v/>
      </c>
      <c r="BI340" s="53">
        <f t="shared" si="333"/>
        <v>1878</v>
      </c>
      <c r="BJ340" s="47" t="s">
        <v>0</v>
      </c>
      <c r="BK340" s="52" t="str">
        <f t="shared" si="307"/>
        <v>Maksimir</v>
      </c>
      <c r="BL340" s="31" t="str">
        <f t="shared" si="308"/>
        <v>OK Maksimir</v>
      </c>
      <c r="BM340" s="73">
        <f t="shared" si="309"/>
        <v>6</v>
      </c>
      <c r="BN340" s="73" t="str">
        <f t="shared" si="310"/>
        <v/>
      </c>
      <c r="BO340" s="31" t="str" cm="1">
        <f t="array" ref="BO340">IF(BN340="",""&amp;BL340,IF(BN340="NEMA",BL340,INDEX(regKlub_naziv,MATCH(INDEX(regKlub_alias_klubId,BN340),regKlub_id,0))))</f>
        <v>OK Maksimir</v>
      </c>
      <c r="BP340" s="31" t="str" cm="1">
        <f t="array" ref="BP340">IFERROR(""&amp;INDEX(regNatjecatelj_klub,DY340),"")</f>
        <v>OK Maksimir</v>
      </c>
      <c r="BQ340" s="88" t="str">
        <f t="shared" si="334"/>
        <v/>
      </c>
      <c r="BR340" s="66" t="str">
        <f t="shared" si="335"/>
        <v>OK Maksimir</v>
      </c>
      <c r="BS340" s="47" t="s">
        <v>0</v>
      </c>
      <c r="BT340" s="82" t="str">
        <f>IF(BN340&lt;&gt;"NEMA","",IF(IFERROR(MATCH(BL340,BL$12:BL339,0),0)&lt;&gt;0,"",BL340))</f>
        <v/>
      </c>
      <c r="BU340" s="47" t="s">
        <v>0</v>
      </c>
      <c r="BV340" s="125"/>
      <c r="BW340" s="47" t="s">
        <v>0</v>
      </c>
      <c r="BX340" s="58" t="str">
        <f t="shared" si="336"/>
        <v/>
      </c>
      <c r="BY340" s="31" t="str">
        <f t="shared" si="337"/>
        <v/>
      </c>
      <c r="BZ340" s="31" t="str">
        <f>IF(BY340="","",MAX(BZ$12:BZ339)+1)</f>
        <v/>
      </c>
      <c r="CA340" s="31" t="str">
        <f>IF(BY340="","",IF(AA340="","",IF(AA340="NEMA",AC340,AA340)))</f>
        <v/>
      </c>
      <c r="CB340" s="31" t="str">
        <f t="shared" si="338"/>
        <v/>
      </c>
      <c r="CC340" s="31" t="str">
        <f>IF(BV340="","",MAX(CC$12:CC339)+1)</f>
        <v/>
      </c>
      <c r="CD340" s="31" t="str">
        <f t="shared" si="339"/>
        <v/>
      </c>
      <c r="CE340" s="66" t="str">
        <f t="shared" si="340"/>
        <v/>
      </c>
      <c r="CF340" s="47" t="s">
        <v>0</v>
      </c>
      <c r="CG340" s="73" t="str">
        <f>IF(BN340="","",IF(BN340&lt;&gt;"NEMA","",IFERROR(INDEX(nat_klubAliasId,MATCH(BL340,nat_noviKluboviAliasi,0)),"")))</f>
        <v/>
      </c>
      <c r="CH340" s="47"/>
      <c r="CI340" s="19" t="str">
        <f t="shared" si="341"/>
        <v/>
      </c>
      <c r="CJ340" s="47" t="s">
        <v>0</v>
      </c>
      <c r="CK340" s="52" t="str">
        <f>IF(X340&lt;&gt;"NEMA","",IF(IFERROR(MATCH(W340,W$12:W339,0),0)&lt;&gt;0,"",W340))</f>
        <v/>
      </c>
      <c r="CL340" s="73" t="str">
        <f>IF(CK340="","",IFERROR(INDEX(regKlub_alias_id,MATCH(CK340,regKlub_alias_alias,0)),"NEMA"))</f>
        <v/>
      </c>
      <c r="CM340" s="31" t="str">
        <f>IF(OR(CL340="",CL340&lt;&gt;"NEMA"),"",MAX(CM$12:CM339)+1)</f>
        <v/>
      </c>
      <c r="CN340" s="66" t="str">
        <f>IF(OR(CL340="",CL340&lt;&gt;"NEMA"),"",INDEX(regKlub_id,MATCH(CK340,regKlub_naziv,0)))</f>
        <v/>
      </c>
      <c r="CO340" s="47" t="s">
        <v>0</v>
      </c>
      <c r="CP340" s="19" t="str">
        <f>IF(OR(CL340="",CL340&lt;&gt;"NEMA"),"","INSERT INTO klub_alias(id,alias,klub_id) VALUES ("&amp;CM340&amp;",'"&amp;CK340&amp;"',"&amp;CN340&amp;");")</f>
        <v/>
      </c>
      <c r="CQ340" s="47" t="s">
        <v>0</v>
      </c>
      <c r="CR340" s="143" t="str">
        <f>IF(BR340="","",IF(BV340="",IF(IFERROR(MATCH(BR340,nat_noviKluboviAliasi,0),0)&gt;0,INDEX(nat_kluboviAliasi,MATCH(BR340,nat_noviKluboviAliasi,0)),BR340),BV340))</f>
        <v>OK Maksimir</v>
      </c>
      <c r="CS340" s="47" t="s">
        <v>0</v>
      </c>
      <c r="CT340" s="58" t="str">
        <f>IF(G340="","",G340)</f>
        <v>53:15</v>
      </c>
      <c r="CU340" s="73" t="str">
        <f>IF(H340="","",H340)</f>
        <v>0</v>
      </c>
      <c r="CV340" s="229" t="str">
        <f>IF(CT340="",IF(OR(AL340="",CU340&lt;&gt;"0"),"","GREŠKA"),IF(AND(65535&gt;=VALUE(LEFT(CT340,SEARCH(":",CT340)-1))*60+VALUE(RIGHT(CT340,2)),OR(CU340="0",CU340="1",CU340="2",CU340="3",CU340="4")),"","GREŠKA"))</f>
        <v/>
      </c>
      <c r="CW340" s="230">
        <f t="shared" si="295"/>
        <v>3195</v>
      </c>
      <c r="CX340" s="163">
        <f t="shared" si="311"/>
        <v>1</v>
      </c>
      <c r="CY340" s="47" t="s">
        <v>0</v>
      </c>
      <c r="CZ340" s="222" t="str">
        <f>IF(CV340&lt;&gt;"GREŠKA","",AK340&amp;" "&amp;AL340&amp;" – Molim u OEventu provjeriti i ispraviti rezultat – vrijeme ("&amp;IF(CT340="","nije upisano",CT340)&amp;") i classifier ("&amp;CU340&amp;").")&amp;IF(OR(CV340&lt;&gt;"GREŠKA",CX340&lt;&gt;5),"
","")&amp;IF(CX340&lt;&gt;5,"",AK340&amp;" "&amp;AL340&amp;" – Molim u provjeriti je li natjecatelj zaista diskvalificiran. Ako je koje je obrazloženje, ako nije molim u OEventu ispraviti rezultat")</f>
        <v xml:space="preserve">
</v>
      </c>
      <c r="DA340" s="223">
        <f t="shared" si="342"/>
        <v>6</v>
      </c>
      <c r="DB340" s="47" t="s">
        <v>0</v>
      </c>
      <c r="DC340" s="47"/>
      <c r="DD340" s="47"/>
      <c r="DE340" s="47"/>
      <c r="DF340" s="47" t="s">
        <v>0</v>
      </c>
      <c r="DG340" s="53" t="str">
        <f>IF(BD340="","",IF(DI340="O",1,""))</f>
        <v/>
      </c>
      <c r="DH340" t="s">
        <v>0</v>
      </c>
      <c r="DI340" s="128" t="str">
        <f>IF(Q340="","",LEFT(INDEX(regKategorija_oznaka,MATCH(S340,regKategorija_id,0)),1))</f>
        <v>Ž</v>
      </c>
      <c r="DJ340" t="s">
        <v>0</v>
      </c>
      <c r="DK340" s="52" t="str">
        <f>IF(BD340="","",IF(M340&lt;&gt;"CRO","","INSERT INTO osoba (id,reg_broj,oib,spol_id,dat_rodjenja) VALUES ("&amp;BD340&amp;",(SELECT max(os.reg_broj)+1 FROM osoba AS os),Null,'"&amp;DI340&amp;"',Null); INSERT INTO osoba_log (id,reg_broj,oib,spol_id,dat_rodjenja,dnevnik_id) SELECT id,reg_broj,oib,spol_id,dat_rodjenja,"&amp;data_dnevnik_id&amp;" FROM osoba WHERE id = "&amp;BD340&amp;";"))</f>
        <v/>
      </c>
      <c r="DL340" s="66" t="str">
        <f>IF(BD340="","","INSERT INTO imeprezime (id,osoba_id,rbr,ime,prezime,klub_id,identitet_id,sintaksa_id,info,aktivno,dnevnik_id) VALUES ("&amp;BD340&amp;","&amp;IF(DK340="","Null",BD340)&amp;",1,'"&amp;IF(AV340&lt;&gt;"",AV340,AK340)&amp;"','"&amp;IF(AW340&lt;&gt;"",AW340,AL340)&amp;"',(SELECT id FROM klub WHERE naziv = '"&amp;CR340&amp;"'),Null,1,'',1,"&amp;data_dnevnik_id&amp;");")</f>
        <v/>
      </c>
      <c r="DM340" t="s">
        <v>0</v>
      </c>
      <c r="DN340" s="19" t="str">
        <f t="shared" si="294"/>
        <v/>
      </c>
      <c r="DO340" s="47" t="s">
        <v>0</v>
      </c>
      <c r="DP340" s="19" t="str">
        <f>IF(BA340="","","INSERT INTO imeprezime_alias(id,alias,imeprezime_id) VALUES ("&amp;BB340&amp;",'"&amp;BA340&amp;"',"&amp;IF(BC340="NEMA",BD340,BC340)&amp;");")</f>
        <v/>
      </c>
      <c r="DQ340" s="47" t="s">
        <v>0</v>
      </c>
      <c r="DR340" s="52" t="str">
        <f>IF(AL340="","",DU340 &amp; IF(Q340="",""," – " &amp; Q340))</f>
        <v>Željka – Vendler Čepelak – OK Maksimir – Ž65</v>
      </c>
      <c r="DS340" s="53">
        <f t="shared" si="312"/>
        <v>390</v>
      </c>
      <c r="DT340" s="47" t="s">
        <v>0</v>
      </c>
      <c r="DU340" s="52" t="str">
        <f>IF(AL340="","",DX340 &amp; IF(CR340="",""," – " &amp; CR340))</f>
        <v>Željka – Vendler Čepelak – OK Maksimir</v>
      </c>
      <c r="DV340" s="53">
        <f t="shared" si="313"/>
        <v>390</v>
      </c>
      <c r="DW340" s="47" t="s">
        <v>0</v>
      </c>
      <c r="DX340" s="52" t="str">
        <f>IF(BG340="","",BF340&amp;" – "&amp;BG340)</f>
        <v>Željka – Vendler Čepelak</v>
      </c>
      <c r="DY340" s="53">
        <f t="shared" si="314"/>
        <v>390</v>
      </c>
      <c r="DZ340" s="47" t="s">
        <v>0</v>
      </c>
      <c r="EA340" s="58">
        <f t="shared" si="343"/>
        <v>390</v>
      </c>
      <c r="EB340" s="53" cm="1">
        <f t="array" ref="EB340">IF(EA340&lt;&gt;"",INDEX(regNatjecatelj_id,EA340,0),IF(BD340&lt;&gt;"",BD340,""))</f>
        <v>1878</v>
      </c>
      <c r="EC340" s="47" t="s">
        <v>0</v>
      </c>
      <c r="ED340" s="58" t="str">
        <f>IF(AL340="","",IF(BD340&lt;&gt;"","novo",IF(AN340="","imepre","imepre(ali)")))</f>
        <v>imepre</v>
      </c>
      <c r="EE340" s="73" t="str">
        <f>IF(AL340="","",IF(BL340="",IF(IFERROR(INDEX(regNatjecatelj_klub,MATCH(EB340,regNatjecatelj_id,0)),"NEMA")="","klu",""),IF(OR(AND(BN340&lt;&gt;"",BN340&lt;&gt;"NEMA"),CD340&lt;&gt;""),"klu(ali)",IF(AND(BP340&lt;&gt;"",BP340&lt;&gt;BO340),"(raz-klu)","klu"))))</f>
        <v>klu</v>
      </c>
      <c r="EF340" s="73" t="str">
        <f>IF(AL340="","","kat"&amp;IF(AND(W340&lt;&gt;Q340,Q340&lt;&gt;"Open"),"(ali)",""))</f>
        <v>kat</v>
      </c>
      <c r="EG340" s="73" t="str">
        <f t="shared" si="315"/>
        <v/>
      </c>
      <c r="EH340" s="66" t="str">
        <f>IF(AL340="","",ED340&amp;IF(ED340="novo","","-"&amp;EE340&amp;"-"&amp;EF340)&amp;IF(EG340="","","-"&amp;EG340))</f>
        <v>imepre-klu-kat</v>
      </c>
      <c r="EI340" s="47" t="s">
        <v>0</v>
      </c>
      <c r="EJ340" s="58">
        <f>IF(AL340="","",MAX(EJ$12:EJ339)+1)</f>
        <v>484</v>
      </c>
      <c r="EK340" s="73">
        <f>IF(AO340="","",X340)</f>
        <v>44</v>
      </c>
      <c r="EL340" s="73">
        <f t="shared" si="344"/>
        <v>1878</v>
      </c>
      <c r="EM340" s="73">
        <f t="shared" si="316"/>
        <v>3195</v>
      </c>
      <c r="EN340" s="73">
        <f t="shared" si="317"/>
        <v>1</v>
      </c>
      <c r="EO340" s="73">
        <f t="shared" si="345"/>
        <v>1</v>
      </c>
      <c r="EP340" s="73">
        <f t="shared" si="346"/>
        <v>1</v>
      </c>
      <c r="EQ340" s="73" t="str">
        <f t="shared" si="318"/>
        <v>0</v>
      </c>
      <c r="ER340" s="73" t="str">
        <f>IF(OR(AN340="",AN340="NEMA"),BB340,AN340)</f>
        <v/>
      </c>
      <c r="ES340" s="73" t="str">
        <f>IF(AND(BN340&lt;&gt;"",BN340&lt;&gt;"NEMA"),BN340,IF(CG340&lt;&gt;"",CG340,IF(AND(CL340&lt;&gt;"",CL340&lt;&gt;"NEMA"),CL340,IF(CM340&lt;&gt;"",CM340,""))))</f>
        <v/>
      </c>
      <c r="ET340" s="53" t="str">
        <f>IF(INDEX(natKategorija_alias_Id,MATCH(S340,natKategorija_katRegId,0))="","",INDEX(natKategorija_alias_Id,MATCH(S340,natKategorija_katRegId,0)))</f>
        <v/>
      </c>
      <c r="EU340" s="47" t="s">
        <v>0</v>
      </c>
      <c r="EV340" s="19" t="str">
        <f t="shared" si="347"/>
        <v>INSERT INTO rezultat(id,stazakategorija_id,imeprezime_id,vrijeme_sec,status_id,registracija,uparivanje_id,originalstatus_id,imeprezimealias_id,klubalias_id,kategorijaalias_id) VALUES (484,44,1878,3195,1,1,1,0,Null,Null,Null);</v>
      </c>
      <c r="EW340" s="47" t="s">
        <v>0</v>
      </c>
      <c r="EX340" s="19" t="str">
        <f t="shared" si="348"/>
        <v>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Y340" s="47" t="s">
        <v>0</v>
      </c>
      <c r="EZ340" s="180" t="str">
        <f>AG340&amp;IF(CP340="","","
")&amp;CP340&amp;IF(CI340="","","
")&amp;CI340&amp;IF(DN340="","","
")&amp;DN340&amp;IF(DP340="","","
")&amp;DP340&amp;IF(EV340="","","
")&amp;EV340&amp;IF(EX340="","","
")&amp;EX340</f>
        <v xml:space="preserve">
INSERT INTO rezultat(id,stazakategorija_id,imeprezime_id,vrijeme_sec,status_id,registracija,uparivanje_id,originalstatus_id,imeprezimealias_id,klubalias_id,kategorijaalias_id) VALUES (484,44,1878,3195,1,1,1,0,Null,Null,Null);
UPDATE
	registar
SET
	potvrda = 1
WHERE
	imeprezime_id=1878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FA340" s="47" t="s">
        <v>0</v>
      </c>
    </row>
    <row r="341" spans="1:157" x14ac:dyDescent="0.25">
      <c r="A341" t="s">
        <v>0</v>
      </c>
      <c r="B341" s="52" t="str">
        <f>IF(csv!F331="","",csv!T331)</f>
        <v>Ž65</v>
      </c>
      <c r="C341" s="31" t="s">
        <v>0</v>
      </c>
      <c r="D341" s="31" t="str">
        <f>IF(csv!F331="","",csv!F331)</f>
        <v>Biserka</v>
      </c>
      <c r="E341" s="31" t="str">
        <f>IF(csv!E331="","",csv!E331)</f>
        <v>Horvat-Nikšić</v>
      </c>
      <c r="F341" s="31" t="s">
        <v>0</v>
      </c>
      <c r="G341" s="73" t="str">
        <f>IF(csv!M331="","",csv!M331)</f>
        <v>61:55</v>
      </c>
      <c r="H341" s="73" t="str">
        <f>IF(csv!N331="","",csv!N331)</f>
        <v>0</v>
      </c>
      <c r="I341" s="31" t="s">
        <v>0</v>
      </c>
      <c r="J341" s="31" t="str">
        <f>IF(csv!P331="","",csv!P331)</f>
        <v>Vihor</v>
      </c>
      <c r="K341" s="31" t="str">
        <f>IF(csv!Q331="","",csv!Q331)</f>
        <v>OK Vihor</v>
      </c>
      <c r="L341" s="31" t="s">
        <v>0</v>
      </c>
      <c r="M341" s="66" t="str">
        <f>IF(csv!R331="","",csv!R331)</f>
        <v>CRO</v>
      </c>
      <c r="N341" s="47" t="s">
        <v>0</v>
      </c>
      <c r="O341" s="243" t="str">
        <f t="shared" si="319"/>
        <v>ok</v>
      </c>
      <c r="P341" s="47"/>
      <c r="Q341" s="52" t="str">
        <f t="shared" si="320"/>
        <v>Ž65</v>
      </c>
      <c r="R341" s="73">
        <f>IF(Q341="","",IF(COUNTIF(Q$12:Q340,Q341)=0,R340+1,R340))</f>
        <v>22</v>
      </c>
      <c r="S341" s="73">
        <f t="shared" si="321"/>
        <v>114</v>
      </c>
      <c r="T341" s="73">
        <f t="shared" si="297"/>
        <v>23</v>
      </c>
      <c r="U341" s="66" t="str">
        <f t="shared" si="298"/>
        <v>Ž65</v>
      </c>
      <c r="V341" s="47" t="s">
        <v>0</v>
      </c>
      <c r="W341" s="222" t="str">
        <f t="shared" si="299"/>
        <v>Ž65</v>
      </c>
      <c r="X341" s="223">
        <f t="shared" si="300"/>
        <v>44</v>
      </c>
      <c r="Y341" s="47" t="s">
        <v>0</v>
      </c>
      <c r="Z341" s="52" t="str">
        <f t="shared" si="322"/>
        <v>CRO</v>
      </c>
      <c r="AA341" s="73">
        <f t="shared" si="301"/>
        <v>1</v>
      </c>
      <c r="AB341" s="31" t="str">
        <f t="shared" si="323"/>
        <v/>
      </c>
      <c r="AC341" s="66" t="str">
        <f>IF(AB341="","",MAX(AC$12:AC340)+1)</f>
        <v/>
      </c>
      <c r="AD341" s="47" t="s">
        <v>0</v>
      </c>
      <c r="AE341" s="125"/>
      <c r="AF341" s="47" t="s">
        <v>0</v>
      </c>
      <c r="AG341" s="19" t="str">
        <f t="shared" si="324"/>
        <v/>
      </c>
      <c r="AH341" s="47" t="s">
        <v>0</v>
      </c>
      <c r="AI341" s="143" t="str">
        <f t="shared" si="325"/>
        <v>CRO</v>
      </c>
      <c r="AJ341" s="47"/>
      <c r="AK341" s="52" t="str">
        <f t="shared" si="326"/>
        <v>Biserka</v>
      </c>
      <c r="AL341" s="31" t="str">
        <f t="shared" si="327"/>
        <v>Horvat-Nikšić</v>
      </c>
      <c r="AM341" s="73">
        <f t="shared" si="328"/>
        <v>1324</v>
      </c>
      <c r="AN341" s="73" t="str">
        <f t="shared" si="329"/>
        <v/>
      </c>
      <c r="AO341" s="31" t="str">
        <f t="shared" si="302"/>
        <v>Biserka</v>
      </c>
      <c r="AP341" s="66" t="str">
        <f t="shared" si="303"/>
        <v>Horvat-Nikšić</v>
      </c>
      <c r="AQ341" s="47" t="s">
        <v>0</v>
      </c>
      <c r="AR341" s="82" t="str">
        <f t="shared" si="330"/>
        <v/>
      </c>
      <c r="AS341" s="47" t="s">
        <v>0</v>
      </c>
      <c r="AT341" s="19" t="str">
        <f t="shared" si="331"/>
        <v/>
      </c>
      <c r="AU341" s="47" t="s">
        <v>0</v>
      </c>
      <c r="AV341" s="103"/>
      <c r="AW341" s="105"/>
      <c r="AX341" s="47" t="s">
        <v>0</v>
      </c>
      <c r="AY341" s="256" t="str">
        <f t="shared" ref="AY341:AY404" si="349">IF(AND(AV341="",AW341&lt;&gt;""),"FALI IME",IF(AND(AV341&lt;&gt;"",AW341=""),"FALI PREZIME",IF(OR(AM341="",AND(AM341="NEMA",AN341="NEMA"),AV341&amp;AW341=""),"","GREŠKA")))</f>
        <v/>
      </c>
      <c r="AZ341" s="47" t="s">
        <v>0</v>
      </c>
      <c r="BA341" s="52" t="str">
        <f t="shared" si="296"/>
        <v/>
      </c>
      <c r="BB341" s="73" t="str">
        <f>IF(AV341&amp;AW341="","",MAX(BB$12:BB340)+1)</f>
        <v/>
      </c>
      <c r="BC341" s="268" t="str">
        <f t="shared" si="304"/>
        <v/>
      </c>
      <c r="BD341" s="53" t="str">
        <f>IF(AND(AM341="NEMA",AN341="NEMA",OR(AV341&amp;AW341="",BC341="NEMA")),MAX(BD$12:BD340)+1,"")</f>
        <v/>
      </c>
      <c r="BE341" s="47" t="s">
        <v>0</v>
      </c>
      <c r="BF341" s="52" t="str">
        <f t="shared" si="305"/>
        <v>Biserka</v>
      </c>
      <c r="BG341" s="31" t="str">
        <f t="shared" si="306"/>
        <v>Horvat-Nikšić</v>
      </c>
      <c r="BH341" s="73" t="str">
        <f t="shared" si="332"/>
        <v/>
      </c>
      <c r="BI341" s="53">
        <f t="shared" si="333"/>
        <v>1324</v>
      </c>
      <c r="BJ341" s="47" t="s">
        <v>0</v>
      </c>
      <c r="BK341" s="52" t="str">
        <f t="shared" si="307"/>
        <v>Vihor</v>
      </c>
      <c r="BL341" s="31" t="str">
        <f t="shared" si="308"/>
        <v>OK Vihor</v>
      </c>
      <c r="BM341" s="73">
        <f t="shared" si="309"/>
        <v>12</v>
      </c>
      <c r="BN341" s="73" t="str">
        <f t="shared" si="310"/>
        <v/>
      </c>
      <c r="BO341" s="31" t="str" cm="1">
        <f t="array" ref="BO341">IF(BN341="",""&amp;BL341,IF(BN341="NEMA",BL341,INDEX(regKlub_naziv,MATCH(INDEX(regKlub_alias_klubId,BN341),regKlub_id,0))))</f>
        <v>OK Vihor</v>
      </c>
      <c r="BP341" s="31" t="str" cm="1">
        <f t="array" ref="BP341">IFERROR(""&amp;INDEX(regNatjecatelj_klub,DY341),"")</f>
        <v>OK Vihor</v>
      </c>
      <c r="BQ341" s="88" t="str">
        <f t="shared" si="334"/>
        <v/>
      </c>
      <c r="BR341" s="66" t="str">
        <f t="shared" si="335"/>
        <v>OK Vihor</v>
      </c>
      <c r="BS341" s="47" t="s">
        <v>0</v>
      </c>
      <c r="BT341" s="82" t="str">
        <f>IF(BN341&lt;&gt;"NEMA","",IF(IFERROR(MATCH(BL341,BL$12:BL340,0),0)&lt;&gt;0,"",BL341))</f>
        <v/>
      </c>
      <c r="BU341" s="47" t="s">
        <v>0</v>
      </c>
      <c r="BV341" s="125"/>
      <c r="BW341" s="47" t="s">
        <v>0</v>
      </c>
      <c r="BX341" s="58" t="str">
        <f t="shared" si="336"/>
        <v/>
      </c>
      <c r="BY341" s="31" t="str">
        <f t="shared" si="337"/>
        <v/>
      </c>
      <c r="BZ341" s="31" t="str">
        <f>IF(BY341="","",MAX(BZ$12:BZ340)+1)</f>
        <v/>
      </c>
      <c r="CA341" s="31" t="str">
        <f>IF(BY341="","",IF(AA341="","",IF(AA341="NEMA",AC341,AA341)))</f>
        <v/>
      </c>
      <c r="CB341" s="31" t="str">
        <f t="shared" si="338"/>
        <v/>
      </c>
      <c r="CC341" s="31" t="str">
        <f>IF(BV341="","",MAX(CC$12:CC340)+1)</f>
        <v/>
      </c>
      <c r="CD341" s="31" t="str">
        <f t="shared" si="339"/>
        <v/>
      </c>
      <c r="CE341" s="66" t="str">
        <f t="shared" si="340"/>
        <v/>
      </c>
      <c r="CF341" s="47" t="s">
        <v>0</v>
      </c>
      <c r="CG341" s="73" t="str">
        <f>IF(BN341="","",IF(BN341&lt;&gt;"NEMA","",IFERROR(INDEX(nat_klubAliasId,MATCH(BL341,nat_noviKluboviAliasi,0)),"")))</f>
        <v/>
      </c>
      <c r="CH341" s="47"/>
      <c r="CI341" s="19" t="str">
        <f t="shared" si="341"/>
        <v/>
      </c>
      <c r="CJ341" s="47" t="s">
        <v>0</v>
      </c>
      <c r="CK341" s="52" t="str">
        <f>IF(X341&lt;&gt;"NEMA","",IF(IFERROR(MATCH(W341,W$12:W340,0),0)&lt;&gt;0,"",W341))</f>
        <v/>
      </c>
      <c r="CL341" s="73" t="str">
        <f>IF(CK341="","",IFERROR(INDEX(regKlub_alias_id,MATCH(CK341,regKlub_alias_alias,0)),"NEMA"))</f>
        <v/>
      </c>
      <c r="CM341" s="31" t="str">
        <f>IF(OR(CL341="",CL341&lt;&gt;"NEMA"),"",MAX(CM$12:CM340)+1)</f>
        <v/>
      </c>
      <c r="CN341" s="66" t="str">
        <f>IF(OR(CL341="",CL341&lt;&gt;"NEMA"),"",INDEX(regKlub_id,MATCH(CK341,regKlub_naziv,0)))</f>
        <v/>
      </c>
      <c r="CO341" s="47" t="s">
        <v>0</v>
      </c>
      <c r="CP341" s="19" t="str">
        <f>IF(OR(CL341="",CL341&lt;&gt;"NEMA"),"","INSERT INTO klub_alias(id,alias,klub_id) VALUES ("&amp;CM341&amp;",'"&amp;CK341&amp;"',"&amp;CN341&amp;");")</f>
        <v/>
      </c>
      <c r="CQ341" s="47" t="s">
        <v>0</v>
      </c>
      <c r="CR341" s="143" t="str">
        <f>IF(BR341="","",IF(BV341="",IF(IFERROR(MATCH(BR341,nat_noviKluboviAliasi,0),0)&gt;0,INDEX(nat_kluboviAliasi,MATCH(BR341,nat_noviKluboviAliasi,0)),BR341),BV341))</f>
        <v>OK Vihor</v>
      </c>
      <c r="CS341" s="47" t="s">
        <v>0</v>
      </c>
      <c r="CT341" s="58" t="str">
        <f>IF(G341="","",G341)</f>
        <v>61:55</v>
      </c>
      <c r="CU341" s="73" t="str">
        <f>IF(H341="","",H341)</f>
        <v>0</v>
      </c>
      <c r="CV341" s="229" t="str">
        <f>IF(CT341="",IF(OR(AL341="",CU341&lt;&gt;"0"),"","GREŠKA"),IF(AND(65535&gt;=VALUE(LEFT(CT341,SEARCH(":",CT341)-1))*60+VALUE(RIGHT(CT341,2)),OR(CU341="0",CU341="1",CU341="2",CU341="3",CU341="4")),"","GREŠKA"))</f>
        <v/>
      </c>
      <c r="CW341" s="230">
        <f t="shared" si="295"/>
        <v>3715</v>
      </c>
      <c r="CX341" s="163">
        <f t="shared" si="311"/>
        <v>1</v>
      </c>
      <c r="CY341" s="47" t="s">
        <v>0</v>
      </c>
      <c r="CZ341" s="222" t="str">
        <f>IF(CV341&lt;&gt;"GREŠKA","",AK341&amp;" "&amp;AL341&amp;" – Molim u OEventu provjeriti i ispraviti rezultat – vrijeme ("&amp;IF(CT341="","nije upisano",CT341)&amp;") i classifier ("&amp;CU341&amp;").")&amp;IF(OR(CV341&lt;&gt;"GREŠKA",CX341&lt;&gt;5),"
","")&amp;IF(CX341&lt;&gt;5,"",AK341&amp;" "&amp;AL341&amp;" – Molim u provjeriti je li natjecatelj zaista diskvalificiran. Ako je koje je obrazloženje, ako nije molim u OEventu ispraviti rezultat")</f>
        <v xml:space="preserve">
</v>
      </c>
      <c r="DA341" s="223">
        <f t="shared" si="342"/>
        <v>6</v>
      </c>
      <c r="DB341" s="47" t="s">
        <v>0</v>
      </c>
      <c r="DC341" s="47"/>
      <c r="DD341" s="47"/>
      <c r="DE341" s="47"/>
      <c r="DF341" s="47" t="s">
        <v>0</v>
      </c>
      <c r="DG341" s="53" t="str">
        <f>IF(BD341="","",IF(DI341="O",1,""))</f>
        <v/>
      </c>
      <c r="DH341" t="s">
        <v>0</v>
      </c>
      <c r="DI341" s="128" t="str">
        <f>IF(Q341="","",LEFT(INDEX(regKategorija_oznaka,MATCH(S341,regKategorija_id,0)),1))</f>
        <v>Ž</v>
      </c>
      <c r="DJ341" t="s">
        <v>0</v>
      </c>
      <c r="DK341" s="52" t="str">
        <f>IF(BD341="","",IF(M341&lt;&gt;"CRO","","INSERT INTO osoba (id,reg_broj,oib,spol_id,dat_rodjenja) VALUES ("&amp;BD341&amp;",(SELECT max(os.reg_broj)+1 FROM osoba AS os),Null,'"&amp;DI341&amp;"',Null); INSERT INTO osoba_log (id,reg_broj,oib,spol_id,dat_rodjenja,dnevnik_id) SELECT id,reg_broj,oib,spol_id,dat_rodjenja,"&amp;data_dnevnik_id&amp;" FROM osoba WHERE id = "&amp;BD341&amp;";"))</f>
        <v/>
      </c>
      <c r="DL341" s="66" t="str">
        <f>IF(BD341="","","INSERT INTO imeprezime (id,osoba_id,rbr,ime,prezime,klub_id,identitet_id,sintaksa_id,info,aktivno,dnevnik_id) VALUES ("&amp;BD341&amp;","&amp;IF(DK341="","Null",BD341)&amp;",1,'"&amp;IF(AV341&lt;&gt;"",AV341,AK341)&amp;"','"&amp;IF(AW341&lt;&gt;"",AW341,AL341)&amp;"',(SELECT id FROM klub WHERE naziv = '"&amp;CR341&amp;"'),Null,1,'',1,"&amp;data_dnevnik_id&amp;");")</f>
        <v/>
      </c>
      <c r="DM341" t="s">
        <v>0</v>
      </c>
      <c r="DN341" s="19" t="str">
        <f t="shared" ref="DN341:DN404" si="350">IF(DK341="",DL341,DK341&amp;" "&amp;DL341)</f>
        <v/>
      </c>
      <c r="DO341" s="47" t="s">
        <v>0</v>
      </c>
      <c r="DP341" s="19" t="str">
        <f>IF(BA341="","","INSERT INTO imeprezime_alias(id,alias,imeprezime_id) VALUES ("&amp;BB341&amp;",'"&amp;BA341&amp;"',"&amp;IF(BC341="NEMA",BD341,BC341)&amp;");")</f>
        <v/>
      </c>
      <c r="DQ341" s="47" t="s">
        <v>0</v>
      </c>
      <c r="DR341" s="52" t="str">
        <f>IF(AL341="","",DU341 &amp; IF(Q341="",""," – " &amp; Q341))</f>
        <v>Biserka – Horvat-Nikšić – OK Vihor – Ž65</v>
      </c>
      <c r="DS341" s="53">
        <f t="shared" si="312"/>
        <v>701</v>
      </c>
      <c r="DT341" s="47" t="s">
        <v>0</v>
      </c>
      <c r="DU341" s="52" t="str">
        <f>IF(AL341="","",DX341 &amp; IF(CR341="",""," – " &amp; CR341))</f>
        <v>Biserka – Horvat-Nikšić – OK Vihor</v>
      </c>
      <c r="DV341" s="53">
        <f t="shared" si="313"/>
        <v>701</v>
      </c>
      <c r="DW341" s="47" t="s">
        <v>0</v>
      </c>
      <c r="DX341" s="52" t="str">
        <f>IF(BG341="","",BF341&amp;" – "&amp;BG341)</f>
        <v>Biserka – Horvat-Nikšić</v>
      </c>
      <c r="DY341" s="53">
        <f t="shared" si="314"/>
        <v>701</v>
      </c>
      <c r="DZ341" s="47" t="s">
        <v>0</v>
      </c>
      <c r="EA341" s="58">
        <f t="shared" si="343"/>
        <v>701</v>
      </c>
      <c r="EB341" s="53" cm="1">
        <f t="array" ref="EB341">IF(EA341&lt;&gt;"",INDEX(regNatjecatelj_id,EA341,0),IF(BD341&lt;&gt;"",BD341,""))</f>
        <v>1324</v>
      </c>
      <c r="EC341" s="47" t="s">
        <v>0</v>
      </c>
      <c r="ED341" s="58" t="str">
        <f>IF(AL341="","",IF(BD341&lt;&gt;"","novo",IF(AN341="","imepre","imepre(ali)")))</f>
        <v>imepre</v>
      </c>
      <c r="EE341" s="73" t="str">
        <f>IF(AL341="","",IF(BL341="",IF(IFERROR(INDEX(regNatjecatelj_klub,MATCH(EB341,regNatjecatelj_id,0)),"NEMA")="","klu",""),IF(OR(AND(BN341&lt;&gt;"",BN341&lt;&gt;"NEMA"),CD341&lt;&gt;""),"klu(ali)",IF(AND(BP341&lt;&gt;"",BP341&lt;&gt;BO341),"(raz-klu)","klu"))))</f>
        <v>klu</v>
      </c>
      <c r="EF341" s="73" t="str">
        <f>IF(AL341="","","kat"&amp;IF(AND(W341&lt;&gt;Q341,Q341&lt;&gt;"Open"),"(ali)",""))</f>
        <v>kat</v>
      </c>
      <c r="EG341" s="73" t="str">
        <f t="shared" si="315"/>
        <v/>
      </c>
      <c r="EH341" s="66" t="str">
        <f>IF(AL341="","",ED341&amp;IF(ED341="novo","","-"&amp;EE341&amp;"-"&amp;EF341)&amp;IF(EG341="","","-"&amp;EG341))</f>
        <v>imepre-klu-kat</v>
      </c>
      <c r="EI341" s="47" t="s">
        <v>0</v>
      </c>
      <c r="EJ341" s="58">
        <f>IF(AL341="","",MAX(EJ$12:EJ340)+1)</f>
        <v>485</v>
      </c>
      <c r="EK341" s="73">
        <f>IF(AO341="","",X341)</f>
        <v>44</v>
      </c>
      <c r="EL341" s="73">
        <f t="shared" si="344"/>
        <v>1324</v>
      </c>
      <c r="EM341" s="73">
        <f t="shared" si="316"/>
        <v>3715</v>
      </c>
      <c r="EN341" s="73">
        <f t="shared" si="317"/>
        <v>1</v>
      </c>
      <c r="EO341" s="73">
        <f t="shared" si="345"/>
        <v>1</v>
      </c>
      <c r="EP341" s="73">
        <f t="shared" si="346"/>
        <v>1</v>
      </c>
      <c r="EQ341" s="73" t="str">
        <f t="shared" si="318"/>
        <v>0</v>
      </c>
      <c r="ER341" s="73" t="str">
        <f>IF(OR(AN341="",AN341="NEMA"),BB341,AN341)</f>
        <v/>
      </c>
      <c r="ES341" s="73" t="str">
        <f>IF(AND(BN341&lt;&gt;"",BN341&lt;&gt;"NEMA"),BN341,IF(CG341&lt;&gt;"",CG341,IF(AND(CL341&lt;&gt;"",CL341&lt;&gt;"NEMA"),CL341,IF(CM341&lt;&gt;"",CM341,""))))</f>
        <v/>
      </c>
      <c r="ET341" s="53" t="str">
        <f>IF(INDEX(natKategorija_alias_Id,MATCH(S341,natKategorija_katRegId,0))="","",INDEX(natKategorija_alias_Id,MATCH(S341,natKategorija_katRegId,0)))</f>
        <v/>
      </c>
      <c r="EU341" s="47" t="s">
        <v>0</v>
      </c>
      <c r="EV341" s="19" t="str">
        <f t="shared" si="347"/>
        <v>INSERT INTO rezultat(id,stazakategorija_id,imeprezime_id,vrijeme_sec,status_id,registracija,uparivanje_id,originalstatus_id,imeprezimealias_id,klubalias_id,kategorijaalias_id) VALUES (485,44,1324,3715,1,1,1,0,Null,Null,Null);</v>
      </c>
      <c r="EW341" s="47" t="s">
        <v>0</v>
      </c>
      <c r="EX341" s="19" t="str">
        <f t="shared" si="348"/>
        <v>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Y341" s="47" t="s">
        <v>0</v>
      </c>
      <c r="EZ341" s="180" t="str">
        <f>AG341&amp;IF(CP341="","","
")&amp;CP341&amp;IF(CI341="","","
")&amp;CI341&amp;IF(DN341="","","
")&amp;DN341&amp;IF(DP341="","","
")&amp;DP341&amp;IF(EV341="","","
")&amp;EV341&amp;IF(EX341="","","
")&amp;EX341</f>
        <v xml:space="preserve">
INSERT INTO rezultat(id,stazakategorija_id,imeprezime_id,vrijeme_sec,status_id,registracija,uparivanje_id,originalstatus_id,imeprezimealias_id,klubalias_id,kategorijaalias_id) VALUES (485,44,1324,3715,1,1,1,0,Null,Null,Null);
UPDATE
	registar
SET
	potvrda = 1
WHERE
	imeprezime_id=1324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FA341" s="47" t="s">
        <v>0</v>
      </c>
    </row>
    <row r="342" spans="1:157" x14ac:dyDescent="0.25">
      <c r="A342" t="s">
        <v>0</v>
      </c>
      <c r="B342" s="52" t="str">
        <f>IF(csv!F332="","",csv!T332)</f>
        <v>Ž65</v>
      </c>
      <c r="C342" s="31" t="s">
        <v>0</v>
      </c>
      <c r="D342" s="31" t="str">
        <f>IF(csv!F332="","",csv!F332)</f>
        <v>Vera</v>
      </c>
      <c r="E342" s="31" t="str">
        <f>IF(csv!E332="","",csv!E332)</f>
        <v>Franc</v>
      </c>
      <c r="F342" s="31" t="s">
        <v>0</v>
      </c>
      <c r="G342" s="73" t="str">
        <f>IF(csv!M332="","",csv!M332)</f>
        <v>69:14</v>
      </c>
      <c r="H342" s="73" t="str">
        <f>IF(csv!N332="","",csv!N332)</f>
        <v>0</v>
      </c>
      <c r="I342" s="31" t="s">
        <v>0</v>
      </c>
      <c r="J342" s="31" t="str">
        <f>IF(csv!P332="","",csv!P332)</f>
        <v>KAP</v>
      </c>
      <c r="K342" s="31" t="str">
        <f>IF(csv!Q332="","",csv!Q332)</f>
        <v>OK Kapela</v>
      </c>
      <c r="L342" s="31" t="s">
        <v>0</v>
      </c>
      <c r="M342" s="66" t="str">
        <f>IF(csv!R332="","",csv!R332)</f>
        <v>CRO</v>
      </c>
      <c r="N342" s="47" t="s">
        <v>0</v>
      </c>
      <c r="O342" s="243" t="str">
        <f t="shared" si="319"/>
        <v>ok</v>
      </c>
      <c r="P342" s="47"/>
      <c r="Q342" s="52" t="str">
        <f t="shared" si="320"/>
        <v>Ž65</v>
      </c>
      <c r="R342" s="73">
        <f>IF(Q342="","",IF(COUNTIF(Q$12:Q341,Q342)=0,R341+1,R341))</f>
        <v>22</v>
      </c>
      <c r="S342" s="73">
        <f t="shared" si="321"/>
        <v>114</v>
      </c>
      <c r="T342" s="73">
        <f t="shared" si="297"/>
        <v>23</v>
      </c>
      <c r="U342" s="66" t="str">
        <f t="shared" si="298"/>
        <v>Ž65</v>
      </c>
      <c r="V342" s="47" t="s">
        <v>0</v>
      </c>
      <c r="W342" s="222" t="str">
        <f t="shared" si="299"/>
        <v>Ž65</v>
      </c>
      <c r="X342" s="223">
        <f t="shared" si="300"/>
        <v>44</v>
      </c>
      <c r="Y342" s="47" t="s">
        <v>0</v>
      </c>
      <c r="Z342" s="52" t="str">
        <f t="shared" si="322"/>
        <v>CRO</v>
      </c>
      <c r="AA342" s="73">
        <f t="shared" si="301"/>
        <v>1</v>
      </c>
      <c r="AB342" s="31" t="str">
        <f t="shared" si="323"/>
        <v/>
      </c>
      <c r="AC342" s="66" t="str">
        <f>IF(AB342="","",MAX(AC$12:AC341)+1)</f>
        <v/>
      </c>
      <c r="AD342" s="47" t="s">
        <v>0</v>
      </c>
      <c r="AE342" s="125"/>
      <c r="AF342" s="47" t="s">
        <v>0</v>
      </c>
      <c r="AG342" s="19" t="str">
        <f t="shared" si="324"/>
        <v/>
      </c>
      <c r="AH342" s="47" t="s">
        <v>0</v>
      </c>
      <c r="AI342" s="143" t="str">
        <f t="shared" si="325"/>
        <v>CRO</v>
      </c>
      <c r="AJ342" s="47"/>
      <c r="AK342" s="52" t="str">
        <f t="shared" si="326"/>
        <v>Vera</v>
      </c>
      <c r="AL342" s="31" t="str">
        <f t="shared" si="327"/>
        <v>Franc</v>
      </c>
      <c r="AM342" s="73">
        <f t="shared" si="328"/>
        <v>1279</v>
      </c>
      <c r="AN342" s="73" t="str">
        <f t="shared" si="329"/>
        <v/>
      </c>
      <c r="AO342" s="31" t="str">
        <f t="shared" si="302"/>
        <v>Vera</v>
      </c>
      <c r="AP342" s="66" t="str">
        <f t="shared" si="303"/>
        <v>Franc</v>
      </c>
      <c r="AQ342" s="47" t="s">
        <v>0</v>
      </c>
      <c r="AR342" s="82" t="str">
        <f t="shared" si="330"/>
        <v/>
      </c>
      <c r="AS342" s="47" t="s">
        <v>0</v>
      </c>
      <c r="AT342" s="19" t="str">
        <f t="shared" si="331"/>
        <v/>
      </c>
      <c r="AU342" s="47" t="s">
        <v>0</v>
      </c>
      <c r="AV342" s="103"/>
      <c r="AW342" s="105"/>
      <c r="AX342" s="47" t="s">
        <v>0</v>
      </c>
      <c r="AY342" s="256" t="str">
        <f t="shared" si="349"/>
        <v/>
      </c>
      <c r="AZ342" s="47" t="s">
        <v>0</v>
      </c>
      <c r="BA342" s="52" t="str">
        <f t="shared" si="296"/>
        <v/>
      </c>
      <c r="BB342" s="73" t="str">
        <f>IF(AV342&amp;AW342="","",MAX(BB$12:BB341)+1)</f>
        <v/>
      </c>
      <c r="BC342" s="268" t="str">
        <f t="shared" si="304"/>
        <v/>
      </c>
      <c r="BD342" s="53" t="str">
        <f>IF(AND(AM342="NEMA",AN342="NEMA",OR(AV342&amp;AW342="",BC342="NEMA")),MAX(BD$12:BD341)+1,"")</f>
        <v/>
      </c>
      <c r="BE342" s="47" t="s">
        <v>0</v>
      </c>
      <c r="BF342" s="52" t="str">
        <f t="shared" si="305"/>
        <v>Vera</v>
      </c>
      <c r="BG342" s="31" t="str">
        <f t="shared" si="306"/>
        <v>Franc</v>
      </c>
      <c r="BH342" s="73" t="str">
        <f t="shared" si="332"/>
        <v/>
      </c>
      <c r="BI342" s="53">
        <f t="shared" si="333"/>
        <v>1279</v>
      </c>
      <c r="BJ342" s="47" t="s">
        <v>0</v>
      </c>
      <c r="BK342" s="52" t="str">
        <f t="shared" si="307"/>
        <v>KAP</v>
      </c>
      <c r="BL342" s="31" t="str">
        <f t="shared" si="308"/>
        <v>OK Kapela</v>
      </c>
      <c r="BM342" s="73">
        <f t="shared" si="309"/>
        <v>5</v>
      </c>
      <c r="BN342" s="73" t="str">
        <f t="shared" si="310"/>
        <v/>
      </c>
      <c r="BO342" s="31" t="str" cm="1">
        <f t="array" ref="BO342">IF(BN342="",""&amp;BL342,IF(BN342="NEMA",BL342,INDEX(regKlub_naziv,MATCH(INDEX(regKlub_alias_klubId,BN342),regKlub_id,0))))</f>
        <v>OK Kapela</v>
      </c>
      <c r="BP342" s="31" t="str" cm="1">
        <f t="array" ref="BP342">IFERROR(""&amp;INDEX(regNatjecatelj_klub,DY342),"")</f>
        <v>OK Kapela</v>
      </c>
      <c r="BQ342" s="88" t="str">
        <f t="shared" si="334"/>
        <v/>
      </c>
      <c r="BR342" s="66" t="str">
        <f t="shared" si="335"/>
        <v>OK Kapela</v>
      </c>
      <c r="BS342" s="47" t="s">
        <v>0</v>
      </c>
      <c r="BT342" s="82" t="str">
        <f>IF(BN342&lt;&gt;"NEMA","",IF(IFERROR(MATCH(BL342,BL$12:BL341,0),0)&lt;&gt;0,"",BL342))</f>
        <v/>
      </c>
      <c r="BU342" s="47" t="s">
        <v>0</v>
      </c>
      <c r="BV342" s="125"/>
      <c r="BW342" s="47" t="s">
        <v>0</v>
      </c>
      <c r="BX342" s="58" t="str">
        <f t="shared" si="336"/>
        <v/>
      </c>
      <c r="BY342" s="31" t="str">
        <f t="shared" si="337"/>
        <v/>
      </c>
      <c r="BZ342" s="31" t="str">
        <f>IF(BY342="","",MAX(BZ$12:BZ341)+1)</f>
        <v/>
      </c>
      <c r="CA342" s="31" t="str">
        <f>IF(BY342="","",IF(AA342="","",IF(AA342="NEMA",AC342,AA342)))</f>
        <v/>
      </c>
      <c r="CB342" s="31" t="str">
        <f t="shared" si="338"/>
        <v/>
      </c>
      <c r="CC342" s="31" t="str">
        <f>IF(BV342="","",MAX(CC$12:CC341)+1)</f>
        <v/>
      </c>
      <c r="CD342" s="31" t="str">
        <f t="shared" si="339"/>
        <v/>
      </c>
      <c r="CE342" s="66" t="str">
        <f t="shared" si="340"/>
        <v/>
      </c>
      <c r="CF342" s="47" t="s">
        <v>0</v>
      </c>
      <c r="CG342" s="73" t="str">
        <f>IF(BN342="","",IF(BN342&lt;&gt;"NEMA","",IFERROR(INDEX(nat_klubAliasId,MATCH(BL342,nat_noviKluboviAliasi,0)),"")))</f>
        <v/>
      </c>
      <c r="CH342" s="47"/>
      <c r="CI342" s="19" t="str">
        <f t="shared" si="341"/>
        <v/>
      </c>
      <c r="CJ342" s="47" t="s">
        <v>0</v>
      </c>
      <c r="CK342" s="52" t="str">
        <f>IF(X342&lt;&gt;"NEMA","",IF(IFERROR(MATCH(W342,W$12:W341,0),0)&lt;&gt;0,"",W342))</f>
        <v/>
      </c>
      <c r="CL342" s="73" t="str">
        <f>IF(CK342="","",IFERROR(INDEX(regKlub_alias_id,MATCH(CK342,regKlub_alias_alias,0)),"NEMA"))</f>
        <v/>
      </c>
      <c r="CM342" s="31" t="str">
        <f>IF(OR(CL342="",CL342&lt;&gt;"NEMA"),"",MAX(CM$12:CM341)+1)</f>
        <v/>
      </c>
      <c r="CN342" s="66" t="str">
        <f>IF(OR(CL342="",CL342&lt;&gt;"NEMA"),"",INDEX(regKlub_id,MATCH(CK342,regKlub_naziv,0)))</f>
        <v/>
      </c>
      <c r="CO342" s="47" t="s">
        <v>0</v>
      </c>
      <c r="CP342" s="19" t="str">
        <f>IF(OR(CL342="",CL342&lt;&gt;"NEMA"),"","INSERT INTO klub_alias(id,alias,klub_id) VALUES ("&amp;CM342&amp;",'"&amp;CK342&amp;"',"&amp;CN342&amp;");")</f>
        <v/>
      </c>
      <c r="CQ342" s="47" t="s">
        <v>0</v>
      </c>
      <c r="CR342" s="143" t="str">
        <f>IF(BR342="","",IF(BV342="",IF(IFERROR(MATCH(BR342,nat_noviKluboviAliasi,0),0)&gt;0,INDEX(nat_kluboviAliasi,MATCH(BR342,nat_noviKluboviAliasi,0)),BR342),BV342))</f>
        <v>OK Kapela</v>
      </c>
      <c r="CS342" s="47" t="s">
        <v>0</v>
      </c>
      <c r="CT342" s="58" t="str">
        <f>IF(G342="","",G342)</f>
        <v>69:14</v>
      </c>
      <c r="CU342" s="73" t="str">
        <f>IF(H342="","",H342)</f>
        <v>0</v>
      </c>
      <c r="CV342" s="229" t="str">
        <f>IF(CT342="",IF(OR(AL342="",CU342&lt;&gt;"0"),"","GREŠKA"),IF(AND(65535&gt;=VALUE(LEFT(CT342,SEARCH(":",CT342)-1))*60+VALUE(RIGHT(CT342,2)),OR(CU342="0",CU342="1",CU342="2",CU342="3",CU342="4")),"","GREŠKA"))</f>
        <v/>
      </c>
      <c r="CW342" s="230">
        <f t="shared" si="295"/>
        <v>4154</v>
      </c>
      <c r="CX342" s="163">
        <f t="shared" si="311"/>
        <v>1</v>
      </c>
      <c r="CY342" s="47" t="s">
        <v>0</v>
      </c>
      <c r="CZ342" s="222" t="str">
        <f>IF(CV342&lt;&gt;"GREŠKA","",AK342&amp;" "&amp;AL342&amp;" – Molim u OEventu provjeriti i ispraviti rezultat – vrijeme ("&amp;IF(CT342="","nije upisano",CT342)&amp;") i classifier ("&amp;CU342&amp;").")&amp;IF(OR(CV342&lt;&gt;"GREŠKA",CX342&lt;&gt;5),"
","")&amp;IF(CX342&lt;&gt;5,"",AK342&amp;" "&amp;AL342&amp;" – Molim u provjeriti je li natjecatelj zaista diskvalificiran. Ako je koje je obrazloženje, ako nije molim u OEventu ispraviti rezultat")</f>
        <v xml:space="preserve">
</v>
      </c>
      <c r="DA342" s="223">
        <f t="shared" si="342"/>
        <v>6</v>
      </c>
      <c r="DB342" s="47" t="s">
        <v>0</v>
      </c>
      <c r="DC342" s="47"/>
      <c r="DD342" s="47"/>
      <c r="DE342" s="47"/>
      <c r="DF342" s="47" t="s">
        <v>0</v>
      </c>
      <c r="DG342" s="53" t="str">
        <f>IF(BD342="","",IF(DI342="O",1,""))</f>
        <v/>
      </c>
      <c r="DH342" t="s">
        <v>0</v>
      </c>
      <c r="DI342" s="128" t="str">
        <f>IF(Q342="","",LEFT(INDEX(regKategorija_oznaka,MATCH(S342,regKategorija_id,0)),1))</f>
        <v>Ž</v>
      </c>
      <c r="DJ342" t="s">
        <v>0</v>
      </c>
      <c r="DK342" s="52" t="str">
        <f>IF(BD342="","",IF(M342&lt;&gt;"CRO","","INSERT INTO osoba (id,reg_broj,oib,spol_id,dat_rodjenja) VALUES ("&amp;BD342&amp;",(SELECT max(os.reg_broj)+1 FROM osoba AS os),Null,'"&amp;DI342&amp;"',Null); INSERT INTO osoba_log (id,reg_broj,oib,spol_id,dat_rodjenja,dnevnik_id) SELECT id,reg_broj,oib,spol_id,dat_rodjenja,"&amp;data_dnevnik_id&amp;" FROM osoba WHERE id = "&amp;BD342&amp;";"))</f>
        <v/>
      </c>
      <c r="DL342" s="66" t="str">
        <f>IF(BD342="","","INSERT INTO imeprezime (id,osoba_id,rbr,ime,prezime,klub_id,identitet_id,sintaksa_id,info,aktivno,dnevnik_id) VALUES ("&amp;BD342&amp;","&amp;IF(DK342="","Null",BD342)&amp;",1,'"&amp;IF(AV342&lt;&gt;"",AV342,AK342)&amp;"','"&amp;IF(AW342&lt;&gt;"",AW342,AL342)&amp;"',(SELECT id FROM klub WHERE naziv = '"&amp;CR342&amp;"'),Null,1,'',1,"&amp;data_dnevnik_id&amp;");")</f>
        <v/>
      </c>
      <c r="DM342" t="s">
        <v>0</v>
      </c>
      <c r="DN342" s="19" t="str">
        <f t="shared" si="350"/>
        <v/>
      </c>
      <c r="DO342" s="47" t="s">
        <v>0</v>
      </c>
      <c r="DP342" s="19" t="str">
        <f>IF(BA342="","","INSERT INTO imeprezime_alias(id,alias,imeprezime_id) VALUES ("&amp;BB342&amp;",'"&amp;BA342&amp;"',"&amp;IF(BC342="NEMA",BD342,BC342)&amp;");")</f>
        <v/>
      </c>
      <c r="DQ342" s="47" t="s">
        <v>0</v>
      </c>
      <c r="DR342" s="52" t="str">
        <f>IF(AL342="","",DU342 &amp; IF(Q342="",""," – " &amp; Q342))</f>
        <v>Vera – Franc – OK Kapela – Ž65</v>
      </c>
      <c r="DS342" s="53">
        <f t="shared" si="312"/>
        <v>238</v>
      </c>
      <c r="DT342" s="47" t="s">
        <v>0</v>
      </c>
      <c r="DU342" s="52" t="str">
        <f>IF(AL342="","",DX342 &amp; IF(CR342="",""," – " &amp; CR342))</f>
        <v>Vera – Franc – OK Kapela</v>
      </c>
      <c r="DV342" s="53">
        <f t="shared" si="313"/>
        <v>238</v>
      </c>
      <c r="DW342" s="47" t="s">
        <v>0</v>
      </c>
      <c r="DX342" s="52" t="str">
        <f>IF(BG342="","",BF342&amp;" – "&amp;BG342)</f>
        <v>Vera – Franc</v>
      </c>
      <c r="DY342" s="53">
        <f t="shared" si="314"/>
        <v>238</v>
      </c>
      <c r="DZ342" s="47" t="s">
        <v>0</v>
      </c>
      <c r="EA342" s="58">
        <f t="shared" si="343"/>
        <v>238</v>
      </c>
      <c r="EB342" s="53" cm="1">
        <f t="array" ref="EB342">IF(EA342&lt;&gt;"",INDEX(regNatjecatelj_id,EA342,0),IF(BD342&lt;&gt;"",BD342,""))</f>
        <v>1279</v>
      </c>
      <c r="EC342" s="47" t="s">
        <v>0</v>
      </c>
      <c r="ED342" s="58" t="str">
        <f>IF(AL342="","",IF(BD342&lt;&gt;"","novo",IF(AN342="","imepre","imepre(ali)")))</f>
        <v>imepre</v>
      </c>
      <c r="EE342" s="73" t="str">
        <f>IF(AL342="","",IF(BL342="",IF(IFERROR(INDEX(regNatjecatelj_klub,MATCH(EB342,regNatjecatelj_id,0)),"NEMA")="","klu",""),IF(OR(AND(BN342&lt;&gt;"",BN342&lt;&gt;"NEMA"),CD342&lt;&gt;""),"klu(ali)",IF(AND(BP342&lt;&gt;"",BP342&lt;&gt;BO342),"(raz-klu)","klu"))))</f>
        <v>klu</v>
      </c>
      <c r="EF342" s="73" t="str">
        <f>IF(AL342="","","kat"&amp;IF(AND(W342&lt;&gt;Q342,Q342&lt;&gt;"Open"),"(ali)",""))</f>
        <v>kat</v>
      </c>
      <c r="EG342" s="73" t="str">
        <f t="shared" si="315"/>
        <v/>
      </c>
      <c r="EH342" s="66" t="str">
        <f>IF(AL342="","",ED342&amp;IF(ED342="novo","","-"&amp;EE342&amp;"-"&amp;EF342)&amp;IF(EG342="","","-"&amp;EG342))</f>
        <v>imepre-klu-kat</v>
      </c>
      <c r="EI342" s="47" t="s">
        <v>0</v>
      </c>
      <c r="EJ342" s="58">
        <f>IF(AL342="","",MAX(EJ$12:EJ341)+1)</f>
        <v>486</v>
      </c>
      <c r="EK342" s="73">
        <f>IF(AO342="","",X342)</f>
        <v>44</v>
      </c>
      <c r="EL342" s="73">
        <f t="shared" si="344"/>
        <v>1279</v>
      </c>
      <c r="EM342" s="73">
        <f t="shared" si="316"/>
        <v>4154</v>
      </c>
      <c r="EN342" s="73">
        <f t="shared" si="317"/>
        <v>1</v>
      </c>
      <c r="EO342" s="73">
        <f t="shared" si="345"/>
        <v>1</v>
      </c>
      <c r="EP342" s="73">
        <f t="shared" si="346"/>
        <v>1</v>
      </c>
      <c r="EQ342" s="73" t="str">
        <f t="shared" si="318"/>
        <v>0</v>
      </c>
      <c r="ER342" s="73" t="str">
        <f>IF(OR(AN342="",AN342="NEMA"),BB342,AN342)</f>
        <v/>
      </c>
      <c r="ES342" s="73" t="str">
        <f>IF(AND(BN342&lt;&gt;"",BN342&lt;&gt;"NEMA"),BN342,IF(CG342&lt;&gt;"",CG342,IF(AND(CL342&lt;&gt;"",CL342&lt;&gt;"NEMA"),CL342,IF(CM342&lt;&gt;"",CM342,""))))</f>
        <v/>
      </c>
      <c r="ET342" s="53" t="str">
        <f>IF(INDEX(natKategorija_alias_Id,MATCH(S342,natKategorija_katRegId,0))="","",INDEX(natKategorija_alias_Id,MATCH(S342,natKategorija_katRegId,0)))</f>
        <v/>
      </c>
      <c r="EU342" s="47" t="s">
        <v>0</v>
      </c>
      <c r="EV342" s="19" t="str">
        <f t="shared" si="347"/>
        <v>INSERT INTO rezultat(id,stazakategorija_id,imeprezime_id,vrijeme_sec,status_id,registracija,uparivanje_id,originalstatus_id,imeprezimealias_id,klubalias_id,kategorijaalias_id) VALUES (486,44,1279,4154,1,1,1,0,Null,Null,Null);</v>
      </c>
      <c r="EW342" s="47" t="s">
        <v>0</v>
      </c>
      <c r="EX342" s="19" t="str">
        <f t="shared" si="348"/>
        <v>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EY342" s="47" t="s">
        <v>0</v>
      </c>
      <c r="EZ342" s="180" t="str">
        <f>AG342&amp;IF(CP342="","","
")&amp;CP342&amp;IF(CI342="","","
")&amp;CI342&amp;IF(DN342="","","
")&amp;DN342&amp;IF(DP342="","","
")&amp;DP342&amp;IF(EV342="","","
")&amp;EV342&amp;IF(EX342="","","
")&amp;EX342</f>
        <v xml:space="preserve">
INSERT INTO rezultat(id,stazakategorija_id,imeprezime_id,vrijeme_sec,status_id,registracija,uparivanje_id,originalstatus_id,imeprezimealias_id,klubalias_id,kategorijaalias_id) VALUES (486,44,1279,4154,1,1,1,0,Null,Null,Null);
UPDATE
	registar
SET
	potvrda = 1
WHERE
	imeprezime_id=1279
    	AND
	kategorijaliga_id = (SELECT 
                         	id
                         FROM
                         	kategorija_liga
                         WHERE
                         	kategorija_liga.kategorija_id = (SELECT kategorija_id FROM staza_kategorija WHERE id = 44)
                         		AND
                         	kategorija_liga.liga_id = 101)
		AND
	datum_od &lt;= '2021-04-18'
    	AND
    datum_do is Null;</v>
      </c>
      <c r="FA342" s="47" t="s">
        <v>0</v>
      </c>
    </row>
    <row r="343" spans="1:157" x14ac:dyDescent="0.25">
      <c r="A343" t="s">
        <v>0</v>
      </c>
      <c r="B343" s="52" t="str">
        <f>IF(csv!F333="","",csv!T333)</f>
        <v>Ž65</v>
      </c>
      <c r="C343" s="31" t="s">
        <v>0</v>
      </c>
      <c r="D343" s="31" t="str">
        <f>IF(csv!F333="","",csv!F333)</f>
        <v>Vacant</v>
      </c>
      <c r="E343" s="31" t="str">
        <f>IF(csv!E333="","",csv!E333)</f>
        <v/>
      </c>
      <c r="F343" s="31" t="s">
        <v>0</v>
      </c>
      <c r="G343" s="73" t="str">
        <f>IF(csv!M333="","",csv!M333)</f>
        <v/>
      </c>
      <c r="H343" s="73" t="str">
        <f>IF(csv!N333="","",csv!N333)</f>
        <v>0</v>
      </c>
      <c r="I343" s="31" t="s">
        <v>0</v>
      </c>
      <c r="J343" s="31" t="str">
        <f>IF(csv!P333="","",csv!P333)</f>
        <v/>
      </c>
      <c r="K343" s="31" t="str">
        <f>IF(csv!Q333="","",csv!Q333)</f>
        <v/>
      </c>
      <c r="L343" s="31" t="s">
        <v>0</v>
      </c>
      <c r="M343" s="66" t="str">
        <f>IF(csv!R333="","",csv!R333)</f>
        <v/>
      </c>
      <c r="N343" s="47" t="s">
        <v>0</v>
      </c>
      <c r="O343" s="243" t="str">
        <f t="shared" si="319"/>
        <v/>
      </c>
      <c r="P343" s="47"/>
      <c r="Q343" s="52" t="str">
        <f t="shared" si="320"/>
        <v>Ž65</v>
      </c>
      <c r="R343" s="73">
        <f>IF(Q343="","",IF(COUNTIF(Q$12:Q342,Q343)=0,R342+1,R342))</f>
        <v>22</v>
      </c>
      <c r="S343" s="73">
        <f t="shared" si="321"/>
        <v>114</v>
      </c>
      <c r="T343" s="73">
        <f t="shared" si="297"/>
        <v>23</v>
      </c>
      <c r="U343" s="66" t="str">
        <f t="shared" si="298"/>
        <v>Ž65</v>
      </c>
      <c r="V343" s="47" t="s">
        <v>0</v>
      </c>
      <c r="W343" s="222" t="str">
        <f t="shared" si="299"/>
        <v/>
      </c>
      <c r="X343" s="223" t="str">
        <f t="shared" si="300"/>
        <v/>
      </c>
      <c r="Y343" s="47" t="s">
        <v>0</v>
      </c>
      <c r="Z343" s="52" t="str">
        <f t="shared" si="322"/>
        <v/>
      </c>
      <c r="AA343" s="73" t="str">
        <f t="shared" si="301"/>
        <v/>
      </c>
      <c r="AB343" s="31" t="str">
        <f t="shared" si="323"/>
        <v/>
      </c>
      <c r="AC343" s="66" t="str">
        <f>IF(AB343="","",MAX(AC$12:AC342)+1)</f>
        <v/>
      </c>
      <c r="AD343" s="47" t="s">
        <v>0</v>
      </c>
      <c r="AE343" s="125"/>
      <c r="AF343" s="47" t="s">
        <v>0</v>
      </c>
      <c r="AG343" s="19" t="str">
        <f t="shared" si="324"/>
        <v/>
      </c>
      <c r="AH343" s="47" t="s">
        <v>0</v>
      </c>
      <c r="AI343" s="143" t="str">
        <f t="shared" si="325"/>
        <v/>
      </c>
      <c r="AJ343" s="47"/>
      <c r="AK343" s="52" t="str">
        <f t="shared" si="326"/>
        <v/>
      </c>
      <c r="AL343" s="31" t="str">
        <f t="shared" si="327"/>
        <v/>
      </c>
      <c r="AM343" s="73" t="str">
        <f t="shared" si="328"/>
        <v/>
      </c>
      <c r="AN343" s="73" t="str">
        <f t="shared" si="329"/>
        <v/>
      </c>
      <c r="AO343" s="31" t="str">
        <f t="shared" si="302"/>
        <v/>
      </c>
      <c r="AP343" s="66" t="str">
        <f t="shared" si="303"/>
        <v/>
      </c>
      <c r="AQ343" s="47" t="s">
        <v>0</v>
      </c>
      <c r="AR343" s="82" t="str">
        <f t="shared" si="330"/>
        <v/>
      </c>
      <c r="AS343" s="47" t="s">
        <v>0</v>
      </c>
      <c r="AT343" s="19" t="str">
        <f t="shared" si="331"/>
        <v/>
      </c>
      <c r="AU343" s="47" t="s">
        <v>0</v>
      </c>
      <c r="AV343" s="103"/>
      <c r="AW343" s="105"/>
      <c r="AX343" s="47" t="s">
        <v>0</v>
      </c>
      <c r="AY343" s="256" t="str">
        <f t="shared" si="349"/>
        <v/>
      </c>
      <c r="AZ343" s="47" t="s">
        <v>0</v>
      </c>
      <c r="BA343" s="52" t="str">
        <f t="shared" si="296"/>
        <v/>
      </c>
      <c r="BB343" s="73" t="str">
        <f>IF(AV343&amp;AW343="","",MAX(BB$12:BB342)+1)</f>
        <v/>
      </c>
      <c r="BC343" s="268" t="str">
        <f t="shared" si="304"/>
        <v/>
      </c>
      <c r="BD343" s="53" t="str">
        <f>IF(AND(AM343="NEMA",AN343="NEMA",OR(AV343&amp;AW343="",BC343="NEMA")),MAX(BD$12:BD342)+1,"")</f>
        <v/>
      </c>
      <c r="BE343" s="47" t="s">
        <v>0</v>
      </c>
      <c r="BF343" s="52" t="str">
        <f t="shared" si="305"/>
        <v/>
      </c>
      <c r="BG343" s="31" t="str">
        <f t="shared" si="306"/>
        <v/>
      </c>
      <c r="BH343" s="73" t="str">
        <f t="shared" si="332"/>
        <v/>
      </c>
      <c r="BI343" s="53" t="str">
        <f t="shared" si="333"/>
        <v/>
      </c>
      <c r="BJ343" s="47" t="s">
        <v>0</v>
      </c>
      <c r="BK343" s="52" t="str">
        <f t="shared" si="307"/>
        <v/>
      </c>
      <c r="BL343" s="31" t="str">
        <f t="shared" si="308"/>
        <v/>
      </c>
      <c r="BM343" s="73" t="str">
        <f t="shared" si="309"/>
        <v/>
      </c>
      <c r="BN343" s="73" t="str">
        <f t="shared" si="310"/>
        <v/>
      </c>
      <c r="BO343" s="31" t="str" cm="1">
        <f t="array" ref="BO343">IF(BN343="",""&amp;BL343,IF(BN343="NEMA",BL343,INDEX(regKlub_naziv,MATCH(INDEX(regKlub_alias_klubId,BN343),regKlub_id,0))))</f>
        <v/>
      </c>
      <c r="BP343" s="31" t="str" cm="1">
        <f t="array" ref="BP343">IFERROR(""&amp;INDEX(regNatjecatelj_klub,DY343),"")</f>
        <v/>
      </c>
      <c r="BQ343" s="88" t="str">
        <f t="shared" si="334"/>
        <v/>
      </c>
      <c r="BR343" s="66" t="str">
        <f t="shared" si="335"/>
        <v/>
      </c>
      <c r="BS343" s="47" t="s">
        <v>0</v>
      </c>
      <c r="BT343" s="82" t="str">
        <f>IF(BN343&lt;&gt;"NEMA","",IF(IFERROR(MATCH(BL343,BL$12:BL342,0),0)&lt;&gt;0,"",BL343))</f>
        <v/>
      </c>
      <c r="BU343" s="47" t="s">
        <v>0</v>
      </c>
      <c r="BV343" s="125"/>
      <c r="BW343" s="47" t="s">
        <v>0</v>
      </c>
      <c r="BX343" s="58" t="str">
        <f t="shared" si="336"/>
        <v/>
      </c>
      <c r="BY343" s="31" t="str">
        <f t="shared" si="337"/>
        <v/>
      </c>
      <c r="BZ343" s="31" t="str">
        <f>IF(BY343="","",MAX(BZ$12:BZ342)+1)</f>
        <v/>
      </c>
      <c r="CA343" s="31" t="str">
        <f>IF(BY343="","",IF(AA343="","",IF(AA343="NEMA",AC343,AA343)))</f>
        <v/>
      </c>
      <c r="CB343" s="31" t="str">
        <f t="shared" si="338"/>
        <v/>
      </c>
      <c r="CC343" s="31" t="str">
        <f>IF(BV343="","",MAX(CC$12:CC342)+1)</f>
        <v/>
      </c>
      <c r="CD343" s="31" t="str">
        <f t="shared" si="339"/>
        <v/>
      </c>
      <c r="CE343" s="66" t="str">
        <f t="shared" si="340"/>
        <v/>
      </c>
      <c r="CF343" s="47" t="s">
        <v>0</v>
      </c>
      <c r="CG343" s="73" t="str">
        <f>IF(BN343="","",IF(BN343&lt;&gt;"NEMA","",IFERROR(INDEX(nat_klubAliasId,MATCH(BL343,nat_noviKluboviAliasi,0)),"")))</f>
        <v/>
      </c>
      <c r="CH343" s="47"/>
      <c r="CI343" s="19" t="str">
        <f t="shared" si="341"/>
        <v/>
      </c>
      <c r="CJ343" s="47" t="s">
        <v>0</v>
      </c>
      <c r="CK343" s="52" t="str">
        <f>IF(X343&lt;&gt;"NEMA","",IF(IFERROR(MATCH(W343,W$12:W342,0),0)&lt;&gt;0,"",W343))</f>
        <v/>
      </c>
      <c r="CL343" s="73" t="str">
        <f>IF(CK343="","",IFERROR(INDEX(regKlub_alias_id,MATCH(CK343,regKlub_alias_alias,0)),"NEMA"))</f>
        <v/>
      </c>
      <c r="CM343" s="31" t="str">
        <f>IF(OR(CL343="",CL343&lt;&gt;"NEMA"),"",MAX(CM$12:CM342)+1)</f>
        <v/>
      </c>
      <c r="CN343" s="66" t="str">
        <f>IF(OR(CL343="",CL343&lt;&gt;"NEMA"),"",INDEX(regKlub_id,MATCH(CK343,regKlub_naziv,0)))</f>
        <v/>
      </c>
      <c r="CO343" s="47" t="s">
        <v>0</v>
      </c>
      <c r="CP343" s="19" t="str">
        <f>IF(OR(CL343="",CL343&lt;&gt;"NEMA"),"","INSERT INTO klub_alias(id,alias,klub_id) VALUES ("&amp;CM343&amp;",'"&amp;CK343&amp;"',"&amp;CN343&amp;");")</f>
        <v/>
      </c>
      <c r="CQ343" s="47" t="s">
        <v>0</v>
      </c>
      <c r="CR343" s="143" t="str">
        <f>IF(BR343="","",IF(BV343="",IF(IFERROR(MATCH(BR343,nat_noviKluboviAliasi,0),0)&gt;0,INDEX(nat_kluboviAliasi,MATCH(BR343,nat_noviKluboviAliasi,0)),BR343),BV343))</f>
        <v/>
      </c>
      <c r="CS343" s="47" t="s">
        <v>0</v>
      </c>
      <c r="CT343" s="58" t="str">
        <f>IF(G343="","",G343)</f>
        <v/>
      </c>
      <c r="CU343" s="73" t="str">
        <f>IF(H343="","",H343)</f>
        <v>0</v>
      </c>
      <c r="CV343" s="229" t="str">
        <f>IF(CT343="",IF(OR(AL343="",CU343&lt;&gt;"0"),"","GREŠKA"),IF(AND(65535&gt;=VALUE(LEFT(CT343,SEARCH(":",CT343)-1))*60+VALUE(RIGHT(CT343,2)),OR(CU343="0",CU343="1",CU343="2",CU343="3",CU343="4")),"","GREŠKA"))</f>
        <v/>
      </c>
      <c r="CW343" s="230" t="str">
        <f t="shared" si="295"/>
        <v/>
      </c>
      <c r="CX343" s="163" t="str">
        <f t="shared" si="311"/>
        <v/>
      </c>
      <c r="CY343" s="47" t="s">
        <v>0</v>
      </c>
      <c r="CZ343" s="222" t="str">
        <f>IF(CV343&lt;&gt;"GREŠKA","",AK343&amp;" "&amp;AL343&amp;" – Molim u OEventu provjeriti i ispraviti rezultat – vrijeme ("&amp;IF(CT343="","nije upisano",CT343)&amp;") i classifier ("&amp;CU343&amp;").")&amp;IF(OR(CV343&lt;&gt;"GREŠKA",CX343&lt;&gt;5),"
","")&amp;IF(CX343&lt;&gt;5,"",AK343&amp;" "&amp;AL343&amp;" – Molim u provjeriti je li natjecatelj zaista diskvalificiran. Ako je koje je obrazloženje, ako nije molim u OEventu ispraviti rezultat")</f>
        <v xml:space="preserve">
</v>
      </c>
      <c r="DA343" s="223" t="str">
        <f t="shared" si="342"/>
        <v/>
      </c>
      <c r="DB343" s="47" t="s">
        <v>0</v>
      </c>
      <c r="DC343" s="47"/>
      <c r="DD343" s="47"/>
      <c r="DE343" s="47"/>
      <c r="DF343" s="47" t="s">
        <v>0</v>
      </c>
      <c r="DG343" s="53" t="str">
        <f>IF(BD343="","",IF(DI343="O",1,""))</f>
        <v/>
      </c>
      <c r="DH343" t="s">
        <v>0</v>
      </c>
      <c r="DI343" s="128" t="str">
        <f>IF(Q343="","",LEFT(INDEX(regKategorija_oznaka,MATCH(S343,regKategorija_id,0)),1))</f>
        <v>Ž</v>
      </c>
      <c r="DJ343" t="s">
        <v>0</v>
      </c>
      <c r="DK343" s="52" t="str">
        <f>IF(BD343="","",IF(M343&lt;&gt;"CRO","","INSERT INTO osoba (id,reg_broj,oib,spol_id,dat_rodjenja) VALUES ("&amp;BD343&amp;",(SELECT max(os.reg_broj)+1 FROM osoba AS os),Null,'"&amp;DI343&amp;"',Null); INSERT INTO osoba_log (id,reg_broj,oib,spol_id,dat_rodjenja,dnevnik_id) SELECT id,reg_broj,oib,spol_id,dat_rodjenja,"&amp;data_dnevnik_id&amp;" FROM osoba WHERE id = "&amp;BD343&amp;";"))</f>
        <v/>
      </c>
      <c r="DL343" s="66" t="str">
        <f>IF(BD343="","","INSERT INTO imeprezime (id,osoba_id,rbr,ime,prezime,klub_id,identitet_id,sintaksa_id,info,aktivno,dnevnik_id) VALUES ("&amp;BD343&amp;","&amp;IF(DK343="","Null",BD343)&amp;",1,'"&amp;IF(AV343&lt;&gt;"",AV343,AK343)&amp;"','"&amp;IF(AW343&lt;&gt;"",AW343,AL343)&amp;"',(SELECT id FROM klub WHERE naziv = '"&amp;CR343&amp;"'),Null,1,'',1,"&amp;data_dnevnik_id&amp;");")</f>
        <v/>
      </c>
      <c r="DM343" t="s">
        <v>0</v>
      </c>
      <c r="DN343" s="19" t="str">
        <f t="shared" si="350"/>
        <v/>
      </c>
      <c r="DO343" s="47" t="s">
        <v>0</v>
      </c>
      <c r="DP343" s="19" t="str">
        <f>IF(BA343="","","INSERT INTO imeprezime_alias(id,alias,imeprezime_id) VALUES ("&amp;BB343&amp;",'"&amp;BA343&amp;"',"&amp;IF(BC343="NEMA",BD343,BC343)&amp;");")</f>
        <v/>
      </c>
      <c r="DQ343" s="47" t="s">
        <v>0</v>
      </c>
      <c r="DR343" s="52" t="str">
        <f>IF(AL343="","",DU343 &amp; IF(Q343="",""," – " &amp; Q343))</f>
        <v/>
      </c>
      <c r="DS343" s="53" t="str">
        <f t="shared" si="312"/>
        <v/>
      </c>
      <c r="DT343" s="47" t="s">
        <v>0</v>
      </c>
      <c r="DU343" s="52" t="str">
        <f>IF(AL343="","",DX343 &amp; IF(CR343="",""," – " &amp; CR343))</f>
        <v/>
      </c>
      <c r="DV343" s="53" t="str">
        <f t="shared" si="313"/>
        <v/>
      </c>
      <c r="DW343" s="47" t="s">
        <v>0</v>
      </c>
      <c r="DX343" s="52" t="str">
        <f>IF(BG343="","",BF343&amp;" – "&amp;BG343)</f>
        <v/>
      </c>
      <c r="DY343" s="53" t="str">
        <f t="shared" si="314"/>
        <v/>
      </c>
      <c r="DZ343" s="47" t="s">
        <v>0</v>
      </c>
      <c r="EA343" s="58" t="str">
        <f t="shared" si="343"/>
        <v/>
      </c>
      <c r="EB343" s="53" t="str" cm="1">
        <f t="array" ref="EB343">IF(EA343&lt;&gt;"",INDEX(regNatjecatelj_id,EA343,0),IF(BD343&lt;&gt;"",BD343,""))</f>
        <v/>
      </c>
      <c r="EC343" s="47" t="s">
        <v>0</v>
      </c>
      <c r="ED343" s="58" t="str">
        <f>IF(AL343="","",IF(BD343&lt;&gt;"","novo",IF(AN343="","imepre","imepre(ali)")))</f>
        <v/>
      </c>
      <c r="EE343" s="73" t="str">
        <f>IF(AL343="","",IF(BL343="",IF(IFERROR(INDEX(regNatjecatelj_klub,MATCH(EB343,regNatjecatelj_id,0)),"NEMA")="","klu",""),IF(OR(AND(BN343&lt;&gt;"",BN343&lt;&gt;"NEMA"),CD343&lt;&gt;""),"klu(ali)",IF(AND(BP343&lt;&gt;"",BP343&lt;&gt;BO343),"(raz-klu)","klu"))))</f>
        <v/>
      </c>
      <c r="EF343" s="73" t="str">
        <f>IF(AL343="","","kat"&amp;IF(AND(W343&lt;&gt;Q343,Q343&lt;&gt;"Open"),"(ali)",""))</f>
        <v/>
      </c>
      <c r="EG343" s="73" t="str">
        <f t="shared" si="315"/>
        <v/>
      </c>
      <c r="EH343" s="66" t="str">
        <f>IF(AL343="","",ED343&amp;IF(ED343="novo","","-"&amp;EE343&amp;"-"&amp;EF343)&amp;IF(EG343="","","-"&amp;EG343))</f>
        <v/>
      </c>
      <c r="EI343" s="47" t="s">
        <v>0</v>
      </c>
      <c r="EJ343" s="58" t="str">
        <f>IF(AL343="","",MAX(EJ$12:EJ342)+1)</f>
        <v/>
      </c>
      <c r="EK343" s="73" t="str">
        <f>IF(AO343="","",X343)</f>
        <v/>
      </c>
      <c r="EL343" s="73" t="str">
        <f t="shared" si="344"/>
        <v/>
      </c>
      <c r="EM343" s="73" t="str">
        <f t="shared" si="316"/>
        <v/>
      </c>
      <c r="EN343" s="73" t="str">
        <f t="shared" si="317"/>
        <v/>
      </c>
      <c r="EO343" s="73" t="str">
        <f t="shared" si="345"/>
        <v/>
      </c>
      <c r="EP343" s="73" t="str">
        <f t="shared" si="346"/>
        <v/>
      </c>
      <c r="EQ343" s="73" t="str">
        <f t="shared" si="318"/>
        <v/>
      </c>
      <c r="ER343" s="73" t="str">
        <f>IF(OR(AN343="",AN343="NEMA"),BB343,AN343)</f>
        <v/>
      </c>
      <c r="ES343" s="73" t="str">
        <f>IF(AND(BN343&lt;&gt;"",BN343&lt;&gt;"NEMA"),BN343,IF(CG343&lt;&gt;"",CG343,IF(AND(CL343&lt;&gt;"",CL343&lt;&gt;"NEMA"),CL343,IF(CM343&lt;&gt;"",CM343,""))))</f>
        <v/>
      </c>
      <c r="ET343" s="53" t="str">
        <f>IF(INDEX(natKategorija_alias_Id,MATCH(S343,natKategorija_katRegId,0))="","",INDEX(natKategorija_alias_Id,MATCH(S343,natKategorija_katRegId,0)))</f>
        <v/>
      </c>
      <c r="EU343" s="47" t="s">
        <v>0</v>
      </c>
      <c r="EV343" s="19" t="str">
        <f t="shared" si="347"/>
        <v/>
      </c>
      <c r="EW343" s="47" t="s">
        <v>0</v>
      </c>
      <c r="EX343" s="19" t="str">
        <f t="shared" si="348"/>
        <v/>
      </c>
      <c r="EY343" s="47" t="s">
        <v>0</v>
      </c>
      <c r="EZ343" s="180" t="str">
        <f>AG343&amp;IF(CP343="","","
")&amp;CP343&amp;IF(CI343="","","
")&amp;CI343&amp;IF(DN343="","","
")&amp;DN343&amp;IF(DP343="","","
")&amp;DP343&amp;IF(EV343="","","
")&amp;EV343&amp;IF(EX343="","","
")&amp;EX343</f>
        <v/>
      </c>
      <c r="FA343" s="47" t="s">
        <v>0</v>
      </c>
    </row>
    <row r="344" spans="1:157" x14ac:dyDescent="0.25">
      <c r="A344" t="s">
        <v>0</v>
      </c>
      <c r="B344" s="52" t="str">
        <f>IF(csv!F334="","",csv!T334)</f>
        <v>Ž65</v>
      </c>
      <c r="C344" s="31" t="s">
        <v>0</v>
      </c>
      <c r="D344" s="31" t="str">
        <f>IF(csv!F334="","",csv!F334)</f>
        <v>Vacant</v>
      </c>
      <c r="E344" s="31" t="str">
        <f>IF(csv!E334="","",csv!E334)</f>
        <v/>
      </c>
      <c r="F344" s="31" t="s">
        <v>0</v>
      </c>
      <c r="G344" s="73" t="str">
        <f>IF(csv!M334="","",csv!M334)</f>
        <v/>
      </c>
      <c r="H344" s="73" t="str">
        <f>IF(csv!N334="","",csv!N334)</f>
        <v>0</v>
      </c>
      <c r="I344" s="31" t="s">
        <v>0</v>
      </c>
      <c r="J344" s="31" t="str">
        <f>IF(csv!P334="","",csv!P334)</f>
        <v/>
      </c>
      <c r="K344" s="31" t="str">
        <f>IF(csv!Q334="","",csv!Q334)</f>
        <v/>
      </c>
      <c r="L344" s="31" t="s">
        <v>0</v>
      </c>
      <c r="M344" s="66" t="str">
        <f>IF(csv!R334="","",csv!R334)</f>
        <v/>
      </c>
      <c r="N344" s="47" t="s">
        <v>0</v>
      </c>
      <c r="O344" s="243" t="str">
        <f t="shared" si="319"/>
        <v/>
      </c>
      <c r="P344" s="47"/>
      <c r="Q344" s="52" t="str">
        <f t="shared" si="320"/>
        <v>Ž65</v>
      </c>
      <c r="R344" s="73">
        <f>IF(Q344="","",IF(COUNTIF(Q$12:Q343,Q344)=0,R343+1,R343))</f>
        <v>22</v>
      </c>
      <c r="S344" s="73">
        <f t="shared" si="321"/>
        <v>114</v>
      </c>
      <c r="T344" s="73">
        <f t="shared" si="297"/>
        <v>23</v>
      </c>
      <c r="U344" s="66" t="str">
        <f t="shared" si="298"/>
        <v>Ž65</v>
      </c>
      <c r="V344" s="47" t="s">
        <v>0</v>
      </c>
      <c r="W344" s="222" t="str">
        <f t="shared" si="299"/>
        <v/>
      </c>
      <c r="X344" s="223" t="str">
        <f t="shared" si="300"/>
        <v/>
      </c>
      <c r="Y344" s="47" t="s">
        <v>0</v>
      </c>
      <c r="Z344" s="52" t="str">
        <f t="shared" si="322"/>
        <v/>
      </c>
      <c r="AA344" s="73" t="str">
        <f t="shared" si="301"/>
        <v/>
      </c>
      <c r="AB344" s="31" t="str">
        <f t="shared" si="323"/>
        <v/>
      </c>
      <c r="AC344" s="66" t="str">
        <f>IF(AB344="","",MAX(AC$12:AC343)+1)</f>
        <v/>
      </c>
      <c r="AD344" s="47" t="s">
        <v>0</v>
      </c>
      <c r="AE344" s="125"/>
      <c r="AF344" s="47" t="s">
        <v>0</v>
      </c>
      <c r="AG344" s="19" t="str">
        <f t="shared" si="324"/>
        <v/>
      </c>
      <c r="AH344" s="47" t="s">
        <v>0</v>
      </c>
      <c r="AI344" s="143" t="str">
        <f t="shared" si="325"/>
        <v/>
      </c>
      <c r="AJ344" s="47"/>
      <c r="AK344" s="52" t="str">
        <f t="shared" si="326"/>
        <v/>
      </c>
      <c r="AL344" s="31" t="str">
        <f t="shared" si="327"/>
        <v/>
      </c>
      <c r="AM344" s="73" t="str">
        <f t="shared" si="328"/>
        <v/>
      </c>
      <c r="AN344" s="73" t="str">
        <f t="shared" si="329"/>
        <v/>
      </c>
      <c r="AO344" s="31" t="str">
        <f t="shared" si="302"/>
        <v/>
      </c>
      <c r="AP344" s="66" t="str">
        <f t="shared" si="303"/>
        <v/>
      </c>
      <c r="AQ344" s="47" t="s">
        <v>0</v>
      </c>
      <c r="AR344" s="82" t="str">
        <f t="shared" si="330"/>
        <v/>
      </c>
      <c r="AS344" s="47" t="s">
        <v>0</v>
      </c>
      <c r="AT344" s="19" t="str">
        <f t="shared" si="331"/>
        <v/>
      </c>
      <c r="AU344" s="47" t="s">
        <v>0</v>
      </c>
      <c r="AV344" s="103"/>
      <c r="AW344" s="105"/>
      <c r="AX344" s="47" t="s">
        <v>0</v>
      </c>
      <c r="AY344" s="256" t="str">
        <f t="shared" si="349"/>
        <v/>
      </c>
      <c r="AZ344" s="47" t="s">
        <v>0</v>
      </c>
      <c r="BA344" s="52" t="str">
        <f t="shared" si="296"/>
        <v/>
      </c>
      <c r="BB344" s="73" t="str">
        <f>IF(AV344&amp;AW344="","",MAX(BB$12:BB343)+1)</f>
        <v/>
      </c>
      <c r="BC344" s="268" t="str">
        <f t="shared" si="304"/>
        <v/>
      </c>
      <c r="BD344" s="53" t="str">
        <f>IF(AND(AM344="NEMA",AN344="NEMA",OR(AV344&amp;AW344="",BC344="NEMA")),MAX(BD$12:BD343)+1,"")</f>
        <v/>
      </c>
      <c r="BE344" s="47" t="s">
        <v>0</v>
      </c>
      <c r="BF344" s="52" t="str">
        <f t="shared" si="305"/>
        <v/>
      </c>
      <c r="BG344" s="31" t="str">
        <f t="shared" si="306"/>
        <v/>
      </c>
      <c r="BH344" s="73" t="str">
        <f t="shared" si="332"/>
        <v/>
      </c>
      <c r="BI344" s="53" t="str">
        <f t="shared" si="333"/>
        <v/>
      </c>
      <c r="BJ344" s="47" t="s">
        <v>0</v>
      </c>
      <c r="BK344" s="52" t="str">
        <f t="shared" si="307"/>
        <v/>
      </c>
      <c r="BL344" s="31" t="str">
        <f t="shared" si="308"/>
        <v/>
      </c>
      <c r="BM344" s="73" t="str">
        <f t="shared" si="309"/>
        <v/>
      </c>
      <c r="BN344" s="73" t="str">
        <f t="shared" si="310"/>
        <v/>
      </c>
      <c r="BO344" s="31" t="str" cm="1">
        <f t="array" ref="BO344">IF(BN344="",""&amp;BL344,IF(BN344="NEMA",BL344,INDEX(regKlub_naziv,MATCH(INDEX(regKlub_alias_klubId,BN344),regKlub_id,0))))</f>
        <v/>
      </c>
      <c r="BP344" s="31" t="str" cm="1">
        <f t="array" ref="BP344">IFERROR(""&amp;INDEX(regNatjecatelj_klub,DY344),"")</f>
        <v/>
      </c>
      <c r="BQ344" s="88" t="str">
        <f t="shared" si="334"/>
        <v/>
      </c>
      <c r="BR344" s="66" t="str">
        <f t="shared" si="335"/>
        <v/>
      </c>
      <c r="BS344" s="47" t="s">
        <v>0</v>
      </c>
      <c r="BT344" s="82" t="str">
        <f>IF(BN344&lt;&gt;"NEMA","",IF(IFERROR(MATCH(BL344,BL$12:BL343,0),0)&lt;&gt;0,"",BL344))</f>
        <v/>
      </c>
      <c r="BU344" s="47" t="s">
        <v>0</v>
      </c>
      <c r="BV344" s="125"/>
      <c r="BW344" s="47" t="s">
        <v>0</v>
      </c>
      <c r="BX344" s="58" t="str">
        <f t="shared" si="336"/>
        <v/>
      </c>
      <c r="BY344" s="31" t="str">
        <f t="shared" si="337"/>
        <v/>
      </c>
      <c r="BZ344" s="31" t="str">
        <f>IF(BY344="","",MAX(BZ$12:BZ343)+1)</f>
        <v/>
      </c>
      <c r="CA344" s="31" t="str">
        <f>IF(BY344="","",IF(AA344="","",IF(AA344="NEMA",AC344,AA344)))</f>
        <v/>
      </c>
      <c r="CB344" s="31" t="str">
        <f t="shared" si="338"/>
        <v/>
      </c>
      <c r="CC344" s="31" t="str">
        <f>IF(BV344="","",MAX(CC$12:CC343)+1)</f>
        <v/>
      </c>
      <c r="CD344" s="31" t="str">
        <f t="shared" si="339"/>
        <v/>
      </c>
      <c r="CE344" s="66" t="str">
        <f t="shared" si="340"/>
        <v/>
      </c>
      <c r="CF344" s="47" t="s">
        <v>0</v>
      </c>
      <c r="CG344" s="73" t="str">
        <f>IF(BN344="","",IF(BN344&lt;&gt;"NEMA","",IFERROR(INDEX(nat_klubAliasId,MATCH(BL344,nat_noviKluboviAliasi,0)),"")))</f>
        <v/>
      </c>
      <c r="CH344" s="47"/>
      <c r="CI344" s="19" t="str">
        <f t="shared" si="341"/>
        <v/>
      </c>
      <c r="CJ344" s="47" t="s">
        <v>0</v>
      </c>
      <c r="CK344" s="52" t="str">
        <f>IF(X344&lt;&gt;"NEMA","",IF(IFERROR(MATCH(W344,W$12:W343,0),0)&lt;&gt;0,"",W344))</f>
        <v/>
      </c>
      <c r="CL344" s="73" t="str">
        <f>IF(CK344="","",IFERROR(INDEX(regKlub_alias_id,MATCH(CK344,regKlub_alias_alias,0)),"NEMA"))</f>
        <v/>
      </c>
      <c r="CM344" s="31" t="str">
        <f>IF(OR(CL344="",CL344&lt;&gt;"NEMA"),"",MAX(CM$12:CM343)+1)</f>
        <v/>
      </c>
      <c r="CN344" s="66" t="str">
        <f>IF(OR(CL344="",CL344&lt;&gt;"NEMA"),"",INDEX(regKlub_id,MATCH(CK344,regKlub_naziv,0)))</f>
        <v/>
      </c>
      <c r="CO344" s="47" t="s">
        <v>0</v>
      </c>
      <c r="CP344" s="19" t="str">
        <f>IF(OR(CL344="",CL344&lt;&gt;"NEMA"),"","INSERT INTO klub_alias(id,alias,klub_id) VALUES ("&amp;CM344&amp;",'"&amp;CK344&amp;"',"&amp;CN344&amp;");")</f>
        <v/>
      </c>
      <c r="CQ344" s="47" t="s">
        <v>0</v>
      </c>
      <c r="CR344" s="143" t="str">
        <f>IF(BR344="","",IF(BV344="",IF(IFERROR(MATCH(BR344,nat_noviKluboviAliasi,0),0)&gt;0,INDEX(nat_kluboviAliasi,MATCH(BR344,nat_noviKluboviAliasi,0)),BR344),BV344))</f>
        <v/>
      </c>
      <c r="CS344" s="47" t="s">
        <v>0</v>
      </c>
      <c r="CT344" s="58" t="str">
        <f>IF(G344="","",G344)</f>
        <v/>
      </c>
      <c r="CU344" s="73" t="str">
        <f>IF(H344="","",H344)</f>
        <v>0</v>
      </c>
      <c r="CV344" s="229" t="str">
        <f>IF(CT344="",IF(OR(AL344="",CU344&lt;&gt;"0"),"","GREŠKA"),IF(AND(65535&gt;=VALUE(LEFT(CT344,SEARCH(":",CT344)-1))*60+VALUE(RIGHT(CT344,2)),OR(CU344="0",CU344="1",CU344="2",CU344="3",CU344="4")),"","GREŠKA"))</f>
        <v/>
      </c>
      <c r="CW344" s="230" t="str">
        <f t="shared" si="295"/>
        <v/>
      </c>
      <c r="CX344" s="163" t="str">
        <f t="shared" si="311"/>
        <v/>
      </c>
      <c r="CY344" s="47" t="s">
        <v>0</v>
      </c>
      <c r="CZ344" s="222" t="str">
        <f>IF(CV344&lt;&gt;"GREŠKA","",AK344&amp;" "&amp;AL344&amp;" – Molim u OEventu provjeriti i ispraviti rezultat – vrijeme ("&amp;IF(CT344="","nije upisano",CT344)&amp;") i classifier ("&amp;CU344&amp;").")&amp;IF(OR(CV344&lt;&gt;"GREŠKA",CX344&lt;&gt;5),"
","")&amp;IF(CX344&lt;&gt;5,"",AK344&amp;" "&amp;AL344&amp;" – Molim u provjeriti je li natjecatelj zaista diskvalificiran. Ako je koje je obrazloženje, ako nije molim u OEventu ispraviti rezultat")</f>
        <v xml:space="preserve">
</v>
      </c>
      <c r="DA344" s="223" t="str">
        <f t="shared" si="342"/>
        <v/>
      </c>
      <c r="DB344" s="47" t="s">
        <v>0</v>
      </c>
      <c r="DC344" s="47"/>
      <c r="DD344" s="47"/>
      <c r="DE344" s="47"/>
      <c r="DF344" s="47" t="s">
        <v>0</v>
      </c>
      <c r="DG344" s="53" t="str">
        <f>IF(BD344="","",IF(DI344="O",1,""))</f>
        <v/>
      </c>
      <c r="DH344" t="s">
        <v>0</v>
      </c>
      <c r="DI344" s="128" t="str">
        <f>IF(Q344="","",LEFT(INDEX(regKategorija_oznaka,MATCH(S344,regKategorija_id,0)),1))</f>
        <v>Ž</v>
      </c>
      <c r="DJ344" t="s">
        <v>0</v>
      </c>
      <c r="DK344" s="52" t="str">
        <f>IF(BD344="","",IF(M344&lt;&gt;"CRO","","INSERT INTO osoba (id,reg_broj,oib,spol_id,dat_rodjenja) VALUES ("&amp;BD344&amp;",(SELECT max(os.reg_broj)+1 FROM osoba AS os),Null,'"&amp;DI344&amp;"',Null); INSERT INTO osoba_log (id,reg_broj,oib,spol_id,dat_rodjenja,dnevnik_id) SELECT id,reg_broj,oib,spol_id,dat_rodjenja,"&amp;data_dnevnik_id&amp;" FROM osoba WHERE id = "&amp;BD344&amp;";"))</f>
        <v/>
      </c>
      <c r="DL344" s="66" t="str">
        <f>IF(BD344="","","INSERT INTO imeprezime (id,osoba_id,rbr,ime,prezime,klub_id,identitet_id,sintaksa_id,info,aktivno,dnevnik_id) VALUES ("&amp;BD344&amp;","&amp;IF(DK344="","Null",BD344)&amp;",1,'"&amp;IF(AV344&lt;&gt;"",AV344,AK344)&amp;"','"&amp;IF(AW344&lt;&gt;"",AW344,AL344)&amp;"',(SELECT id FROM klub WHERE naziv = '"&amp;CR344&amp;"'),Null,1,'',1,"&amp;data_dnevnik_id&amp;");")</f>
        <v/>
      </c>
      <c r="DM344" t="s">
        <v>0</v>
      </c>
      <c r="DN344" s="19" t="str">
        <f t="shared" si="350"/>
        <v/>
      </c>
      <c r="DO344" s="47" t="s">
        <v>0</v>
      </c>
      <c r="DP344" s="19" t="str">
        <f>IF(BA344="","","INSERT INTO imeprezime_alias(id,alias,imeprezime_id) VALUES ("&amp;BB344&amp;",'"&amp;BA344&amp;"',"&amp;IF(BC344="NEMA",BD344,BC344)&amp;");")</f>
        <v/>
      </c>
      <c r="DQ344" s="47" t="s">
        <v>0</v>
      </c>
      <c r="DR344" s="52" t="str">
        <f>IF(AL344="","",DU344 &amp; IF(Q344="",""," – " &amp; Q344))</f>
        <v/>
      </c>
      <c r="DS344" s="53" t="str">
        <f t="shared" si="312"/>
        <v/>
      </c>
      <c r="DT344" s="47" t="s">
        <v>0</v>
      </c>
      <c r="DU344" s="52" t="str">
        <f>IF(AL344="","",DX344 &amp; IF(CR344="",""," – " &amp; CR344))</f>
        <v/>
      </c>
      <c r="DV344" s="53" t="str">
        <f t="shared" si="313"/>
        <v/>
      </c>
      <c r="DW344" s="47" t="s">
        <v>0</v>
      </c>
      <c r="DX344" s="52" t="str">
        <f>IF(BG344="","",BF344&amp;" – "&amp;BG344)</f>
        <v/>
      </c>
      <c r="DY344" s="53" t="str">
        <f t="shared" si="314"/>
        <v/>
      </c>
      <c r="DZ344" s="47" t="s">
        <v>0</v>
      </c>
      <c r="EA344" s="58" t="str">
        <f t="shared" si="343"/>
        <v/>
      </c>
      <c r="EB344" s="53" t="str" cm="1">
        <f t="array" ref="EB344">IF(EA344&lt;&gt;"",INDEX(regNatjecatelj_id,EA344,0),IF(BD344&lt;&gt;"",BD344,""))</f>
        <v/>
      </c>
      <c r="EC344" s="47" t="s">
        <v>0</v>
      </c>
      <c r="ED344" s="58" t="str">
        <f>IF(AL344="","",IF(BD344&lt;&gt;"","novo",IF(AN344="","imepre","imepre(ali)")))</f>
        <v/>
      </c>
      <c r="EE344" s="73" t="str">
        <f>IF(AL344="","",IF(BL344="",IF(IFERROR(INDEX(regNatjecatelj_klub,MATCH(EB344,regNatjecatelj_id,0)),"NEMA")="","klu",""),IF(OR(AND(BN344&lt;&gt;"",BN344&lt;&gt;"NEMA"),CD344&lt;&gt;""),"klu(ali)",IF(AND(BP344&lt;&gt;"",BP344&lt;&gt;BO344),"(raz-klu)","klu"))))</f>
        <v/>
      </c>
      <c r="EF344" s="73" t="str">
        <f>IF(AL344="","","kat"&amp;IF(AND(W344&lt;&gt;Q344,Q344&lt;&gt;"Open"),"(ali)",""))</f>
        <v/>
      </c>
      <c r="EG344" s="73" t="str">
        <f t="shared" si="315"/>
        <v/>
      </c>
      <c r="EH344" s="66" t="str">
        <f>IF(AL344="","",ED344&amp;IF(ED344="novo","","-"&amp;EE344&amp;"-"&amp;EF344)&amp;IF(EG344="","","-"&amp;EG344))</f>
        <v/>
      </c>
      <c r="EI344" s="47" t="s">
        <v>0</v>
      </c>
      <c r="EJ344" s="58" t="str">
        <f>IF(AL344="","",MAX(EJ$12:EJ343)+1)</f>
        <v/>
      </c>
      <c r="EK344" s="73" t="str">
        <f>IF(AO344="","",X344)</f>
        <v/>
      </c>
      <c r="EL344" s="73" t="str">
        <f t="shared" si="344"/>
        <v/>
      </c>
      <c r="EM344" s="73" t="str">
        <f t="shared" si="316"/>
        <v/>
      </c>
      <c r="EN344" s="73" t="str">
        <f t="shared" si="317"/>
        <v/>
      </c>
      <c r="EO344" s="73" t="str">
        <f t="shared" si="345"/>
        <v/>
      </c>
      <c r="EP344" s="73" t="str">
        <f t="shared" si="346"/>
        <v/>
      </c>
      <c r="EQ344" s="73" t="str">
        <f t="shared" si="318"/>
        <v/>
      </c>
      <c r="ER344" s="73" t="str">
        <f>IF(OR(AN344="",AN344="NEMA"),BB344,AN344)</f>
        <v/>
      </c>
      <c r="ES344" s="73" t="str">
        <f>IF(AND(BN344&lt;&gt;"",BN344&lt;&gt;"NEMA"),BN344,IF(CG344&lt;&gt;"",CG344,IF(AND(CL344&lt;&gt;"",CL344&lt;&gt;"NEMA"),CL344,IF(CM344&lt;&gt;"",CM344,""))))</f>
        <v/>
      </c>
      <c r="ET344" s="53" t="str">
        <f>IF(INDEX(natKategorija_alias_Id,MATCH(S344,natKategorija_katRegId,0))="","",INDEX(natKategorija_alias_Id,MATCH(S344,natKategorija_katRegId,0)))</f>
        <v/>
      </c>
      <c r="EU344" s="47" t="s">
        <v>0</v>
      </c>
      <c r="EV344" s="19" t="str">
        <f t="shared" si="347"/>
        <v/>
      </c>
      <c r="EW344" s="47" t="s">
        <v>0</v>
      </c>
      <c r="EX344" s="19" t="str">
        <f t="shared" si="348"/>
        <v/>
      </c>
      <c r="EY344" s="47" t="s">
        <v>0</v>
      </c>
      <c r="EZ344" s="180" t="str">
        <f>AG344&amp;IF(CP344="","","
")&amp;CP344&amp;IF(CI344="","","
")&amp;CI344&amp;IF(DN344="","","
")&amp;DN344&amp;IF(DP344="","","
")&amp;DP344&amp;IF(EV344="","","
")&amp;EV344&amp;IF(EX344="","","
")&amp;EX344</f>
        <v/>
      </c>
      <c r="FA344" s="47" t="s">
        <v>0</v>
      </c>
    </row>
    <row r="345" spans="1:157" x14ac:dyDescent="0.25">
      <c r="A345" t="s">
        <v>0</v>
      </c>
      <c r="B345" s="52" t="str">
        <f>IF(csv!F335="","",csv!T335)</f>
        <v>Ž70</v>
      </c>
      <c r="C345" s="31" t="s">
        <v>0</v>
      </c>
      <c r="D345" s="31" t="str">
        <f>IF(csv!F335="","",csv!F335)</f>
        <v>Vacant</v>
      </c>
      <c r="E345" s="31" t="str">
        <f>IF(csv!E335="","",csv!E335)</f>
        <v/>
      </c>
      <c r="F345" s="31" t="s">
        <v>0</v>
      </c>
      <c r="G345" s="73" t="str">
        <f>IF(csv!M335="","",csv!M335)</f>
        <v/>
      </c>
      <c r="H345" s="73" t="str">
        <f>IF(csv!N335="","",csv!N335)</f>
        <v>0</v>
      </c>
      <c r="I345" s="31" t="s">
        <v>0</v>
      </c>
      <c r="J345" s="31" t="str">
        <f>IF(csv!P335="","",csv!P335)</f>
        <v/>
      </c>
      <c r="K345" s="31" t="str">
        <f>IF(csv!Q335="","",csv!Q335)</f>
        <v/>
      </c>
      <c r="L345" s="31" t="s">
        <v>0</v>
      </c>
      <c r="M345" s="66" t="str">
        <f>IF(csv!R335="","",csv!R335)</f>
        <v/>
      </c>
      <c r="N345" s="47" t="s">
        <v>0</v>
      </c>
      <c r="O345" s="243" t="str">
        <f t="shared" si="319"/>
        <v/>
      </c>
      <c r="P345" s="47"/>
      <c r="Q345" s="52" t="str">
        <f t="shared" si="320"/>
        <v>Ž70</v>
      </c>
      <c r="R345" s="73">
        <f>IF(Q345="","",IF(COUNTIF(Q$12:Q344,Q345)=0,R344+1,R344))</f>
        <v>23</v>
      </c>
      <c r="S345" s="73">
        <f t="shared" si="321"/>
        <v>113</v>
      </c>
      <c r="T345" s="73" t="str">
        <f t="shared" si="297"/>
        <v/>
      </c>
      <c r="U345" s="66" t="str">
        <f t="shared" si="298"/>
        <v/>
      </c>
      <c r="V345" s="47" t="s">
        <v>0</v>
      </c>
      <c r="W345" s="222" t="str">
        <f t="shared" si="299"/>
        <v/>
      </c>
      <c r="X345" s="223" t="str">
        <f t="shared" si="300"/>
        <v/>
      </c>
      <c r="Y345" s="47" t="s">
        <v>0</v>
      </c>
      <c r="Z345" s="52" t="str">
        <f t="shared" si="322"/>
        <v/>
      </c>
      <c r="AA345" s="73" t="str">
        <f t="shared" si="301"/>
        <v/>
      </c>
      <c r="AB345" s="31" t="str">
        <f t="shared" si="323"/>
        <v/>
      </c>
      <c r="AC345" s="66" t="str">
        <f>IF(AB345="","",MAX(AC$12:AC344)+1)</f>
        <v/>
      </c>
      <c r="AD345" s="47" t="s">
        <v>0</v>
      </c>
      <c r="AE345" s="125"/>
      <c r="AF345" s="47" t="s">
        <v>0</v>
      </c>
      <c r="AG345" s="19" t="str">
        <f t="shared" si="324"/>
        <v/>
      </c>
      <c r="AH345" s="47" t="s">
        <v>0</v>
      </c>
      <c r="AI345" s="143" t="str">
        <f t="shared" si="325"/>
        <v/>
      </c>
      <c r="AJ345" s="47"/>
      <c r="AK345" s="52" t="str">
        <f t="shared" si="326"/>
        <v/>
      </c>
      <c r="AL345" s="31" t="str">
        <f t="shared" si="327"/>
        <v/>
      </c>
      <c r="AM345" s="73" t="str">
        <f t="shared" si="328"/>
        <v/>
      </c>
      <c r="AN345" s="73" t="str">
        <f t="shared" si="329"/>
        <v/>
      </c>
      <c r="AO345" s="31" t="str">
        <f t="shared" si="302"/>
        <v/>
      </c>
      <c r="AP345" s="66" t="str">
        <f t="shared" si="303"/>
        <v/>
      </c>
      <c r="AQ345" s="47" t="s">
        <v>0</v>
      </c>
      <c r="AR345" s="82" t="str">
        <f t="shared" si="330"/>
        <v/>
      </c>
      <c r="AS345" s="47" t="s">
        <v>0</v>
      </c>
      <c r="AT345" s="19" t="str">
        <f t="shared" si="331"/>
        <v/>
      </c>
      <c r="AU345" s="47" t="s">
        <v>0</v>
      </c>
      <c r="AV345" s="103"/>
      <c r="AW345" s="105"/>
      <c r="AX345" s="47" t="s">
        <v>0</v>
      </c>
      <c r="AY345" s="256" t="str">
        <f t="shared" si="349"/>
        <v/>
      </c>
      <c r="AZ345" s="47" t="s">
        <v>0</v>
      </c>
      <c r="BA345" s="52" t="str">
        <f t="shared" si="296"/>
        <v/>
      </c>
      <c r="BB345" s="73" t="str">
        <f>IF(AV345&amp;AW345="","",MAX(BB$12:BB344)+1)</f>
        <v/>
      </c>
      <c r="BC345" s="268" t="str">
        <f t="shared" si="304"/>
        <v/>
      </c>
      <c r="BD345" s="53" t="str">
        <f>IF(AND(AM345="NEMA",AN345="NEMA",OR(AV345&amp;AW345="",BC345="NEMA")),MAX(BD$12:BD344)+1,"")</f>
        <v/>
      </c>
      <c r="BE345" s="47" t="s">
        <v>0</v>
      </c>
      <c r="BF345" s="52" t="str">
        <f t="shared" si="305"/>
        <v/>
      </c>
      <c r="BG345" s="31" t="str">
        <f t="shared" si="306"/>
        <v/>
      </c>
      <c r="BH345" s="73" t="str">
        <f t="shared" si="332"/>
        <v/>
      </c>
      <c r="BI345" s="53" t="str">
        <f t="shared" si="333"/>
        <v/>
      </c>
      <c r="BJ345" s="47" t="s">
        <v>0</v>
      </c>
      <c r="BK345" s="52" t="str">
        <f t="shared" si="307"/>
        <v/>
      </c>
      <c r="BL345" s="31" t="str">
        <f t="shared" si="308"/>
        <v/>
      </c>
      <c r="BM345" s="73" t="str">
        <f t="shared" si="309"/>
        <v/>
      </c>
      <c r="BN345" s="73" t="str">
        <f t="shared" si="310"/>
        <v/>
      </c>
      <c r="BO345" s="31" t="str" cm="1">
        <f t="array" ref="BO345">IF(BN345="",""&amp;BL345,IF(BN345="NEMA",BL345,INDEX(regKlub_naziv,MATCH(INDEX(regKlub_alias_klubId,BN345),regKlub_id,0))))</f>
        <v/>
      </c>
      <c r="BP345" s="31" t="str" cm="1">
        <f t="array" ref="BP345">IFERROR(""&amp;INDEX(regNatjecatelj_klub,DY345),"")</f>
        <v/>
      </c>
      <c r="BQ345" s="88" t="str">
        <f t="shared" si="334"/>
        <v/>
      </c>
      <c r="BR345" s="66" t="str">
        <f t="shared" si="335"/>
        <v/>
      </c>
      <c r="BS345" s="47" t="s">
        <v>0</v>
      </c>
      <c r="BT345" s="82" t="str">
        <f>IF(BN345&lt;&gt;"NEMA","",IF(IFERROR(MATCH(BL345,BL$12:BL344,0),0)&lt;&gt;0,"",BL345))</f>
        <v/>
      </c>
      <c r="BU345" s="47" t="s">
        <v>0</v>
      </c>
      <c r="BV345" s="125"/>
      <c r="BW345" s="47" t="s">
        <v>0</v>
      </c>
      <c r="BX345" s="58" t="str">
        <f t="shared" si="336"/>
        <v/>
      </c>
      <c r="BY345" s="31" t="str">
        <f t="shared" si="337"/>
        <v/>
      </c>
      <c r="BZ345" s="31" t="str">
        <f>IF(BY345="","",MAX(BZ$12:BZ344)+1)</f>
        <v/>
      </c>
      <c r="CA345" s="31" t="str">
        <f>IF(BY345="","",IF(AA345="","",IF(AA345="NEMA",AC345,AA345)))</f>
        <v/>
      </c>
      <c r="CB345" s="31" t="str">
        <f t="shared" si="338"/>
        <v/>
      </c>
      <c r="CC345" s="31" t="str">
        <f>IF(BV345="","",MAX(CC$12:CC344)+1)</f>
        <v/>
      </c>
      <c r="CD345" s="31" t="str">
        <f t="shared" si="339"/>
        <v/>
      </c>
      <c r="CE345" s="66" t="str">
        <f t="shared" si="340"/>
        <v/>
      </c>
      <c r="CF345" s="47" t="s">
        <v>0</v>
      </c>
      <c r="CG345" s="73" t="str">
        <f>IF(BN345="","",IF(BN345&lt;&gt;"NEMA","",IFERROR(INDEX(nat_klubAliasId,MATCH(BL345,nat_noviKluboviAliasi,0)),"")))</f>
        <v/>
      </c>
      <c r="CH345" s="47"/>
      <c r="CI345" s="19" t="str">
        <f t="shared" si="341"/>
        <v/>
      </c>
      <c r="CJ345" s="47" t="s">
        <v>0</v>
      </c>
      <c r="CK345" s="52" t="str">
        <f>IF(X345&lt;&gt;"NEMA","",IF(IFERROR(MATCH(W345,W$12:W344,0),0)&lt;&gt;0,"",W345))</f>
        <v/>
      </c>
      <c r="CL345" s="73" t="str">
        <f>IF(CK345="","",IFERROR(INDEX(regKlub_alias_id,MATCH(CK345,regKlub_alias_alias,0)),"NEMA"))</f>
        <v/>
      </c>
      <c r="CM345" s="31" t="str">
        <f>IF(OR(CL345="",CL345&lt;&gt;"NEMA"),"",MAX(CM$12:CM344)+1)</f>
        <v/>
      </c>
      <c r="CN345" s="66" t="str">
        <f>IF(OR(CL345="",CL345&lt;&gt;"NEMA"),"",INDEX(regKlub_id,MATCH(CK345,regKlub_naziv,0)))</f>
        <v/>
      </c>
      <c r="CO345" s="47" t="s">
        <v>0</v>
      </c>
      <c r="CP345" s="19" t="str">
        <f>IF(OR(CL345="",CL345&lt;&gt;"NEMA"),"","INSERT INTO klub_alias(id,alias,klub_id) VALUES ("&amp;CM345&amp;",'"&amp;CK345&amp;"',"&amp;CN345&amp;");")</f>
        <v/>
      </c>
      <c r="CQ345" s="47" t="s">
        <v>0</v>
      </c>
      <c r="CR345" s="143" t="str">
        <f>IF(BR345="","",IF(BV345="",IF(IFERROR(MATCH(BR345,nat_noviKluboviAliasi,0),0)&gt;0,INDEX(nat_kluboviAliasi,MATCH(BR345,nat_noviKluboviAliasi,0)),BR345),BV345))</f>
        <v/>
      </c>
      <c r="CS345" s="47" t="s">
        <v>0</v>
      </c>
      <c r="CT345" s="58" t="str">
        <f>IF(G345="","",G345)</f>
        <v/>
      </c>
      <c r="CU345" s="73" t="str">
        <f>IF(H345="","",H345)</f>
        <v>0</v>
      </c>
      <c r="CV345" s="229" t="str">
        <f>IF(CT345="",IF(OR(AL345="",CU345&lt;&gt;"0"),"","GREŠKA"),IF(AND(65535&gt;=VALUE(LEFT(CT345,SEARCH(":",CT345)-1))*60+VALUE(RIGHT(CT345,2)),OR(CU345="0",CU345="1",CU345="2",CU345="3",CU345="4")),"","GREŠKA"))</f>
        <v/>
      </c>
      <c r="CW345" s="230" t="str">
        <f t="shared" si="295"/>
        <v/>
      </c>
      <c r="CX345" s="163" t="str">
        <f t="shared" si="311"/>
        <v/>
      </c>
      <c r="CY345" s="47" t="s">
        <v>0</v>
      </c>
      <c r="CZ345" s="222" t="str">
        <f>IF(CV345&lt;&gt;"GREŠKA","",AK345&amp;" "&amp;AL345&amp;" – Molim u OEventu provjeriti i ispraviti rezultat – vrijeme ("&amp;IF(CT345="","nije upisano",CT345)&amp;") i classifier ("&amp;CU345&amp;").")&amp;IF(OR(CV345&lt;&gt;"GREŠKA",CX345&lt;&gt;5),"
","")&amp;IF(CX345&lt;&gt;5,"",AK345&amp;" "&amp;AL345&amp;" – Molim u provjeriti je li natjecatelj zaista diskvalificiran. Ako je koje je obrazloženje, ako nije molim u OEventu ispraviti rezultat")</f>
        <v xml:space="preserve">
</v>
      </c>
      <c r="DA345" s="223" t="str">
        <f t="shared" si="342"/>
        <v/>
      </c>
      <c r="DB345" s="47" t="s">
        <v>0</v>
      </c>
      <c r="DC345" s="47"/>
      <c r="DD345" s="47"/>
      <c r="DE345" s="47"/>
      <c r="DF345" s="47" t="s">
        <v>0</v>
      </c>
      <c r="DG345" s="53" t="str">
        <f>IF(BD345="","",IF(DI345="O",1,""))</f>
        <v/>
      </c>
      <c r="DH345" t="s">
        <v>0</v>
      </c>
      <c r="DI345" s="128" t="str">
        <f>IF(Q345="","",LEFT(INDEX(regKategorija_oznaka,MATCH(S345,regKategorija_id,0)),1))</f>
        <v>Ž</v>
      </c>
      <c r="DJ345" t="s">
        <v>0</v>
      </c>
      <c r="DK345" s="52" t="str">
        <f>IF(BD345="","",IF(M345&lt;&gt;"CRO","","INSERT INTO osoba (id,reg_broj,oib,spol_id,dat_rodjenja) VALUES ("&amp;BD345&amp;",(SELECT max(os.reg_broj)+1 FROM osoba AS os),Null,'"&amp;DI345&amp;"',Null); INSERT INTO osoba_log (id,reg_broj,oib,spol_id,dat_rodjenja,dnevnik_id) SELECT id,reg_broj,oib,spol_id,dat_rodjenja,"&amp;data_dnevnik_id&amp;" FROM osoba WHERE id = "&amp;BD345&amp;";"))</f>
        <v/>
      </c>
      <c r="DL345" s="66" t="str">
        <f>IF(BD345="","","INSERT INTO imeprezime (id,osoba_id,rbr,ime,prezime,klub_id,identitet_id,sintaksa_id,info,aktivno,dnevnik_id) VALUES ("&amp;BD345&amp;","&amp;IF(DK345="","Null",BD345)&amp;",1,'"&amp;IF(AV345&lt;&gt;"",AV345,AK345)&amp;"','"&amp;IF(AW345&lt;&gt;"",AW345,AL345)&amp;"',(SELECT id FROM klub WHERE naziv = '"&amp;CR345&amp;"'),Null,1,'',1,"&amp;data_dnevnik_id&amp;");")</f>
        <v/>
      </c>
      <c r="DM345" t="s">
        <v>0</v>
      </c>
      <c r="DN345" s="19" t="str">
        <f t="shared" si="350"/>
        <v/>
      </c>
      <c r="DO345" s="47" t="s">
        <v>0</v>
      </c>
      <c r="DP345" s="19" t="str">
        <f>IF(BA345="","","INSERT INTO imeprezime_alias(id,alias,imeprezime_id) VALUES ("&amp;BB345&amp;",'"&amp;BA345&amp;"',"&amp;IF(BC345="NEMA",BD345,BC345)&amp;");")</f>
        <v/>
      </c>
      <c r="DQ345" s="47" t="s">
        <v>0</v>
      </c>
      <c r="DR345" s="52" t="str">
        <f>IF(AL345="","",DU345 &amp; IF(Q345="",""," – " &amp; Q345))</f>
        <v/>
      </c>
      <c r="DS345" s="53" t="str">
        <f t="shared" si="312"/>
        <v/>
      </c>
      <c r="DT345" s="47" t="s">
        <v>0</v>
      </c>
      <c r="DU345" s="52" t="str">
        <f>IF(AL345="","",DX345 &amp; IF(CR345="",""," – " &amp; CR345))</f>
        <v/>
      </c>
      <c r="DV345" s="53" t="str">
        <f t="shared" si="313"/>
        <v/>
      </c>
      <c r="DW345" s="47" t="s">
        <v>0</v>
      </c>
      <c r="DX345" s="52" t="str">
        <f>IF(BG345="","",BF345&amp;" – "&amp;BG345)</f>
        <v/>
      </c>
      <c r="DY345" s="53" t="str">
        <f t="shared" si="314"/>
        <v/>
      </c>
      <c r="DZ345" s="47" t="s">
        <v>0</v>
      </c>
      <c r="EA345" s="58" t="str">
        <f t="shared" si="343"/>
        <v/>
      </c>
      <c r="EB345" s="53" t="str" cm="1">
        <f t="array" ref="EB345">IF(EA345&lt;&gt;"",INDEX(regNatjecatelj_id,EA345,0),IF(BD345&lt;&gt;"",BD345,""))</f>
        <v/>
      </c>
      <c r="EC345" s="47" t="s">
        <v>0</v>
      </c>
      <c r="ED345" s="58" t="str">
        <f>IF(AL345="","",IF(BD345&lt;&gt;"","novo",IF(AN345="","imepre","imepre(ali)")))</f>
        <v/>
      </c>
      <c r="EE345" s="73" t="str">
        <f>IF(AL345="","",IF(BL345="",IF(IFERROR(INDEX(regNatjecatelj_klub,MATCH(EB345,regNatjecatelj_id,0)),"NEMA")="","klu",""),IF(OR(AND(BN345&lt;&gt;"",BN345&lt;&gt;"NEMA"),CD345&lt;&gt;""),"klu(ali)",IF(AND(BP345&lt;&gt;"",BP345&lt;&gt;BO345),"(raz-klu)","klu"))))</f>
        <v/>
      </c>
      <c r="EF345" s="73" t="str">
        <f>IF(AL345="","","kat"&amp;IF(AND(W345&lt;&gt;Q345,Q345&lt;&gt;"Open"),"(ali)",""))</f>
        <v/>
      </c>
      <c r="EG345" s="73" t="str">
        <f t="shared" si="315"/>
        <v/>
      </c>
      <c r="EH345" s="66" t="str">
        <f>IF(AL345="","",ED345&amp;IF(ED345="novo","","-"&amp;EE345&amp;"-"&amp;EF345)&amp;IF(EG345="","","-"&amp;EG345))</f>
        <v/>
      </c>
      <c r="EI345" s="47" t="s">
        <v>0</v>
      </c>
      <c r="EJ345" s="58" t="str">
        <f>IF(AL345="","",MAX(EJ$12:EJ344)+1)</f>
        <v/>
      </c>
      <c r="EK345" s="73" t="str">
        <f>IF(AO345="","",X345)</f>
        <v/>
      </c>
      <c r="EL345" s="73" t="str">
        <f t="shared" si="344"/>
        <v/>
      </c>
      <c r="EM345" s="73" t="str">
        <f t="shared" si="316"/>
        <v/>
      </c>
      <c r="EN345" s="73" t="str">
        <f t="shared" si="317"/>
        <v/>
      </c>
      <c r="EO345" s="73" t="str">
        <f t="shared" si="345"/>
        <v/>
      </c>
      <c r="EP345" s="73" t="str">
        <f t="shared" si="346"/>
        <v/>
      </c>
      <c r="EQ345" s="73" t="str">
        <f t="shared" si="318"/>
        <v/>
      </c>
      <c r="ER345" s="73" t="str">
        <f>IF(OR(AN345="",AN345="NEMA"),BB345,AN345)</f>
        <v/>
      </c>
      <c r="ES345" s="73" t="str">
        <f>IF(AND(BN345&lt;&gt;"",BN345&lt;&gt;"NEMA"),BN345,IF(CG345&lt;&gt;"",CG345,IF(AND(CL345&lt;&gt;"",CL345&lt;&gt;"NEMA"),CL345,IF(CM345&lt;&gt;"",CM345,""))))</f>
        <v/>
      </c>
      <c r="ET345" s="53" t="str">
        <f>IF(INDEX(natKategorija_alias_Id,MATCH(S345,natKategorija_katRegId,0))="","",INDEX(natKategorija_alias_Id,MATCH(S345,natKategorija_katRegId,0)))</f>
        <v/>
      </c>
      <c r="EU345" s="47" t="s">
        <v>0</v>
      </c>
      <c r="EV345" s="19" t="str">
        <f t="shared" si="347"/>
        <v/>
      </c>
      <c r="EW345" s="47" t="s">
        <v>0</v>
      </c>
      <c r="EX345" s="19" t="str">
        <f t="shared" si="348"/>
        <v/>
      </c>
      <c r="EY345" s="47" t="s">
        <v>0</v>
      </c>
      <c r="EZ345" s="180" t="str">
        <f>AG345&amp;IF(CP345="","","
")&amp;CP345&amp;IF(CI345="","","
")&amp;CI345&amp;IF(DN345="","","
")&amp;DN345&amp;IF(DP345="","","
")&amp;DP345&amp;IF(EV345="","","
")&amp;EV345&amp;IF(EX345="","","
")&amp;EX345</f>
        <v/>
      </c>
      <c r="FA345" s="47" t="s">
        <v>0</v>
      </c>
    </row>
    <row r="346" spans="1:157" x14ac:dyDescent="0.25">
      <c r="A346" t="s">
        <v>0</v>
      </c>
      <c r="B346" s="52" t="str">
        <f>IF(csv!F336="","",csv!T336)</f>
        <v>Ž70</v>
      </c>
      <c r="C346" s="31" t="s">
        <v>0</v>
      </c>
      <c r="D346" s="31" t="str">
        <f>IF(csv!F336="","",csv!F336)</f>
        <v>Vacant</v>
      </c>
      <c r="E346" s="31" t="str">
        <f>IF(csv!E336="","",csv!E336)</f>
        <v/>
      </c>
      <c r="F346" s="31" t="s">
        <v>0</v>
      </c>
      <c r="G346" s="73" t="str">
        <f>IF(csv!M336="","",csv!M336)</f>
        <v/>
      </c>
      <c r="H346" s="73" t="str">
        <f>IF(csv!N336="","",csv!N336)</f>
        <v>0</v>
      </c>
      <c r="I346" s="31" t="s">
        <v>0</v>
      </c>
      <c r="J346" s="31" t="str">
        <f>IF(csv!P336="","",csv!P336)</f>
        <v/>
      </c>
      <c r="K346" s="31" t="str">
        <f>IF(csv!Q336="","",csv!Q336)</f>
        <v/>
      </c>
      <c r="L346" s="31" t="s">
        <v>0</v>
      </c>
      <c r="M346" s="66" t="str">
        <f>IF(csv!R336="","",csv!R336)</f>
        <v/>
      </c>
      <c r="N346" s="47" t="s">
        <v>0</v>
      </c>
      <c r="O346" s="243" t="str">
        <f t="shared" si="319"/>
        <v/>
      </c>
      <c r="P346" s="47"/>
      <c r="Q346" s="52" t="str">
        <f t="shared" si="320"/>
        <v>Ž70</v>
      </c>
      <c r="R346" s="73">
        <f>IF(Q346="","",IF(COUNTIF(Q$12:Q345,Q346)=0,R345+1,R345))</f>
        <v>23</v>
      </c>
      <c r="S346" s="73">
        <f t="shared" si="321"/>
        <v>113</v>
      </c>
      <c r="T346" s="73" t="str">
        <f t="shared" si="297"/>
        <v/>
      </c>
      <c r="U346" s="66" t="str">
        <f t="shared" si="298"/>
        <v/>
      </c>
      <c r="V346" s="47" t="s">
        <v>0</v>
      </c>
      <c r="W346" s="222" t="str">
        <f t="shared" si="299"/>
        <v/>
      </c>
      <c r="X346" s="223" t="str">
        <f t="shared" si="300"/>
        <v/>
      </c>
      <c r="Y346" s="47" t="s">
        <v>0</v>
      </c>
      <c r="Z346" s="52" t="str">
        <f t="shared" si="322"/>
        <v/>
      </c>
      <c r="AA346" s="73" t="str">
        <f t="shared" si="301"/>
        <v/>
      </c>
      <c r="AB346" s="31" t="str">
        <f t="shared" si="323"/>
        <v/>
      </c>
      <c r="AC346" s="66" t="str">
        <f>IF(AB346="","",MAX(AC$12:AC345)+1)</f>
        <v/>
      </c>
      <c r="AD346" s="47" t="s">
        <v>0</v>
      </c>
      <c r="AE346" s="125"/>
      <c r="AF346" s="47" t="s">
        <v>0</v>
      </c>
      <c r="AG346" s="19" t="str">
        <f t="shared" si="324"/>
        <v/>
      </c>
      <c r="AH346" s="47" t="s">
        <v>0</v>
      </c>
      <c r="AI346" s="143" t="str">
        <f t="shared" si="325"/>
        <v/>
      </c>
      <c r="AJ346" s="47"/>
      <c r="AK346" s="52" t="str">
        <f t="shared" si="326"/>
        <v/>
      </c>
      <c r="AL346" s="31" t="str">
        <f t="shared" si="327"/>
        <v/>
      </c>
      <c r="AM346" s="73" t="str">
        <f t="shared" si="328"/>
        <v/>
      </c>
      <c r="AN346" s="73" t="str">
        <f t="shared" si="329"/>
        <v/>
      </c>
      <c r="AO346" s="31" t="str">
        <f t="shared" si="302"/>
        <v/>
      </c>
      <c r="AP346" s="66" t="str">
        <f t="shared" si="303"/>
        <v/>
      </c>
      <c r="AQ346" s="47" t="s">
        <v>0</v>
      </c>
      <c r="AR346" s="82" t="str">
        <f t="shared" si="330"/>
        <v/>
      </c>
      <c r="AS346" s="47" t="s">
        <v>0</v>
      </c>
      <c r="AT346" s="19" t="str">
        <f t="shared" si="331"/>
        <v/>
      </c>
      <c r="AU346" s="47" t="s">
        <v>0</v>
      </c>
      <c r="AV346" s="103"/>
      <c r="AW346" s="105"/>
      <c r="AX346" s="47" t="s">
        <v>0</v>
      </c>
      <c r="AY346" s="256" t="str">
        <f t="shared" si="349"/>
        <v/>
      </c>
      <c r="AZ346" s="47" t="s">
        <v>0</v>
      </c>
      <c r="BA346" s="52" t="str">
        <f t="shared" si="296"/>
        <v/>
      </c>
      <c r="BB346" s="73" t="str">
        <f>IF(AV346&amp;AW346="","",MAX(BB$12:BB345)+1)</f>
        <v/>
      </c>
      <c r="BC346" s="268" t="str">
        <f t="shared" si="304"/>
        <v/>
      </c>
      <c r="BD346" s="53" t="str">
        <f>IF(AND(AM346="NEMA",AN346="NEMA",OR(AV346&amp;AW346="",BC346="NEMA")),MAX(BD$12:BD345)+1,"")</f>
        <v/>
      </c>
      <c r="BE346" s="47" t="s">
        <v>0</v>
      </c>
      <c r="BF346" s="52" t="str">
        <f t="shared" si="305"/>
        <v/>
      </c>
      <c r="BG346" s="31" t="str">
        <f t="shared" si="306"/>
        <v/>
      </c>
      <c r="BH346" s="73" t="str">
        <f t="shared" si="332"/>
        <v/>
      </c>
      <c r="BI346" s="53" t="str">
        <f t="shared" si="333"/>
        <v/>
      </c>
      <c r="BJ346" s="47" t="s">
        <v>0</v>
      </c>
      <c r="BK346" s="52" t="str">
        <f t="shared" si="307"/>
        <v/>
      </c>
      <c r="BL346" s="31" t="str">
        <f t="shared" si="308"/>
        <v/>
      </c>
      <c r="BM346" s="73" t="str">
        <f t="shared" si="309"/>
        <v/>
      </c>
      <c r="BN346" s="73" t="str">
        <f t="shared" si="310"/>
        <v/>
      </c>
      <c r="BO346" s="31" t="str" cm="1">
        <f t="array" ref="BO346">IF(BN346="",""&amp;BL346,IF(BN346="NEMA",BL346,INDEX(regKlub_naziv,MATCH(INDEX(regKlub_alias_klubId,BN346),regKlub_id,0))))</f>
        <v/>
      </c>
      <c r="BP346" s="31" t="str" cm="1">
        <f t="array" ref="BP346">IFERROR(""&amp;INDEX(regNatjecatelj_klub,DY346),"")</f>
        <v/>
      </c>
      <c r="BQ346" s="88" t="str">
        <f t="shared" si="334"/>
        <v/>
      </c>
      <c r="BR346" s="66" t="str">
        <f t="shared" si="335"/>
        <v/>
      </c>
      <c r="BS346" s="47" t="s">
        <v>0</v>
      </c>
      <c r="BT346" s="82" t="str">
        <f>IF(BN346&lt;&gt;"NEMA","",IF(IFERROR(MATCH(BL346,BL$12:BL345,0),0)&lt;&gt;0,"",BL346))</f>
        <v/>
      </c>
      <c r="BU346" s="47" t="s">
        <v>0</v>
      </c>
      <c r="BV346" s="125"/>
      <c r="BW346" s="47" t="s">
        <v>0</v>
      </c>
      <c r="BX346" s="58" t="str">
        <f t="shared" si="336"/>
        <v/>
      </c>
      <c r="BY346" s="31" t="str">
        <f t="shared" si="337"/>
        <v/>
      </c>
      <c r="BZ346" s="31" t="str">
        <f>IF(BY346="","",MAX(BZ$12:BZ345)+1)</f>
        <v/>
      </c>
      <c r="CA346" s="31" t="str">
        <f>IF(BY346="","",IF(AA346="","",IF(AA346="NEMA",AC346,AA346)))</f>
        <v/>
      </c>
      <c r="CB346" s="31" t="str">
        <f t="shared" si="338"/>
        <v/>
      </c>
      <c r="CC346" s="31" t="str">
        <f>IF(BV346="","",MAX(CC$12:CC345)+1)</f>
        <v/>
      </c>
      <c r="CD346" s="31" t="str">
        <f t="shared" si="339"/>
        <v/>
      </c>
      <c r="CE346" s="66" t="str">
        <f t="shared" si="340"/>
        <v/>
      </c>
      <c r="CF346" s="47" t="s">
        <v>0</v>
      </c>
      <c r="CG346" s="73" t="str">
        <f>IF(BN346="","",IF(BN346&lt;&gt;"NEMA","",IFERROR(INDEX(nat_klubAliasId,MATCH(BL346,nat_noviKluboviAliasi,0)),"")))</f>
        <v/>
      </c>
      <c r="CH346" s="47"/>
      <c r="CI346" s="19" t="str">
        <f t="shared" si="341"/>
        <v/>
      </c>
      <c r="CJ346" s="47" t="s">
        <v>0</v>
      </c>
      <c r="CK346" s="52" t="str">
        <f>IF(X346&lt;&gt;"NEMA","",IF(IFERROR(MATCH(W346,W$12:W345,0),0)&lt;&gt;0,"",W346))</f>
        <v/>
      </c>
      <c r="CL346" s="73" t="str">
        <f>IF(CK346="","",IFERROR(INDEX(regKlub_alias_id,MATCH(CK346,regKlub_alias_alias,0)),"NEMA"))</f>
        <v/>
      </c>
      <c r="CM346" s="31" t="str">
        <f>IF(OR(CL346="",CL346&lt;&gt;"NEMA"),"",MAX(CM$12:CM345)+1)</f>
        <v/>
      </c>
      <c r="CN346" s="66" t="str">
        <f>IF(OR(CL346="",CL346&lt;&gt;"NEMA"),"",INDEX(regKlub_id,MATCH(CK346,regKlub_naziv,0)))</f>
        <v/>
      </c>
      <c r="CO346" s="47" t="s">
        <v>0</v>
      </c>
      <c r="CP346" s="19" t="str">
        <f>IF(OR(CL346="",CL346&lt;&gt;"NEMA"),"","INSERT INTO klub_alias(id,alias,klub_id) VALUES ("&amp;CM346&amp;",'"&amp;CK346&amp;"',"&amp;CN346&amp;");")</f>
        <v/>
      </c>
      <c r="CQ346" s="47" t="s">
        <v>0</v>
      </c>
      <c r="CR346" s="143" t="str">
        <f>IF(BR346="","",IF(BV346="",IF(IFERROR(MATCH(BR346,nat_noviKluboviAliasi,0),0)&gt;0,INDEX(nat_kluboviAliasi,MATCH(BR346,nat_noviKluboviAliasi,0)),BR346),BV346))</f>
        <v/>
      </c>
      <c r="CS346" s="47" t="s">
        <v>0</v>
      </c>
      <c r="CT346" s="58" t="str">
        <f>IF(G346="","",G346)</f>
        <v/>
      </c>
      <c r="CU346" s="73" t="str">
        <f>IF(H346="","",H346)</f>
        <v>0</v>
      </c>
      <c r="CV346" s="229" t="str">
        <f>IF(CT346="",IF(OR(AL346="",CU346&lt;&gt;"0"),"","GREŠKA"),IF(AND(65535&gt;=VALUE(LEFT(CT346,SEARCH(":",CT346)-1))*60+VALUE(RIGHT(CT346,2)),OR(CU346="0",CU346="1",CU346="2",CU346="3",CU346="4")),"","GREŠKA"))</f>
        <v/>
      </c>
      <c r="CW346" s="230" t="str">
        <f t="shared" si="295"/>
        <v/>
      </c>
      <c r="CX346" s="163" t="str">
        <f t="shared" si="311"/>
        <v/>
      </c>
      <c r="CY346" s="47" t="s">
        <v>0</v>
      </c>
      <c r="CZ346" s="222" t="str">
        <f>IF(CV346&lt;&gt;"GREŠKA","",AK346&amp;" "&amp;AL346&amp;" – Molim u OEventu provjeriti i ispraviti rezultat – vrijeme ("&amp;IF(CT346="","nije upisano",CT346)&amp;") i classifier ("&amp;CU346&amp;").")&amp;IF(OR(CV346&lt;&gt;"GREŠKA",CX346&lt;&gt;5),"
","")&amp;IF(CX346&lt;&gt;5,"",AK346&amp;" "&amp;AL346&amp;" – Molim u provjeriti je li natjecatelj zaista diskvalificiran. Ako je koje je obrazloženje, ako nije molim u OEventu ispraviti rezultat")</f>
        <v xml:space="preserve">
</v>
      </c>
      <c r="DA346" s="223" t="str">
        <f t="shared" si="342"/>
        <v/>
      </c>
      <c r="DB346" s="47" t="s">
        <v>0</v>
      </c>
      <c r="DC346" s="47"/>
      <c r="DD346" s="47"/>
      <c r="DE346" s="47"/>
      <c r="DF346" s="47" t="s">
        <v>0</v>
      </c>
      <c r="DG346" s="53" t="str">
        <f>IF(BD346="","",IF(DI346="O",1,""))</f>
        <v/>
      </c>
      <c r="DH346" t="s">
        <v>0</v>
      </c>
      <c r="DI346" s="128" t="str">
        <f>IF(Q346="","",LEFT(INDEX(regKategorija_oznaka,MATCH(S346,regKategorija_id,0)),1))</f>
        <v>Ž</v>
      </c>
      <c r="DJ346" t="s">
        <v>0</v>
      </c>
      <c r="DK346" s="52" t="str">
        <f>IF(BD346="","",IF(M346&lt;&gt;"CRO","","INSERT INTO osoba (id,reg_broj,oib,spol_id,dat_rodjenja) VALUES ("&amp;BD346&amp;",(SELECT max(os.reg_broj)+1 FROM osoba AS os),Null,'"&amp;DI346&amp;"',Null); INSERT INTO osoba_log (id,reg_broj,oib,spol_id,dat_rodjenja,dnevnik_id) SELECT id,reg_broj,oib,spol_id,dat_rodjenja,"&amp;data_dnevnik_id&amp;" FROM osoba WHERE id = "&amp;BD346&amp;";"))</f>
        <v/>
      </c>
      <c r="DL346" s="66" t="str">
        <f>IF(BD346="","","INSERT INTO imeprezime (id,osoba_id,rbr,ime,prezime,klub_id,identitet_id,sintaksa_id,info,aktivno,dnevnik_id) VALUES ("&amp;BD346&amp;","&amp;IF(DK346="","Null",BD346)&amp;",1,'"&amp;IF(AV346&lt;&gt;"",AV346,AK346)&amp;"','"&amp;IF(AW346&lt;&gt;"",AW346,AL346)&amp;"',(SELECT id FROM klub WHERE naziv = '"&amp;CR346&amp;"'),Null,1,'',1,"&amp;data_dnevnik_id&amp;");")</f>
        <v/>
      </c>
      <c r="DM346" t="s">
        <v>0</v>
      </c>
      <c r="DN346" s="19" t="str">
        <f t="shared" si="350"/>
        <v/>
      </c>
      <c r="DO346" s="47" t="s">
        <v>0</v>
      </c>
      <c r="DP346" s="19" t="str">
        <f>IF(BA346="","","INSERT INTO imeprezime_alias(id,alias,imeprezime_id) VALUES ("&amp;BB346&amp;",'"&amp;BA346&amp;"',"&amp;IF(BC346="NEMA",BD346,BC346)&amp;");")</f>
        <v/>
      </c>
      <c r="DQ346" s="47" t="s">
        <v>0</v>
      </c>
      <c r="DR346" s="52" t="str">
        <f>IF(AL346="","",DU346 &amp; IF(Q346="",""," – " &amp; Q346))</f>
        <v/>
      </c>
      <c r="DS346" s="53" t="str">
        <f t="shared" si="312"/>
        <v/>
      </c>
      <c r="DT346" s="47" t="s">
        <v>0</v>
      </c>
      <c r="DU346" s="52" t="str">
        <f>IF(AL346="","",DX346 &amp; IF(CR346="",""," – " &amp; CR346))</f>
        <v/>
      </c>
      <c r="DV346" s="53" t="str">
        <f t="shared" si="313"/>
        <v/>
      </c>
      <c r="DW346" s="47" t="s">
        <v>0</v>
      </c>
      <c r="DX346" s="52" t="str">
        <f>IF(BG346="","",BF346&amp;" – "&amp;BG346)</f>
        <v/>
      </c>
      <c r="DY346" s="53" t="str">
        <f t="shared" si="314"/>
        <v/>
      </c>
      <c r="DZ346" s="47" t="s">
        <v>0</v>
      </c>
      <c r="EA346" s="58" t="str">
        <f t="shared" si="343"/>
        <v/>
      </c>
      <c r="EB346" s="53" t="str" cm="1">
        <f t="array" ref="EB346">IF(EA346&lt;&gt;"",INDEX(regNatjecatelj_id,EA346,0),IF(BD346&lt;&gt;"",BD346,""))</f>
        <v/>
      </c>
      <c r="EC346" s="47" t="s">
        <v>0</v>
      </c>
      <c r="ED346" s="58" t="str">
        <f>IF(AL346="","",IF(BD346&lt;&gt;"","novo",IF(AN346="","imepre","imepre(ali)")))</f>
        <v/>
      </c>
      <c r="EE346" s="73" t="str">
        <f>IF(AL346="","",IF(BL346="",IF(IFERROR(INDEX(regNatjecatelj_klub,MATCH(EB346,regNatjecatelj_id,0)),"NEMA")="","klu",""),IF(OR(AND(BN346&lt;&gt;"",BN346&lt;&gt;"NEMA"),CD346&lt;&gt;""),"klu(ali)",IF(AND(BP346&lt;&gt;"",BP346&lt;&gt;BO346),"(raz-klu)","klu"))))</f>
        <v/>
      </c>
      <c r="EF346" s="73" t="str">
        <f>IF(AL346="","","kat"&amp;IF(AND(W346&lt;&gt;Q346,Q346&lt;&gt;"Open"),"(ali)",""))</f>
        <v/>
      </c>
      <c r="EG346" s="73" t="str">
        <f t="shared" si="315"/>
        <v/>
      </c>
      <c r="EH346" s="66" t="str">
        <f>IF(AL346="","",ED346&amp;IF(ED346="novo","","-"&amp;EE346&amp;"-"&amp;EF346)&amp;IF(EG346="","","-"&amp;EG346))</f>
        <v/>
      </c>
      <c r="EI346" s="47" t="s">
        <v>0</v>
      </c>
      <c r="EJ346" s="58" t="str">
        <f>IF(AL346="","",MAX(EJ$12:EJ345)+1)</f>
        <v/>
      </c>
      <c r="EK346" s="73" t="str">
        <f>IF(AO346="","",X346)</f>
        <v/>
      </c>
      <c r="EL346" s="73" t="str">
        <f t="shared" si="344"/>
        <v/>
      </c>
      <c r="EM346" s="73" t="str">
        <f t="shared" si="316"/>
        <v/>
      </c>
      <c r="EN346" s="73" t="str">
        <f t="shared" si="317"/>
        <v/>
      </c>
      <c r="EO346" s="73" t="str">
        <f t="shared" si="345"/>
        <v/>
      </c>
      <c r="EP346" s="73" t="str">
        <f t="shared" si="346"/>
        <v/>
      </c>
      <c r="EQ346" s="73" t="str">
        <f t="shared" si="318"/>
        <v/>
      </c>
      <c r="ER346" s="73" t="str">
        <f>IF(OR(AN346="",AN346="NEMA"),BB346,AN346)</f>
        <v/>
      </c>
      <c r="ES346" s="73" t="str">
        <f>IF(AND(BN346&lt;&gt;"",BN346&lt;&gt;"NEMA"),BN346,IF(CG346&lt;&gt;"",CG346,IF(AND(CL346&lt;&gt;"",CL346&lt;&gt;"NEMA"),CL346,IF(CM346&lt;&gt;"",CM346,""))))</f>
        <v/>
      </c>
      <c r="ET346" s="53" t="str">
        <f>IF(INDEX(natKategorija_alias_Id,MATCH(S346,natKategorija_katRegId,0))="","",INDEX(natKategorija_alias_Id,MATCH(S346,natKategorija_katRegId,0)))</f>
        <v/>
      </c>
      <c r="EU346" s="47" t="s">
        <v>0</v>
      </c>
      <c r="EV346" s="19" t="str">
        <f t="shared" si="347"/>
        <v/>
      </c>
      <c r="EW346" s="47" t="s">
        <v>0</v>
      </c>
      <c r="EX346" s="19" t="str">
        <f t="shared" si="348"/>
        <v/>
      </c>
      <c r="EY346" s="47" t="s">
        <v>0</v>
      </c>
      <c r="EZ346" s="180" t="str">
        <f>AG346&amp;IF(CP346="","","
")&amp;CP346&amp;IF(CI346="","","
")&amp;CI346&amp;IF(DN346="","","
")&amp;DN346&amp;IF(DP346="","","
")&amp;DP346&amp;IF(EV346="","","
")&amp;EV346&amp;IF(EX346="","","
")&amp;EX346</f>
        <v/>
      </c>
      <c r="FA346" s="47" t="s">
        <v>0</v>
      </c>
    </row>
    <row r="347" spans="1:157" x14ac:dyDescent="0.25">
      <c r="A347" t="s">
        <v>0</v>
      </c>
      <c r="B347" s="52" t="str">
        <f>IF(csv!F337="","",csv!T337)</f>
        <v/>
      </c>
      <c r="C347" s="31" t="s">
        <v>0</v>
      </c>
      <c r="D347" s="31" t="str">
        <f>IF(csv!F337="","",csv!F337)</f>
        <v/>
      </c>
      <c r="E347" s="31" t="str">
        <f>IF(csv!E337="","",csv!E337)</f>
        <v/>
      </c>
      <c r="F347" s="31" t="s">
        <v>0</v>
      </c>
      <c r="G347" s="73" t="str">
        <f>IF(csv!M337="","",csv!M337)</f>
        <v/>
      </c>
      <c r="H347" s="73" t="str">
        <f>IF(csv!N337="","",csv!N337)</f>
        <v/>
      </c>
      <c r="I347" s="31" t="s">
        <v>0</v>
      </c>
      <c r="J347" s="31" t="str">
        <f>IF(csv!P337="","",csv!P337)</f>
        <v/>
      </c>
      <c r="K347" s="31" t="str">
        <f>IF(csv!Q337="","",csv!Q337)</f>
        <v/>
      </c>
      <c r="L347" s="31" t="s">
        <v>0</v>
      </c>
      <c r="M347" s="66" t="str">
        <f>IF(csv!R337="","",csv!R337)</f>
        <v/>
      </c>
      <c r="N347" s="47" t="s">
        <v>0</v>
      </c>
      <c r="O347" s="243" t="str">
        <f t="shared" si="319"/>
        <v/>
      </c>
      <c r="P347" s="47"/>
      <c r="Q347" s="52" t="str">
        <f t="shared" si="320"/>
        <v/>
      </c>
      <c r="R347" s="73" t="str">
        <f>IF(Q347="","",IF(COUNTIF(Q$12:Q346,Q347)=0,R346+1,R346))</f>
        <v/>
      </c>
      <c r="S347" s="73" t="str">
        <f t="shared" si="321"/>
        <v/>
      </c>
      <c r="T347" s="73" t="str">
        <f t="shared" si="297"/>
        <v/>
      </c>
      <c r="U347" s="66" t="str">
        <f t="shared" si="298"/>
        <v/>
      </c>
      <c r="V347" s="47" t="s">
        <v>0</v>
      </c>
      <c r="W347" s="222" t="str">
        <f t="shared" si="299"/>
        <v/>
      </c>
      <c r="X347" s="223" t="str">
        <f t="shared" si="300"/>
        <v/>
      </c>
      <c r="Y347" s="47" t="s">
        <v>0</v>
      </c>
      <c r="Z347" s="52" t="str">
        <f t="shared" si="322"/>
        <v/>
      </c>
      <c r="AA347" s="73" t="str">
        <f t="shared" si="301"/>
        <v/>
      </c>
      <c r="AB347" s="31" t="str">
        <f t="shared" si="323"/>
        <v/>
      </c>
      <c r="AC347" s="66" t="str">
        <f>IF(AB347="","",MAX(AC$12:AC346)+1)</f>
        <v/>
      </c>
      <c r="AD347" s="47" t="s">
        <v>0</v>
      </c>
      <c r="AE347" s="125"/>
      <c r="AF347" s="47" t="s">
        <v>0</v>
      </c>
      <c r="AG347" s="19" t="str">
        <f t="shared" si="324"/>
        <v/>
      </c>
      <c r="AH347" s="47" t="s">
        <v>0</v>
      </c>
      <c r="AI347" s="143" t="str">
        <f t="shared" si="325"/>
        <v/>
      </c>
      <c r="AJ347" s="47"/>
      <c r="AK347" s="52" t="str">
        <f t="shared" si="326"/>
        <v/>
      </c>
      <c r="AL347" s="31" t="str">
        <f t="shared" si="327"/>
        <v/>
      </c>
      <c r="AM347" s="73" t="str">
        <f t="shared" si="328"/>
        <v/>
      </c>
      <c r="AN347" s="73" t="str">
        <f t="shared" si="329"/>
        <v/>
      </c>
      <c r="AO347" s="31" t="str">
        <f t="shared" si="302"/>
        <v/>
      </c>
      <c r="AP347" s="66" t="str">
        <f t="shared" si="303"/>
        <v/>
      </c>
      <c r="AQ347" s="47" t="s">
        <v>0</v>
      </c>
      <c r="AR347" s="82" t="str">
        <f t="shared" si="330"/>
        <v/>
      </c>
      <c r="AS347" s="47" t="s">
        <v>0</v>
      </c>
      <c r="AT347" s="19" t="str">
        <f t="shared" si="331"/>
        <v/>
      </c>
      <c r="AU347" s="47" t="s">
        <v>0</v>
      </c>
      <c r="AV347" s="103"/>
      <c r="AW347" s="105"/>
      <c r="AX347" s="47" t="s">
        <v>0</v>
      </c>
      <c r="AY347" s="256" t="str">
        <f t="shared" si="349"/>
        <v/>
      </c>
      <c r="AZ347" s="47" t="s">
        <v>0</v>
      </c>
      <c r="BA347" s="52" t="str">
        <f t="shared" si="296"/>
        <v/>
      </c>
      <c r="BB347" s="73" t="str">
        <f>IF(AV347&amp;AW347="","",MAX(BB$12:BB346)+1)</f>
        <v/>
      </c>
      <c r="BC347" s="268" t="str">
        <f t="shared" si="304"/>
        <v/>
      </c>
      <c r="BD347" s="53" t="str">
        <f>IF(AND(AM347="NEMA",AN347="NEMA",OR(AV347&amp;AW347="",BC347="NEMA")),MAX(BD$12:BD346)+1,"")</f>
        <v/>
      </c>
      <c r="BE347" s="47" t="s">
        <v>0</v>
      </c>
      <c r="BF347" s="52" t="str">
        <f t="shared" si="305"/>
        <v/>
      </c>
      <c r="BG347" s="31" t="str">
        <f t="shared" si="306"/>
        <v/>
      </c>
      <c r="BH347" s="73" t="str">
        <f t="shared" si="332"/>
        <v/>
      </c>
      <c r="BI347" s="53" t="str">
        <f t="shared" si="333"/>
        <v/>
      </c>
      <c r="BJ347" s="47" t="s">
        <v>0</v>
      </c>
      <c r="BK347" s="52" t="str">
        <f t="shared" si="307"/>
        <v/>
      </c>
      <c r="BL347" s="31" t="str">
        <f t="shared" si="308"/>
        <v/>
      </c>
      <c r="BM347" s="73" t="str">
        <f t="shared" si="309"/>
        <v/>
      </c>
      <c r="BN347" s="73" t="str">
        <f t="shared" si="310"/>
        <v/>
      </c>
      <c r="BO347" s="31" t="str" cm="1">
        <f t="array" ref="BO347">IF(BN347="",""&amp;BL347,IF(BN347="NEMA",BL347,INDEX(regKlub_naziv,MATCH(INDEX(regKlub_alias_klubId,BN347),regKlub_id,0))))</f>
        <v/>
      </c>
      <c r="BP347" s="31" t="str" cm="1">
        <f t="array" ref="BP347">IFERROR(""&amp;INDEX(regNatjecatelj_klub,DY347),"")</f>
        <v/>
      </c>
      <c r="BQ347" s="88" t="str">
        <f t="shared" si="334"/>
        <v/>
      </c>
      <c r="BR347" s="66" t="str">
        <f t="shared" si="335"/>
        <v/>
      </c>
      <c r="BS347" s="47" t="s">
        <v>0</v>
      </c>
      <c r="BT347" s="82" t="str">
        <f>IF(BN347&lt;&gt;"NEMA","",IF(IFERROR(MATCH(BL347,BL$12:BL346,0),0)&lt;&gt;0,"",BL347))</f>
        <v/>
      </c>
      <c r="BU347" s="47" t="s">
        <v>0</v>
      </c>
      <c r="BV347" s="125"/>
      <c r="BW347" s="47" t="s">
        <v>0</v>
      </c>
      <c r="BX347" s="58" t="str">
        <f t="shared" si="336"/>
        <v/>
      </c>
      <c r="BY347" s="31" t="str">
        <f t="shared" si="337"/>
        <v/>
      </c>
      <c r="BZ347" s="31" t="str">
        <f>IF(BY347="","",MAX(BZ$12:BZ346)+1)</f>
        <v/>
      </c>
      <c r="CA347" s="31" t="str">
        <f>IF(BY347="","",IF(AA347="","",IF(AA347="NEMA",AC347,AA347)))</f>
        <v/>
      </c>
      <c r="CB347" s="31" t="str">
        <f t="shared" si="338"/>
        <v/>
      </c>
      <c r="CC347" s="31" t="str">
        <f>IF(BV347="","",MAX(CC$12:CC346)+1)</f>
        <v/>
      </c>
      <c r="CD347" s="31" t="str">
        <f t="shared" si="339"/>
        <v/>
      </c>
      <c r="CE347" s="66" t="str">
        <f t="shared" si="340"/>
        <v/>
      </c>
      <c r="CF347" s="47" t="s">
        <v>0</v>
      </c>
      <c r="CG347" s="73" t="str">
        <f>IF(BN347="","",IF(BN347&lt;&gt;"NEMA","",IFERROR(INDEX(nat_klubAliasId,MATCH(BL347,nat_noviKluboviAliasi,0)),"")))</f>
        <v/>
      </c>
      <c r="CH347" s="47"/>
      <c r="CI347" s="19" t="str">
        <f t="shared" si="341"/>
        <v/>
      </c>
      <c r="CJ347" s="47" t="s">
        <v>0</v>
      </c>
      <c r="CK347" s="52" t="str">
        <f>IF(X347&lt;&gt;"NEMA","",IF(IFERROR(MATCH(W347,W$12:W346,0),0)&lt;&gt;0,"",W347))</f>
        <v/>
      </c>
      <c r="CL347" s="73" t="str">
        <f>IF(CK347="","",IFERROR(INDEX(regKlub_alias_id,MATCH(CK347,regKlub_alias_alias,0)),"NEMA"))</f>
        <v/>
      </c>
      <c r="CM347" s="31" t="str">
        <f>IF(OR(CL347="",CL347&lt;&gt;"NEMA"),"",MAX(CM$12:CM346)+1)</f>
        <v/>
      </c>
      <c r="CN347" s="66" t="str">
        <f>IF(OR(CL347="",CL347&lt;&gt;"NEMA"),"",INDEX(regKlub_id,MATCH(CK347,regKlub_naziv,0)))</f>
        <v/>
      </c>
      <c r="CO347" s="47" t="s">
        <v>0</v>
      </c>
      <c r="CP347" s="19" t="str">
        <f>IF(OR(CL347="",CL347&lt;&gt;"NEMA"),"","INSERT INTO klub_alias(id,alias,klub_id) VALUES ("&amp;CM347&amp;",'"&amp;CK347&amp;"',"&amp;CN347&amp;");")</f>
        <v/>
      </c>
      <c r="CQ347" s="47" t="s">
        <v>0</v>
      </c>
      <c r="CR347" s="143" t="str">
        <f>IF(BR347="","",IF(BV347="",IF(IFERROR(MATCH(BR347,nat_noviKluboviAliasi,0),0)&gt;0,INDEX(nat_kluboviAliasi,MATCH(BR347,nat_noviKluboviAliasi,0)),BR347),BV347))</f>
        <v/>
      </c>
      <c r="CS347" s="47" t="s">
        <v>0</v>
      </c>
      <c r="CT347" s="58" t="str">
        <f>IF(G347="","",G347)</f>
        <v/>
      </c>
      <c r="CU347" s="73" t="str">
        <f>IF(H347="","",H347)</f>
        <v/>
      </c>
      <c r="CV347" s="229" t="str">
        <f>IF(CT347="",IF(OR(AL347="",CU347&lt;&gt;"0"),"","GREŠKA"),IF(AND(65535&gt;=VALUE(LEFT(CT347,SEARCH(":",CT347)-1))*60+VALUE(RIGHT(CT347,2)),OR(CU347="0",CU347="1",CU347="2",CU347="3",CU347="4")),"","GREŠKA"))</f>
        <v/>
      </c>
      <c r="CW347" s="230" t="str">
        <f t="shared" si="295"/>
        <v/>
      </c>
      <c r="CX347" s="163" t="str">
        <f t="shared" si="311"/>
        <v/>
      </c>
      <c r="CY347" s="47" t="s">
        <v>0</v>
      </c>
      <c r="CZ347" s="222" t="str">
        <f>IF(CV347&lt;&gt;"GREŠKA","",AK347&amp;" "&amp;AL347&amp;" – Molim u OEventu provjeriti i ispraviti rezultat – vrijeme ("&amp;IF(CT347="","nije upisano",CT347)&amp;") i classifier ("&amp;CU347&amp;").")&amp;IF(OR(CV347&lt;&gt;"GREŠKA",CX347&lt;&gt;5),"
","")&amp;IF(CX347&lt;&gt;5,"",AK347&amp;" "&amp;AL347&amp;" – Molim u provjeriti je li natjecatelj zaista diskvalificiran. Ako je koje je obrazloženje, ako nije molim u OEventu ispraviti rezultat")</f>
        <v xml:space="preserve">
</v>
      </c>
      <c r="DA347" s="223" t="str">
        <f t="shared" si="342"/>
        <v/>
      </c>
      <c r="DB347" s="47" t="s">
        <v>0</v>
      </c>
      <c r="DC347" s="47"/>
      <c r="DD347" s="47"/>
      <c r="DE347" s="47"/>
      <c r="DF347" s="47" t="s">
        <v>0</v>
      </c>
      <c r="DG347" s="53" t="str">
        <f>IF(BD347="","",IF(DI347="O",1,""))</f>
        <v/>
      </c>
      <c r="DH347" t="s">
        <v>0</v>
      </c>
      <c r="DI347" s="128" t="str">
        <f>IF(Q347="","",LEFT(INDEX(regKategorija_oznaka,MATCH(S347,regKategorija_id,0)),1))</f>
        <v/>
      </c>
      <c r="DJ347" t="s">
        <v>0</v>
      </c>
      <c r="DK347" s="52" t="str">
        <f>IF(BD347="","",IF(M347&lt;&gt;"CRO","","INSERT INTO osoba (id,reg_broj,oib,spol_id,dat_rodjenja) VALUES ("&amp;BD347&amp;",(SELECT max(os.reg_broj)+1 FROM osoba AS os),Null,'"&amp;DI347&amp;"',Null); INSERT INTO osoba_log (id,reg_broj,oib,spol_id,dat_rodjenja,dnevnik_id) SELECT id,reg_broj,oib,spol_id,dat_rodjenja,"&amp;data_dnevnik_id&amp;" FROM osoba WHERE id = "&amp;BD347&amp;";"))</f>
        <v/>
      </c>
      <c r="DL347" s="66" t="str">
        <f>IF(BD347="","","INSERT INTO imeprezime (id,osoba_id,rbr,ime,prezime,klub_id,identitet_id,sintaksa_id,info,aktivno,dnevnik_id) VALUES ("&amp;BD347&amp;","&amp;IF(DK347="","Null",BD347)&amp;",1,'"&amp;IF(AV347&lt;&gt;"",AV347,AK347)&amp;"','"&amp;IF(AW347&lt;&gt;"",AW347,AL347)&amp;"',(SELECT id FROM klub WHERE naziv = '"&amp;CR347&amp;"'),Null,1,'',1,"&amp;data_dnevnik_id&amp;");")</f>
        <v/>
      </c>
      <c r="DM347" t="s">
        <v>0</v>
      </c>
      <c r="DN347" s="19" t="str">
        <f t="shared" si="350"/>
        <v/>
      </c>
      <c r="DO347" s="47" t="s">
        <v>0</v>
      </c>
      <c r="DP347" s="19" t="str">
        <f>IF(BA347="","","INSERT INTO imeprezime_alias(id,alias,imeprezime_id) VALUES ("&amp;BB347&amp;",'"&amp;BA347&amp;"',"&amp;IF(BC347="NEMA",BD347,BC347)&amp;");")</f>
        <v/>
      </c>
      <c r="DQ347" s="47" t="s">
        <v>0</v>
      </c>
      <c r="DR347" s="52" t="str">
        <f>IF(AL347="","",DU347 &amp; IF(Q347="",""," – " &amp; Q347))</f>
        <v/>
      </c>
      <c r="DS347" s="53" t="str">
        <f t="shared" si="312"/>
        <v/>
      </c>
      <c r="DT347" s="47" t="s">
        <v>0</v>
      </c>
      <c r="DU347" s="52" t="str">
        <f>IF(AL347="","",DX347 &amp; IF(CR347="",""," – " &amp; CR347))</f>
        <v/>
      </c>
      <c r="DV347" s="53" t="str">
        <f t="shared" si="313"/>
        <v/>
      </c>
      <c r="DW347" s="47" t="s">
        <v>0</v>
      </c>
      <c r="DX347" s="52" t="str">
        <f>IF(BG347="","",BF347&amp;" – "&amp;BG347)</f>
        <v/>
      </c>
      <c r="DY347" s="53" t="str">
        <f t="shared" si="314"/>
        <v/>
      </c>
      <c r="DZ347" s="47" t="s">
        <v>0</v>
      </c>
      <c r="EA347" s="58" t="str">
        <f t="shared" si="343"/>
        <v/>
      </c>
      <c r="EB347" s="53" t="str" cm="1">
        <f t="array" ref="EB347">IF(EA347&lt;&gt;"",INDEX(regNatjecatelj_id,EA347,0),IF(BD347&lt;&gt;"",BD347,""))</f>
        <v/>
      </c>
      <c r="EC347" s="47" t="s">
        <v>0</v>
      </c>
      <c r="ED347" s="58" t="str">
        <f>IF(AL347="","",IF(BD347&lt;&gt;"","novo",IF(AN347="","imepre","imepre(ali)")))</f>
        <v/>
      </c>
      <c r="EE347" s="73" t="str">
        <f>IF(AL347="","",IF(BL347="",IF(IFERROR(INDEX(regNatjecatelj_klub,MATCH(EB347,regNatjecatelj_id,0)),"NEMA")="","klu",""),IF(OR(AND(BN347&lt;&gt;"",BN347&lt;&gt;"NEMA"),CD347&lt;&gt;""),"klu(ali)",IF(AND(BP347&lt;&gt;"",BP347&lt;&gt;BO347),"(raz-klu)","klu"))))</f>
        <v/>
      </c>
      <c r="EF347" s="73" t="str">
        <f>IF(AL347="","","kat"&amp;IF(AND(W347&lt;&gt;Q347,Q347&lt;&gt;"Open"),"(ali)",""))</f>
        <v/>
      </c>
      <c r="EG347" s="73" t="str">
        <f t="shared" si="315"/>
        <v/>
      </c>
      <c r="EH347" s="66" t="str">
        <f>IF(AL347="","",ED347&amp;IF(ED347="novo","","-"&amp;EE347&amp;"-"&amp;EF347)&amp;IF(EG347="","","-"&amp;EG347))</f>
        <v/>
      </c>
      <c r="EI347" s="47" t="s">
        <v>0</v>
      </c>
      <c r="EJ347" s="58" t="str">
        <f>IF(AL347="","",MAX(EJ$12:EJ346)+1)</f>
        <v/>
      </c>
      <c r="EK347" s="73" t="str">
        <f>IF(AO347="","",X347)</f>
        <v/>
      </c>
      <c r="EL347" s="73" t="str">
        <f t="shared" si="344"/>
        <v/>
      </c>
      <c r="EM347" s="73" t="str">
        <f t="shared" si="316"/>
        <v/>
      </c>
      <c r="EN347" s="73" t="str">
        <f t="shared" si="317"/>
        <v/>
      </c>
      <c r="EO347" s="73" t="str">
        <f t="shared" si="345"/>
        <v/>
      </c>
      <c r="EP347" s="73" t="str">
        <f t="shared" si="346"/>
        <v/>
      </c>
      <c r="EQ347" s="73" t="str">
        <f t="shared" si="318"/>
        <v/>
      </c>
      <c r="ER347" s="73" t="str">
        <f>IF(OR(AN347="",AN347="NEMA"),BB347,AN347)</f>
        <v/>
      </c>
      <c r="ES347" s="73" t="str">
        <f>IF(AND(BN347&lt;&gt;"",BN347&lt;&gt;"NEMA"),BN347,IF(CG347&lt;&gt;"",CG347,IF(AND(CL347&lt;&gt;"",CL347&lt;&gt;"NEMA"),CL347,IF(CM347&lt;&gt;"",CM347,""))))</f>
        <v/>
      </c>
      <c r="ET347" s="53" t="str">
        <f>IF(INDEX(natKategorija_alias_Id,MATCH(S347,natKategorija_katRegId,0))="","",INDEX(natKategorija_alias_Id,MATCH(S347,natKategorija_katRegId,0)))</f>
        <v/>
      </c>
      <c r="EU347" s="47" t="s">
        <v>0</v>
      </c>
      <c r="EV347" s="19" t="str">
        <f t="shared" si="347"/>
        <v/>
      </c>
      <c r="EW347" s="47" t="s">
        <v>0</v>
      </c>
      <c r="EX347" s="19" t="str">
        <f t="shared" si="348"/>
        <v/>
      </c>
      <c r="EY347" s="47" t="s">
        <v>0</v>
      </c>
      <c r="EZ347" s="180" t="str">
        <f>AG347&amp;IF(CP347="","","
")&amp;CP347&amp;IF(CI347="","","
")&amp;CI347&amp;IF(DN347="","","
")&amp;DN347&amp;IF(DP347="","","
")&amp;DP347&amp;IF(EV347="","","
")&amp;EV347&amp;IF(EX347="","","
")&amp;EX347</f>
        <v/>
      </c>
      <c r="FA347" s="47" t="s">
        <v>0</v>
      </c>
    </row>
    <row r="348" spans="1:157" x14ac:dyDescent="0.25">
      <c r="A348" t="s">
        <v>0</v>
      </c>
      <c r="B348" s="52" t="str">
        <f>IF(csv!F338="","",csv!T338)</f>
        <v/>
      </c>
      <c r="C348" s="31" t="s">
        <v>0</v>
      </c>
      <c r="D348" s="31" t="str">
        <f>IF(csv!F338="","",csv!F338)</f>
        <v/>
      </c>
      <c r="E348" s="31" t="str">
        <f>IF(csv!E338="","",csv!E338)</f>
        <v/>
      </c>
      <c r="F348" s="31" t="s">
        <v>0</v>
      </c>
      <c r="G348" s="73" t="str">
        <f>IF(csv!M338="","",csv!M338)</f>
        <v/>
      </c>
      <c r="H348" s="73" t="str">
        <f>IF(csv!N338="","",csv!N338)</f>
        <v/>
      </c>
      <c r="I348" s="31" t="s">
        <v>0</v>
      </c>
      <c r="J348" s="31" t="str">
        <f>IF(csv!P338="","",csv!P338)</f>
        <v/>
      </c>
      <c r="K348" s="31" t="str">
        <f>IF(csv!Q338="","",csv!Q338)</f>
        <v/>
      </c>
      <c r="L348" s="31" t="s">
        <v>0</v>
      </c>
      <c r="M348" s="66" t="str">
        <f>IF(csv!R338="","",csv!R338)</f>
        <v/>
      </c>
      <c r="N348" s="47" t="s">
        <v>0</v>
      </c>
      <c r="O348" s="243" t="str">
        <f t="shared" si="319"/>
        <v/>
      </c>
      <c r="P348" s="47"/>
      <c r="Q348" s="52" t="str">
        <f t="shared" si="320"/>
        <v/>
      </c>
      <c r="R348" s="73" t="str">
        <f>IF(Q348="","",IF(COUNTIF(Q$12:Q347,Q348)=0,R347+1,R347))</f>
        <v/>
      </c>
      <c r="S348" s="73" t="str">
        <f t="shared" si="321"/>
        <v/>
      </c>
      <c r="T348" s="73" t="str">
        <f t="shared" si="297"/>
        <v/>
      </c>
      <c r="U348" s="66" t="str">
        <f t="shared" si="298"/>
        <v/>
      </c>
      <c r="V348" s="47" t="s">
        <v>0</v>
      </c>
      <c r="W348" s="222" t="str">
        <f t="shared" si="299"/>
        <v/>
      </c>
      <c r="X348" s="223" t="str">
        <f t="shared" si="300"/>
        <v/>
      </c>
      <c r="Y348" s="47" t="s">
        <v>0</v>
      </c>
      <c r="Z348" s="52" t="str">
        <f t="shared" si="322"/>
        <v/>
      </c>
      <c r="AA348" s="73" t="str">
        <f t="shared" si="301"/>
        <v/>
      </c>
      <c r="AB348" s="31" t="str">
        <f t="shared" si="323"/>
        <v/>
      </c>
      <c r="AC348" s="66" t="str">
        <f>IF(AB348="","",MAX(AC$12:AC347)+1)</f>
        <v/>
      </c>
      <c r="AD348" s="47" t="s">
        <v>0</v>
      </c>
      <c r="AE348" s="125"/>
      <c r="AF348" s="47" t="s">
        <v>0</v>
      </c>
      <c r="AG348" s="19" t="str">
        <f t="shared" si="324"/>
        <v/>
      </c>
      <c r="AH348" s="47" t="s">
        <v>0</v>
      </c>
      <c r="AI348" s="143" t="str">
        <f t="shared" si="325"/>
        <v/>
      </c>
      <c r="AJ348" s="47"/>
      <c r="AK348" s="52" t="str">
        <f t="shared" si="326"/>
        <v/>
      </c>
      <c r="AL348" s="31" t="str">
        <f t="shared" si="327"/>
        <v/>
      </c>
      <c r="AM348" s="73" t="str">
        <f t="shared" si="328"/>
        <v/>
      </c>
      <c r="AN348" s="73" t="str">
        <f t="shared" si="329"/>
        <v/>
      </c>
      <c r="AO348" s="31" t="str">
        <f t="shared" si="302"/>
        <v/>
      </c>
      <c r="AP348" s="66" t="str">
        <f t="shared" si="303"/>
        <v/>
      </c>
      <c r="AQ348" s="47" t="s">
        <v>0</v>
      </c>
      <c r="AR348" s="82" t="str">
        <f t="shared" si="330"/>
        <v/>
      </c>
      <c r="AS348" s="47" t="s">
        <v>0</v>
      </c>
      <c r="AT348" s="19" t="str">
        <f t="shared" si="331"/>
        <v/>
      </c>
      <c r="AU348" s="47" t="s">
        <v>0</v>
      </c>
      <c r="AV348" s="103"/>
      <c r="AW348" s="105"/>
      <c r="AX348" s="47" t="s">
        <v>0</v>
      </c>
      <c r="AY348" s="256" t="str">
        <f t="shared" si="349"/>
        <v/>
      </c>
      <c r="AZ348" s="47" t="s">
        <v>0</v>
      </c>
      <c r="BA348" s="52" t="str">
        <f t="shared" si="296"/>
        <v/>
      </c>
      <c r="BB348" s="73" t="str">
        <f>IF(AV348&amp;AW348="","",MAX(BB$12:BB347)+1)</f>
        <v/>
      </c>
      <c r="BC348" s="268" t="str">
        <f t="shared" si="304"/>
        <v/>
      </c>
      <c r="BD348" s="53" t="str">
        <f>IF(AND(AM348="NEMA",AN348="NEMA",OR(AV348&amp;AW348="",BC348="NEMA")),MAX(BD$12:BD347)+1,"")</f>
        <v/>
      </c>
      <c r="BE348" s="47" t="s">
        <v>0</v>
      </c>
      <c r="BF348" s="52" t="str">
        <f t="shared" si="305"/>
        <v/>
      </c>
      <c r="BG348" s="31" t="str">
        <f t="shared" si="306"/>
        <v/>
      </c>
      <c r="BH348" s="73" t="str">
        <f t="shared" si="332"/>
        <v/>
      </c>
      <c r="BI348" s="53" t="str">
        <f t="shared" si="333"/>
        <v/>
      </c>
      <c r="BJ348" s="47" t="s">
        <v>0</v>
      </c>
      <c r="BK348" s="52" t="str">
        <f t="shared" si="307"/>
        <v/>
      </c>
      <c r="BL348" s="31" t="str">
        <f t="shared" si="308"/>
        <v/>
      </c>
      <c r="BM348" s="73" t="str">
        <f t="shared" si="309"/>
        <v/>
      </c>
      <c r="BN348" s="73" t="str">
        <f t="shared" si="310"/>
        <v/>
      </c>
      <c r="BO348" s="31" t="str" cm="1">
        <f t="array" ref="BO348">IF(BN348="",""&amp;BL348,IF(BN348="NEMA",BL348,INDEX(regKlub_naziv,MATCH(INDEX(regKlub_alias_klubId,BN348),regKlub_id,0))))</f>
        <v/>
      </c>
      <c r="BP348" s="31" t="str" cm="1">
        <f t="array" ref="BP348">IFERROR(""&amp;INDEX(regNatjecatelj_klub,DY348),"")</f>
        <v/>
      </c>
      <c r="BQ348" s="88" t="str">
        <f t="shared" si="334"/>
        <v/>
      </c>
      <c r="BR348" s="66" t="str">
        <f t="shared" si="335"/>
        <v/>
      </c>
      <c r="BS348" s="47" t="s">
        <v>0</v>
      </c>
      <c r="BT348" s="82" t="str">
        <f>IF(BN348&lt;&gt;"NEMA","",IF(IFERROR(MATCH(BL348,BL$12:BL347,0),0)&lt;&gt;0,"",BL348))</f>
        <v/>
      </c>
      <c r="BU348" s="47" t="s">
        <v>0</v>
      </c>
      <c r="BV348" s="125"/>
      <c r="BW348" s="47" t="s">
        <v>0</v>
      </c>
      <c r="BX348" s="58" t="str">
        <f t="shared" si="336"/>
        <v/>
      </c>
      <c r="BY348" s="31" t="str">
        <f t="shared" si="337"/>
        <v/>
      </c>
      <c r="BZ348" s="31" t="str">
        <f>IF(BY348="","",MAX(BZ$12:BZ347)+1)</f>
        <v/>
      </c>
      <c r="CA348" s="31" t="str">
        <f>IF(BY348="","",IF(AA348="","",IF(AA348="NEMA",AC348,AA348)))</f>
        <v/>
      </c>
      <c r="CB348" s="31" t="str">
        <f t="shared" si="338"/>
        <v/>
      </c>
      <c r="CC348" s="31" t="str">
        <f>IF(BV348="","",MAX(CC$12:CC347)+1)</f>
        <v/>
      </c>
      <c r="CD348" s="31" t="str">
        <f t="shared" si="339"/>
        <v/>
      </c>
      <c r="CE348" s="66" t="str">
        <f t="shared" si="340"/>
        <v/>
      </c>
      <c r="CF348" s="47" t="s">
        <v>0</v>
      </c>
      <c r="CG348" s="73" t="str">
        <f>IF(BN348="","",IF(BN348&lt;&gt;"NEMA","",IFERROR(INDEX(nat_klubAliasId,MATCH(BL348,nat_noviKluboviAliasi,0)),"")))</f>
        <v/>
      </c>
      <c r="CH348" s="47"/>
      <c r="CI348" s="19" t="str">
        <f t="shared" si="341"/>
        <v/>
      </c>
      <c r="CJ348" s="47" t="s">
        <v>0</v>
      </c>
      <c r="CK348" s="52" t="str">
        <f>IF(X348&lt;&gt;"NEMA","",IF(IFERROR(MATCH(W348,W$12:W347,0),0)&lt;&gt;0,"",W348))</f>
        <v/>
      </c>
      <c r="CL348" s="73" t="str">
        <f>IF(CK348="","",IFERROR(INDEX(regKlub_alias_id,MATCH(CK348,regKlub_alias_alias,0)),"NEMA"))</f>
        <v/>
      </c>
      <c r="CM348" s="31" t="str">
        <f>IF(OR(CL348="",CL348&lt;&gt;"NEMA"),"",MAX(CM$12:CM347)+1)</f>
        <v/>
      </c>
      <c r="CN348" s="66" t="str">
        <f>IF(OR(CL348="",CL348&lt;&gt;"NEMA"),"",INDEX(regKlub_id,MATCH(CK348,regKlub_naziv,0)))</f>
        <v/>
      </c>
      <c r="CO348" s="47" t="s">
        <v>0</v>
      </c>
      <c r="CP348" s="19" t="str">
        <f>IF(OR(CL348="",CL348&lt;&gt;"NEMA"),"","INSERT INTO klub_alias(id,alias,klub_id) VALUES ("&amp;CM348&amp;",'"&amp;CK348&amp;"',"&amp;CN348&amp;");")</f>
        <v/>
      </c>
      <c r="CQ348" s="47" t="s">
        <v>0</v>
      </c>
      <c r="CR348" s="143" t="str">
        <f>IF(BR348="","",IF(BV348="",IF(IFERROR(MATCH(BR348,nat_noviKluboviAliasi,0),0)&gt;0,INDEX(nat_kluboviAliasi,MATCH(BR348,nat_noviKluboviAliasi,0)),BR348),BV348))</f>
        <v/>
      </c>
      <c r="CS348" s="47" t="s">
        <v>0</v>
      </c>
      <c r="CT348" s="58" t="str">
        <f>IF(G348="","",G348)</f>
        <v/>
      </c>
      <c r="CU348" s="73" t="str">
        <f>IF(H348="","",H348)</f>
        <v/>
      </c>
      <c r="CV348" s="229" t="str">
        <f>IF(CT348="",IF(OR(AL348="",CU348&lt;&gt;"0"),"","GREŠKA"),IF(AND(65535&gt;=VALUE(LEFT(CT348,SEARCH(":",CT348)-1))*60+VALUE(RIGHT(CT348,2)),OR(CU348="0",CU348="1",CU348="2",CU348="3",CU348="4")),"","GREŠKA"))</f>
        <v/>
      </c>
      <c r="CW348" s="230" t="str">
        <f t="shared" si="295"/>
        <v/>
      </c>
      <c r="CX348" s="163" t="str">
        <f t="shared" si="311"/>
        <v/>
      </c>
      <c r="CY348" s="47" t="s">
        <v>0</v>
      </c>
      <c r="CZ348" s="222" t="str">
        <f>IF(CV348&lt;&gt;"GREŠKA","",AK348&amp;" "&amp;AL348&amp;" – Molim u OEventu provjeriti i ispraviti rezultat – vrijeme ("&amp;IF(CT348="","nije upisano",CT348)&amp;") i classifier ("&amp;CU348&amp;").")&amp;IF(OR(CV348&lt;&gt;"GREŠKA",CX348&lt;&gt;5),"
","")&amp;IF(CX348&lt;&gt;5,"",AK348&amp;" "&amp;AL348&amp;" – Molim u provjeriti je li natjecatelj zaista diskvalificiran. Ako je koje je obrazloženje, ako nije molim u OEventu ispraviti rezultat")</f>
        <v xml:space="preserve">
</v>
      </c>
      <c r="DA348" s="223" t="str">
        <f t="shared" si="342"/>
        <v/>
      </c>
      <c r="DB348" s="47" t="s">
        <v>0</v>
      </c>
      <c r="DC348" s="47"/>
      <c r="DD348" s="47"/>
      <c r="DE348" s="47"/>
      <c r="DF348" s="47" t="s">
        <v>0</v>
      </c>
      <c r="DG348" s="53" t="str">
        <f>IF(BD348="","",IF(DI348="O",1,""))</f>
        <v/>
      </c>
      <c r="DH348" t="s">
        <v>0</v>
      </c>
      <c r="DI348" s="128" t="str">
        <f>IF(Q348="","",LEFT(INDEX(regKategorija_oznaka,MATCH(S348,regKategorija_id,0)),1))</f>
        <v/>
      </c>
      <c r="DJ348" t="s">
        <v>0</v>
      </c>
      <c r="DK348" s="52" t="str">
        <f>IF(BD348="","",IF(M348&lt;&gt;"CRO","","INSERT INTO osoba (id,reg_broj,oib,spol_id,dat_rodjenja) VALUES ("&amp;BD348&amp;",(SELECT max(os.reg_broj)+1 FROM osoba AS os),Null,'"&amp;DI348&amp;"',Null); INSERT INTO osoba_log (id,reg_broj,oib,spol_id,dat_rodjenja,dnevnik_id) SELECT id,reg_broj,oib,spol_id,dat_rodjenja,"&amp;data_dnevnik_id&amp;" FROM osoba WHERE id = "&amp;BD348&amp;";"))</f>
        <v/>
      </c>
      <c r="DL348" s="66" t="str">
        <f>IF(BD348="","","INSERT INTO imeprezime (id,osoba_id,rbr,ime,prezime,klub_id,identitet_id,sintaksa_id,info,aktivno,dnevnik_id) VALUES ("&amp;BD348&amp;","&amp;IF(DK348="","Null",BD348)&amp;",1,'"&amp;IF(AV348&lt;&gt;"",AV348,AK348)&amp;"','"&amp;IF(AW348&lt;&gt;"",AW348,AL348)&amp;"',(SELECT id FROM klub WHERE naziv = '"&amp;CR348&amp;"'),Null,1,'',1,"&amp;data_dnevnik_id&amp;");")</f>
        <v/>
      </c>
      <c r="DM348" t="s">
        <v>0</v>
      </c>
      <c r="DN348" s="19" t="str">
        <f t="shared" si="350"/>
        <v/>
      </c>
      <c r="DO348" s="47" t="s">
        <v>0</v>
      </c>
      <c r="DP348" s="19" t="str">
        <f>IF(BA348="","","INSERT INTO imeprezime_alias(id,alias,imeprezime_id) VALUES ("&amp;BB348&amp;",'"&amp;BA348&amp;"',"&amp;IF(BC348="NEMA",BD348,BC348)&amp;");")</f>
        <v/>
      </c>
      <c r="DQ348" s="47" t="s">
        <v>0</v>
      </c>
      <c r="DR348" s="52" t="str">
        <f>IF(AL348="","",DU348 &amp; IF(Q348="",""," – " &amp; Q348))</f>
        <v/>
      </c>
      <c r="DS348" s="53" t="str">
        <f t="shared" si="312"/>
        <v/>
      </c>
      <c r="DT348" s="47" t="s">
        <v>0</v>
      </c>
      <c r="DU348" s="52" t="str">
        <f>IF(AL348="","",DX348 &amp; IF(CR348="",""," – " &amp; CR348))</f>
        <v/>
      </c>
      <c r="DV348" s="53" t="str">
        <f t="shared" si="313"/>
        <v/>
      </c>
      <c r="DW348" s="47" t="s">
        <v>0</v>
      </c>
      <c r="DX348" s="52" t="str">
        <f>IF(BG348="","",BF348&amp;" – "&amp;BG348)</f>
        <v/>
      </c>
      <c r="DY348" s="53" t="str">
        <f t="shared" si="314"/>
        <v/>
      </c>
      <c r="DZ348" s="47" t="s">
        <v>0</v>
      </c>
      <c r="EA348" s="58" t="str">
        <f t="shared" si="343"/>
        <v/>
      </c>
      <c r="EB348" s="53" t="str" cm="1">
        <f t="array" ref="EB348">IF(EA348&lt;&gt;"",INDEX(regNatjecatelj_id,EA348,0),IF(BD348&lt;&gt;"",BD348,""))</f>
        <v/>
      </c>
      <c r="EC348" s="47" t="s">
        <v>0</v>
      </c>
      <c r="ED348" s="58" t="str">
        <f>IF(AL348="","",IF(BD348&lt;&gt;"","novo",IF(AN348="","imepre","imepre(ali)")))</f>
        <v/>
      </c>
      <c r="EE348" s="73" t="str">
        <f>IF(AL348="","",IF(BL348="",IF(IFERROR(INDEX(regNatjecatelj_klub,MATCH(EB348,regNatjecatelj_id,0)),"NEMA")="","klu",""),IF(OR(AND(BN348&lt;&gt;"",BN348&lt;&gt;"NEMA"),CD348&lt;&gt;""),"klu(ali)",IF(AND(BP348&lt;&gt;"",BP348&lt;&gt;BO348),"(raz-klu)","klu"))))</f>
        <v/>
      </c>
      <c r="EF348" s="73" t="str">
        <f>IF(AL348="","","kat"&amp;IF(AND(W348&lt;&gt;Q348,Q348&lt;&gt;"Open"),"(ali)",""))</f>
        <v/>
      </c>
      <c r="EG348" s="73" t="str">
        <f t="shared" si="315"/>
        <v/>
      </c>
      <c r="EH348" s="66" t="str">
        <f>IF(AL348="","",ED348&amp;IF(ED348="novo","","-"&amp;EE348&amp;"-"&amp;EF348)&amp;IF(EG348="","","-"&amp;EG348))</f>
        <v/>
      </c>
      <c r="EI348" s="47" t="s">
        <v>0</v>
      </c>
      <c r="EJ348" s="58" t="str">
        <f>IF(AL348="","",MAX(EJ$12:EJ347)+1)</f>
        <v/>
      </c>
      <c r="EK348" s="73" t="str">
        <f>IF(AO348="","",X348)</f>
        <v/>
      </c>
      <c r="EL348" s="73" t="str">
        <f t="shared" si="344"/>
        <v/>
      </c>
      <c r="EM348" s="73" t="str">
        <f t="shared" si="316"/>
        <v/>
      </c>
      <c r="EN348" s="73" t="str">
        <f t="shared" si="317"/>
        <v/>
      </c>
      <c r="EO348" s="73" t="str">
        <f t="shared" si="345"/>
        <v/>
      </c>
      <c r="EP348" s="73" t="str">
        <f t="shared" si="346"/>
        <v/>
      </c>
      <c r="EQ348" s="73" t="str">
        <f t="shared" si="318"/>
        <v/>
      </c>
      <c r="ER348" s="73" t="str">
        <f>IF(OR(AN348="",AN348="NEMA"),BB348,AN348)</f>
        <v/>
      </c>
      <c r="ES348" s="73" t="str">
        <f>IF(AND(BN348&lt;&gt;"",BN348&lt;&gt;"NEMA"),BN348,IF(CG348&lt;&gt;"",CG348,IF(AND(CL348&lt;&gt;"",CL348&lt;&gt;"NEMA"),CL348,IF(CM348&lt;&gt;"",CM348,""))))</f>
        <v/>
      </c>
      <c r="ET348" s="53" t="str">
        <f>IF(INDEX(natKategorija_alias_Id,MATCH(S348,natKategorija_katRegId,0))="","",INDEX(natKategorija_alias_Id,MATCH(S348,natKategorija_katRegId,0)))</f>
        <v/>
      </c>
      <c r="EU348" s="47" t="s">
        <v>0</v>
      </c>
      <c r="EV348" s="19" t="str">
        <f t="shared" si="347"/>
        <v/>
      </c>
      <c r="EW348" s="47" t="s">
        <v>0</v>
      </c>
      <c r="EX348" s="19" t="str">
        <f t="shared" si="348"/>
        <v/>
      </c>
      <c r="EY348" s="47" t="s">
        <v>0</v>
      </c>
      <c r="EZ348" s="180" t="str">
        <f>AG348&amp;IF(CP348="","","
")&amp;CP348&amp;IF(CI348="","","
")&amp;CI348&amp;IF(DN348="","","
")&amp;DN348&amp;IF(DP348="","","
")&amp;DP348&amp;IF(EV348="","","
")&amp;EV348&amp;IF(EX348="","","
")&amp;EX348</f>
        <v/>
      </c>
      <c r="FA348" s="47" t="s">
        <v>0</v>
      </c>
    </row>
    <row r="349" spans="1:157" x14ac:dyDescent="0.25">
      <c r="A349" t="s">
        <v>0</v>
      </c>
      <c r="B349" s="52" t="str">
        <f>IF(csv!F339="","",csv!T339)</f>
        <v/>
      </c>
      <c r="C349" s="31" t="s">
        <v>0</v>
      </c>
      <c r="D349" s="31" t="str">
        <f>IF(csv!F339="","",csv!F339)</f>
        <v/>
      </c>
      <c r="E349" s="31" t="str">
        <f>IF(csv!E339="","",csv!E339)</f>
        <v/>
      </c>
      <c r="F349" s="31" t="s">
        <v>0</v>
      </c>
      <c r="G349" s="73" t="str">
        <f>IF(csv!M339="","",csv!M339)</f>
        <v/>
      </c>
      <c r="H349" s="73" t="str">
        <f>IF(csv!N339="","",csv!N339)</f>
        <v/>
      </c>
      <c r="I349" s="31" t="s">
        <v>0</v>
      </c>
      <c r="J349" s="31" t="str">
        <f>IF(csv!P339="","",csv!P339)</f>
        <v/>
      </c>
      <c r="K349" s="31" t="str">
        <f>IF(csv!Q339="","",csv!Q339)</f>
        <v/>
      </c>
      <c r="L349" s="31" t="s">
        <v>0</v>
      </c>
      <c r="M349" s="66" t="str">
        <f>IF(csv!R339="","",csv!R339)</f>
        <v/>
      </c>
      <c r="N349" s="47" t="s">
        <v>0</v>
      </c>
      <c r="O349" s="243" t="str">
        <f t="shared" si="319"/>
        <v/>
      </c>
      <c r="P349" s="47"/>
      <c r="Q349" s="52" t="str">
        <f t="shared" si="320"/>
        <v/>
      </c>
      <c r="R349" s="73" t="str">
        <f>IF(Q349="","",IF(COUNTIF(Q$12:Q348,Q349)=0,R348+1,R348))</f>
        <v/>
      </c>
      <c r="S349" s="73" t="str">
        <f t="shared" si="321"/>
        <v/>
      </c>
      <c r="T349" s="73" t="str">
        <f t="shared" si="297"/>
        <v/>
      </c>
      <c r="U349" s="66" t="str">
        <f t="shared" si="298"/>
        <v/>
      </c>
      <c r="V349" s="47" t="s">
        <v>0</v>
      </c>
      <c r="W349" s="222" t="str">
        <f t="shared" si="299"/>
        <v/>
      </c>
      <c r="X349" s="223" t="str">
        <f t="shared" si="300"/>
        <v/>
      </c>
      <c r="Y349" s="47" t="s">
        <v>0</v>
      </c>
      <c r="Z349" s="52" t="str">
        <f t="shared" si="322"/>
        <v/>
      </c>
      <c r="AA349" s="73" t="str">
        <f t="shared" si="301"/>
        <v/>
      </c>
      <c r="AB349" s="31" t="str">
        <f t="shared" si="323"/>
        <v/>
      </c>
      <c r="AC349" s="66" t="str">
        <f>IF(AB349="","",MAX(AC$12:AC348)+1)</f>
        <v/>
      </c>
      <c r="AD349" s="47" t="s">
        <v>0</v>
      </c>
      <c r="AE349" s="125"/>
      <c r="AF349" s="47" t="s">
        <v>0</v>
      </c>
      <c r="AG349" s="19" t="str">
        <f t="shared" si="324"/>
        <v/>
      </c>
      <c r="AH349" s="47" t="s">
        <v>0</v>
      </c>
      <c r="AI349" s="143" t="str">
        <f t="shared" si="325"/>
        <v/>
      </c>
      <c r="AJ349" s="47"/>
      <c r="AK349" s="52" t="str">
        <f t="shared" si="326"/>
        <v/>
      </c>
      <c r="AL349" s="31" t="str">
        <f t="shared" si="327"/>
        <v/>
      </c>
      <c r="AM349" s="73" t="str">
        <f t="shared" si="328"/>
        <v/>
      </c>
      <c r="AN349" s="73" t="str">
        <f t="shared" si="329"/>
        <v/>
      </c>
      <c r="AO349" s="31" t="str">
        <f t="shared" si="302"/>
        <v/>
      </c>
      <c r="AP349" s="66" t="str">
        <f t="shared" si="303"/>
        <v/>
      </c>
      <c r="AQ349" s="47" t="s">
        <v>0</v>
      </c>
      <c r="AR349" s="82" t="str">
        <f t="shared" si="330"/>
        <v/>
      </c>
      <c r="AS349" s="47" t="s">
        <v>0</v>
      </c>
      <c r="AT349" s="19" t="str">
        <f t="shared" si="331"/>
        <v/>
      </c>
      <c r="AU349" s="47" t="s">
        <v>0</v>
      </c>
      <c r="AV349" s="103"/>
      <c r="AW349" s="105"/>
      <c r="AX349" s="47" t="s">
        <v>0</v>
      </c>
      <c r="AY349" s="256" t="str">
        <f t="shared" si="349"/>
        <v/>
      </c>
      <c r="AZ349" s="47" t="s">
        <v>0</v>
      </c>
      <c r="BA349" s="52" t="str">
        <f t="shared" si="296"/>
        <v/>
      </c>
      <c r="BB349" s="73" t="str">
        <f>IF(AV349&amp;AW349="","",MAX(BB$12:BB348)+1)</f>
        <v/>
      </c>
      <c r="BC349" s="268" t="str">
        <f t="shared" si="304"/>
        <v/>
      </c>
      <c r="BD349" s="53" t="str">
        <f>IF(AND(AM349="NEMA",AN349="NEMA",OR(AV349&amp;AW349="",BC349="NEMA")),MAX(BD$12:BD348)+1,"")</f>
        <v/>
      </c>
      <c r="BE349" s="47" t="s">
        <v>0</v>
      </c>
      <c r="BF349" s="52" t="str">
        <f t="shared" si="305"/>
        <v/>
      </c>
      <c r="BG349" s="31" t="str">
        <f t="shared" si="306"/>
        <v/>
      </c>
      <c r="BH349" s="73" t="str">
        <f t="shared" si="332"/>
        <v/>
      </c>
      <c r="BI349" s="53" t="str">
        <f t="shared" si="333"/>
        <v/>
      </c>
      <c r="BJ349" s="47" t="s">
        <v>0</v>
      </c>
      <c r="BK349" s="52" t="str">
        <f t="shared" si="307"/>
        <v/>
      </c>
      <c r="BL349" s="31" t="str">
        <f t="shared" si="308"/>
        <v/>
      </c>
      <c r="BM349" s="73" t="str">
        <f t="shared" si="309"/>
        <v/>
      </c>
      <c r="BN349" s="73" t="str">
        <f t="shared" si="310"/>
        <v/>
      </c>
      <c r="BO349" s="31" t="str" cm="1">
        <f t="array" ref="BO349">IF(BN349="",""&amp;BL349,IF(BN349="NEMA",BL349,INDEX(regKlub_naziv,MATCH(INDEX(regKlub_alias_klubId,BN349),regKlub_id,0))))</f>
        <v/>
      </c>
      <c r="BP349" s="31" t="str" cm="1">
        <f t="array" ref="BP349">IFERROR(""&amp;INDEX(regNatjecatelj_klub,DY349),"")</f>
        <v/>
      </c>
      <c r="BQ349" s="88" t="str">
        <f t="shared" si="334"/>
        <v/>
      </c>
      <c r="BR349" s="66" t="str">
        <f t="shared" si="335"/>
        <v/>
      </c>
      <c r="BS349" s="47" t="s">
        <v>0</v>
      </c>
      <c r="BT349" s="82" t="str">
        <f>IF(BN349&lt;&gt;"NEMA","",IF(IFERROR(MATCH(BL349,BL$12:BL348,0),0)&lt;&gt;0,"",BL349))</f>
        <v/>
      </c>
      <c r="BU349" s="47" t="s">
        <v>0</v>
      </c>
      <c r="BV349" s="125"/>
      <c r="BW349" s="47" t="s">
        <v>0</v>
      </c>
      <c r="BX349" s="58" t="str">
        <f t="shared" si="336"/>
        <v/>
      </c>
      <c r="BY349" s="31" t="str">
        <f t="shared" si="337"/>
        <v/>
      </c>
      <c r="BZ349" s="31" t="str">
        <f>IF(BY349="","",MAX(BZ$12:BZ348)+1)</f>
        <v/>
      </c>
      <c r="CA349" s="31" t="str">
        <f>IF(BY349="","",IF(AA349="","",IF(AA349="NEMA",AC349,AA349)))</f>
        <v/>
      </c>
      <c r="CB349" s="31" t="str">
        <f t="shared" si="338"/>
        <v/>
      </c>
      <c r="CC349" s="31" t="str">
        <f>IF(BV349="","",MAX(CC$12:CC348)+1)</f>
        <v/>
      </c>
      <c r="CD349" s="31" t="str">
        <f t="shared" si="339"/>
        <v/>
      </c>
      <c r="CE349" s="66" t="str">
        <f t="shared" si="340"/>
        <v/>
      </c>
      <c r="CF349" s="47" t="s">
        <v>0</v>
      </c>
      <c r="CG349" s="73" t="str">
        <f>IF(BN349="","",IF(BN349&lt;&gt;"NEMA","",IFERROR(INDEX(nat_klubAliasId,MATCH(BL349,nat_noviKluboviAliasi,0)),"")))</f>
        <v/>
      </c>
      <c r="CH349" s="47"/>
      <c r="CI349" s="19" t="str">
        <f t="shared" si="341"/>
        <v/>
      </c>
      <c r="CJ349" s="47" t="s">
        <v>0</v>
      </c>
      <c r="CK349" s="52" t="str">
        <f>IF(X349&lt;&gt;"NEMA","",IF(IFERROR(MATCH(W349,W$12:W348,0),0)&lt;&gt;0,"",W349))</f>
        <v/>
      </c>
      <c r="CL349" s="73" t="str">
        <f>IF(CK349="","",IFERROR(INDEX(regKlub_alias_id,MATCH(CK349,regKlub_alias_alias,0)),"NEMA"))</f>
        <v/>
      </c>
      <c r="CM349" s="31" t="str">
        <f>IF(OR(CL349="",CL349&lt;&gt;"NEMA"),"",MAX(CM$12:CM348)+1)</f>
        <v/>
      </c>
      <c r="CN349" s="66" t="str">
        <f>IF(OR(CL349="",CL349&lt;&gt;"NEMA"),"",INDEX(regKlub_id,MATCH(CK349,regKlub_naziv,0)))</f>
        <v/>
      </c>
      <c r="CO349" s="47" t="s">
        <v>0</v>
      </c>
      <c r="CP349" s="19" t="str">
        <f>IF(OR(CL349="",CL349&lt;&gt;"NEMA"),"","INSERT INTO klub_alias(id,alias,klub_id) VALUES ("&amp;CM349&amp;",'"&amp;CK349&amp;"',"&amp;CN349&amp;");")</f>
        <v/>
      </c>
      <c r="CQ349" s="47" t="s">
        <v>0</v>
      </c>
      <c r="CR349" s="143" t="str">
        <f>IF(BR349="","",IF(BV349="",IF(IFERROR(MATCH(BR349,nat_noviKluboviAliasi,0),0)&gt;0,INDEX(nat_kluboviAliasi,MATCH(BR349,nat_noviKluboviAliasi,0)),BR349),BV349))</f>
        <v/>
      </c>
      <c r="CS349" s="47" t="s">
        <v>0</v>
      </c>
      <c r="CT349" s="58" t="str">
        <f>IF(G349="","",G349)</f>
        <v/>
      </c>
      <c r="CU349" s="73" t="str">
        <f>IF(H349="","",H349)</f>
        <v/>
      </c>
      <c r="CV349" s="229" t="str">
        <f>IF(CT349="",IF(OR(AL349="",CU349&lt;&gt;"0"),"","GREŠKA"),IF(AND(65535&gt;=VALUE(LEFT(CT349,SEARCH(":",CT349)-1))*60+VALUE(RIGHT(CT349,2)),OR(CU349="0",CU349="1",CU349="2",CU349="3",CU349="4")),"","GREŠKA"))</f>
        <v/>
      </c>
      <c r="CW349" s="230" t="str">
        <f t="shared" si="295"/>
        <v/>
      </c>
      <c r="CX349" s="163" t="str">
        <f t="shared" si="311"/>
        <v/>
      </c>
      <c r="CY349" s="47" t="s">
        <v>0</v>
      </c>
      <c r="CZ349" s="222" t="str">
        <f>IF(CV349&lt;&gt;"GREŠKA","",AK349&amp;" "&amp;AL349&amp;" – Molim u OEventu provjeriti i ispraviti rezultat – vrijeme ("&amp;IF(CT349="","nije upisano",CT349)&amp;") i classifier ("&amp;CU349&amp;").")&amp;IF(OR(CV349&lt;&gt;"GREŠKA",CX349&lt;&gt;5),"
","")&amp;IF(CX349&lt;&gt;5,"",AK349&amp;" "&amp;AL349&amp;" – Molim u provjeriti je li natjecatelj zaista diskvalificiran. Ako je koje je obrazloženje, ako nije molim u OEventu ispraviti rezultat")</f>
        <v xml:space="preserve">
</v>
      </c>
      <c r="DA349" s="223" t="str">
        <f t="shared" si="342"/>
        <v/>
      </c>
      <c r="DB349" s="47" t="s">
        <v>0</v>
      </c>
      <c r="DC349" s="47"/>
      <c r="DD349" s="47"/>
      <c r="DE349" s="47"/>
      <c r="DF349" s="47" t="s">
        <v>0</v>
      </c>
      <c r="DG349" s="53" t="str">
        <f>IF(BD349="","",IF(DI349="O",1,""))</f>
        <v/>
      </c>
      <c r="DH349" t="s">
        <v>0</v>
      </c>
      <c r="DI349" s="128" t="str">
        <f>IF(Q349="","",LEFT(INDEX(regKategorija_oznaka,MATCH(S349,regKategorija_id,0)),1))</f>
        <v/>
      </c>
      <c r="DJ349" t="s">
        <v>0</v>
      </c>
      <c r="DK349" s="52" t="str">
        <f>IF(BD349="","",IF(M349&lt;&gt;"CRO","","INSERT INTO osoba (id,reg_broj,oib,spol_id,dat_rodjenja) VALUES ("&amp;BD349&amp;",(SELECT max(os.reg_broj)+1 FROM osoba AS os),Null,'"&amp;DI349&amp;"',Null); INSERT INTO osoba_log (id,reg_broj,oib,spol_id,dat_rodjenja,dnevnik_id) SELECT id,reg_broj,oib,spol_id,dat_rodjenja,"&amp;data_dnevnik_id&amp;" FROM osoba WHERE id = "&amp;BD349&amp;";"))</f>
        <v/>
      </c>
      <c r="DL349" s="66" t="str">
        <f>IF(BD349="","","INSERT INTO imeprezime (id,osoba_id,rbr,ime,prezime,klub_id,identitet_id,sintaksa_id,info,aktivno,dnevnik_id) VALUES ("&amp;BD349&amp;","&amp;IF(DK349="","Null",BD349)&amp;",1,'"&amp;IF(AV349&lt;&gt;"",AV349,AK349)&amp;"','"&amp;IF(AW349&lt;&gt;"",AW349,AL349)&amp;"',(SELECT id FROM klub WHERE naziv = '"&amp;CR349&amp;"'),Null,1,'',1,"&amp;data_dnevnik_id&amp;");")</f>
        <v/>
      </c>
      <c r="DM349" t="s">
        <v>0</v>
      </c>
      <c r="DN349" s="19" t="str">
        <f t="shared" si="350"/>
        <v/>
      </c>
      <c r="DO349" s="47" t="s">
        <v>0</v>
      </c>
      <c r="DP349" s="19" t="str">
        <f>IF(BA349="","","INSERT INTO imeprezime_alias(id,alias,imeprezime_id) VALUES ("&amp;BB349&amp;",'"&amp;BA349&amp;"',"&amp;IF(BC349="NEMA",BD349,BC349)&amp;");")</f>
        <v/>
      </c>
      <c r="DQ349" s="47" t="s">
        <v>0</v>
      </c>
      <c r="DR349" s="52" t="str">
        <f>IF(AL349="","",DU349 &amp; IF(Q349="",""," – " &amp; Q349))</f>
        <v/>
      </c>
      <c r="DS349" s="53" t="str">
        <f t="shared" si="312"/>
        <v/>
      </c>
      <c r="DT349" s="47" t="s">
        <v>0</v>
      </c>
      <c r="DU349" s="52" t="str">
        <f>IF(AL349="","",DX349 &amp; IF(CR349="",""," – " &amp; CR349))</f>
        <v/>
      </c>
      <c r="DV349" s="53" t="str">
        <f t="shared" si="313"/>
        <v/>
      </c>
      <c r="DW349" s="47" t="s">
        <v>0</v>
      </c>
      <c r="DX349" s="52" t="str">
        <f>IF(BG349="","",BF349&amp;" – "&amp;BG349)</f>
        <v/>
      </c>
      <c r="DY349" s="53" t="str">
        <f t="shared" si="314"/>
        <v/>
      </c>
      <c r="DZ349" s="47" t="s">
        <v>0</v>
      </c>
      <c r="EA349" s="58" t="str">
        <f t="shared" si="343"/>
        <v/>
      </c>
      <c r="EB349" s="53" t="str" cm="1">
        <f t="array" ref="EB349">IF(EA349&lt;&gt;"",INDEX(regNatjecatelj_id,EA349,0),IF(BD349&lt;&gt;"",BD349,""))</f>
        <v/>
      </c>
      <c r="EC349" s="47" t="s">
        <v>0</v>
      </c>
      <c r="ED349" s="58" t="str">
        <f>IF(AL349="","",IF(BD349&lt;&gt;"","novo",IF(AN349="","imepre","imepre(ali)")))</f>
        <v/>
      </c>
      <c r="EE349" s="73" t="str">
        <f>IF(AL349="","",IF(BL349="",IF(IFERROR(INDEX(regNatjecatelj_klub,MATCH(EB349,regNatjecatelj_id,0)),"NEMA")="","klu",""),IF(OR(AND(BN349&lt;&gt;"",BN349&lt;&gt;"NEMA"),CD349&lt;&gt;""),"klu(ali)",IF(AND(BP349&lt;&gt;"",BP349&lt;&gt;BO349),"(raz-klu)","klu"))))</f>
        <v/>
      </c>
      <c r="EF349" s="73" t="str">
        <f>IF(AL349="","","kat"&amp;IF(AND(W349&lt;&gt;Q349,Q349&lt;&gt;"Open"),"(ali)",""))</f>
        <v/>
      </c>
      <c r="EG349" s="73" t="str">
        <f t="shared" si="315"/>
        <v/>
      </c>
      <c r="EH349" s="66" t="str">
        <f>IF(AL349="","",ED349&amp;IF(ED349="novo","","-"&amp;EE349&amp;"-"&amp;EF349)&amp;IF(EG349="","","-"&amp;EG349))</f>
        <v/>
      </c>
      <c r="EI349" s="47" t="s">
        <v>0</v>
      </c>
      <c r="EJ349" s="58" t="str">
        <f>IF(AL349="","",MAX(EJ$12:EJ348)+1)</f>
        <v/>
      </c>
      <c r="EK349" s="73" t="str">
        <f>IF(AO349="","",X349)</f>
        <v/>
      </c>
      <c r="EL349" s="73" t="str">
        <f t="shared" si="344"/>
        <v/>
      </c>
      <c r="EM349" s="73" t="str">
        <f t="shared" si="316"/>
        <v/>
      </c>
      <c r="EN349" s="73" t="str">
        <f t="shared" si="317"/>
        <v/>
      </c>
      <c r="EO349" s="73" t="str">
        <f t="shared" si="345"/>
        <v/>
      </c>
      <c r="EP349" s="73" t="str">
        <f t="shared" si="346"/>
        <v/>
      </c>
      <c r="EQ349" s="73" t="str">
        <f t="shared" si="318"/>
        <v/>
      </c>
      <c r="ER349" s="73" t="str">
        <f>IF(OR(AN349="",AN349="NEMA"),BB349,AN349)</f>
        <v/>
      </c>
      <c r="ES349" s="73" t="str">
        <f>IF(AND(BN349&lt;&gt;"",BN349&lt;&gt;"NEMA"),BN349,IF(CG349&lt;&gt;"",CG349,IF(AND(CL349&lt;&gt;"",CL349&lt;&gt;"NEMA"),CL349,IF(CM349&lt;&gt;"",CM349,""))))</f>
        <v/>
      </c>
      <c r="ET349" s="53" t="str">
        <f>IF(INDEX(natKategorija_alias_Id,MATCH(S349,natKategorija_katRegId,0))="","",INDEX(natKategorija_alias_Id,MATCH(S349,natKategorija_katRegId,0)))</f>
        <v/>
      </c>
      <c r="EU349" s="47" t="s">
        <v>0</v>
      </c>
      <c r="EV349" s="19" t="str">
        <f t="shared" si="347"/>
        <v/>
      </c>
      <c r="EW349" s="47" t="s">
        <v>0</v>
      </c>
      <c r="EX349" s="19" t="str">
        <f t="shared" si="348"/>
        <v/>
      </c>
      <c r="EY349" s="47" t="s">
        <v>0</v>
      </c>
      <c r="EZ349" s="180" t="str">
        <f>AG349&amp;IF(CP349="","","
")&amp;CP349&amp;IF(CI349="","","
")&amp;CI349&amp;IF(DN349="","","
")&amp;DN349&amp;IF(DP349="","","
")&amp;DP349&amp;IF(EV349="","","
")&amp;EV349&amp;IF(EX349="","","
")&amp;EX349</f>
        <v/>
      </c>
      <c r="FA349" s="47" t="s">
        <v>0</v>
      </c>
    </row>
    <row r="350" spans="1:157" x14ac:dyDescent="0.25">
      <c r="A350" t="s">
        <v>0</v>
      </c>
      <c r="B350" s="52" t="str">
        <f>IF(csv!F340="","",csv!T340)</f>
        <v/>
      </c>
      <c r="C350" s="31" t="s">
        <v>0</v>
      </c>
      <c r="D350" s="31" t="str">
        <f>IF(csv!F340="","",csv!F340)</f>
        <v/>
      </c>
      <c r="E350" s="31" t="str">
        <f>IF(csv!E340="","",csv!E340)</f>
        <v/>
      </c>
      <c r="F350" s="31" t="s">
        <v>0</v>
      </c>
      <c r="G350" s="73" t="str">
        <f>IF(csv!M340="","",csv!M340)</f>
        <v/>
      </c>
      <c r="H350" s="73" t="str">
        <f>IF(csv!N340="","",csv!N340)</f>
        <v/>
      </c>
      <c r="I350" s="31" t="s">
        <v>0</v>
      </c>
      <c r="J350" s="31" t="str">
        <f>IF(csv!P340="","",csv!P340)</f>
        <v/>
      </c>
      <c r="K350" s="31" t="str">
        <f>IF(csv!Q340="","",csv!Q340)</f>
        <v/>
      </c>
      <c r="L350" s="31" t="s">
        <v>0</v>
      </c>
      <c r="M350" s="66" t="str">
        <f>IF(csv!R340="","",csv!R340)</f>
        <v/>
      </c>
      <c r="N350" s="47" t="s">
        <v>0</v>
      </c>
      <c r="O350" s="243" t="str">
        <f t="shared" si="319"/>
        <v/>
      </c>
      <c r="P350" s="47"/>
      <c r="Q350" s="52" t="str">
        <f t="shared" si="320"/>
        <v/>
      </c>
      <c r="R350" s="73" t="str">
        <f>IF(Q350="","",IF(COUNTIF(Q$12:Q349,Q350)=0,R349+1,R349))</f>
        <v/>
      </c>
      <c r="S350" s="73" t="str">
        <f t="shared" si="321"/>
        <v/>
      </c>
      <c r="T350" s="73" t="str">
        <f t="shared" si="297"/>
        <v/>
      </c>
      <c r="U350" s="66" t="str">
        <f t="shared" si="298"/>
        <v/>
      </c>
      <c r="V350" s="47" t="s">
        <v>0</v>
      </c>
      <c r="W350" s="222" t="str">
        <f t="shared" si="299"/>
        <v/>
      </c>
      <c r="X350" s="223" t="str">
        <f t="shared" si="300"/>
        <v/>
      </c>
      <c r="Y350" s="47" t="s">
        <v>0</v>
      </c>
      <c r="Z350" s="52" t="str">
        <f t="shared" si="322"/>
        <v/>
      </c>
      <c r="AA350" s="73" t="str">
        <f t="shared" si="301"/>
        <v/>
      </c>
      <c r="AB350" s="31" t="str">
        <f t="shared" si="323"/>
        <v/>
      </c>
      <c r="AC350" s="66" t="str">
        <f>IF(AB350="","",MAX(AC$12:AC349)+1)</f>
        <v/>
      </c>
      <c r="AD350" s="47" t="s">
        <v>0</v>
      </c>
      <c r="AE350" s="125"/>
      <c r="AF350" s="47" t="s">
        <v>0</v>
      </c>
      <c r="AG350" s="19" t="str">
        <f t="shared" si="324"/>
        <v/>
      </c>
      <c r="AH350" s="47" t="s">
        <v>0</v>
      </c>
      <c r="AI350" s="143" t="str">
        <f t="shared" si="325"/>
        <v/>
      </c>
      <c r="AJ350" s="47"/>
      <c r="AK350" s="52" t="str">
        <f t="shared" si="326"/>
        <v/>
      </c>
      <c r="AL350" s="31" t="str">
        <f t="shared" si="327"/>
        <v/>
      </c>
      <c r="AM350" s="73" t="str">
        <f t="shared" si="328"/>
        <v/>
      </c>
      <c r="AN350" s="73" t="str">
        <f t="shared" si="329"/>
        <v/>
      </c>
      <c r="AO350" s="31" t="str">
        <f t="shared" si="302"/>
        <v/>
      </c>
      <c r="AP350" s="66" t="str">
        <f t="shared" si="303"/>
        <v/>
      </c>
      <c r="AQ350" s="47" t="s">
        <v>0</v>
      </c>
      <c r="AR350" s="82" t="str">
        <f t="shared" si="330"/>
        <v/>
      </c>
      <c r="AS350" s="47" t="s">
        <v>0</v>
      </c>
      <c r="AT350" s="19" t="str">
        <f t="shared" si="331"/>
        <v/>
      </c>
      <c r="AU350" s="47" t="s">
        <v>0</v>
      </c>
      <c r="AV350" s="103"/>
      <c r="AW350" s="105"/>
      <c r="AX350" s="47" t="s">
        <v>0</v>
      </c>
      <c r="AY350" s="256" t="str">
        <f t="shared" si="349"/>
        <v/>
      </c>
      <c r="AZ350" s="47" t="s">
        <v>0</v>
      </c>
      <c r="BA350" s="52" t="str">
        <f t="shared" si="296"/>
        <v/>
      </c>
      <c r="BB350" s="73" t="str">
        <f>IF(AV350&amp;AW350="","",MAX(BB$12:BB349)+1)</f>
        <v/>
      </c>
      <c r="BC350" s="268" t="str">
        <f t="shared" si="304"/>
        <v/>
      </c>
      <c r="BD350" s="53" t="str">
        <f>IF(AND(AM350="NEMA",AN350="NEMA",OR(AV350&amp;AW350="",BC350="NEMA")),MAX(BD$12:BD349)+1,"")</f>
        <v/>
      </c>
      <c r="BE350" s="47" t="s">
        <v>0</v>
      </c>
      <c r="BF350" s="52" t="str">
        <f t="shared" si="305"/>
        <v/>
      </c>
      <c r="BG350" s="31" t="str">
        <f t="shared" si="306"/>
        <v/>
      </c>
      <c r="BH350" s="73" t="str">
        <f t="shared" si="332"/>
        <v/>
      </c>
      <c r="BI350" s="53" t="str">
        <f t="shared" si="333"/>
        <v/>
      </c>
      <c r="BJ350" s="47" t="s">
        <v>0</v>
      </c>
      <c r="BK350" s="52" t="str">
        <f t="shared" si="307"/>
        <v/>
      </c>
      <c r="BL350" s="31" t="str">
        <f t="shared" si="308"/>
        <v/>
      </c>
      <c r="BM350" s="73" t="str">
        <f t="shared" si="309"/>
        <v/>
      </c>
      <c r="BN350" s="73" t="str">
        <f t="shared" si="310"/>
        <v/>
      </c>
      <c r="BO350" s="31" t="str" cm="1">
        <f t="array" ref="BO350">IF(BN350="",""&amp;BL350,IF(BN350="NEMA",BL350,INDEX(regKlub_naziv,MATCH(INDEX(regKlub_alias_klubId,BN350),regKlub_id,0))))</f>
        <v/>
      </c>
      <c r="BP350" s="31" t="str" cm="1">
        <f t="array" ref="BP350">IFERROR(""&amp;INDEX(regNatjecatelj_klub,DY350),"")</f>
        <v/>
      </c>
      <c r="BQ350" s="88" t="str">
        <f t="shared" si="334"/>
        <v/>
      </c>
      <c r="BR350" s="66" t="str">
        <f t="shared" si="335"/>
        <v/>
      </c>
      <c r="BS350" s="47" t="s">
        <v>0</v>
      </c>
      <c r="BT350" s="82" t="str">
        <f>IF(BN350&lt;&gt;"NEMA","",IF(IFERROR(MATCH(BL350,BL$12:BL349,0),0)&lt;&gt;0,"",BL350))</f>
        <v/>
      </c>
      <c r="BU350" s="47" t="s">
        <v>0</v>
      </c>
      <c r="BV350" s="125"/>
      <c r="BW350" s="47" t="s">
        <v>0</v>
      </c>
      <c r="BX350" s="58" t="str">
        <f t="shared" si="336"/>
        <v/>
      </c>
      <c r="BY350" s="31" t="str">
        <f t="shared" si="337"/>
        <v/>
      </c>
      <c r="BZ350" s="31" t="str">
        <f>IF(BY350="","",MAX(BZ$12:BZ349)+1)</f>
        <v/>
      </c>
      <c r="CA350" s="31" t="str">
        <f>IF(BY350="","",IF(AA350="","",IF(AA350="NEMA",AC350,AA350)))</f>
        <v/>
      </c>
      <c r="CB350" s="31" t="str">
        <f t="shared" si="338"/>
        <v/>
      </c>
      <c r="CC350" s="31" t="str">
        <f>IF(BV350="","",MAX(CC$12:CC349)+1)</f>
        <v/>
      </c>
      <c r="CD350" s="31" t="str">
        <f t="shared" si="339"/>
        <v/>
      </c>
      <c r="CE350" s="66" t="str">
        <f t="shared" si="340"/>
        <v/>
      </c>
      <c r="CF350" s="47" t="s">
        <v>0</v>
      </c>
      <c r="CG350" s="73" t="str">
        <f>IF(BN350="","",IF(BN350&lt;&gt;"NEMA","",IFERROR(INDEX(nat_klubAliasId,MATCH(BL350,nat_noviKluboviAliasi,0)),"")))</f>
        <v/>
      </c>
      <c r="CH350" s="47"/>
      <c r="CI350" s="19" t="str">
        <f t="shared" si="341"/>
        <v/>
      </c>
      <c r="CJ350" s="47" t="s">
        <v>0</v>
      </c>
      <c r="CK350" s="52" t="str">
        <f>IF(X350&lt;&gt;"NEMA","",IF(IFERROR(MATCH(W350,W$12:W349,0),0)&lt;&gt;0,"",W350))</f>
        <v/>
      </c>
      <c r="CL350" s="73" t="str">
        <f>IF(CK350="","",IFERROR(INDEX(regKlub_alias_id,MATCH(CK350,regKlub_alias_alias,0)),"NEMA"))</f>
        <v/>
      </c>
      <c r="CM350" s="31" t="str">
        <f>IF(OR(CL350="",CL350&lt;&gt;"NEMA"),"",MAX(CM$12:CM349)+1)</f>
        <v/>
      </c>
      <c r="CN350" s="66" t="str">
        <f>IF(OR(CL350="",CL350&lt;&gt;"NEMA"),"",INDEX(regKlub_id,MATCH(CK350,regKlub_naziv,0)))</f>
        <v/>
      </c>
      <c r="CO350" s="47" t="s">
        <v>0</v>
      </c>
      <c r="CP350" s="19" t="str">
        <f>IF(OR(CL350="",CL350&lt;&gt;"NEMA"),"","INSERT INTO klub_alias(id,alias,klub_id) VALUES ("&amp;CM350&amp;",'"&amp;CK350&amp;"',"&amp;CN350&amp;");")</f>
        <v/>
      </c>
      <c r="CQ350" s="47" t="s">
        <v>0</v>
      </c>
      <c r="CR350" s="143" t="str">
        <f>IF(BR350="","",IF(BV350="",IF(IFERROR(MATCH(BR350,nat_noviKluboviAliasi,0),0)&gt;0,INDEX(nat_kluboviAliasi,MATCH(BR350,nat_noviKluboviAliasi,0)),BR350),BV350))</f>
        <v/>
      </c>
      <c r="CS350" s="47" t="s">
        <v>0</v>
      </c>
      <c r="CT350" s="58" t="str">
        <f>IF(G350="","",G350)</f>
        <v/>
      </c>
      <c r="CU350" s="73" t="str">
        <f>IF(H350="","",H350)</f>
        <v/>
      </c>
      <c r="CV350" s="229" t="str">
        <f>IF(CT350="",IF(OR(AL350="",CU350&lt;&gt;"0"),"","GREŠKA"),IF(AND(65535&gt;=VALUE(LEFT(CT350,SEARCH(":",CT350)-1))*60+VALUE(RIGHT(CT350,2)),OR(CU350="0",CU350="1",CU350="2",CU350="3",CU350="4")),"","GREŠKA"))</f>
        <v/>
      </c>
      <c r="CW350" s="230" t="str">
        <f t="shared" si="295"/>
        <v/>
      </c>
      <c r="CX350" s="163" t="str">
        <f t="shared" si="311"/>
        <v/>
      </c>
      <c r="CY350" s="47" t="s">
        <v>0</v>
      </c>
      <c r="CZ350" s="222" t="str">
        <f>IF(CV350&lt;&gt;"GREŠKA","",AK350&amp;" "&amp;AL350&amp;" – Molim u OEventu provjeriti i ispraviti rezultat – vrijeme ("&amp;IF(CT350="","nije upisano",CT350)&amp;") i classifier ("&amp;CU350&amp;").")&amp;IF(OR(CV350&lt;&gt;"GREŠKA",CX350&lt;&gt;5),"
","")&amp;IF(CX350&lt;&gt;5,"",AK350&amp;" "&amp;AL350&amp;" – Molim u provjeriti je li natjecatelj zaista diskvalificiran. Ako je koje je obrazloženje, ako nije molim u OEventu ispraviti rezultat")</f>
        <v xml:space="preserve">
</v>
      </c>
      <c r="DA350" s="223" t="str">
        <f t="shared" si="342"/>
        <v/>
      </c>
      <c r="DB350" s="47" t="s">
        <v>0</v>
      </c>
      <c r="DC350" s="47"/>
      <c r="DD350" s="47"/>
      <c r="DE350" s="47"/>
      <c r="DF350" s="47" t="s">
        <v>0</v>
      </c>
      <c r="DG350" s="53" t="str">
        <f>IF(BD350="","",IF(DI350="O",1,""))</f>
        <v/>
      </c>
      <c r="DH350" t="s">
        <v>0</v>
      </c>
      <c r="DI350" s="128" t="str">
        <f>IF(Q350="","",LEFT(INDEX(regKategorija_oznaka,MATCH(S350,regKategorija_id,0)),1))</f>
        <v/>
      </c>
      <c r="DJ350" t="s">
        <v>0</v>
      </c>
      <c r="DK350" s="52" t="str">
        <f>IF(BD350="","",IF(M350&lt;&gt;"CRO","","INSERT INTO osoba (id,reg_broj,oib,spol_id,dat_rodjenja) VALUES ("&amp;BD350&amp;",(SELECT max(os.reg_broj)+1 FROM osoba AS os),Null,'"&amp;DI350&amp;"',Null); INSERT INTO osoba_log (id,reg_broj,oib,spol_id,dat_rodjenja,dnevnik_id) SELECT id,reg_broj,oib,spol_id,dat_rodjenja,"&amp;data_dnevnik_id&amp;" FROM osoba WHERE id = "&amp;BD350&amp;";"))</f>
        <v/>
      </c>
      <c r="DL350" s="66" t="str">
        <f>IF(BD350="","","INSERT INTO imeprezime (id,osoba_id,rbr,ime,prezime,klub_id,identitet_id,sintaksa_id,info,aktivno,dnevnik_id) VALUES ("&amp;BD350&amp;","&amp;IF(DK350="","Null",BD350)&amp;",1,'"&amp;IF(AV350&lt;&gt;"",AV350,AK350)&amp;"','"&amp;IF(AW350&lt;&gt;"",AW350,AL350)&amp;"',(SELECT id FROM klub WHERE naziv = '"&amp;CR350&amp;"'),Null,1,'',1,"&amp;data_dnevnik_id&amp;");")</f>
        <v/>
      </c>
      <c r="DM350" t="s">
        <v>0</v>
      </c>
      <c r="DN350" s="19" t="str">
        <f t="shared" si="350"/>
        <v/>
      </c>
      <c r="DO350" s="47" t="s">
        <v>0</v>
      </c>
      <c r="DP350" s="19" t="str">
        <f>IF(BA350="","","INSERT INTO imeprezime_alias(id,alias,imeprezime_id) VALUES ("&amp;BB350&amp;",'"&amp;BA350&amp;"',"&amp;IF(BC350="NEMA",BD350,BC350)&amp;");")</f>
        <v/>
      </c>
      <c r="DQ350" s="47" t="s">
        <v>0</v>
      </c>
      <c r="DR350" s="52" t="str">
        <f>IF(AL350="","",DU350 &amp; IF(Q350="",""," – " &amp; Q350))</f>
        <v/>
      </c>
      <c r="DS350" s="53" t="str">
        <f t="shared" si="312"/>
        <v/>
      </c>
      <c r="DT350" s="47" t="s">
        <v>0</v>
      </c>
      <c r="DU350" s="52" t="str">
        <f>IF(AL350="","",DX350 &amp; IF(CR350="",""," – " &amp; CR350))</f>
        <v/>
      </c>
      <c r="DV350" s="53" t="str">
        <f t="shared" si="313"/>
        <v/>
      </c>
      <c r="DW350" s="47" t="s">
        <v>0</v>
      </c>
      <c r="DX350" s="52" t="str">
        <f>IF(BG350="","",BF350&amp;" – "&amp;BG350)</f>
        <v/>
      </c>
      <c r="DY350" s="53" t="str">
        <f t="shared" si="314"/>
        <v/>
      </c>
      <c r="DZ350" s="47" t="s">
        <v>0</v>
      </c>
      <c r="EA350" s="58" t="str">
        <f t="shared" si="343"/>
        <v/>
      </c>
      <c r="EB350" s="53" t="str" cm="1">
        <f t="array" ref="EB350">IF(EA350&lt;&gt;"",INDEX(regNatjecatelj_id,EA350,0),IF(BD350&lt;&gt;"",BD350,""))</f>
        <v/>
      </c>
      <c r="EC350" s="47" t="s">
        <v>0</v>
      </c>
      <c r="ED350" s="58" t="str">
        <f>IF(AL350="","",IF(BD350&lt;&gt;"","novo",IF(AN350="","imepre","imepre(ali)")))</f>
        <v/>
      </c>
      <c r="EE350" s="73" t="str">
        <f>IF(AL350="","",IF(BL350="",IF(IFERROR(INDEX(regNatjecatelj_klub,MATCH(EB350,regNatjecatelj_id,0)),"NEMA")="","klu",""),IF(OR(AND(BN350&lt;&gt;"",BN350&lt;&gt;"NEMA"),CD350&lt;&gt;""),"klu(ali)",IF(AND(BP350&lt;&gt;"",BP350&lt;&gt;BO350),"(raz-klu)","klu"))))</f>
        <v/>
      </c>
      <c r="EF350" s="73" t="str">
        <f>IF(AL350="","","kat"&amp;IF(AND(W350&lt;&gt;Q350,Q350&lt;&gt;"Open"),"(ali)",""))</f>
        <v/>
      </c>
      <c r="EG350" s="73" t="str">
        <f t="shared" si="315"/>
        <v/>
      </c>
      <c r="EH350" s="66" t="str">
        <f>IF(AL350="","",ED350&amp;IF(ED350="novo","","-"&amp;EE350&amp;"-"&amp;EF350)&amp;IF(EG350="","","-"&amp;EG350))</f>
        <v/>
      </c>
      <c r="EI350" s="47" t="s">
        <v>0</v>
      </c>
      <c r="EJ350" s="58" t="str">
        <f>IF(AL350="","",MAX(EJ$12:EJ349)+1)</f>
        <v/>
      </c>
      <c r="EK350" s="73" t="str">
        <f>IF(AO350="","",X350)</f>
        <v/>
      </c>
      <c r="EL350" s="73" t="str">
        <f t="shared" si="344"/>
        <v/>
      </c>
      <c r="EM350" s="73" t="str">
        <f t="shared" si="316"/>
        <v/>
      </c>
      <c r="EN350" s="73" t="str">
        <f t="shared" si="317"/>
        <v/>
      </c>
      <c r="EO350" s="73" t="str">
        <f t="shared" si="345"/>
        <v/>
      </c>
      <c r="EP350" s="73" t="str">
        <f t="shared" si="346"/>
        <v/>
      </c>
      <c r="EQ350" s="73" t="str">
        <f t="shared" si="318"/>
        <v/>
      </c>
      <c r="ER350" s="73" t="str">
        <f>IF(OR(AN350="",AN350="NEMA"),BB350,AN350)</f>
        <v/>
      </c>
      <c r="ES350" s="73" t="str">
        <f>IF(AND(BN350&lt;&gt;"",BN350&lt;&gt;"NEMA"),BN350,IF(CG350&lt;&gt;"",CG350,IF(AND(CL350&lt;&gt;"",CL350&lt;&gt;"NEMA"),CL350,IF(CM350&lt;&gt;"",CM350,""))))</f>
        <v/>
      </c>
      <c r="ET350" s="53" t="str">
        <f>IF(INDEX(natKategorija_alias_Id,MATCH(S350,natKategorija_katRegId,0))="","",INDEX(natKategorija_alias_Id,MATCH(S350,natKategorija_katRegId,0)))</f>
        <v/>
      </c>
      <c r="EU350" s="47" t="s">
        <v>0</v>
      </c>
      <c r="EV350" s="19" t="str">
        <f t="shared" si="347"/>
        <v/>
      </c>
      <c r="EW350" s="47" t="s">
        <v>0</v>
      </c>
      <c r="EX350" s="19" t="str">
        <f t="shared" si="348"/>
        <v/>
      </c>
      <c r="EY350" s="47" t="s">
        <v>0</v>
      </c>
      <c r="EZ350" s="180" t="str">
        <f>AG350&amp;IF(CP350="","","
")&amp;CP350&amp;IF(CI350="","","
")&amp;CI350&amp;IF(DN350="","","
")&amp;DN350&amp;IF(DP350="","","
")&amp;DP350&amp;IF(EV350="","","
")&amp;EV350&amp;IF(EX350="","","
")&amp;EX350</f>
        <v/>
      </c>
      <c r="FA350" s="47" t="s">
        <v>0</v>
      </c>
    </row>
    <row r="351" spans="1:157" x14ac:dyDescent="0.25">
      <c r="A351" t="s">
        <v>0</v>
      </c>
      <c r="B351" s="52" t="str">
        <f>IF(csv!F341="","",csv!T341)</f>
        <v/>
      </c>
      <c r="C351" s="31" t="s">
        <v>0</v>
      </c>
      <c r="D351" s="31" t="str">
        <f>IF(csv!F341="","",csv!F341)</f>
        <v/>
      </c>
      <c r="E351" s="31" t="str">
        <f>IF(csv!E341="","",csv!E341)</f>
        <v/>
      </c>
      <c r="F351" s="31" t="s">
        <v>0</v>
      </c>
      <c r="G351" s="73" t="str">
        <f>IF(csv!M341="","",csv!M341)</f>
        <v/>
      </c>
      <c r="H351" s="73" t="str">
        <f>IF(csv!N341="","",csv!N341)</f>
        <v/>
      </c>
      <c r="I351" s="31" t="s">
        <v>0</v>
      </c>
      <c r="J351" s="31" t="str">
        <f>IF(csv!P341="","",csv!P341)</f>
        <v/>
      </c>
      <c r="K351" s="31" t="str">
        <f>IF(csv!Q341="","",csv!Q341)</f>
        <v/>
      </c>
      <c r="L351" s="31" t="s">
        <v>0</v>
      </c>
      <c r="M351" s="66" t="str">
        <f>IF(csv!R341="","",csv!R341)</f>
        <v/>
      </c>
      <c r="N351" s="47" t="s">
        <v>0</v>
      </c>
      <c r="O351" s="243" t="str">
        <f t="shared" si="319"/>
        <v/>
      </c>
      <c r="P351" s="47"/>
      <c r="Q351" s="52" t="str">
        <f t="shared" si="320"/>
        <v/>
      </c>
      <c r="R351" s="73" t="str">
        <f>IF(Q351="","",IF(COUNTIF(Q$12:Q350,Q351)=0,R350+1,R350))</f>
        <v/>
      </c>
      <c r="S351" s="73" t="str">
        <f t="shared" si="321"/>
        <v/>
      </c>
      <c r="T351" s="73" t="str">
        <f t="shared" si="297"/>
        <v/>
      </c>
      <c r="U351" s="66" t="str">
        <f t="shared" si="298"/>
        <v/>
      </c>
      <c r="V351" s="47" t="s">
        <v>0</v>
      </c>
      <c r="W351" s="222" t="str">
        <f t="shared" si="299"/>
        <v/>
      </c>
      <c r="X351" s="223" t="str">
        <f t="shared" si="300"/>
        <v/>
      </c>
      <c r="Y351" s="47" t="s">
        <v>0</v>
      </c>
      <c r="Z351" s="52" t="str">
        <f t="shared" si="322"/>
        <v/>
      </c>
      <c r="AA351" s="73" t="str">
        <f t="shared" si="301"/>
        <v/>
      </c>
      <c r="AB351" s="31" t="str">
        <f t="shared" si="323"/>
        <v/>
      </c>
      <c r="AC351" s="66" t="str">
        <f>IF(AB351="","",MAX(AC$12:AC350)+1)</f>
        <v/>
      </c>
      <c r="AD351" s="47" t="s">
        <v>0</v>
      </c>
      <c r="AE351" s="125"/>
      <c r="AF351" s="47" t="s">
        <v>0</v>
      </c>
      <c r="AG351" s="19" t="str">
        <f t="shared" si="324"/>
        <v/>
      </c>
      <c r="AH351" s="47" t="s">
        <v>0</v>
      </c>
      <c r="AI351" s="143" t="str">
        <f t="shared" si="325"/>
        <v/>
      </c>
      <c r="AJ351" s="47"/>
      <c r="AK351" s="52" t="str">
        <f t="shared" si="326"/>
        <v/>
      </c>
      <c r="AL351" s="31" t="str">
        <f t="shared" si="327"/>
        <v/>
      </c>
      <c r="AM351" s="73" t="str">
        <f t="shared" si="328"/>
        <v/>
      </c>
      <c r="AN351" s="73" t="str">
        <f t="shared" si="329"/>
        <v/>
      </c>
      <c r="AO351" s="31" t="str">
        <f t="shared" si="302"/>
        <v/>
      </c>
      <c r="AP351" s="66" t="str">
        <f t="shared" si="303"/>
        <v/>
      </c>
      <c r="AQ351" s="47" t="s">
        <v>0</v>
      </c>
      <c r="AR351" s="82" t="str">
        <f t="shared" si="330"/>
        <v/>
      </c>
      <c r="AS351" s="47" t="s">
        <v>0</v>
      </c>
      <c r="AT351" s="19" t="str">
        <f t="shared" si="331"/>
        <v/>
      </c>
      <c r="AU351" s="47" t="s">
        <v>0</v>
      </c>
      <c r="AV351" s="103"/>
      <c r="AW351" s="105"/>
      <c r="AX351" s="47" t="s">
        <v>0</v>
      </c>
      <c r="AY351" s="256" t="str">
        <f t="shared" si="349"/>
        <v/>
      </c>
      <c r="AZ351" s="47" t="s">
        <v>0</v>
      </c>
      <c r="BA351" s="52" t="str">
        <f t="shared" si="296"/>
        <v/>
      </c>
      <c r="BB351" s="73" t="str">
        <f>IF(AV351&amp;AW351="","",MAX(BB$12:BB350)+1)</f>
        <v/>
      </c>
      <c r="BC351" s="268" t="str">
        <f t="shared" si="304"/>
        <v/>
      </c>
      <c r="BD351" s="53" t="str">
        <f>IF(AND(AM351="NEMA",AN351="NEMA",OR(AV351&amp;AW351="",BC351="NEMA")),MAX(BD$12:BD350)+1,"")</f>
        <v/>
      </c>
      <c r="BE351" s="47" t="s">
        <v>0</v>
      </c>
      <c r="BF351" s="52" t="str">
        <f t="shared" si="305"/>
        <v/>
      </c>
      <c r="BG351" s="31" t="str">
        <f t="shared" si="306"/>
        <v/>
      </c>
      <c r="BH351" s="73" t="str">
        <f t="shared" si="332"/>
        <v/>
      </c>
      <c r="BI351" s="53" t="str">
        <f t="shared" si="333"/>
        <v/>
      </c>
      <c r="BJ351" s="47" t="s">
        <v>0</v>
      </c>
      <c r="BK351" s="52" t="str">
        <f t="shared" si="307"/>
        <v/>
      </c>
      <c r="BL351" s="31" t="str">
        <f t="shared" si="308"/>
        <v/>
      </c>
      <c r="BM351" s="73" t="str">
        <f t="shared" si="309"/>
        <v/>
      </c>
      <c r="BN351" s="73" t="str">
        <f t="shared" si="310"/>
        <v/>
      </c>
      <c r="BO351" s="31" t="str" cm="1">
        <f t="array" ref="BO351">IF(BN351="",""&amp;BL351,IF(BN351="NEMA",BL351,INDEX(regKlub_naziv,MATCH(INDEX(regKlub_alias_klubId,BN351),regKlub_id,0))))</f>
        <v/>
      </c>
      <c r="BP351" s="31" t="str" cm="1">
        <f t="array" ref="BP351">IFERROR(""&amp;INDEX(regNatjecatelj_klub,DY351),"")</f>
        <v/>
      </c>
      <c r="BQ351" s="88" t="str">
        <f t="shared" si="334"/>
        <v/>
      </c>
      <c r="BR351" s="66" t="str">
        <f t="shared" si="335"/>
        <v/>
      </c>
      <c r="BS351" s="47" t="s">
        <v>0</v>
      </c>
      <c r="BT351" s="82" t="str">
        <f>IF(BN351&lt;&gt;"NEMA","",IF(IFERROR(MATCH(BL351,BL$12:BL350,0),0)&lt;&gt;0,"",BL351))</f>
        <v/>
      </c>
      <c r="BU351" s="47" t="s">
        <v>0</v>
      </c>
      <c r="BV351" s="125"/>
      <c r="BW351" s="47" t="s">
        <v>0</v>
      </c>
      <c r="BX351" s="58" t="str">
        <f t="shared" si="336"/>
        <v/>
      </c>
      <c r="BY351" s="31" t="str">
        <f t="shared" si="337"/>
        <v/>
      </c>
      <c r="BZ351" s="31" t="str">
        <f>IF(BY351="","",MAX(BZ$12:BZ350)+1)</f>
        <v/>
      </c>
      <c r="CA351" s="31" t="str">
        <f>IF(BY351="","",IF(AA351="","",IF(AA351="NEMA",AC351,AA351)))</f>
        <v/>
      </c>
      <c r="CB351" s="31" t="str">
        <f t="shared" si="338"/>
        <v/>
      </c>
      <c r="CC351" s="31" t="str">
        <f>IF(BV351="","",MAX(CC$12:CC350)+1)</f>
        <v/>
      </c>
      <c r="CD351" s="31" t="str">
        <f t="shared" si="339"/>
        <v/>
      </c>
      <c r="CE351" s="66" t="str">
        <f t="shared" si="340"/>
        <v/>
      </c>
      <c r="CF351" s="47" t="s">
        <v>0</v>
      </c>
      <c r="CG351" s="73" t="str">
        <f>IF(BN351="","",IF(BN351&lt;&gt;"NEMA","",IFERROR(INDEX(nat_klubAliasId,MATCH(BL351,nat_noviKluboviAliasi,0)),"")))</f>
        <v/>
      </c>
      <c r="CH351" s="47"/>
      <c r="CI351" s="19" t="str">
        <f t="shared" si="341"/>
        <v/>
      </c>
      <c r="CJ351" s="47" t="s">
        <v>0</v>
      </c>
      <c r="CK351" s="52" t="str">
        <f>IF(X351&lt;&gt;"NEMA","",IF(IFERROR(MATCH(W351,W$12:W350,0),0)&lt;&gt;0,"",W351))</f>
        <v/>
      </c>
      <c r="CL351" s="73" t="str">
        <f>IF(CK351="","",IFERROR(INDEX(regKlub_alias_id,MATCH(CK351,regKlub_alias_alias,0)),"NEMA"))</f>
        <v/>
      </c>
      <c r="CM351" s="31" t="str">
        <f>IF(OR(CL351="",CL351&lt;&gt;"NEMA"),"",MAX(CM$12:CM350)+1)</f>
        <v/>
      </c>
      <c r="CN351" s="66" t="str">
        <f>IF(OR(CL351="",CL351&lt;&gt;"NEMA"),"",INDEX(regKlub_id,MATCH(CK351,regKlub_naziv,0)))</f>
        <v/>
      </c>
      <c r="CO351" s="47" t="s">
        <v>0</v>
      </c>
      <c r="CP351" s="19" t="str">
        <f>IF(OR(CL351="",CL351&lt;&gt;"NEMA"),"","INSERT INTO klub_alias(id,alias,klub_id) VALUES ("&amp;CM351&amp;",'"&amp;CK351&amp;"',"&amp;CN351&amp;");")</f>
        <v/>
      </c>
      <c r="CQ351" s="47" t="s">
        <v>0</v>
      </c>
      <c r="CR351" s="143" t="str">
        <f>IF(BR351="","",IF(BV351="",IF(IFERROR(MATCH(BR351,nat_noviKluboviAliasi,0),0)&gt;0,INDEX(nat_kluboviAliasi,MATCH(BR351,nat_noviKluboviAliasi,0)),BR351),BV351))</f>
        <v/>
      </c>
      <c r="CS351" s="47" t="s">
        <v>0</v>
      </c>
      <c r="CT351" s="58" t="str">
        <f>IF(G351="","",G351)</f>
        <v/>
      </c>
      <c r="CU351" s="73" t="str">
        <f>IF(H351="","",H351)</f>
        <v/>
      </c>
      <c r="CV351" s="229" t="str">
        <f>IF(CT351="",IF(OR(AL351="",CU351&lt;&gt;"0"),"","GREŠKA"),IF(AND(65535&gt;=VALUE(LEFT(CT351,SEARCH(":",CT351)-1))*60+VALUE(RIGHT(CT351,2)),OR(CU351="0",CU351="1",CU351="2",CU351="3",CU351="4")),"","GREŠKA"))</f>
        <v/>
      </c>
      <c r="CW351" s="230" t="str">
        <f t="shared" si="295"/>
        <v/>
      </c>
      <c r="CX351" s="163" t="str">
        <f t="shared" si="311"/>
        <v/>
      </c>
      <c r="CY351" s="47" t="s">
        <v>0</v>
      </c>
      <c r="CZ351" s="222" t="str">
        <f>IF(CV351&lt;&gt;"GREŠKA","",AK351&amp;" "&amp;AL351&amp;" – Molim u OEventu provjeriti i ispraviti rezultat – vrijeme ("&amp;IF(CT351="","nije upisano",CT351)&amp;") i classifier ("&amp;CU351&amp;").")&amp;IF(OR(CV351&lt;&gt;"GREŠKA",CX351&lt;&gt;5),"
","")&amp;IF(CX351&lt;&gt;5,"",AK351&amp;" "&amp;AL351&amp;" – Molim u provjeriti je li natjecatelj zaista diskvalificiran. Ako je koje je obrazloženje, ako nije molim u OEventu ispraviti rezultat")</f>
        <v xml:space="preserve">
</v>
      </c>
      <c r="DA351" s="223" t="str">
        <f t="shared" si="342"/>
        <v/>
      </c>
      <c r="DB351" s="47" t="s">
        <v>0</v>
      </c>
      <c r="DC351" s="47"/>
      <c r="DD351" s="47"/>
      <c r="DE351" s="47"/>
      <c r="DF351" s="47" t="s">
        <v>0</v>
      </c>
      <c r="DG351" s="53" t="str">
        <f>IF(BD351="","",IF(DI351="O",1,""))</f>
        <v/>
      </c>
      <c r="DH351" t="s">
        <v>0</v>
      </c>
      <c r="DI351" s="128" t="str">
        <f>IF(Q351="","",LEFT(INDEX(regKategorija_oznaka,MATCH(S351,regKategorija_id,0)),1))</f>
        <v/>
      </c>
      <c r="DJ351" t="s">
        <v>0</v>
      </c>
      <c r="DK351" s="52" t="str">
        <f>IF(BD351="","",IF(M351&lt;&gt;"CRO","","INSERT INTO osoba (id,reg_broj,oib,spol_id,dat_rodjenja) VALUES ("&amp;BD351&amp;",(SELECT max(os.reg_broj)+1 FROM osoba AS os),Null,'"&amp;DI351&amp;"',Null); INSERT INTO osoba_log (id,reg_broj,oib,spol_id,dat_rodjenja,dnevnik_id) SELECT id,reg_broj,oib,spol_id,dat_rodjenja,"&amp;data_dnevnik_id&amp;" FROM osoba WHERE id = "&amp;BD351&amp;";"))</f>
        <v/>
      </c>
      <c r="DL351" s="66" t="str">
        <f>IF(BD351="","","INSERT INTO imeprezime (id,osoba_id,rbr,ime,prezime,klub_id,identitet_id,sintaksa_id,info,aktivno,dnevnik_id) VALUES ("&amp;BD351&amp;","&amp;IF(DK351="","Null",BD351)&amp;",1,'"&amp;IF(AV351&lt;&gt;"",AV351,AK351)&amp;"','"&amp;IF(AW351&lt;&gt;"",AW351,AL351)&amp;"',(SELECT id FROM klub WHERE naziv = '"&amp;CR351&amp;"'),Null,1,'',1,"&amp;data_dnevnik_id&amp;");")</f>
        <v/>
      </c>
      <c r="DM351" t="s">
        <v>0</v>
      </c>
      <c r="DN351" s="19" t="str">
        <f t="shared" si="350"/>
        <v/>
      </c>
      <c r="DO351" s="47" t="s">
        <v>0</v>
      </c>
      <c r="DP351" s="19" t="str">
        <f>IF(BA351="","","INSERT INTO imeprezime_alias(id,alias,imeprezime_id) VALUES ("&amp;BB351&amp;",'"&amp;BA351&amp;"',"&amp;IF(BC351="NEMA",BD351,BC351)&amp;");")</f>
        <v/>
      </c>
      <c r="DQ351" s="47" t="s">
        <v>0</v>
      </c>
      <c r="DR351" s="52" t="str">
        <f>IF(AL351="","",DU351 &amp; IF(Q351="",""," – " &amp; Q351))</f>
        <v/>
      </c>
      <c r="DS351" s="53" t="str">
        <f t="shared" si="312"/>
        <v/>
      </c>
      <c r="DT351" s="47" t="s">
        <v>0</v>
      </c>
      <c r="DU351" s="52" t="str">
        <f>IF(AL351="","",DX351 &amp; IF(CR351="",""," – " &amp; CR351))</f>
        <v/>
      </c>
      <c r="DV351" s="53" t="str">
        <f t="shared" si="313"/>
        <v/>
      </c>
      <c r="DW351" s="47" t="s">
        <v>0</v>
      </c>
      <c r="DX351" s="52" t="str">
        <f>IF(BG351="","",BF351&amp;" – "&amp;BG351)</f>
        <v/>
      </c>
      <c r="DY351" s="53" t="str">
        <f t="shared" si="314"/>
        <v/>
      </c>
      <c r="DZ351" s="47" t="s">
        <v>0</v>
      </c>
      <c r="EA351" s="58" t="str">
        <f t="shared" si="343"/>
        <v/>
      </c>
      <c r="EB351" s="53" t="str" cm="1">
        <f t="array" ref="EB351">IF(EA351&lt;&gt;"",INDEX(regNatjecatelj_id,EA351,0),IF(BD351&lt;&gt;"",BD351,""))</f>
        <v/>
      </c>
      <c r="EC351" s="47" t="s">
        <v>0</v>
      </c>
      <c r="ED351" s="58" t="str">
        <f>IF(AL351="","",IF(BD351&lt;&gt;"","novo",IF(AN351="","imepre","imepre(ali)")))</f>
        <v/>
      </c>
      <c r="EE351" s="73" t="str">
        <f>IF(AL351="","",IF(BL351="",IF(IFERROR(INDEX(regNatjecatelj_klub,MATCH(EB351,regNatjecatelj_id,0)),"NEMA")="","klu",""),IF(OR(AND(BN351&lt;&gt;"",BN351&lt;&gt;"NEMA"),CD351&lt;&gt;""),"klu(ali)",IF(AND(BP351&lt;&gt;"",BP351&lt;&gt;BO351),"(raz-klu)","klu"))))</f>
        <v/>
      </c>
      <c r="EF351" s="73" t="str">
        <f>IF(AL351="","","kat"&amp;IF(AND(W351&lt;&gt;Q351,Q351&lt;&gt;"Open"),"(ali)",""))</f>
        <v/>
      </c>
      <c r="EG351" s="73" t="str">
        <f t="shared" si="315"/>
        <v/>
      </c>
      <c r="EH351" s="66" t="str">
        <f>IF(AL351="","",ED351&amp;IF(ED351="novo","","-"&amp;EE351&amp;"-"&amp;EF351)&amp;IF(EG351="","","-"&amp;EG351))</f>
        <v/>
      </c>
      <c r="EI351" s="47" t="s">
        <v>0</v>
      </c>
      <c r="EJ351" s="58" t="str">
        <f>IF(AL351="","",MAX(EJ$12:EJ350)+1)</f>
        <v/>
      </c>
      <c r="EK351" s="73" t="str">
        <f>IF(AO351="","",X351)</f>
        <v/>
      </c>
      <c r="EL351" s="73" t="str">
        <f t="shared" si="344"/>
        <v/>
      </c>
      <c r="EM351" s="73" t="str">
        <f t="shared" si="316"/>
        <v/>
      </c>
      <c r="EN351" s="73" t="str">
        <f t="shared" si="317"/>
        <v/>
      </c>
      <c r="EO351" s="73" t="str">
        <f t="shared" si="345"/>
        <v/>
      </c>
      <c r="EP351" s="73" t="str">
        <f t="shared" si="346"/>
        <v/>
      </c>
      <c r="EQ351" s="73" t="str">
        <f t="shared" si="318"/>
        <v/>
      </c>
      <c r="ER351" s="73" t="str">
        <f>IF(OR(AN351="",AN351="NEMA"),BB351,AN351)</f>
        <v/>
      </c>
      <c r="ES351" s="73" t="str">
        <f>IF(AND(BN351&lt;&gt;"",BN351&lt;&gt;"NEMA"),BN351,IF(CG351&lt;&gt;"",CG351,IF(AND(CL351&lt;&gt;"",CL351&lt;&gt;"NEMA"),CL351,IF(CM351&lt;&gt;"",CM351,""))))</f>
        <v/>
      </c>
      <c r="ET351" s="53" t="str">
        <f>IF(INDEX(natKategorija_alias_Id,MATCH(S351,natKategorija_katRegId,0))="","",INDEX(natKategorija_alias_Id,MATCH(S351,natKategorija_katRegId,0)))</f>
        <v/>
      </c>
      <c r="EU351" s="47" t="s">
        <v>0</v>
      </c>
      <c r="EV351" s="19" t="str">
        <f t="shared" si="347"/>
        <v/>
      </c>
      <c r="EW351" s="47" t="s">
        <v>0</v>
      </c>
      <c r="EX351" s="19" t="str">
        <f t="shared" si="348"/>
        <v/>
      </c>
      <c r="EY351" s="47" t="s">
        <v>0</v>
      </c>
      <c r="EZ351" s="180" t="str">
        <f>AG351&amp;IF(CP351="","","
")&amp;CP351&amp;IF(CI351="","","
")&amp;CI351&amp;IF(DN351="","","
")&amp;DN351&amp;IF(DP351="","","
")&amp;DP351&amp;IF(EV351="","","
")&amp;EV351&amp;IF(EX351="","","
")&amp;EX351</f>
        <v/>
      </c>
      <c r="FA351" s="47" t="s">
        <v>0</v>
      </c>
    </row>
    <row r="352" spans="1:157" x14ac:dyDescent="0.25">
      <c r="A352" t="s">
        <v>0</v>
      </c>
      <c r="B352" s="52" t="str">
        <f>IF(csv!F342="","",csv!T342)</f>
        <v/>
      </c>
      <c r="C352" s="31" t="s">
        <v>0</v>
      </c>
      <c r="D352" s="31" t="str">
        <f>IF(csv!F342="","",csv!F342)</f>
        <v/>
      </c>
      <c r="E352" s="31" t="str">
        <f>IF(csv!E342="","",csv!E342)</f>
        <v/>
      </c>
      <c r="F352" s="31" t="s">
        <v>0</v>
      </c>
      <c r="G352" s="73" t="str">
        <f>IF(csv!M342="","",csv!M342)</f>
        <v/>
      </c>
      <c r="H352" s="73" t="str">
        <f>IF(csv!N342="","",csv!N342)</f>
        <v/>
      </c>
      <c r="I352" s="31" t="s">
        <v>0</v>
      </c>
      <c r="J352" s="31" t="str">
        <f>IF(csv!P342="","",csv!P342)</f>
        <v/>
      </c>
      <c r="K352" s="31" t="str">
        <f>IF(csv!Q342="","",csv!Q342)</f>
        <v/>
      </c>
      <c r="L352" s="31" t="s">
        <v>0</v>
      </c>
      <c r="M352" s="66" t="str">
        <f>IF(csv!R342="","",csv!R342)</f>
        <v/>
      </c>
      <c r="N352" s="47" t="s">
        <v>0</v>
      </c>
      <c r="O352" s="243" t="str">
        <f t="shared" si="319"/>
        <v/>
      </c>
      <c r="P352" s="47"/>
      <c r="Q352" s="52" t="str">
        <f t="shared" si="320"/>
        <v/>
      </c>
      <c r="R352" s="73" t="str">
        <f>IF(Q352="","",IF(COUNTIF(Q$12:Q351,Q352)=0,R351+1,R351))</f>
        <v/>
      </c>
      <c r="S352" s="73" t="str">
        <f t="shared" si="321"/>
        <v/>
      </c>
      <c r="T352" s="73" t="str">
        <f t="shared" si="297"/>
        <v/>
      </c>
      <c r="U352" s="66" t="str">
        <f t="shared" si="298"/>
        <v/>
      </c>
      <c r="V352" s="47" t="s">
        <v>0</v>
      </c>
      <c r="W352" s="222" t="str">
        <f t="shared" si="299"/>
        <v/>
      </c>
      <c r="X352" s="223" t="str">
        <f t="shared" si="300"/>
        <v/>
      </c>
      <c r="Y352" s="47" t="s">
        <v>0</v>
      </c>
      <c r="Z352" s="52" t="str">
        <f t="shared" si="322"/>
        <v/>
      </c>
      <c r="AA352" s="73" t="str">
        <f t="shared" si="301"/>
        <v/>
      </c>
      <c r="AB352" s="31" t="str">
        <f t="shared" si="323"/>
        <v/>
      </c>
      <c r="AC352" s="66" t="str">
        <f>IF(AB352="","",MAX(AC$12:AC351)+1)</f>
        <v/>
      </c>
      <c r="AD352" s="47" t="s">
        <v>0</v>
      </c>
      <c r="AE352" s="125"/>
      <c r="AF352" s="47" t="s">
        <v>0</v>
      </c>
      <c r="AG352" s="19" t="str">
        <f t="shared" si="324"/>
        <v/>
      </c>
      <c r="AH352" s="47" t="s">
        <v>0</v>
      </c>
      <c r="AI352" s="143" t="str">
        <f t="shared" si="325"/>
        <v/>
      </c>
      <c r="AJ352" s="47"/>
      <c r="AK352" s="52" t="str">
        <f t="shared" si="326"/>
        <v/>
      </c>
      <c r="AL352" s="31" t="str">
        <f t="shared" si="327"/>
        <v/>
      </c>
      <c r="AM352" s="73" t="str">
        <f t="shared" si="328"/>
        <v/>
      </c>
      <c r="AN352" s="73" t="str">
        <f t="shared" si="329"/>
        <v/>
      </c>
      <c r="AO352" s="31" t="str">
        <f t="shared" si="302"/>
        <v/>
      </c>
      <c r="AP352" s="66" t="str">
        <f t="shared" si="303"/>
        <v/>
      </c>
      <c r="AQ352" s="47" t="s">
        <v>0</v>
      </c>
      <c r="AR352" s="82" t="str">
        <f t="shared" si="330"/>
        <v/>
      </c>
      <c r="AS352" s="47" t="s">
        <v>0</v>
      </c>
      <c r="AT352" s="19" t="str">
        <f t="shared" si="331"/>
        <v/>
      </c>
      <c r="AU352" s="47" t="s">
        <v>0</v>
      </c>
      <c r="AV352" s="103"/>
      <c r="AW352" s="105"/>
      <c r="AX352" s="47" t="s">
        <v>0</v>
      </c>
      <c r="AY352" s="256" t="str">
        <f t="shared" si="349"/>
        <v/>
      </c>
      <c r="AZ352" s="47" t="s">
        <v>0</v>
      </c>
      <c r="BA352" s="52" t="str">
        <f t="shared" si="296"/>
        <v/>
      </c>
      <c r="BB352" s="73" t="str">
        <f>IF(AV352&amp;AW352="","",MAX(BB$12:BB351)+1)</f>
        <v/>
      </c>
      <c r="BC352" s="268" t="str">
        <f t="shared" si="304"/>
        <v/>
      </c>
      <c r="BD352" s="53" t="str">
        <f>IF(AND(AM352="NEMA",AN352="NEMA",OR(AV352&amp;AW352="",BC352="NEMA")),MAX(BD$12:BD351)+1,"")</f>
        <v/>
      </c>
      <c r="BE352" s="47" t="s">
        <v>0</v>
      </c>
      <c r="BF352" s="52" t="str">
        <f t="shared" si="305"/>
        <v/>
      </c>
      <c r="BG352" s="31" t="str">
        <f t="shared" si="306"/>
        <v/>
      </c>
      <c r="BH352" s="73" t="str">
        <f t="shared" si="332"/>
        <v/>
      </c>
      <c r="BI352" s="53" t="str">
        <f t="shared" si="333"/>
        <v/>
      </c>
      <c r="BJ352" s="47" t="s">
        <v>0</v>
      </c>
      <c r="BK352" s="52" t="str">
        <f t="shared" si="307"/>
        <v/>
      </c>
      <c r="BL352" s="31" t="str">
        <f t="shared" si="308"/>
        <v/>
      </c>
      <c r="BM352" s="73" t="str">
        <f t="shared" si="309"/>
        <v/>
      </c>
      <c r="BN352" s="73" t="str">
        <f t="shared" si="310"/>
        <v/>
      </c>
      <c r="BO352" s="31" t="str" cm="1">
        <f t="array" ref="BO352">IF(BN352="",""&amp;BL352,IF(BN352="NEMA",BL352,INDEX(regKlub_naziv,MATCH(INDEX(regKlub_alias_klubId,BN352),regKlub_id,0))))</f>
        <v/>
      </c>
      <c r="BP352" s="31" t="str" cm="1">
        <f t="array" ref="BP352">IFERROR(""&amp;INDEX(regNatjecatelj_klub,DY352),"")</f>
        <v/>
      </c>
      <c r="BQ352" s="88" t="str">
        <f t="shared" si="334"/>
        <v/>
      </c>
      <c r="BR352" s="66" t="str">
        <f t="shared" si="335"/>
        <v/>
      </c>
      <c r="BS352" s="47" t="s">
        <v>0</v>
      </c>
      <c r="BT352" s="82" t="str">
        <f>IF(BN352&lt;&gt;"NEMA","",IF(IFERROR(MATCH(BL352,BL$12:BL351,0),0)&lt;&gt;0,"",BL352))</f>
        <v/>
      </c>
      <c r="BU352" s="47" t="s">
        <v>0</v>
      </c>
      <c r="BV352" s="125"/>
      <c r="BW352" s="47" t="s">
        <v>0</v>
      </c>
      <c r="BX352" s="58" t="str">
        <f t="shared" si="336"/>
        <v/>
      </c>
      <c r="BY352" s="31" t="str">
        <f t="shared" si="337"/>
        <v/>
      </c>
      <c r="BZ352" s="31" t="str">
        <f>IF(BY352="","",MAX(BZ$12:BZ351)+1)</f>
        <v/>
      </c>
      <c r="CA352" s="31" t="str">
        <f>IF(BY352="","",IF(AA352="","",IF(AA352="NEMA",AC352,AA352)))</f>
        <v/>
      </c>
      <c r="CB352" s="31" t="str">
        <f t="shared" si="338"/>
        <v/>
      </c>
      <c r="CC352" s="31" t="str">
        <f>IF(BV352="","",MAX(CC$12:CC351)+1)</f>
        <v/>
      </c>
      <c r="CD352" s="31" t="str">
        <f t="shared" si="339"/>
        <v/>
      </c>
      <c r="CE352" s="66" t="str">
        <f t="shared" si="340"/>
        <v/>
      </c>
      <c r="CF352" s="47" t="s">
        <v>0</v>
      </c>
      <c r="CG352" s="73" t="str">
        <f>IF(BN352="","",IF(BN352&lt;&gt;"NEMA","",IFERROR(INDEX(nat_klubAliasId,MATCH(BL352,nat_noviKluboviAliasi,0)),"")))</f>
        <v/>
      </c>
      <c r="CH352" s="47"/>
      <c r="CI352" s="19" t="str">
        <f t="shared" si="341"/>
        <v/>
      </c>
      <c r="CJ352" s="47" t="s">
        <v>0</v>
      </c>
      <c r="CK352" s="52" t="str">
        <f>IF(X352&lt;&gt;"NEMA","",IF(IFERROR(MATCH(W352,W$12:W351,0),0)&lt;&gt;0,"",W352))</f>
        <v/>
      </c>
      <c r="CL352" s="73" t="str">
        <f>IF(CK352="","",IFERROR(INDEX(regKlub_alias_id,MATCH(CK352,regKlub_alias_alias,0)),"NEMA"))</f>
        <v/>
      </c>
      <c r="CM352" s="31" t="str">
        <f>IF(OR(CL352="",CL352&lt;&gt;"NEMA"),"",MAX(CM$12:CM351)+1)</f>
        <v/>
      </c>
      <c r="CN352" s="66" t="str">
        <f>IF(OR(CL352="",CL352&lt;&gt;"NEMA"),"",INDEX(regKlub_id,MATCH(CK352,regKlub_naziv,0)))</f>
        <v/>
      </c>
      <c r="CO352" s="47" t="s">
        <v>0</v>
      </c>
      <c r="CP352" s="19" t="str">
        <f>IF(OR(CL352="",CL352&lt;&gt;"NEMA"),"","INSERT INTO klub_alias(id,alias,klub_id) VALUES ("&amp;CM352&amp;",'"&amp;CK352&amp;"',"&amp;CN352&amp;");")</f>
        <v/>
      </c>
      <c r="CQ352" s="47" t="s">
        <v>0</v>
      </c>
      <c r="CR352" s="143" t="str">
        <f>IF(BR352="","",IF(BV352="",IF(IFERROR(MATCH(BR352,nat_noviKluboviAliasi,0),0)&gt;0,INDEX(nat_kluboviAliasi,MATCH(BR352,nat_noviKluboviAliasi,0)),BR352),BV352))</f>
        <v/>
      </c>
      <c r="CS352" s="47" t="s">
        <v>0</v>
      </c>
      <c r="CT352" s="58" t="str">
        <f>IF(G352="","",G352)</f>
        <v/>
      </c>
      <c r="CU352" s="73" t="str">
        <f>IF(H352="","",H352)</f>
        <v/>
      </c>
      <c r="CV352" s="229" t="str">
        <f>IF(CT352="",IF(OR(AL352="",CU352&lt;&gt;"0"),"","GREŠKA"),IF(AND(65535&gt;=VALUE(LEFT(CT352,SEARCH(":",CT352)-1))*60+VALUE(RIGHT(CT352,2)),OR(CU352="0",CU352="1",CU352="2",CU352="3",CU352="4")),"","GREŠKA"))</f>
        <v/>
      </c>
      <c r="CW352" s="230" t="str">
        <f t="shared" si="295"/>
        <v/>
      </c>
      <c r="CX352" s="163" t="str">
        <f t="shared" si="311"/>
        <v/>
      </c>
      <c r="CY352" s="47" t="s">
        <v>0</v>
      </c>
      <c r="CZ352" s="222" t="str">
        <f>IF(CV352&lt;&gt;"GREŠKA","",AK352&amp;" "&amp;AL352&amp;" – Molim u OEventu provjeriti i ispraviti rezultat – vrijeme ("&amp;IF(CT352="","nije upisano",CT352)&amp;") i classifier ("&amp;CU352&amp;").")&amp;IF(OR(CV352&lt;&gt;"GREŠKA",CX352&lt;&gt;5),"
","")&amp;IF(CX352&lt;&gt;5,"",AK352&amp;" "&amp;AL352&amp;" – Molim u provjeriti je li natjecatelj zaista diskvalificiran. Ako je koje je obrazloženje, ako nije molim u OEventu ispraviti rezultat")</f>
        <v xml:space="preserve">
</v>
      </c>
      <c r="DA352" s="223" t="str">
        <f t="shared" si="342"/>
        <v/>
      </c>
      <c r="DB352" s="47" t="s">
        <v>0</v>
      </c>
      <c r="DC352" s="47"/>
      <c r="DD352" s="47"/>
      <c r="DE352" s="47"/>
      <c r="DF352" s="47" t="s">
        <v>0</v>
      </c>
      <c r="DG352" s="53" t="str">
        <f>IF(BD352="","",IF(DI352="O",1,""))</f>
        <v/>
      </c>
      <c r="DH352" t="s">
        <v>0</v>
      </c>
      <c r="DI352" s="128" t="str">
        <f>IF(Q352="","",LEFT(INDEX(regKategorija_oznaka,MATCH(S352,regKategorija_id,0)),1))</f>
        <v/>
      </c>
      <c r="DJ352" t="s">
        <v>0</v>
      </c>
      <c r="DK352" s="52" t="str">
        <f>IF(BD352="","",IF(M352&lt;&gt;"CRO","","INSERT INTO osoba (id,reg_broj,oib,spol_id,dat_rodjenja) VALUES ("&amp;BD352&amp;",(SELECT max(os.reg_broj)+1 FROM osoba AS os),Null,'"&amp;DI352&amp;"',Null); INSERT INTO osoba_log (id,reg_broj,oib,spol_id,dat_rodjenja,dnevnik_id) SELECT id,reg_broj,oib,spol_id,dat_rodjenja,"&amp;data_dnevnik_id&amp;" FROM osoba WHERE id = "&amp;BD352&amp;";"))</f>
        <v/>
      </c>
      <c r="DL352" s="66" t="str">
        <f>IF(BD352="","","INSERT INTO imeprezime (id,osoba_id,rbr,ime,prezime,klub_id,identitet_id,sintaksa_id,info,aktivno,dnevnik_id) VALUES ("&amp;BD352&amp;","&amp;IF(DK352="","Null",BD352)&amp;",1,'"&amp;IF(AV352&lt;&gt;"",AV352,AK352)&amp;"','"&amp;IF(AW352&lt;&gt;"",AW352,AL352)&amp;"',(SELECT id FROM klub WHERE naziv = '"&amp;CR352&amp;"'),Null,1,'',1,"&amp;data_dnevnik_id&amp;");")</f>
        <v/>
      </c>
      <c r="DM352" t="s">
        <v>0</v>
      </c>
      <c r="DN352" s="19" t="str">
        <f t="shared" si="350"/>
        <v/>
      </c>
      <c r="DO352" s="47" t="s">
        <v>0</v>
      </c>
      <c r="DP352" s="19" t="str">
        <f>IF(BA352="","","INSERT INTO imeprezime_alias(id,alias,imeprezime_id) VALUES ("&amp;BB352&amp;",'"&amp;BA352&amp;"',"&amp;IF(BC352="NEMA",BD352,BC352)&amp;");")</f>
        <v/>
      </c>
      <c r="DQ352" s="47" t="s">
        <v>0</v>
      </c>
      <c r="DR352" s="52" t="str">
        <f>IF(AL352="","",DU352 &amp; IF(Q352="",""," – " &amp; Q352))</f>
        <v/>
      </c>
      <c r="DS352" s="53" t="str">
        <f t="shared" si="312"/>
        <v/>
      </c>
      <c r="DT352" s="47" t="s">
        <v>0</v>
      </c>
      <c r="DU352" s="52" t="str">
        <f>IF(AL352="","",DX352 &amp; IF(CR352="",""," – " &amp; CR352))</f>
        <v/>
      </c>
      <c r="DV352" s="53" t="str">
        <f t="shared" si="313"/>
        <v/>
      </c>
      <c r="DW352" s="47" t="s">
        <v>0</v>
      </c>
      <c r="DX352" s="52" t="str">
        <f>IF(BG352="","",BF352&amp;" – "&amp;BG352)</f>
        <v/>
      </c>
      <c r="DY352" s="53" t="str">
        <f t="shared" si="314"/>
        <v/>
      </c>
      <c r="DZ352" s="47" t="s">
        <v>0</v>
      </c>
      <c r="EA352" s="58" t="str">
        <f t="shared" si="343"/>
        <v/>
      </c>
      <c r="EB352" s="53" t="str" cm="1">
        <f t="array" ref="EB352">IF(EA352&lt;&gt;"",INDEX(regNatjecatelj_id,EA352,0),IF(BD352&lt;&gt;"",BD352,""))</f>
        <v/>
      </c>
      <c r="EC352" s="47" t="s">
        <v>0</v>
      </c>
      <c r="ED352" s="58" t="str">
        <f>IF(AL352="","",IF(BD352&lt;&gt;"","novo",IF(AN352="","imepre","imepre(ali)")))</f>
        <v/>
      </c>
      <c r="EE352" s="73" t="str">
        <f>IF(AL352="","",IF(BL352="",IF(IFERROR(INDEX(regNatjecatelj_klub,MATCH(EB352,regNatjecatelj_id,0)),"NEMA")="","klu",""),IF(OR(AND(BN352&lt;&gt;"",BN352&lt;&gt;"NEMA"),CD352&lt;&gt;""),"klu(ali)",IF(AND(BP352&lt;&gt;"",BP352&lt;&gt;BO352),"(raz-klu)","klu"))))</f>
        <v/>
      </c>
      <c r="EF352" s="73" t="str">
        <f>IF(AL352="","","kat"&amp;IF(AND(W352&lt;&gt;Q352,Q352&lt;&gt;"Open"),"(ali)",""))</f>
        <v/>
      </c>
      <c r="EG352" s="73" t="str">
        <f t="shared" si="315"/>
        <v/>
      </c>
      <c r="EH352" s="66" t="str">
        <f>IF(AL352="","",ED352&amp;IF(ED352="novo","","-"&amp;EE352&amp;"-"&amp;EF352)&amp;IF(EG352="","","-"&amp;EG352))</f>
        <v/>
      </c>
      <c r="EI352" s="47" t="s">
        <v>0</v>
      </c>
      <c r="EJ352" s="58" t="str">
        <f>IF(AL352="","",MAX(EJ$12:EJ351)+1)</f>
        <v/>
      </c>
      <c r="EK352" s="73" t="str">
        <f>IF(AO352="","",X352)</f>
        <v/>
      </c>
      <c r="EL352" s="73" t="str">
        <f t="shared" si="344"/>
        <v/>
      </c>
      <c r="EM352" s="73" t="str">
        <f t="shared" si="316"/>
        <v/>
      </c>
      <c r="EN352" s="73" t="str">
        <f t="shared" si="317"/>
        <v/>
      </c>
      <c r="EO352" s="73" t="str">
        <f t="shared" si="345"/>
        <v/>
      </c>
      <c r="EP352" s="73" t="str">
        <f t="shared" si="346"/>
        <v/>
      </c>
      <c r="EQ352" s="73" t="str">
        <f t="shared" si="318"/>
        <v/>
      </c>
      <c r="ER352" s="73" t="str">
        <f>IF(OR(AN352="",AN352="NEMA"),BB352,AN352)</f>
        <v/>
      </c>
      <c r="ES352" s="73" t="str">
        <f>IF(AND(BN352&lt;&gt;"",BN352&lt;&gt;"NEMA"),BN352,IF(CG352&lt;&gt;"",CG352,IF(AND(CL352&lt;&gt;"",CL352&lt;&gt;"NEMA"),CL352,IF(CM352&lt;&gt;"",CM352,""))))</f>
        <v/>
      </c>
      <c r="ET352" s="53" t="str">
        <f>IF(INDEX(natKategorija_alias_Id,MATCH(S352,natKategorija_katRegId,0))="","",INDEX(natKategorija_alias_Id,MATCH(S352,natKategorija_katRegId,0)))</f>
        <v/>
      </c>
      <c r="EU352" s="47" t="s">
        <v>0</v>
      </c>
      <c r="EV352" s="19" t="str">
        <f t="shared" si="347"/>
        <v/>
      </c>
      <c r="EW352" s="47" t="s">
        <v>0</v>
      </c>
      <c r="EX352" s="19" t="str">
        <f t="shared" si="348"/>
        <v/>
      </c>
      <c r="EY352" s="47" t="s">
        <v>0</v>
      </c>
      <c r="EZ352" s="180" t="str">
        <f>AG352&amp;IF(CP352="","","
")&amp;CP352&amp;IF(CI352="","","
")&amp;CI352&amp;IF(DN352="","","
")&amp;DN352&amp;IF(DP352="","","
")&amp;DP352&amp;IF(EV352="","","
")&amp;EV352&amp;IF(EX352="","","
")&amp;EX352</f>
        <v/>
      </c>
      <c r="FA352" s="47" t="s">
        <v>0</v>
      </c>
    </row>
    <row r="353" spans="1:157" x14ac:dyDescent="0.25">
      <c r="A353" t="s">
        <v>0</v>
      </c>
      <c r="B353" s="52" t="str">
        <f>IF(csv!F343="","",csv!T343)</f>
        <v/>
      </c>
      <c r="C353" s="31" t="s">
        <v>0</v>
      </c>
      <c r="D353" s="31" t="str">
        <f>IF(csv!F343="","",csv!F343)</f>
        <v/>
      </c>
      <c r="E353" s="31" t="str">
        <f>IF(csv!E343="","",csv!E343)</f>
        <v/>
      </c>
      <c r="F353" s="31" t="s">
        <v>0</v>
      </c>
      <c r="G353" s="73" t="str">
        <f>IF(csv!M343="","",csv!M343)</f>
        <v/>
      </c>
      <c r="H353" s="73" t="str">
        <f>IF(csv!N343="","",csv!N343)</f>
        <v/>
      </c>
      <c r="I353" s="31" t="s">
        <v>0</v>
      </c>
      <c r="J353" s="31" t="str">
        <f>IF(csv!P343="","",csv!P343)</f>
        <v/>
      </c>
      <c r="K353" s="31" t="str">
        <f>IF(csv!Q343="","",csv!Q343)</f>
        <v/>
      </c>
      <c r="L353" s="31" t="s">
        <v>0</v>
      </c>
      <c r="M353" s="66" t="str">
        <f>IF(csv!R343="","",csv!R343)</f>
        <v/>
      </c>
      <c r="N353" s="47" t="s">
        <v>0</v>
      </c>
      <c r="O353" s="243" t="str">
        <f t="shared" si="319"/>
        <v/>
      </c>
      <c r="P353" s="47"/>
      <c r="Q353" s="52" t="str">
        <f t="shared" si="320"/>
        <v/>
      </c>
      <c r="R353" s="73" t="str">
        <f>IF(Q353="","",IF(COUNTIF(Q$12:Q352,Q353)=0,R352+1,R352))</f>
        <v/>
      </c>
      <c r="S353" s="73" t="str">
        <f t="shared" si="321"/>
        <v/>
      </c>
      <c r="T353" s="73" t="str">
        <f t="shared" si="297"/>
        <v/>
      </c>
      <c r="U353" s="66" t="str">
        <f t="shared" si="298"/>
        <v/>
      </c>
      <c r="V353" s="47" t="s">
        <v>0</v>
      </c>
      <c r="W353" s="222" t="str">
        <f t="shared" si="299"/>
        <v/>
      </c>
      <c r="X353" s="223" t="str">
        <f t="shared" si="300"/>
        <v/>
      </c>
      <c r="Y353" s="47" t="s">
        <v>0</v>
      </c>
      <c r="Z353" s="52" t="str">
        <f t="shared" si="322"/>
        <v/>
      </c>
      <c r="AA353" s="73" t="str">
        <f t="shared" si="301"/>
        <v/>
      </c>
      <c r="AB353" s="31" t="str">
        <f t="shared" si="323"/>
        <v/>
      </c>
      <c r="AC353" s="66" t="str">
        <f>IF(AB353="","",MAX(AC$12:AC352)+1)</f>
        <v/>
      </c>
      <c r="AD353" s="47" t="s">
        <v>0</v>
      </c>
      <c r="AE353" s="125"/>
      <c r="AF353" s="47" t="s">
        <v>0</v>
      </c>
      <c r="AG353" s="19" t="str">
        <f t="shared" si="324"/>
        <v/>
      </c>
      <c r="AH353" s="47" t="s">
        <v>0</v>
      </c>
      <c r="AI353" s="143" t="str">
        <f t="shared" si="325"/>
        <v/>
      </c>
      <c r="AJ353" s="47"/>
      <c r="AK353" s="52" t="str">
        <f t="shared" si="326"/>
        <v/>
      </c>
      <c r="AL353" s="31" t="str">
        <f t="shared" si="327"/>
        <v/>
      </c>
      <c r="AM353" s="73" t="str">
        <f t="shared" si="328"/>
        <v/>
      </c>
      <c r="AN353" s="73" t="str">
        <f t="shared" si="329"/>
        <v/>
      </c>
      <c r="AO353" s="31" t="str">
        <f t="shared" si="302"/>
        <v/>
      </c>
      <c r="AP353" s="66" t="str">
        <f t="shared" si="303"/>
        <v/>
      </c>
      <c r="AQ353" s="47" t="s">
        <v>0</v>
      </c>
      <c r="AR353" s="82" t="str">
        <f t="shared" si="330"/>
        <v/>
      </c>
      <c r="AS353" s="47" t="s">
        <v>0</v>
      </c>
      <c r="AT353" s="19" t="str">
        <f t="shared" si="331"/>
        <v/>
      </c>
      <c r="AU353" s="47" t="s">
        <v>0</v>
      </c>
      <c r="AV353" s="103"/>
      <c r="AW353" s="105"/>
      <c r="AX353" s="47" t="s">
        <v>0</v>
      </c>
      <c r="AY353" s="256" t="str">
        <f t="shared" si="349"/>
        <v/>
      </c>
      <c r="AZ353" s="47" t="s">
        <v>0</v>
      </c>
      <c r="BA353" s="52" t="str">
        <f t="shared" si="296"/>
        <v/>
      </c>
      <c r="BB353" s="73" t="str">
        <f>IF(AV353&amp;AW353="","",MAX(BB$12:BB352)+1)</f>
        <v/>
      </c>
      <c r="BC353" s="268" t="str">
        <f t="shared" si="304"/>
        <v/>
      </c>
      <c r="BD353" s="53" t="str">
        <f>IF(AND(AM353="NEMA",AN353="NEMA",OR(AV353&amp;AW353="",BC353="NEMA")),MAX(BD$12:BD352)+1,"")</f>
        <v/>
      </c>
      <c r="BE353" s="47" t="s">
        <v>0</v>
      </c>
      <c r="BF353" s="52" t="str">
        <f t="shared" si="305"/>
        <v/>
      </c>
      <c r="BG353" s="31" t="str">
        <f t="shared" si="306"/>
        <v/>
      </c>
      <c r="BH353" s="73" t="str">
        <f t="shared" si="332"/>
        <v/>
      </c>
      <c r="BI353" s="53" t="str">
        <f t="shared" si="333"/>
        <v/>
      </c>
      <c r="BJ353" s="47" t="s">
        <v>0</v>
      </c>
      <c r="BK353" s="52" t="str">
        <f t="shared" si="307"/>
        <v/>
      </c>
      <c r="BL353" s="31" t="str">
        <f t="shared" si="308"/>
        <v/>
      </c>
      <c r="BM353" s="73" t="str">
        <f t="shared" si="309"/>
        <v/>
      </c>
      <c r="BN353" s="73" t="str">
        <f t="shared" si="310"/>
        <v/>
      </c>
      <c r="BO353" s="31" t="str" cm="1">
        <f t="array" ref="BO353">IF(BN353="",""&amp;BL353,IF(BN353="NEMA",BL353,INDEX(regKlub_naziv,MATCH(INDEX(regKlub_alias_klubId,BN353),regKlub_id,0))))</f>
        <v/>
      </c>
      <c r="BP353" s="31" t="str" cm="1">
        <f t="array" ref="BP353">IFERROR(""&amp;INDEX(regNatjecatelj_klub,DY353),"")</f>
        <v/>
      </c>
      <c r="BQ353" s="88" t="str">
        <f t="shared" si="334"/>
        <v/>
      </c>
      <c r="BR353" s="66" t="str">
        <f t="shared" si="335"/>
        <v/>
      </c>
      <c r="BS353" s="47" t="s">
        <v>0</v>
      </c>
      <c r="BT353" s="82" t="str">
        <f>IF(BN353&lt;&gt;"NEMA","",IF(IFERROR(MATCH(BL353,BL$12:BL352,0),0)&lt;&gt;0,"",BL353))</f>
        <v/>
      </c>
      <c r="BU353" s="47" t="s">
        <v>0</v>
      </c>
      <c r="BV353" s="125"/>
      <c r="BW353" s="47" t="s">
        <v>0</v>
      </c>
      <c r="BX353" s="58" t="str">
        <f t="shared" si="336"/>
        <v/>
      </c>
      <c r="BY353" s="31" t="str">
        <f t="shared" si="337"/>
        <v/>
      </c>
      <c r="BZ353" s="31" t="str">
        <f>IF(BY353="","",MAX(BZ$12:BZ352)+1)</f>
        <v/>
      </c>
      <c r="CA353" s="31" t="str">
        <f>IF(BY353="","",IF(AA353="","",IF(AA353="NEMA",AC353,AA353)))</f>
        <v/>
      </c>
      <c r="CB353" s="31" t="str">
        <f t="shared" si="338"/>
        <v/>
      </c>
      <c r="CC353" s="31" t="str">
        <f>IF(BV353="","",MAX(CC$12:CC352)+1)</f>
        <v/>
      </c>
      <c r="CD353" s="31" t="str">
        <f t="shared" si="339"/>
        <v/>
      </c>
      <c r="CE353" s="66" t="str">
        <f t="shared" si="340"/>
        <v/>
      </c>
      <c r="CF353" s="47" t="s">
        <v>0</v>
      </c>
      <c r="CG353" s="73" t="str">
        <f>IF(BN353="","",IF(BN353&lt;&gt;"NEMA","",IFERROR(INDEX(nat_klubAliasId,MATCH(BL353,nat_noviKluboviAliasi,0)),"")))</f>
        <v/>
      </c>
      <c r="CH353" s="47"/>
      <c r="CI353" s="19" t="str">
        <f t="shared" si="341"/>
        <v/>
      </c>
      <c r="CJ353" s="47" t="s">
        <v>0</v>
      </c>
      <c r="CK353" s="52" t="str">
        <f>IF(X353&lt;&gt;"NEMA","",IF(IFERROR(MATCH(W353,W$12:W352,0),0)&lt;&gt;0,"",W353))</f>
        <v/>
      </c>
      <c r="CL353" s="73" t="str">
        <f>IF(CK353="","",IFERROR(INDEX(regKlub_alias_id,MATCH(CK353,regKlub_alias_alias,0)),"NEMA"))</f>
        <v/>
      </c>
      <c r="CM353" s="31" t="str">
        <f>IF(OR(CL353="",CL353&lt;&gt;"NEMA"),"",MAX(CM$12:CM352)+1)</f>
        <v/>
      </c>
      <c r="CN353" s="66" t="str">
        <f>IF(OR(CL353="",CL353&lt;&gt;"NEMA"),"",INDEX(regKlub_id,MATCH(CK353,regKlub_naziv,0)))</f>
        <v/>
      </c>
      <c r="CO353" s="47" t="s">
        <v>0</v>
      </c>
      <c r="CP353" s="19" t="str">
        <f>IF(OR(CL353="",CL353&lt;&gt;"NEMA"),"","INSERT INTO klub_alias(id,alias,klub_id) VALUES ("&amp;CM353&amp;",'"&amp;CK353&amp;"',"&amp;CN353&amp;");")</f>
        <v/>
      </c>
      <c r="CQ353" s="47" t="s">
        <v>0</v>
      </c>
      <c r="CR353" s="143" t="str">
        <f>IF(BR353="","",IF(BV353="",IF(IFERROR(MATCH(BR353,nat_noviKluboviAliasi,0),0)&gt;0,INDEX(nat_kluboviAliasi,MATCH(BR353,nat_noviKluboviAliasi,0)),BR353),BV353))</f>
        <v/>
      </c>
      <c r="CS353" s="47" t="s">
        <v>0</v>
      </c>
      <c r="CT353" s="58" t="str">
        <f>IF(G353="","",G353)</f>
        <v/>
      </c>
      <c r="CU353" s="73" t="str">
        <f>IF(H353="","",H353)</f>
        <v/>
      </c>
      <c r="CV353" s="229" t="str">
        <f>IF(CT353="",IF(OR(AL353="",CU353&lt;&gt;"0"),"","GREŠKA"),IF(AND(65535&gt;=VALUE(LEFT(CT353,SEARCH(":",CT353)-1))*60+VALUE(RIGHT(CT353,2)),OR(CU353="0",CU353="1",CU353="2",CU353="3",CU353="4")),"","GREŠKA"))</f>
        <v/>
      </c>
      <c r="CW353" s="230" t="str">
        <f t="shared" si="295"/>
        <v/>
      </c>
      <c r="CX353" s="163" t="str">
        <f t="shared" si="311"/>
        <v/>
      </c>
      <c r="CY353" s="47" t="s">
        <v>0</v>
      </c>
      <c r="CZ353" s="222" t="str">
        <f>IF(CV353&lt;&gt;"GREŠKA","",AK353&amp;" "&amp;AL353&amp;" – Molim u OEventu provjeriti i ispraviti rezultat – vrijeme ("&amp;IF(CT353="","nije upisano",CT353)&amp;") i classifier ("&amp;CU353&amp;").")&amp;IF(OR(CV353&lt;&gt;"GREŠKA",CX353&lt;&gt;5),"
","")&amp;IF(CX353&lt;&gt;5,"",AK353&amp;" "&amp;AL353&amp;" – Molim u provjeriti je li natjecatelj zaista diskvalificiran. Ako je koje je obrazloženje, ako nije molim u OEventu ispraviti rezultat")</f>
        <v xml:space="preserve">
</v>
      </c>
      <c r="DA353" s="223" t="str">
        <f t="shared" si="342"/>
        <v/>
      </c>
      <c r="DB353" s="47" t="s">
        <v>0</v>
      </c>
      <c r="DC353" s="47"/>
      <c r="DD353" s="47"/>
      <c r="DE353" s="47"/>
      <c r="DF353" s="47" t="s">
        <v>0</v>
      </c>
      <c r="DG353" s="53" t="str">
        <f>IF(BD353="","",IF(DI353="O",1,""))</f>
        <v/>
      </c>
      <c r="DH353" t="s">
        <v>0</v>
      </c>
      <c r="DI353" s="128" t="str">
        <f>IF(Q353="","",LEFT(INDEX(regKategorija_oznaka,MATCH(S353,regKategorija_id,0)),1))</f>
        <v/>
      </c>
      <c r="DJ353" t="s">
        <v>0</v>
      </c>
      <c r="DK353" s="52" t="str">
        <f>IF(BD353="","",IF(M353&lt;&gt;"CRO","","INSERT INTO osoba (id,reg_broj,oib,spol_id,dat_rodjenja) VALUES ("&amp;BD353&amp;",(SELECT max(os.reg_broj)+1 FROM osoba AS os),Null,'"&amp;DI353&amp;"',Null); INSERT INTO osoba_log (id,reg_broj,oib,spol_id,dat_rodjenja,dnevnik_id) SELECT id,reg_broj,oib,spol_id,dat_rodjenja,"&amp;data_dnevnik_id&amp;" FROM osoba WHERE id = "&amp;BD353&amp;";"))</f>
        <v/>
      </c>
      <c r="DL353" s="66" t="str">
        <f>IF(BD353="","","INSERT INTO imeprezime (id,osoba_id,rbr,ime,prezime,klub_id,identitet_id,sintaksa_id,info,aktivno,dnevnik_id) VALUES ("&amp;BD353&amp;","&amp;IF(DK353="","Null",BD353)&amp;",1,'"&amp;IF(AV353&lt;&gt;"",AV353,AK353)&amp;"','"&amp;IF(AW353&lt;&gt;"",AW353,AL353)&amp;"',(SELECT id FROM klub WHERE naziv = '"&amp;CR353&amp;"'),Null,1,'',1,"&amp;data_dnevnik_id&amp;");")</f>
        <v/>
      </c>
      <c r="DM353" t="s">
        <v>0</v>
      </c>
      <c r="DN353" s="19" t="str">
        <f t="shared" si="350"/>
        <v/>
      </c>
      <c r="DO353" s="47" t="s">
        <v>0</v>
      </c>
      <c r="DP353" s="19" t="str">
        <f>IF(BA353="","","INSERT INTO imeprezime_alias(id,alias,imeprezime_id) VALUES ("&amp;BB353&amp;",'"&amp;BA353&amp;"',"&amp;IF(BC353="NEMA",BD353,BC353)&amp;");")</f>
        <v/>
      </c>
      <c r="DQ353" s="47" t="s">
        <v>0</v>
      </c>
      <c r="DR353" s="52" t="str">
        <f>IF(AL353="","",DU353 &amp; IF(Q353="",""," – " &amp; Q353))</f>
        <v/>
      </c>
      <c r="DS353" s="53" t="str">
        <f t="shared" si="312"/>
        <v/>
      </c>
      <c r="DT353" s="47" t="s">
        <v>0</v>
      </c>
      <c r="DU353" s="52" t="str">
        <f>IF(AL353="","",DX353 &amp; IF(CR353="",""," – " &amp; CR353))</f>
        <v/>
      </c>
      <c r="DV353" s="53" t="str">
        <f t="shared" si="313"/>
        <v/>
      </c>
      <c r="DW353" s="47" t="s">
        <v>0</v>
      </c>
      <c r="DX353" s="52" t="str">
        <f>IF(BG353="","",BF353&amp;" – "&amp;BG353)</f>
        <v/>
      </c>
      <c r="DY353" s="53" t="str">
        <f t="shared" si="314"/>
        <v/>
      </c>
      <c r="DZ353" s="47" t="s">
        <v>0</v>
      </c>
      <c r="EA353" s="58" t="str">
        <f t="shared" si="343"/>
        <v/>
      </c>
      <c r="EB353" s="53" t="str" cm="1">
        <f t="array" ref="EB353">IF(EA353&lt;&gt;"",INDEX(regNatjecatelj_id,EA353,0),IF(BD353&lt;&gt;"",BD353,""))</f>
        <v/>
      </c>
      <c r="EC353" s="47" t="s">
        <v>0</v>
      </c>
      <c r="ED353" s="58" t="str">
        <f>IF(AL353="","",IF(BD353&lt;&gt;"","novo",IF(AN353="","imepre","imepre(ali)")))</f>
        <v/>
      </c>
      <c r="EE353" s="73" t="str">
        <f>IF(AL353="","",IF(BL353="",IF(IFERROR(INDEX(regNatjecatelj_klub,MATCH(EB353,regNatjecatelj_id,0)),"NEMA")="","klu",""),IF(OR(AND(BN353&lt;&gt;"",BN353&lt;&gt;"NEMA"),CD353&lt;&gt;""),"klu(ali)",IF(AND(BP353&lt;&gt;"",BP353&lt;&gt;BO353),"(raz-klu)","klu"))))</f>
        <v/>
      </c>
      <c r="EF353" s="73" t="str">
        <f>IF(AL353="","","kat"&amp;IF(AND(W353&lt;&gt;Q353,Q353&lt;&gt;"Open"),"(ali)",""))</f>
        <v/>
      </c>
      <c r="EG353" s="73" t="str">
        <f t="shared" si="315"/>
        <v/>
      </c>
      <c r="EH353" s="66" t="str">
        <f>IF(AL353="","",ED353&amp;IF(ED353="novo","","-"&amp;EE353&amp;"-"&amp;EF353)&amp;IF(EG353="","","-"&amp;EG353))</f>
        <v/>
      </c>
      <c r="EI353" s="47" t="s">
        <v>0</v>
      </c>
      <c r="EJ353" s="58" t="str">
        <f>IF(AL353="","",MAX(EJ$12:EJ352)+1)</f>
        <v/>
      </c>
      <c r="EK353" s="73" t="str">
        <f>IF(AO353="","",X353)</f>
        <v/>
      </c>
      <c r="EL353" s="73" t="str">
        <f t="shared" si="344"/>
        <v/>
      </c>
      <c r="EM353" s="73" t="str">
        <f t="shared" si="316"/>
        <v/>
      </c>
      <c r="EN353" s="73" t="str">
        <f t="shared" si="317"/>
        <v/>
      </c>
      <c r="EO353" s="73" t="str">
        <f t="shared" si="345"/>
        <v/>
      </c>
      <c r="EP353" s="73" t="str">
        <f t="shared" si="346"/>
        <v/>
      </c>
      <c r="EQ353" s="73" t="str">
        <f t="shared" si="318"/>
        <v/>
      </c>
      <c r="ER353" s="73" t="str">
        <f>IF(OR(AN353="",AN353="NEMA"),BB353,AN353)</f>
        <v/>
      </c>
      <c r="ES353" s="73" t="str">
        <f>IF(AND(BN353&lt;&gt;"",BN353&lt;&gt;"NEMA"),BN353,IF(CG353&lt;&gt;"",CG353,IF(AND(CL353&lt;&gt;"",CL353&lt;&gt;"NEMA"),CL353,IF(CM353&lt;&gt;"",CM353,""))))</f>
        <v/>
      </c>
      <c r="ET353" s="53" t="str">
        <f>IF(INDEX(natKategorija_alias_Id,MATCH(S353,natKategorija_katRegId,0))="","",INDEX(natKategorija_alias_Id,MATCH(S353,natKategorija_katRegId,0)))</f>
        <v/>
      </c>
      <c r="EU353" s="47" t="s">
        <v>0</v>
      </c>
      <c r="EV353" s="19" t="str">
        <f t="shared" si="347"/>
        <v/>
      </c>
      <c r="EW353" s="47" t="s">
        <v>0</v>
      </c>
      <c r="EX353" s="19" t="str">
        <f t="shared" si="348"/>
        <v/>
      </c>
      <c r="EY353" s="47" t="s">
        <v>0</v>
      </c>
      <c r="EZ353" s="180" t="str">
        <f>AG353&amp;IF(CP353="","","
")&amp;CP353&amp;IF(CI353="","","
")&amp;CI353&amp;IF(DN353="","","
")&amp;DN353&amp;IF(DP353="","","
")&amp;DP353&amp;IF(EV353="","","
")&amp;EV353&amp;IF(EX353="","","
")&amp;EX353</f>
        <v/>
      </c>
      <c r="FA353" s="47" t="s">
        <v>0</v>
      </c>
    </row>
    <row r="354" spans="1:157" x14ac:dyDescent="0.25">
      <c r="A354" t="s">
        <v>0</v>
      </c>
      <c r="B354" s="52" t="str">
        <f>IF(csv!F344="","",csv!T344)</f>
        <v/>
      </c>
      <c r="C354" s="31" t="s">
        <v>0</v>
      </c>
      <c r="D354" s="31" t="str">
        <f>IF(csv!F344="","",csv!F344)</f>
        <v/>
      </c>
      <c r="E354" s="31" t="str">
        <f>IF(csv!E344="","",csv!E344)</f>
        <v/>
      </c>
      <c r="F354" s="31" t="s">
        <v>0</v>
      </c>
      <c r="G354" s="73" t="str">
        <f>IF(csv!M344="","",csv!M344)</f>
        <v/>
      </c>
      <c r="H354" s="73" t="str">
        <f>IF(csv!N344="","",csv!N344)</f>
        <v/>
      </c>
      <c r="I354" s="31" t="s">
        <v>0</v>
      </c>
      <c r="J354" s="31" t="str">
        <f>IF(csv!P344="","",csv!P344)</f>
        <v/>
      </c>
      <c r="K354" s="31" t="str">
        <f>IF(csv!Q344="","",csv!Q344)</f>
        <v/>
      </c>
      <c r="L354" s="31" t="s">
        <v>0</v>
      </c>
      <c r="M354" s="66" t="str">
        <f>IF(csv!R344="","",csv!R344)</f>
        <v/>
      </c>
      <c r="N354" s="47" t="s">
        <v>0</v>
      </c>
      <c r="O354" s="243" t="str">
        <f t="shared" si="319"/>
        <v/>
      </c>
      <c r="P354" s="47"/>
      <c r="Q354" s="52" t="str">
        <f t="shared" si="320"/>
        <v/>
      </c>
      <c r="R354" s="73" t="str">
        <f>IF(Q354="","",IF(COUNTIF(Q$12:Q353,Q354)=0,R353+1,R353))</f>
        <v/>
      </c>
      <c r="S354" s="73" t="str">
        <f t="shared" si="321"/>
        <v/>
      </c>
      <c r="T354" s="73" t="str">
        <f t="shared" si="297"/>
        <v/>
      </c>
      <c r="U354" s="66" t="str">
        <f t="shared" si="298"/>
        <v/>
      </c>
      <c r="V354" s="47" t="s">
        <v>0</v>
      </c>
      <c r="W354" s="222" t="str">
        <f t="shared" si="299"/>
        <v/>
      </c>
      <c r="X354" s="223" t="str">
        <f t="shared" si="300"/>
        <v/>
      </c>
      <c r="Y354" s="47" t="s">
        <v>0</v>
      </c>
      <c r="Z354" s="52" t="str">
        <f t="shared" si="322"/>
        <v/>
      </c>
      <c r="AA354" s="73" t="str">
        <f t="shared" si="301"/>
        <v/>
      </c>
      <c r="AB354" s="31" t="str">
        <f t="shared" si="323"/>
        <v/>
      </c>
      <c r="AC354" s="66" t="str">
        <f>IF(AB354="","",MAX(AC$12:AC353)+1)</f>
        <v/>
      </c>
      <c r="AD354" s="47" t="s">
        <v>0</v>
      </c>
      <c r="AE354" s="125"/>
      <c r="AF354" s="47" t="s">
        <v>0</v>
      </c>
      <c r="AG354" s="19" t="str">
        <f t="shared" si="324"/>
        <v/>
      </c>
      <c r="AH354" s="47" t="s">
        <v>0</v>
      </c>
      <c r="AI354" s="143" t="str">
        <f t="shared" si="325"/>
        <v/>
      </c>
      <c r="AJ354" s="47"/>
      <c r="AK354" s="52" t="str">
        <f t="shared" si="326"/>
        <v/>
      </c>
      <c r="AL354" s="31" t="str">
        <f t="shared" si="327"/>
        <v/>
      </c>
      <c r="AM354" s="73" t="str">
        <f t="shared" si="328"/>
        <v/>
      </c>
      <c r="AN354" s="73" t="str">
        <f t="shared" si="329"/>
        <v/>
      </c>
      <c r="AO354" s="31" t="str">
        <f t="shared" si="302"/>
        <v/>
      </c>
      <c r="AP354" s="66" t="str">
        <f t="shared" si="303"/>
        <v/>
      </c>
      <c r="AQ354" s="47" t="s">
        <v>0</v>
      </c>
      <c r="AR354" s="82" t="str">
        <f t="shared" si="330"/>
        <v/>
      </c>
      <c r="AS354" s="47" t="s">
        <v>0</v>
      </c>
      <c r="AT354" s="19" t="str">
        <f t="shared" si="331"/>
        <v/>
      </c>
      <c r="AU354" s="47" t="s">
        <v>0</v>
      </c>
      <c r="AV354" s="103"/>
      <c r="AW354" s="105"/>
      <c r="AX354" s="47" t="s">
        <v>0</v>
      </c>
      <c r="AY354" s="256" t="str">
        <f t="shared" si="349"/>
        <v/>
      </c>
      <c r="AZ354" s="47" t="s">
        <v>0</v>
      </c>
      <c r="BA354" s="52" t="str">
        <f t="shared" si="296"/>
        <v/>
      </c>
      <c r="BB354" s="73" t="str">
        <f>IF(AV354&amp;AW354="","",MAX(BB$12:BB353)+1)</f>
        <v/>
      </c>
      <c r="BC354" s="268" t="str">
        <f t="shared" si="304"/>
        <v/>
      </c>
      <c r="BD354" s="53" t="str">
        <f>IF(AND(AM354="NEMA",AN354="NEMA",OR(AV354&amp;AW354="",BC354="NEMA")),MAX(BD$12:BD353)+1,"")</f>
        <v/>
      </c>
      <c r="BE354" s="47" t="s">
        <v>0</v>
      </c>
      <c r="BF354" s="52" t="str">
        <f t="shared" si="305"/>
        <v/>
      </c>
      <c r="BG354" s="31" t="str">
        <f t="shared" si="306"/>
        <v/>
      </c>
      <c r="BH354" s="73" t="str">
        <f t="shared" si="332"/>
        <v/>
      </c>
      <c r="BI354" s="53" t="str">
        <f t="shared" si="333"/>
        <v/>
      </c>
      <c r="BJ354" s="47" t="s">
        <v>0</v>
      </c>
      <c r="BK354" s="52" t="str">
        <f t="shared" si="307"/>
        <v/>
      </c>
      <c r="BL354" s="31" t="str">
        <f t="shared" si="308"/>
        <v/>
      </c>
      <c r="BM354" s="73" t="str">
        <f t="shared" si="309"/>
        <v/>
      </c>
      <c r="BN354" s="73" t="str">
        <f t="shared" si="310"/>
        <v/>
      </c>
      <c r="BO354" s="31" t="str" cm="1">
        <f t="array" ref="BO354">IF(BN354="",""&amp;BL354,IF(BN354="NEMA",BL354,INDEX(regKlub_naziv,MATCH(INDEX(regKlub_alias_klubId,BN354),regKlub_id,0))))</f>
        <v/>
      </c>
      <c r="BP354" s="31" t="str" cm="1">
        <f t="array" ref="BP354">IFERROR(""&amp;INDEX(regNatjecatelj_klub,DY354),"")</f>
        <v/>
      </c>
      <c r="BQ354" s="88" t="str">
        <f t="shared" si="334"/>
        <v/>
      </c>
      <c r="BR354" s="66" t="str">
        <f t="shared" si="335"/>
        <v/>
      </c>
      <c r="BS354" s="47" t="s">
        <v>0</v>
      </c>
      <c r="BT354" s="82" t="str">
        <f>IF(BN354&lt;&gt;"NEMA","",IF(IFERROR(MATCH(BL354,BL$12:BL353,0),0)&lt;&gt;0,"",BL354))</f>
        <v/>
      </c>
      <c r="BU354" s="47" t="s">
        <v>0</v>
      </c>
      <c r="BV354" s="125"/>
      <c r="BW354" s="47" t="s">
        <v>0</v>
      </c>
      <c r="BX354" s="58" t="str">
        <f t="shared" si="336"/>
        <v/>
      </c>
      <c r="BY354" s="31" t="str">
        <f t="shared" si="337"/>
        <v/>
      </c>
      <c r="BZ354" s="31" t="str">
        <f>IF(BY354="","",MAX(BZ$12:BZ353)+1)</f>
        <v/>
      </c>
      <c r="CA354" s="31" t="str">
        <f>IF(BY354="","",IF(AA354="","",IF(AA354="NEMA",AC354,AA354)))</f>
        <v/>
      </c>
      <c r="CB354" s="31" t="str">
        <f t="shared" si="338"/>
        <v/>
      </c>
      <c r="CC354" s="31" t="str">
        <f>IF(BV354="","",MAX(CC$12:CC353)+1)</f>
        <v/>
      </c>
      <c r="CD354" s="31" t="str">
        <f t="shared" si="339"/>
        <v/>
      </c>
      <c r="CE354" s="66" t="str">
        <f t="shared" si="340"/>
        <v/>
      </c>
      <c r="CF354" s="47" t="s">
        <v>0</v>
      </c>
      <c r="CG354" s="73" t="str">
        <f>IF(BN354="","",IF(BN354&lt;&gt;"NEMA","",IFERROR(INDEX(nat_klubAliasId,MATCH(BL354,nat_noviKluboviAliasi,0)),"")))</f>
        <v/>
      </c>
      <c r="CH354" s="47"/>
      <c r="CI354" s="19" t="str">
        <f t="shared" si="341"/>
        <v/>
      </c>
      <c r="CJ354" s="47" t="s">
        <v>0</v>
      </c>
      <c r="CK354" s="52" t="str">
        <f>IF(X354&lt;&gt;"NEMA","",IF(IFERROR(MATCH(W354,W$12:W353,0),0)&lt;&gt;0,"",W354))</f>
        <v/>
      </c>
      <c r="CL354" s="73" t="str">
        <f>IF(CK354="","",IFERROR(INDEX(regKlub_alias_id,MATCH(CK354,regKlub_alias_alias,0)),"NEMA"))</f>
        <v/>
      </c>
      <c r="CM354" s="31" t="str">
        <f>IF(OR(CL354="",CL354&lt;&gt;"NEMA"),"",MAX(CM$12:CM353)+1)</f>
        <v/>
      </c>
      <c r="CN354" s="66" t="str">
        <f>IF(OR(CL354="",CL354&lt;&gt;"NEMA"),"",INDEX(regKlub_id,MATCH(CK354,regKlub_naziv,0)))</f>
        <v/>
      </c>
      <c r="CO354" s="47" t="s">
        <v>0</v>
      </c>
      <c r="CP354" s="19" t="str">
        <f>IF(OR(CL354="",CL354&lt;&gt;"NEMA"),"","INSERT INTO klub_alias(id,alias,klub_id) VALUES ("&amp;CM354&amp;",'"&amp;CK354&amp;"',"&amp;CN354&amp;");")</f>
        <v/>
      </c>
      <c r="CQ354" s="47" t="s">
        <v>0</v>
      </c>
      <c r="CR354" s="143" t="str">
        <f>IF(BR354="","",IF(BV354="",IF(IFERROR(MATCH(BR354,nat_noviKluboviAliasi,0),0)&gt;0,INDEX(nat_kluboviAliasi,MATCH(BR354,nat_noviKluboviAliasi,0)),BR354),BV354))</f>
        <v/>
      </c>
      <c r="CS354" s="47" t="s">
        <v>0</v>
      </c>
      <c r="CT354" s="58" t="str">
        <f>IF(G354="","",G354)</f>
        <v/>
      </c>
      <c r="CU354" s="73" t="str">
        <f>IF(H354="","",H354)</f>
        <v/>
      </c>
      <c r="CV354" s="229" t="str">
        <f>IF(CT354="",IF(OR(AL354="",CU354&lt;&gt;"0"),"","GREŠKA"),IF(AND(65535&gt;=VALUE(LEFT(CT354,SEARCH(":",CT354)-1))*60+VALUE(RIGHT(CT354,2)),OR(CU354="0",CU354="1",CU354="2",CU354="3",CU354="4")),"","GREŠKA"))</f>
        <v/>
      </c>
      <c r="CW354" s="230" t="str">
        <f t="shared" si="295"/>
        <v/>
      </c>
      <c r="CX354" s="163" t="str">
        <f t="shared" si="311"/>
        <v/>
      </c>
      <c r="CY354" s="47" t="s">
        <v>0</v>
      </c>
      <c r="CZ354" s="222" t="str">
        <f>IF(CV354&lt;&gt;"GREŠKA","",AK354&amp;" "&amp;AL354&amp;" – Molim u OEventu provjeriti i ispraviti rezultat – vrijeme ("&amp;IF(CT354="","nije upisano",CT354)&amp;") i classifier ("&amp;CU354&amp;").")&amp;IF(OR(CV354&lt;&gt;"GREŠKA",CX354&lt;&gt;5),"
","")&amp;IF(CX354&lt;&gt;5,"",AK354&amp;" "&amp;AL354&amp;" – Molim u provjeriti je li natjecatelj zaista diskvalificiran. Ako je koje je obrazloženje, ako nije molim u OEventu ispraviti rezultat")</f>
        <v xml:space="preserve">
</v>
      </c>
      <c r="DA354" s="223" t="str">
        <f t="shared" si="342"/>
        <v/>
      </c>
      <c r="DB354" s="47" t="s">
        <v>0</v>
      </c>
      <c r="DC354" s="47"/>
      <c r="DD354" s="47"/>
      <c r="DE354" s="47"/>
      <c r="DF354" s="47" t="s">
        <v>0</v>
      </c>
      <c r="DG354" s="53" t="str">
        <f>IF(BD354="","",IF(DI354="O",1,""))</f>
        <v/>
      </c>
      <c r="DH354" t="s">
        <v>0</v>
      </c>
      <c r="DI354" s="128" t="str">
        <f>IF(Q354="","",LEFT(INDEX(regKategorija_oznaka,MATCH(S354,regKategorija_id,0)),1))</f>
        <v/>
      </c>
      <c r="DJ354" t="s">
        <v>0</v>
      </c>
      <c r="DK354" s="52" t="str">
        <f>IF(BD354="","",IF(M354&lt;&gt;"CRO","","INSERT INTO osoba (id,reg_broj,oib,spol_id,dat_rodjenja) VALUES ("&amp;BD354&amp;",(SELECT max(os.reg_broj)+1 FROM osoba AS os),Null,'"&amp;DI354&amp;"',Null); INSERT INTO osoba_log (id,reg_broj,oib,spol_id,dat_rodjenja,dnevnik_id) SELECT id,reg_broj,oib,spol_id,dat_rodjenja,"&amp;data_dnevnik_id&amp;" FROM osoba WHERE id = "&amp;BD354&amp;";"))</f>
        <v/>
      </c>
      <c r="DL354" s="66" t="str">
        <f>IF(BD354="","","INSERT INTO imeprezime (id,osoba_id,rbr,ime,prezime,klub_id,identitet_id,sintaksa_id,info,aktivno,dnevnik_id) VALUES ("&amp;BD354&amp;","&amp;IF(DK354="","Null",BD354)&amp;",1,'"&amp;IF(AV354&lt;&gt;"",AV354,AK354)&amp;"','"&amp;IF(AW354&lt;&gt;"",AW354,AL354)&amp;"',(SELECT id FROM klub WHERE naziv = '"&amp;CR354&amp;"'),Null,1,'',1,"&amp;data_dnevnik_id&amp;");")</f>
        <v/>
      </c>
      <c r="DM354" t="s">
        <v>0</v>
      </c>
      <c r="DN354" s="19" t="str">
        <f t="shared" si="350"/>
        <v/>
      </c>
      <c r="DO354" s="47" t="s">
        <v>0</v>
      </c>
      <c r="DP354" s="19" t="str">
        <f>IF(BA354="","","INSERT INTO imeprezime_alias(id,alias,imeprezime_id) VALUES ("&amp;BB354&amp;",'"&amp;BA354&amp;"',"&amp;IF(BC354="NEMA",BD354,BC354)&amp;");")</f>
        <v/>
      </c>
      <c r="DQ354" s="47" t="s">
        <v>0</v>
      </c>
      <c r="DR354" s="52" t="str">
        <f>IF(AL354="","",DU354 &amp; IF(Q354="",""," – " &amp; Q354))</f>
        <v/>
      </c>
      <c r="DS354" s="53" t="str">
        <f t="shared" si="312"/>
        <v/>
      </c>
      <c r="DT354" s="47" t="s">
        <v>0</v>
      </c>
      <c r="DU354" s="52" t="str">
        <f>IF(AL354="","",DX354 &amp; IF(CR354="",""," – " &amp; CR354))</f>
        <v/>
      </c>
      <c r="DV354" s="53" t="str">
        <f t="shared" si="313"/>
        <v/>
      </c>
      <c r="DW354" s="47" t="s">
        <v>0</v>
      </c>
      <c r="DX354" s="52" t="str">
        <f>IF(BG354="","",BF354&amp;" – "&amp;BG354)</f>
        <v/>
      </c>
      <c r="DY354" s="53" t="str">
        <f t="shared" si="314"/>
        <v/>
      </c>
      <c r="DZ354" s="47" t="s">
        <v>0</v>
      </c>
      <c r="EA354" s="58" t="str">
        <f t="shared" si="343"/>
        <v/>
      </c>
      <c r="EB354" s="53" t="str" cm="1">
        <f t="array" ref="EB354">IF(EA354&lt;&gt;"",INDEX(regNatjecatelj_id,EA354,0),IF(BD354&lt;&gt;"",BD354,""))</f>
        <v/>
      </c>
      <c r="EC354" s="47" t="s">
        <v>0</v>
      </c>
      <c r="ED354" s="58" t="str">
        <f>IF(AL354="","",IF(BD354&lt;&gt;"","novo",IF(AN354="","imepre","imepre(ali)")))</f>
        <v/>
      </c>
      <c r="EE354" s="73" t="str">
        <f>IF(AL354="","",IF(BL354="",IF(IFERROR(INDEX(regNatjecatelj_klub,MATCH(EB354,regNatjecatelj_id,0)),"NEMA")="","klu",""),IF(OR(AND(BN354&lt;&gt;"",BN354&lt;&gt;"NEMA"),CD354&lt;&gt;""),"klu(ali)",IF(AND(BP354&lt;&gt;"",BP354&lt;&gt;BO354),"(raz-klu)","klu"))))</f>
        <v/>
      </c>
      <c r="EF354" s="73" t="str">
        <f>IF(AL354="","","kat"&amp;IF(AND(W354&lt;&gt;Q354,Q354&lt;&gt;"Open"),"(ali)",""))</f>
        <v/>
      </c>
      <c r="EG354" s="73" t="str">
        <f t="shared" si="315"/>
        <v/>
      </c>
      <c r="EH354" s="66" t="str">
        <f>IF(AL354="","",ED354&amp;IF(ED354="novo","","-"&amp;EE354&amp;"-"&amp;EF354)&amp;IF(EG354="","","-"&amp;EG354))</f>
        <v/>
      </c>
      <c r="EI354" s="47" t="s">
        <v>0</v>
      </c>
      <c r="EJ354" s="58" t="str">
        <f>IF(AL354="","",MAX(EJ$12:EJ353)+1)</f>
        <v/>
      </c>
      <c r="EK354" s="73" t="str">
        <f>IF(AO354="","",X354)</f>
        <v/>
      </c>
      <c r="EL354" s="73" t="str">
        <f t="shared" si="344"/>
        <v/>
      </c>
      <c r="EM354" s="73" t="str">
        <f t="shared" si="316"/>
        <v/>
      </c>
      <c r="EN354" s="73" t="str">
        <f t="shared" si="317"/>
        <v/>
      </c>
      <c r="EO354" s="73" t="str">
        <f t="shared" si="345"/>
        <v/>
      </c>
      <c r="EP354" s="73" t="str">
        <f t="shared" si="346"/>
        <v/>
      </c>
      <c r="EQ354" s="73" t="str">
        <f t="shared" si="318"/>
        <v/>
      </c>
      <c r="ER354" s="73" t="str">
        <f>IF(OR(AN354="",AN354="NEMA"),BB354,AN354)</f>
        <v/>
      </c>
      <c r="ES354" s="73" t="str">
        <f>IF(AND(BN354&lt;&gt;"",BN354&lt;&gt;"NEMA"),BN354,IF(CG354&lt;&gt;"",CG354,IF(AND(CL354&lt;&gt;"",CL354&lt;&gt;"NEMA"),CL354,IF(CM354&lt;&gt;"",CM354,""))))</f>
        <v/>
      </c>
      <c r="ET354" s="53" t="str">
        <f>IF(INDEX(natKategorija_alias_Id,MATCH(S354,natKategorija_katRegId,0))="","",INDEX(natKategorija_alias_Id,MATCH(S354,natKategorija_katRegId,0)))</f>
        <v/>
      </c>
      <c r="EU354" s="47" t="s">
        <v>0</v>
      </c>
      <c r="EV354" s="19" t="str">
        <f t="shared" si="347"/>
        <v/>
      </c>
      <c r="EW354" s="47" t="s">
        <v>0</v>
      </c>
      <c r="EX354" s="19" t="str">
        <f t="shared" si="348"/>
        <v/>
      </c>
      <c r="EY354" s="47" t="s">
        <v>0</v>
      </c>
      <c r="EZ354" s="180" t="str">
        <f>AG354&amp;IF(CP354="","","
")&amp;CP354&amp;IF(CI354="","","
")&amp;CI354&amp;IF(DN354="","","
")&amp;DN354&amp;IF(DP354="","","
")&amp;DP354&amp;IF(EV354="","","
")&amp;EV354&amp;IF(EX354="","","
")&amp;EX354</f>
        <v/>
      </c>
      <c r="FA354" s="47" t="s">
        <v>0</v>
      </c>
    </row>
    <row r="355" spans="1:157" x14ac:dyDescent="0.25">
      <c r="A355" t="s">
        <v>0</v>
      </c>
      <c r="B355" s="52" t="str">
        <f>IF(csv!F345="","",csv!T345)</f>
        <v/>
      </c>
      <c r="C355" s="31" t="s">
        <v>0</v>
      </c>
      <c r="D355" s="31" t="str">
        <f>IF(csv!F345="","",csv!F345)</f>
        <v/>
      </c>
      <c r="E355" s="31" t="str">
        <f>IF(csv!E345="","",csv!E345)</f>
        <v/>
      </c>
      <c r="F355" s="31" t="s">
        <v>0</v>
      </c>
      <c r="G355" s="73" t="str">
        <f>IF(csv!M345="","",csv!M345)</f>
        <v/>
      </c>
      <c r="H355" s="73" t="str">
        <f>IF(csv!N345="","",csv!N345)</f>
        <v/>
      </c>
      <c r="I355" s="31" t="s">
        <v>0</v>
      </c>
      <c r="J355" s="31" t="str">
        <f>IF(csv!P345="","",csv!P345)</f>
        <v/>
      </c>
      <c r="K355" s="31" t="str">
        <f>IF(csv!Q345="","",csv!Q345)</f>
        <v/>
      </c>
      <c r="L355" s="31" t="s">
        <v>0</v>
      </c>
      <c r="M355" s="66" t="str">
        <f>IF(csv!R345="","",csv!R345)</f>
        <v/>
      </c>
      <c r="N355" s="47" t="s">
        <v>0</v>
      </c>
      <c r="O355" s="243" t="str">
        <f t="shared" si="319"/>
        <v/>
      </c>
      <c r="P355" s="47"/>
      <c r="Q355" s="52" t="str">
        <f t="shared" si="320"/>
        <v/>
      </c>
      <c r="R355" s="73" t="str">
        <f>IF(Q355="","",IF(COUNTIF(Q$12:Q354,Q355)=0,R354+1,R354))</f>
        <v/>
      </c>
      <c r="S355" s="73" t="str">
        <f t="shared" si="321"/>
        <v/>
      </c>
      <c r="T355" s="73" t="str">
        <f t="shared" si="297"/>
        <v/>
      </c>
      <c r="U355" s="66" t="str">
        <f t="shared" si="298"/>
        <v/>
      </c>
      <c r="V355" s="47" t="s">
        <v>0</v>
      </c>
      <c r="W355" s="222" t="str">
        <f t="shared" si="299"/>
        <v/>
      </c>
      <c r="X355" s="223" t="str">
        <f t="shared" si="300"/>
        <v/>
      </c>
      <c r="Y355" s="47" t="s">
        <v>0</v>
      </c>
      <c r="Z355" s="52" t="str">
        <f t="shared" si="322"/>
        <v/>
      </c>
      <c r="AA355" s="73" t="str">
        <f t="shared" si="301"/>
        <v/>
      </c>
      <c r="AB355" s="31" t="str">
        <f t="shared" si="323"/>
        <v/>
      </c>
      <c r="AC355" s="66" t="str">
        <f>IF(AB355="","",MAX(AC$12:AC354)+1)</f>
        <v/>
      </c>
      <c r="AD355" s="47" t="s">
        <v>0</v>
      </c>
      <c r="AE355" s="125"/>
      <c r="AF355" s="47" t="s">
        <v>0</v>
      </c>
      <c r="AG355" s="19" t="str">
        <f t="shared" si="324"/>
        <v/>
      </c>
      <c r="AH355" s="47" t="s">
        <v>0</v>
      </c>
      <c r="AI355" s="143" t="str">
        <f t="shared" si="325"/>
        <v/>
      </c>
      <c r="AJ355" s="47"/>
      <c r="AK355" s="52" t="str">
        <f t="shared" si="326"/>
        <v/>
      </c>
      <c r="AL355" s="31" t="str">
        <f t="shared" si="327"/>
        <v/>
      </c>
      <c r="AM355" s="73" t="str">
        <f t="shared" si="328"/>
        <v/>
      </c>
      <c r="AN355" s="73" t="str">
        <f t="shared" si="329"/>
        <v/>
      </c>
      <c r="AO355" s="31" t="str">
        <f t="shared" si="302"/>
        <v/>
      </c>
      <c r="AP355" s="66" t="str">
        <f t="shared" si="303"/>
        <v/>
      </c>
      <c r="AQ355" s="47" t="s">
        <v>0</v>
      </c>
      <c r="AR355" s="82" t="str">
        <f t="shared" si="330"/>
        <v/>
      </c>
      <c r="AS355" s="47" t="s">
        <v>0</v>
      </c>
      <c r="AT355" s="19" t="str">
        <f t="shared" si="331"/>
        <v/>
      </c>
      <c r="AU355" s="47" t="s">
        <v>0</v>
      </c>
      <c r="AV355" s="103"/>
      <c r="AW355" s="105"/>
      <c r="AX355" s="47" t="s">
        <v>0</v>
      </c>
      <c r="AY355" s="256" t="str">
        <f t="shared" si="349"/>
        <v/>
      </c>
      <c r="AZ355" s="47" t="s">
        <v>0</v>
      </c>
      <c r="BA355" s="52" t="str">
        <f t="shared" si="296"/>
        <v/>
      </c>
      <c r="BB355" s="73" t="str">
        <f>IF(AV355&amp;AW355="","",MAX(BB$12:BB354)+1)</f>
        <v/>
      </c>
      <c r="BC355" s="268" t="str">
        <f t="shared" si="304"/>
        <v/>
      </c>
      <c r="BD355" s="53" t="str">
        <f>IF(AND(AM355="NEMA",AN355="NEMA",OR(AV355&amp;AW355="",BC355="NEMA")),MAX(BD$12:BD354)+1,"")</f>
        <v/>
      </c>
      <c r="BE355" s="47" t="s">
        <v>0</v>
      </c>
      <c r="BF355" s="52" t="str">
        <f t="shared" si="305"/>
        <v/>
      </c>
      <c r="BG355" s="31" t="str">
        <f t="shared" si="306"/>
        <v/>
      </c>
      <c r="BH355" s="73" t="str">
        <f t="shared" si="332"/>
        <v/>
      </c>
      <c r="BI355" s="53" t="str">
        <f t="shared" si="333"/>
        <v/>
      </c>
      <c r="BJ355" s="47" t="s">
        <v>0</v>
      </c>
      <c r="BK355" s="52" t="str">
        <f t="shared" si="307"/>
        <v/>
      </c>
      <c r="BL355" s="31" t="str">
        <f t="shared" si="308"/>
        <v/>
      </c>
      <c r="BM355" s="73" t="str">
        <f t="shared" si="309"/>
        <v/>
      </c>
      <c r="BN355" s="73" t="str">
        <f t="shared" si="310"/>
        <v/>
      </c>
      <c r="BO355" s="31" t="str" cm="1">
        <f t="array" ref="BO355">IF(BN355="",""&amp;BL355,IF(BN355="NEMA",BL355,INDEX(regKlub_naziv,MATCH(INDEX(regKlub_alias_klubId,BN355),regKlub_id,0))))</f>
        <v/>
      </c>
      <c r="BP355" s="31" t="str" cm="1">
        <f t="array" ref="BP355">IFERROR(""&amp;INDEX(regNatjecatelj_klub,DY355),"")</f>
        <v/>
      </c>
      <c r="BQ355" s="88" t="str">
        <f t="shared" si="334"/>
        <v/>
      </c>
      <c r="BR355" s="66" t="str">
        <f t="shared" si="335"/>
        <v/>
      </c>
      <c r="BS355" s="47" t="s">
        <v>0</v>
      </c>
      <c r="BT355" s="82" t="str">
        <f>IF(BN355&lt;&gt;"NEMA","",IF(IFERROR(MATCH(BL355,BL$12:BL354,0),0)&lt;&gt;0,"",BL355))</f>
        <v/>
      </c>
      <c r="BU355" s="47" t="s">
        <v>0</v>
      </c>
      <c r="BV355" s="125"/>
      <c r="BW355" s="47" t="s">
        <v>0</v>
      </c>
      <c r="BX355" s="58" t="str">
        <f t="shared" si="336"/>
        <v/>
      </c>
      <c r="BY355" s="31" t="str">
        <f t="shared" si="337"/>
        <v/>
      </c>
      <c r="BZ355" s="31" t="str">
        <f>IF(BY355="","",MAX(BZ$12:BZ354)+1)</f>
        <v/>
      </c>
      <c r="CA355" s="31" t="str">
        <f>IF(BY355="","",IF(AA355="","",IF(AA355="NEMA",AC355,AA355)))</f>
        <v/>
      </c>
      <c r="CB355" s="31" t="str">
        <f t="shared" si="338"/>
        <v/>
      </c>
      <c r="CC355" s="31" t="str">
        <f>IF(BV355="","",MAX(CC$12:CC354)+1)</f>
        <v/>
      </c>
      <c r="CD355" s="31" t="str">
        <f t="shared" si="339"/>
        <v/>
      </c>
      <c r="CE355" s="66" t="str">
        <f t="shared" si="340"/>
        <v/>
      </c>
      <c r="CF355" s="47" t="s">
        <v>0</v>
      </c>
      <c r="CG355" s="73" t="str">
        <f>IF(BN355="","",IF(BN355&lt;&gt;"NEMA","",IFERROR(INDEX(nat_klubAliasId,MATCH(BL355,nat_noviKluboviAliasi,0)),"")))</f>
        <v/>
      </c>
      <c r="CH355" s="47"/>
      <c r="CI355" s="19" t="str">
        <f t="shared" si="341"/>
        <v/>
      </c>
      <c r="CJ355" s="47" t="s">
        <v>0</v>
      </c>
      <c r="CK355" s="52" t="str">
        <f>IF(X355&lt;&gt;"NEMA","",IF(IFERROR(MATCH(W355,W$12:W354,0),0)&lt;&gt;0,"",W355))</f>
        <v/>
      </c>
      <c r="CL355" s="73" t="str">
        <f>IF(CK355="","",IFERROR(INDEX(regKlub_alias_id,MATCH(CK355,regKlub_alias_alias,0)),"NEMA"))</f>
        <v/>
      </c>
      <c r="CM355" s="31" t="str">
        <f>IF(OR(CL355="",CL355&lt;&gt;"NEMA"),"",MAX(CM$12:CM354)+1)</f>
        <v/>
      </c>
      <c r="CN355" s="66" t="str">
        <f>IF(OR(CL355="",CL355&lt;&gt;"NEMA"),"",INDEX(regKlub_id,MATCH(CK355,regKlub_naziv,0)))</f>
        <v/>
      </c>
      <c r="CO355" s="47" t="s">
        <v>0</v>
      </c>
      <c r="CP355" s="19" t="str">
        <f>IF(OR(CL355="",CL355&lt;&gt;"NEMA"),"","INSERT INTO klub_alias(id,alias,klub_id) VALUES ("&amp;CM355&amp;",'"&amp;CK355&amp;"',"&amp;CN355&amp;");")</f>
        <v/>
      </c>
      <c r="CQ355" s="47" t="s">
        <v>0</v>
      </c>
      <c r="CR355" s="143" t="str">
        <f>IF(BR355="","",IF(BV355="",IF(IFERROR(MATCH(BR355,nat_noviKluboviAliasi,0),0)&gt;0,INDEX(nat_kluboviAliasi,MATCH(BR355,nat_noviKluboviAliasi,0)),BR355),BV355))</f>
        <v/>
      </c>
      <c r="CS355" s="47" t="s">
        <v>0</v>
      </c>
      <c r="CT355" s="58" t="str">
        <f>IF(G355="","",G355)</f>
        <v/>
      </c>
      <c r="CU355" s="73" t="str">
        <f>IF(H355="","",H355)</f>
        <v/>
      </c>
      <c r="CV355" s="229" t="str">
        <f>IF(CT355="",IF(OR(AL355="",CU355&lt;&gt;"0"),"","GREŠKA"),IF(AND(65535&gt;=VALUE(LEFT(CT355,SEARCH(":",CT355)-1))*60+VALUE(RIGHT(CT355,2)),OR(CU355="0",CU355="1",CU355="2",CU355="3",CU355="4")),"","GREŠKA"))</f>
        <v/>
      </c>
      <c r="CW355" s="230" t="str">
        <f t="shared" si="295"/>
        <v/>
      </c>
      <c r="CX355" s="163" t="str">
        <f t="shared" si="311"/>
        <v/>
      </c>
      <c r="CY355" s="47" t="s">
        <v>0</v>
      </c>
      <c r="CZ355" s="222" t="str">
        <f>IF(CV355&lt;&gt;"GREŠKA","",AK355&amp;" "&amp;AL355&amp;" – Molim u OEventu provjeriti i ispraviti rezultat – vrijeme ("&amp;IF(CT355="","nije upisano",CT355)&amp;") i classifier ("&amp;CU355&amp;").")&amp;IF(OR(CV355&lt;&gt;"GREŠKA",CX355&lt;&gt;5),"
","")&amp;IF(CX355&lt;&gt;5,"",AK355&amp;" "&amp;AL355&amp;" – Molim u provjeriti je li natjecatelj zaista diskvalificiran. Ako je koje je obrazloženje, ako nije molim u OEventu ispraviti rezultat")</f>
        <v xml:space="preserve">
</v>
      </c>
      <c r="DA355" s="223" t="str">
        <f t="shared" si="342"/>
        <v/>
      </c>
      <c r="DB355" s="47" t="s">
        <v>0</v>
      </c>
      <c r="DC355" s="47"/>
      <c r="DD355" s="47"/>
      <c r="DE355" s="47"/>
      <c r="DF355" s="47" t="s">
        <v>0</v>
      </c>
      <c r="DG355" s="53" t="str">
        <f>IF(BD355="","",IF(DI355="O",1,""))</f>
        <v/>
      </c>
      <c r="DH355" t="s">
        <v>0</v>
      </c>
      <c r="DI355" s="128" t="str">
        <f>IF(Q355="","",LEFT(INDEX(regKategorija_oznaka,MATCH(S355,regKategorija_id,0)),1))</f>
        <v/>
      </c>
      <c r="DJ355" t="s">
        <v>0</v>
      </c>
      <c r="DK355" s="52" t="str">
        <f>IF(BD355="","",IF(M355&lt;&gt;"CRO","","INSERT INTO osoba (id,reg_broj,oib,spol_id,dat_rodjenja) VALUES ("&amp;BD355&amp;",(SELECT max(os.reg_broj)+1 FROM osoba AS os),Null,'"&amp;DI355&amp;"',Null); INSERT INTO osoba_log (id,reg_broj,oib,spol_id,dat_rodjenja,dnevnik_id) SELECT id,reg_broj,oib,spol_id,dat_rodjenja,"&amp;data_dnevnik_id&amp;" FROM osoba WHERE id = "&amp;BD355&amp;";"))</f>
        <v/>
      </c>
      <c r="DL355" s="66" t="str">
        <f>IF(BD355="","","INSERT INTO imeprezime (id,osoba_id,rbr,ime,prezime,klub_id,identitet_id,sintaksa_id,info,aktivno,dnevnik_id) VALUES ("&amp;BD355&amp;","&amp;IF(DK355="","Null",BD355)&amp;",1,'"&amp;IF(AV355&lt;&gt;"",AV355,AK355)&amp;"','"&amp;IF(AW355&lt;&gt;"",AW355,AL355)&amp;"',(SELECT id FROM klub WHERE naziv = '"&amp;CR355&amp;"'),Null,1,'',1,"&amp;data_dnevnik_id&amp;");")</f>
        <v/>
      </c>
      <c r="DM355" t="s">
        <v>0</v>
      </c>
      <c r="DN355" s="19" t="str">
        <f t="shared" si="350"/>
        <v/>
      </c>
      <c r="DO355" s="47" t="s">
        <v>0</v>
      </c>
      <c r="DP355" s="19" t="str">
        <f>IF(BA355="","","INSERT INTO imeprezime_alias(id,alias,imeprezime_id) VALUES ("&amp;BB355&amp;",'"&amp;BA355&amp;"',"&amp;IF(BC355="NEMA",BD355,BC355)&amp;");")</f>
        <v/>
      </c>
      <c r="DQ355" s="47" t="s">
        <v>0</v>
      </c>
      <c r="DR355" s="52" t="str">
        <f>IF(AL355="","",DU355 &amp; IF(Q355="",""," – " &amp; Q355))</f>
        <v/>
      </c>
      <c r="DS355" s="53" t="str">
        <f t="shared" si="312"/>
        <v/>
      </c>
      <c r="DT355" s="47" t="s">
        <v>0</v>
      </c>
      <c r="DU355" s="52" t="str">
        <f>IF(AL355="","",DX355 &amp; IF(CR355="",""," – " &amp; CR355))</f>
        <v/>
      </c>
      <c r="DV355" s="53" t="str">
        <f t="shared" si="313"/>
        <v/>
      </c>
      <c r="DW355" s="47" t="s">
        <v>0</v>
      </c>
      <c r="DX355" s="52" t="str">
        <f>IF(BG355="","",BF355&amp;" – "&amp;BG355)</f>
        <v/>
      </c>
      <c r="DY355" s="53" t="str">
        <f t="shared" si="314"/>
        <v/>
      </c>
      <c r="DZ355" s="47" t="s">
        <v>0</v>
      </c>
      <c r="EA355" s="58" t="str">
        <f t="shared" si="343"/>
        <v/>
      </c>
      <c r="EB355" s="53" t="str" cm="1">
        <f t="array" ref="EB355">IF(EA355&lt;&gt;"",INDEX(regNatjecatelj_id,EA355,0),IF(BD355&lt;&gt;"",BD355,""))</f>
        <v/>
      </c>
      <c r="EC355" s="47" t="s">
        <v>0</v>
      </c>
      <c r="ED355" s="58" t="str">
        <f>IF(AL355="","",IF(BD355&lt;&gt;"","novo",IF(AN355="","imepre","imepre(ali)")))</f>
        <v/>
      </c>
      <c r="EE355" s="73" t="str">
        <f>IF(AL355="","",IF(BL355="",IF(IFERROR(INDEX(regNatjecatelj_klub,MATCH(EB355,regNatjecatelj_id,0)),"NEMA")="","klu",""),IF(OR(AND(BN355&lt;&gt;"",BN355&lt;&gt;"NEMA"),CD355&lt;&gt;""),"klu(ali)",IF(AND(BP355&lt;&gt;"",BP355&lt;&gt;BO355),"(raz-klu)","klu"))))</f>
        <v/>
      </c>
      <c r="EF355" s="73" t="str">
        <f>IF(AL355="","","kat"&amp;IF(AND(W355&lt;&gt;Q355,Q355&lt;&gt;"Open"),"(ali)",""))</f>
        <v/>
      </c>
      <c r="EG355" s="73" t="str">
        <f t="shared" si="315"/>
        <v/>
      </c>
      <c r="EH355" s="66" t="str">
        <f>IF(AL355="","",ED355&amp;IF(ED355="novo","","-"&amp;EE355&amp;"-"&amp;EF355)&amp;IF(EG355="","","-"&amp;EG355))</f>
        <v/>
      </c>
      <c r="EI355" s="47" t="s">
        <v>0</v>
      </c>
      <c r="EJ355" s="58" t="str">
        <f>IF(AL355="","",MAX(EJ$12:EJ354)+1)</f>
        <v/>
      </c>
      <c r="EK355" s="73" t="str">
        <f>IF(AO355="","",X355)</f>
        <v/>
      </c>
      <c r="EL355" s="73" t="str">
        <f t="shared" si="344"/>
        <v/>
      </c>
      <c r="EM355" s="73" t="str">
        <f t="shared" si="316"/>
        <v/>
      </c>
      <c r="EN355" s="73" t="str">
        <f t="shared" si="317"/>
        <v/>
      </c>
      <c r="EO355" s="73" t="str">
        <f t="shared" si="345"/>
        <v/>
      </c>
      <c r="EP355" s="73" t="str">
        <f t="shared" si="346"/>
        <v/>
      </c>
      <c r="EQ355" s="73" t="str">
        <f t="shared" si="318"/>
        <v/>
      </c>
      <c r="ER355" s="73" t="str">
        <f>IF(OR(AN355="",AN355="NEMA"),BB355,AN355)</f>
        <v/>
      </c>
      <c r="ES355" s="73" t="str">
        <f>IF(AND(BN355&lt;&gt;"",BN355&lt;&gt;"NEMA"),BN355,IF(CG355&lt;&gt;"",CG355,IF(AND(CL355&lt;&gt;"",CL355&lt;&gt;"NEMA"),CL355,IF(CM355&lt;&gt;"",CM355,""))))</f>
        <v/>
      </c>
      <c r="ET355" s="53" t="str">
        <f>IF(INDEX(natKategorija_alias_Id,MATCH(S355,natKategorija_katRegId,0))="","",INDEX(natKategorija_alias_Id,MATCH(S355,natKategorija_katRegId,0)))</f>
        <v/>
      </c>
      <c r="EU355" s="47" t="s">
        <v>0</v>
      </c>
      <c r="EV355" s="19" t="str">
        <f t="shared" si="347"/>
        <v/>
      </c>
      <c r="EW355" s="47" t="s">
        <v>0</v>
      </c>
      <c r="EX355" s="19" t="str">
        <f t="shared" si="348"/>
        <v/>
      </c>
      <c r="EY355" s="47" t="s">
        <v>0</v>
      </c>
      <c r="EZ355" s="180" t="str">
        <f>AG355&amp;IF(CP355="","","
")&amp;CP355&amp;IF(CI355="","","
")&amp;CI355&amp;IF(DN355="","","
")&amp;DN355&amp;IF(DP355="","","
")&amp;DP355&amp;IF(EV355="","","
")&amp;EV355&amp;IF(EX355="","","
")&amp;EX355</f>
        <v/>
      </c>
      <c r="FA355" s="47" t="s">
        <v>0</v>
      </c>
    </row>
    <row r="356" spans="1:157" x14ac:dyDescent="0.25">
      <c r="A356" t="s">
        <v>0</v>
      </c>
      <c r="B356" s="52" t="str">
        <f>IF(csv!F346="","",csv!T346)</f>
        <v/>
      </c>
      <c r="C356" s="31" t="s">
        <v>0</v>
      </c>
      <c r="D356" s="31" t="str">
        <f>IF(csv!F346="","",csv!F346)</f>
        <v/>
      </c>
      <c r="E356" s="31" t="str">
        <f>IF(csv!E346="","",csv!E346)</f>
        <v/>
      </c>
      <c r="F356" s="31" t="s">
        <v>0</v>
      </c>
      <c r="G356" s="73" t="str">
        <f>IF(csv!M346="","",csv!M346)</f>
        <v/>
      </c>
      <c r="H356" s="73" t="str">
        <f>IF(csv!N346="","",csv!N346)</f>
        <v/>
      </c>
      <c r="I356" s="31" t="s">
        <v>0</v>
      </c>
      <c r="J356" s="31" t="str">
        <f>IF(csv!P346="","",csv!P346)</f>
        <v/>
      </c>
      <c r="K356" s="31" t="str">
        <f>IF(csv!Q346="","",csv!Q346)</f>
        <v/>
      </c>
      <c r="L356" s="31" t="s">
        <v>0</v>
      </c>
      <c r="M356" s="66" t="str">
        <f>IF(csv!R346="","",csv!R346)</f>
        <v/>
      </c>
      <c r="N356" s="47" t="s">
        <v>0</v>
      </c>
      <c r="O356" s="243" t="str">
        <f t="shared" si="319"/>
        <v/>
      </c>
      <c r="P356" s="47"/>
      <c r="Q356" s="52" t="str">
        <f t="shared" si="320"/>
        <v/>
      </c>
      <c r="R356" s="73" t="str">
        <f>IF(Q356="","",IF(COUNTIF(Q$12:Q355,Q356)=0,R355+1,R355))</f>
        <v/>
      </c>
      <c r="S356" s="73" t="str">
        <f t="shared" si="321"/>
        <v/>
      </c>
      <c r="T356" s="73" t="str">
        <f t="shared" si="297"/>
        <v/>
      </c>
      <c r="U356" s="66" t="str">
        <f t="shared" si="298"/>
        <v/>
      </c>
      <c r="V356" s="47" t="s">
        <v>0</v>
      </c>
      <c r="W356" s="222" t="str">
        <f t="shared" si="299"/>
        <v/>
      </c>
      <c r="X356" s="223" t="str">
        <f t="shared" si="300"/>
        <v/>
      </c>
      <c r="Y356" s="47" t="s">
        <v>0</v>
      </c>
      <c r="Z356" s="52" t="str">
        <f t="shared" si="322"/>
        <v/>
      </c>
      <c r="AA356" s="73" t="str">
        <f t="shared" si="301"/>
        <v/>
      </c>
      <c r="AB356" s="31" t="str">
        <f t="shared" si="323"/>
        <v/>
      </c>
      <c r="AC356" s="66" t="str">
        <f>IF(AB356="","",MAX(AC$12:AC355)+1)</f>
        <v/>
      </c>
      <c r="AD356" s="47" t="s">
        <v>0</v>
      </c>
      <c r="AE356" s="125"/>
      <c r="AF356" s="47" t="s">
        <v>0</v>
      </c>
      <c r="AG356" s="19" t="str">
        <f t="shared" si="324"/>
        <v/>
      </c>
      <c r="AH356" s="47" t="s">
        <v>0</v>
      </c>
      <c r="AI356" s="143" t="str">
        <f t="shared" si="325"/>
        <v/>
      </c>
      <c r="AJ356" s="47"/>
      <c r="AK356" s="52" t="str">
        <f t="shared" si="326"/>
        <v/>
      </c>
      <c r="AL356" s="31" t="str">
        <f t="shared" si="327"/>
        <v/>
      </c>
      <c r="AM356" s="73" t="str">
        <f t="shared" si="328"/>
        <v/>
      </c>
      <c r="AN356" s="73" t="str">
        <f t="shared" si="329"/>
        <v/>
      </c>
      <c r="AO356" s="31" t="str">
        <f t="shared" si="302"/>
        <v/>
      </c>
      <c r="AP356" s="66" t="str">
        <f t="shared" si="303"/>
        <v/>
      </c>
      <c r="AQ356" s="47" t="s">
        <v>0</v>
      </c>
      <c r="AR356" s="82" t="str">
        <f t="shared" si="330"/>
        <v/>
      </c>
      <c r="AS356" s="47" t="s">
        <v>0</v>
      </c>
      <c r="AT356" s="19" t="str">
        <f t="shared" si="331"/>
        <v/>
      </c>
      <c r="AU356" s="47" t="s">
        <v>0</v>
      </c>
      <c r="AV356" s="103"/>
      <c r="AW356" s="105"/>
      <c r="AX356" s="47" t="s">
        <v>0</v>
      </c>
      <c r="AY356" s="256" t="str">
        <f t="shared" si="349"/>
        <v/>
      </c>
      <c r="AZ356" s="47" t="s">
        <v>0</v>
      </c>
      <c r="BA356" s="52" t="str">
        <f t="shared" si="296"/>
        <v/>
      </c>
      <c r="BB356" s="73" t="str">
        <f>IF(AV356&amp;AW356="","",MAX(BB$12:BB355)+1)</f>
        <v/>
      </c>
      <c r="BC356" s="268" t="str">
        <f t="shared" si="304"/>
        <v/>
      </c>
      <c r="BD356" s="53" t="str">
        <f>IF(AND(AM356="NEMA",AN356="NEMA",OR(AV356&amp;AW356="",BC356="NEMA")),MAX(BD$12:BD355)+1,"")</f>
        <v/>
      </c>
      <c r="BE356" s="47" t="s">
        <v>0</v>
      </c>
      <c r="BF356" s="52" t="str">
        <f t="shared" si="305"/>
        <v/>
      </c>
      <c r="BG356" s="31" t="str">
        <f t="shared" si="306"/>
        <v/>
      </c>
      <c r="BH356" s="73" t="str">
        <f t="shared" si="332"/>
        <v/>
      </c>
      <c r="BI356" s="53" t="str">
        <f t="shared" si="333"/>
        <v/>
      </c>
      <c r="BJ356" s="47" t="s">
        <v>0</v>
      </c>
      <c r="BK356" s="52" t="str">
        <f t="shared" si="307"/>
        <v/>
      </c>
      <c r="BL356" s="31" t="str">
        <f t="shared" si="308"/>
        <v/>
      </c>
      <c r="BM356" s="73" t="str">
        <f t="shared" si="309"/>
        <v/>
      </c>
      <c r="BN356" s="73" t="str">
        <f t="shared" si="310"/>
        <v/>
      </c>
      <c r="BO356" s="31" t="str" cm="1">
        <f t="array" ref="BO356">IF(BN356="",""&amp;BL356,IF(BN356="NEMA",BL356,INDEX(regKlub_naziv,MATCH(INDEX(regKlub_alias_klubId,BN356),regKlub_id,0))))</f>
        <v/>
      </c>
      <c r="BP356" s="31" t="str" cm="1">
        <f t="array" ref="BP356">IFERROR(""&amp;INDEX(regNatjecatelj_klub,DY356),"")</f>
        <v/>
      </c>
      <c r="BQ356" s="88" t="str">
        <f t="shared" si="334"/>
        <v/>
      </c>
      <c r="BR356" s="66" t="str">
        <f t="shared" si="335"/>
        <v/>
      </c>
      <c r="BS356" s="47" t="s">
        <v>0</v>
      </c>
      <c r="BT356" s="82" t="str">
        <f>IF(BN356&lt;&gt;"NEMA","",IF(IFERROR(MATCH(BL356,BL$12:BL355,0),0)&lt;&gt;0,"",BL356))</f>
        <v/>
      </c>
      <c r="BU356" s="47" t="s">
        <v>0</v>
      </c>
      <c r="BV356" s="125"/>
      <c r="BW356" s="47" t="s">
        <v>0</v>
      </c>
      <c r="BX356" s="58" t="str">
        <f t="shared" si="336"/>
        <v/>
      </c>
      <c r="BY356" s="31" t="str">
        <f t="shared" si="337"/>
        <v/>
      </c>
      <c r="BZ356" s="31" t="str">
        <f>IF(BY356="","",MAX(BZ$12:BZ355)+1)</f>
        <v/>
      </c>
      <c r="CA356" s="31" t="str">
        <f>IF(BY356="","",IF(AA356="","",IF(AA356="NEMA",AC356,AA356)))</f>
        <v/>
      </c>
      <c r="CB356" s="31" t="str">
        <f t="shared" si="338"/>
        <v/>
      </c>
      <c r="CC356" s="31" t="str">
        <f>IF(BV356="","",MAX(CC$12:CC355)+1)</f>
        <v/>
      </c>
      <c r="CD356" s="31" t="str">
        <f t="shared" si="339"/>
        <v/>
      </c>
      <c r="CE356" s="66" t="str">
        <f t="shared" si="340"/>
        <v/>
      </c>
      <c r="CF356" s="47" t="s">
        <v>0</v>
      </c>
      <c r="CG356" s="73" t="str">
        <f>IF(BN356="","",IF(BN356&lt;&gt;"NEMA","",IFERROR(INDEX(nat_klubAliasId,MATCH(BL356,nat_noviKluboviAliasi,0)),"")))</f>
        <v/>
      </c>
      <c r="CH356" s="47"/>
      <c r="CI356" s="19" t="str">
        <f t="shared" si="341"/>
        <v/>
      </c>
      <c r="CJ356" s="47" t="s">
        <v>0</v>
      </c>
      <c r="CK356" s="52" t="str">
        <f>IF(X356&lt;&gt;"NEMA","",IF(IFERROR(MATCH(W356,W$12:W355,0),0)&lt;&gt;0,"",W356))</f>
        <v/>
      </c>
      <c r="CL356" s="73" t="str">
        <f>IF(CK356="","",IFERROR(INDEX(regKlub_alias_id,MATCH(CK356,regKlub_alias_alias,0)),"NEMA"))</f>
        <v/>
      </c>
      <c r="CM356" s="31" t="str">
        <f>IF(OR(CL356="",CL356&lt;&gt;"NEMA"),"",MAX(CM$12:CM355)+1)</f>
        <v/>
      </c>
      <c r="CN356" s="66" t="str">
        <f>IF(OR(CL356="",CL356&lt;&gt;"NEMA"),"",INDEX(regKlub_id,MATCH(CK356,regKlub_naziv,0)))</f>
        <v/>
      </c>
      <c r="CO356" s="47" t="s">
        <v>0</v>
      </c>
      <c r="CP356" s="19" t="str">
        <f>IF(OR(CL356="",CL356&lt;&gt;"NEMA"),"","INSERT INTO klub_alias(id,alias,klub_id) VALUES ("&amp;CM356&amp;",'"&amp;CK356&amp;"',"&amp;CN356&amp;");")</f>
        <v/>
      </c>
      <c r="CQ356" s="47" t="s">
        <v>0</v>
      </c>
      <c r="CR356" s="143" t="str">
        <f>IF(BR356="","",IF(BV356="",IF(IFERROR(MATCH(BR356,nat_noviKluboviAliasi,0),0)&gt;0,INDEX(nat_kluboviAliasi,MATCH(BR356,nat_noviKluboviAliasi,0)),BR356),BV356))</f>
        <v/>
      </c>
      <c r="CS356" s="47" t="s">
        <v>0</v>
      </c>
      <c r="CT356" s="58" t="str">
        <f>IF(G356="","",G356)</f>
        <v/>
      </c>
      <c r="CU356" s="73" t="str">
        <f>IF(H356="","",H356)</f>
        <v/>
      </c>
      <c r="CV356" s="229" t="str">
        <f>IF(CT356="",IF(OR(AL356="",CU356&lt;&gt;"0"),"","GREŠKA"),IF(AND(65535&gt;=VALUE(LEFT(CT356,SEARCH(":",CT356)-1))*60+VALUE(RIGHT(CT356,2)),OR(CU356="0",CU356="1",CU356="2",CU356="3",CU356="4")),"","GREŠKA"))</f>
        <v/>
      </c>
      <c r="CW356" s="230" t="str">
        <f t="shared" si="295"/>
        <v/>
      </c>
      <c r="CX356" s="163" t="str">
        <f t="shared" si="311"/>
        <v/>
      </c>
      <c r="CY356" s="47" t="s">
        <v>0</v>
      </c>
      <c r="CZ356" s="222" t="str">
        <f>IF(CV356&lt;&gt;"GREŠKA","",AK356&amp;" "&amp;AL356&amp;" – Molim u OEventu provjeriti i ispraviti rezultat – vrijeme ("&amp;IF(CT356="","nije upisano",CT356)&amp;") i classifier ("&amp;CU356&amp;").")&amp;IF(OR(CV356&lt;&gt;"GREŠKA",CX356&lt;&gt;5),"
","")&amp;IF(CX356&lt;&gt;5,"",AK356&amp;" "&amp;AL356&amp;" – Molim u provjeriti je li natjecatelj zaista diskvalificiran. Ako je koje je obrazloženje, ako nije molim u OEventu ispraviti rezultat")</f>
        <v xml:space="preserve">
</v>
      </c>
      <c r="DA356" s="223" t="str">
        <f t="shared" si="342"/>
        <v/>
      </c>
      <c r="DB356" s="47" t="s">
        <v>0</v>
      </c>
      <c r="DC356" s="47"/>
      <c r="DD356" s="47"/>
      <c r="DE356" s="47"/>
      <c r="DF356" s="47" t="s">
        <v>0</v>
      </c>
      <c r="DG356" s="53" t="str">
        <f>IF(BD356="","",IF(DI356="O",1,""))</f>
        <v/>
      </c>
      <c r="DH356" t="s">
        <v>0</v>
      </c>
      <c r="DI356" s="128" t="str">
        <f>IF(Q356="","",LEFT(INDEX(regKategorija_oznaka,MATCH(S356,regKategorija_id,0)),1))</f>
        <v/>
      </c>
      <c r="DJ356" t="s">
        <v>0</v>
      </c>
      <c r="DK356" s="52" t="str">
        <f>IF(BD356="","",IF(M356&lt;&gt;"CRO","","INSERT INTO osoba (id,reg_broj,oib,spol_id,dat_rodjenja) VALUES ("&amp;BD356&amp;",(SELECT max(os.reg_broj)+1 FROM osoba AS os),Null,'"&amp;DI356&amp;"',Null); INSERT INTO osoba_log (id,reg_broj,oib,spol_id,dat_rodjenja,dnevnik_id) SELECT id,reg_broj,oib,spol_id,dat_rodjenja,"&amp;data_dnevnik_id&amp;" FROM osoba WHERE id = "&amp;BD356&amp;";"))</f>
        <v/>
      </c>
      <c r="DL356" s="66" t="str">
        <f>IF(BD356="","","INSERT INTO imeprezime (id,osoba_id,rbr,ime,prezime,klub_id,identitet_id,sintaksa_id,info,aktivno,dnevnik_id) VALUES ("&amp;BD356&amp;","&amp;IF(DK356="","Null",BD356)&amp;",1,'"&amp;IF(AV356&lt;&gt;"",AV356,AK356)&amp;"','"&amp;IF(AW356&lt;&gt;"",AW356,AL356)&amp;"',(SELECT id FROM klub WHERE naziv = '"&amp;CR356&amp;"'),Null,1,'',1,"&amp;data_dnevnik_id&amp;");")</f>
        <v/>
      </c>
      <c r="DM356" t="s">
        <v>0</v>
      </c>
      <c r="DN356" s="19" t="str">
        <f t="shared" si="350"/>
        <v/>
      </c>
      <c r="DO356" s="47" t="s">
        <v>0</v>
      </c>
      <c r="DP356" s="19" t="str">
        <f>IF(BA356="","","INSERT INTO imeprezime_alias(id,alias,imeprezime_id) VALUES ("&amp;BB356&amp;",'"&amp;BA356&amp;"',"&amp;IF(BC356="NEMA",BD356,BC356)&amp;");")</f>
        <v/>
      </c>
      <c r="DQ356" s="47" t="s">
        <v>0</v>
      </c>
      <c r="DR356" s="52" t="str">
        <f>IF(AL356="","",DU356 &amp; IF(Q356="",""," – " &amp; Q356))</f>
        <v/>
      </c>
      <c r="DS356" s="53" t="str">
        <f t="shared" si="312"/>
        <v/>
      </c>
      <c r="DT356" s="47" t="s">
        <v>0</v>
      </c>
      <c r="DU356" s="52" t="str">
        <f>IF(AL356="","",DX356 &amp; IF(CR356="",""," – " &amp; CR356))</f>
        <v/>
      </c>
      <c r="DV356" s="53" t="str">
        <f t="shared" si="313"/>
        <v/>
      </c>
      <c r="DW356" s="47" t="s">
        <v>0</v>
      </c>
      <c r="DX356" s="52" t="str">
        <f>IF(BG356="","",BF356&amp;" – "&amp;BG356)</f>
        <v/>
      </c>
      <c r="DY356" s="53" t="str">
        <f t="shared" si="314"/>
        <v/>
      </c>
      <c r="DZ356" s="47" t="s">
        <v>0</v>
      </c>
      <c r="EA356" s="58" t="str">
        <f t="shared" si="343"/>
        <v/>
      </c>
      <c r="EB356" s="53" t="str" cm="1">
        <f t="array" ref="EB356">IF(EA356&lt;&gt;"",INDEX(regNatjecatelj_id,EA356,0),IF(BD356&lt;&gt;"",BD356,""))</f>
        <v/>
      </c>
      <c r="EC356" s="47" t="s">
        <v>0</v>
      </c>
      <c r="ED356" s="58" t="str">
        <f>IF(AL356="","",IF(BD356&lt;&gt;"","novo",IF(AN356="","imepre","imepre(ali)")))</f>
        <v/>
      </c>
      <c r="EE356" s="73" t="str">
        <f>IF(AL356="","",IF(BL356="",IF(IFERROR(INDEX(regNatjecatelj_klub,MATCH(EB356,regNatjecatelj_id,0)),"NEMA")="","klu",""),IF(OR(AND(BN356&lt;&gt;"",BN356&lt;&gt;"NEMA"),CD356&lt;&gt;""),"klu(ali)",IF(AND(BP356&lt;&gt;"",BP356&lt;&gt;BO356),"(raz-klu)","klu"))))</f>
        <v/>
      </c>
      <c r="EF356" s="73" t="str">
        <f>IF(AL356="","","kat"&amp;IF(AND(W356&lt;&gt;Q356,Q356&lt;&gt;"Open"),"(ali)",""))</f>
        <v/>
      </c>
      <c r="EG356" s="73" t="str">
        <f t="shared" si="315"/>
        <v/>
      </c>
      <c r="EH356" s="66" t="str">
        <f>IF(AL356="","",ED356&amp;IF(ED356="novo","","-"&amp;EE356&amp;"-"&amp;EF356)&amp;IF(EG356="","","-"&amp;EG356))</f>
        <v/>
      </c>
      <c r="EI356" s="47" t="s">
        <v>0</v>
      </c>
      <c r="EJ356" s="58" t="str">
        <f>IF(AL356="","",MAX(EJ$12:EJ355)+1)</f>
        <v/>
      </c>
      <c r="EK356" s="73" t="str">
        <f>IF(AO356="","",X356)</f>
        <v/>
      </c>
      <c r="EL356" s="73" t="str">
        <f t="shared" si="344"/>
        <v/>
      </c>
      <c r="EM356" s="73" t="str">
        <f t="shared" si="316"/>
        <v/>
      </c>
      <c r="EN356" s="73" t="str">
        <f t="shared" si="317"/>
        <v/>
      </c>
      <c r="EO356" s="73" t="str">
        <f t="shared" si="345"/>
        <v/>
      </c>
      <c r="EP356" s="73" t="str">
        <f t="shared" si="346"/>
        <v/>
      </c>
      <c r="EQ356" s="73" t="str">
        <f t="shared" si="318"/>
        <v/>
      </c>
      <c r="ER356" s="73" t="str">
        <f>IF(OR(AN356="",AN356="NEMA"),BB356,AN356)</f>
        <v/>
      </c>
      <c r="ES356" s="73" t="str">
        <f>IF(AND(BN356&lt;&gt;"",BN356&lt;&gt;"NEMA"),BN356,IF(CG356&lt;&gt;"",CG356,IF(AND(CL356&lt;&gt;"",CL356&lt;&gt;"NEMA"),CL356,IF(CM356&lt;&gt;"",CM356,""))))</f>
        <v/>
      </c>
      <c r="ET356" s="53" t="str">
        <f>IF(INDEX(natKategorija_alias_Id,MATCH(S356,natKategorija_katRegId,0))="","",INDEX(natKategorija_alias_Id,MATCH(S356,natKategorija_katRegId,0)))</f>
        <v/>
      </c>
      <c r="EU356" s="47" t="s">
        <v>0</v>
      </c>
      <c r="EV356" s="19" t="str">
        <f t="shared" si="347"/>
        <v/>
      </c>
      <c r="EW356" s="47" t="s">
        <v>0</v>
      </c>
      <c r="EX356" s="19" t="str">
        <f t="shared" si="348"/>
        <v/>
      </c>
      <c r="EY356" s="47" t="s">
        <v>0</v>
      </c>
      <c r="EZ356" s="180" t="str">
        <f>AG356&amp;IF(CP356="","","
")&amp;CP356&amp;IF(CI356="","","
")&amp;CI356&amp;IF(DN356="","","
")&amp;DN356&amp;IF(DP356="","","
")&amp;DP356&amp;IF(EV356="","","
")&amp;EV356&amp;IF(EX356="","","
")&amp;EX356</f>
        <v/>
      </c>
      <c r="FA356" s="47" t="s">
        <v>0</v>
      </c>
    </row>
    <row r="357" spans="1:157" x14ac:dyDescent="0.25">
      <c r="A357" t="s">
        <v>0</v>
      </c>
      <c r="B357" s="52" t="str">
        <f>IF(csv!F347="","",csv!T347)</f>
        <v/>
      </c>
      <c r="C357" s="31" t="s">
        <v>0</v>
      </c>
      <c r="D357" s="31" t="str">
        <f>IF(csv!F347="","",csv!F347)</f>
        <v/>
      </c>
      <c r="E357" s="31" t="str">
        <f>IF(csv!E347="","",csv!E347)</f>
        <v/>
      </c>
      <c r="F357" s="31" t="s">
        <v>0</v>
      </c>
      <c r="G357" s="73" t="str">
        <f>IF(csv!M347="","",csv!M347)</f>
        <v/>
      </c>
      <c r="H357" s="73" t="str">
        <f>IF(csv!N347="","",csv!N347)</f>
        <v/>
      </c>
      <c r="I357" s="31" t="s">
        <v>0</v>
      </c>
      <c r="J357" s="31" t="str">
        <f>IF(csv!P347="","",csv!P347)</f>
        <v/>
      </c>
      <c r="K357" s="31" t="str">
        <f>IF(csv!Q347="","",csv!Q347)</f>
        <v/>
      </c>
      <c r="L357" s="31" t="s">
        <v>0</v>
      </c>
      <c r="M357" s="66" t="str">
        <f>IF(csv!R347="","",csv!R347)</f>
        <v/>
      </c>
      <c r="N357" s="47" t="s">
        <v>0</v>
      </c>
      <c r="O357" s="243" t="str">
        <f t="shared" si="319"/>
        <v/>
      </c>
      <c r="P357" s="47"/>
      <c r="Q357" s="52" t="str">
        <f t="shared" si="320"/>
        <v/>
      </c>
      <c r="R357" s="73" t="str">
        <f>IF(Q357="","",IF(COUNTIF(Q$12:Q356,Q357)=0,R356+1,R356))</f>
        <v/>
      </c>
      <c r="S357" s="73" t="str">
        <f t="shared" si="321"/>
        <v/>
      </c>
      <c r="T357" s="73" t="str">
        <f t="shared" si="297"/>
        <v/>
      </c>
      <c r="U357" s="66" t="str">
        <f t="shared" si="298"/>
        <v/>
      </c>
      <c r="V357" s="47" t="s">
        <v>0</v>
      </c>
      <c r="W357" s="222" t="str">
        <f t="shared" si="299"/>
        <v/>
      </c>
      <c r="X357" s="223" t="str">
        <f t="shared" si="300"/>
        <v/>
      </c>
      <c r="Y357" s="47" t="s">
        <v>0</v>
      </c>
      <c r="Z357" s="52" t="str">
        <f t="shared" si="322"/>
        <v/>
      </c>
      <c r="AA357" s="73" t="str">
        <f t="shared" si="301"/>
        <v/>
      </c>
      <c r="AB357" s="31" t="str">
        <f t="shared" si="323"/>
        <v/>
      </c>
      <c r="AC357" s="66" t="str">
        <f>IF(AB357="","",MAX(AC$12:AC356)+1)</f>
        <v/>
      </c>
      <c r="AD357" s="47" t="s">
        <v>0</v>
      </c>
      <c r="AE357" s="125"/>
      <c r="AF357" s="47" t="s">
        <v>0</v>
      </c>
      <c r="AG357" s="19" t="str">
        <f t="shared" si="324"/>
        <v/>
      </c>
      <c r="AH357" s="47" t="s">
        <v>0</v>
      </c>
      <c r="AI357" s="143" t="str">
        <f t="shared" si="325"/>
        <v/>
      </c>
      <c r="AJ357" s="47"/>
      <c r="AK357" s="52" t="str">
        <f t="shared" si="326"/>
        <v/>
      </c>
      <c r="AL357" s="31" t="str">
        <f t="shared" si="327"/>
        <v/>
      </c>
      <c r="AM357" s="73" t="str">
        <f t="shared" si="328"/>
        <v/>
      </c>
      <c r="AN357" s="73" t="str">
        <f t="shared" si="329"/>
        <v/>
      </c>
      <c r="AO357" s="31" t="str">
        <f t="shared" si="302"/>
        <v/>
      </c>
      <c r="AP357" s="66" t="str">
        <f t="shared" si="303"/>
        <v/>
      </c>
      <c r="AQ357" s="47" t="s">
        <v>0</v>
      </c>
      <c r="AR357" s="82" t="str">
        <f t="shared" si="330"/>
        <v/>
      </c>
      <c r="AS357" s="47" t="s">
        <v>0</v>
      </c>
      <c r="AT357" s="19" t="str">
        <f t="shared" si="331"/>
        <v/>
      </c>
      <c r="AU357" s="47" t="s">
        <v>0</v>
      </c>
      <c r="AV357" s="103"/>
      <c r="AW357" s="105"/>
      <c r="AX357" s="47" t="s">
        <v>0</v>
      </c>
      <c r="AY357" s="256" t="str">
        <f t="shared" si="349"/>
        <v/>
      </c>
      <c r="AZ357" s="47" t="s">
        <v>0</v>
      </c>
      <c r="BA357" s="52" t="str">
        <f t="shared" si="296"/>
        <v/>
      </c>
      <c r="BB357" s="73" t="str">
        <f>IF(AV357&amp;AW357="","",MAX(BB$12:BB356)+1)</f>
        <v/>
      </c>
      <c r="BC357" s="268" t="str">
        <f t="shared" si="304"/>
        <v/>
      </c>
      <c r="BD357" s="53" t="str">
        <f>IF(AND(AM357="NEMA",AN357="NEMA",OR(AV357&amp;AW357="",BC357="NEMA")),MAX(BD$12:BD356)+1,"")</f>
        <v/>
      </c>
      <c r="BE357" s="47" t="s">
        <v>0</v>
      </c>
      <c r="BF357" s="52" t="str">
        <f t="shared" si="305"/>
        <v/>
      </c>
      <c r="BG357" s="31" t="str">
        <f t="shared" si="306"/>
        <v/>
      </c>
      <c r="BH357" s="73" t="str">
        <f t="shared" si="332"/>
        <v/>
      </c>
      <c r="BI357" s="53" t="str">
        <f t="shared" si="333"/>
        <v/>
      </c>
      <c r="BJ357" s="47" t="s">
        <v>0</v>
      </c>
      <c r="BK357" s="52" t="str">
        <f t="shared" si="307"/>
        <v/>
      </c>
      <c r="BL357" s="31" t="str">
        <f t="shared" si="308"/>
        <v/>
      </c>
      <c r="BM357" s="73" t="str">
        <f t="shared" si="309"/>
        <v/>
      </c>
      <c r="BN357" s="73" t="str">
        <f t="shared" si="310"/>
        <v/>
      </c>
      <c r="BO357" s="31" t="str" cm="1">
        <f t="array" ref="BO357">IF(BN357="",""&amp;BL357,IF(BN357="NEMA",BL357,INDEX(regKlub_naziv,MATCH(INDEX(regKlub_alias_klubId,BN357),regKlub_id,0))))</f>
        <v/>
      </c>
      <c r="BP357" s="31" t="str" cm="1">
        <f t="array" ref="BP357">IFERROR(""&amp;INDEX(regNatjecatelj_klub,DY357),"")</f>
        <v/>
      </c>
      <c r="BQ357" s="88" t="str">
        <f t="shared" si="334"/>
        <v/>
      </c>
      <c r="BR357" s="66" t="str">
        <f t="shared" si="335"/>
        <v/>
      </c>
      <c r="BS357" s="47" t="s">
        <v>0</v>
      </c>
      <c r="BT357" s="82" t="str">
        <f>IF(BN357&lt;&gt;"NEMA","",IF(IFERROR(MATCH(BL357,BL$12:BL356,0),0)&lt;&gt;0,"",BL357))</f>
        <v/>
      </c>
      <c r="BU357" s="47" t="s">
        <v>0</v>
      </c>
      <c r="BV357" s="125"/>
      <c r="BW357" s="47" t="s">
        <v>0</v>
      </c>
      <c r="BX357" s="58" t="str">
        <f t="shared" si="336"/>
        <v/>
      </c>
      <c r="BY357" s="31" t="str">
        <f t="shared" si="337"/>
        <v/>
      </c>
      <c r="BZ357" s="31" t="str">
        <f>IF(BY357="","",MAX(BZ$12:BZ356)+1)</f>
        <v/>
      </c>
      <c r="CA357" s="31" t="str">
        <f>IF(BY357="","",IF(AA357="","",IF(AA357="NEMA",AC357,AA357)))</f>
        <v/>
      </c>
      <c r="CB357" s="31" t="str">
        <f t="shared" si="338"/>
        <v/>
      </c>
      <c r="CC357" s="31" t="str">
        <f>IF(BV357="","",MAX(CC$12:CC356)+1)</f>
        <v/>
      </c>
      <c r="CD357" s="31" t="str">
        <f t="shared" si="339"/>
        <v/>
      </c>
      <c r="CE357" s="66" t="str">
        <f t="shared" si="340"/>
        <v/>
      </c>
      <c r="CF357" s="47" t="s">
        <v>0</v>
      </c>
      <c r="CG357" s="73" t="str">
        <f>IF(BN357="","",IF(BN357&lt;&gt;"NEMA","",IFERROR(INDEX(nat_klubAliasId,MATCH(BL357,nat_noviKluboviAliasi,0)),"")))</f>
        <v/>
      </c>
      <c r="CH357" s="47"/>
      <c r="CI357" s="19" t="str">
        <f t="shared" si="341"/>
        <v/>
      </c>
      <c r="CJ357" s="47" t="s">
        <v>0</v>
      </c>
      <c r="CK357" s="52" t="str">
        <f>IF(X357&lt;&gt;"NEMA","",IF(IFERROR(MATCH(W357,W$12:W356,0),0)&lt;&gt;0,"",W357))</f>
        <v/>
      </c>
      <c r="CL357" s="73" t="str">
        <f>IF(CK357="","",IFERROR(INDEX(regKlub_alias_id,MATCH(CK357,regKlub_alias_alias,0)),"NEMA"))</f>
        <v/>
      </c>
      <c r="CM357" s="31" t="str">
        <f>IF(OR(CL357="",CL357&lt;&gt;"NEMA"),"",MAX(CM$12:CM356)+1)</f>
        <v/>
      </c>
      <c r="CN357" s="66" t="str">
        <f>IF(OR(CL357="",CL357&lt;&gt;"NEMA"),"",INDEX(regKlub_id,MATCH(CK357,regKlub_naziv,0)))</f>
        <v/>
      </c>
      <c r="CO357" s="47" t="s">
        <v>0</v>
      </c>
      <c r="CP357" s="19" t="str">
        <f>IF(OR(CL357="",CL357&lt;&gt;"NEMA"),"","INSERT INTO klub_alias(id,alias,klub_id) VALUES ("&amp;CM357&amp;",'"&amp;CK357&amp;"',"&amp;CN357&amp;");")</f>
        <v/>
      </c>
      <c r="CQ357" s="47" t="s">
        <v>0</v>
      </c>
      <c r="CR357" s="143" t="str">
        <f>IF(BR357="","",IF(BV357="",IF(IFERROR(MATCH(BR357,nat_noviKluboviAliasi,0),0)&gt;0,INDEX(nat_kluboviAliasi,MATCH(BR357,nat_noviKluboviAliasi,0)),BR357),BV357))</f>
        <v/>
      </c>
      <c r="CS357" s="47" t="s">
        <v>0</v>
      </c>
      <c r="CT357" s="58" t="str">
        <f>IF(G357="","",G357)</f>
        <v/>
      </c>
      <c r="CU357" s="73" t="str">
        <f>IF(H357="","",H357)</f>
        <v/>
      </c>
      <c r="CV357" s="229" t="str">
        <f>IF(CT357="",IF(OR(AL357="",CU357&lt;&gt;"0"),"","GREŠKA"),IF(AND(65535&gt;=VALUE(LEFT(CT357,SEARCH(":",CT357)-1))*60+VALUE(RIGHT(CT357,2)),OR(CU357="0",CU357="1",CU357="2",CU357="3",CU357="4")),"","GREŠKA"))</f>
        <v/>
      </c>
      <c r="CW357" s="230" t="str">
        <f t="shared" si="295"/>
        <v/>
      </c>
      <c r="CX357" s="163" t="str">
        <f t="shared" si="311"/>
        <v/>
      </c>
      <c r="CY357" s="47" t="s">
        <v>0</v>
      </c>
      <c r="CZ357" s="222" t="str">
        <f>IF(CV357&lt;&gt;"GREŠKA","",AK357&amp;" "&amp;AL357&amp;" – Molim u OEventu provjeriti i ispraviti rezultat – vrijeme ("&amp;IF(CT357="","nije upisano",CT357)&amp;") i classifier ("&amp;CU357&amp;").")&amp;IF(OR(CV357&lt;&gt;"GREŠKA",CX357&lt;&gt;5),"
","")&amp;IF(CX357&lt;&gt;5,"",AK357&amp;" "&amp;AL357&amp;" – Molim u provjeriti je li natjecatelj zaista diskvalificiran. Ako je koje je obrazloženje, ako nije molim u OEventu ispraviti rezultat")</f>
        <v xml:space="preserve">
</v>
      </c>
      <c r="DA357" s="223" t="str">
        <f t="shared" si="342"/>
        <v/>
      </c>
      <c r="DB357" s="47" t="s">
        <v>0</v>
      </c>
      <c r="DC357" s="47"/>
      <c r="DD357" s="47"/>
      <c r="DE357" s="47"/>
      <c r="DF357" s="47" t="s">
        <v>0</v>
      </c>
      <c r="DG357" s="53" t="str">
        <f>IF(BD357="","",IF(DI357="O",1,""))</f>
        <v/>
      </c>
      <c r="DH357" t="s">
        <v>0</v>
      </c>
      <c r="DI357" s="128" t="str">
        <f>IF(Q357="","",LEFT(INDEX(regKategorija_oznaka,MATCH(S357,regKategorija_id,0)),1))</f>
        <v/>
      </c>
      <c r="DJ357" t="s">
        <v>0</v>
      </c>
      <c r="DK357" s="52" t="str">
        <f>IF(BD357="","",IF(M357&lt;&gt;"CRO","","INSERT INTO osoba (id,reg_broj,oib,spol_id,dat_rodjenja) VALUES ("&amp;BD357&amp;",(SELECT max(os.reg_broj)+1 FROM osoba AS os),Null,'"&amp;DI357&amp;"',Null); INSERT INTO osoba_log (id,reg_broj,oib,spol_id,dat_rodjenja,dnevnik_id) SELECT id,reg_broj,oib,spol_id,dat_rodjenja,"&amp;data_dnevnik_id&amp;" FROM osoba WHERE id = "&amp;BD357&amp;";"))</f>
        <v/>
      </c>
      <c r="DL357" s="66" t="str">
        <f>IF(BD357="","","INSERT INTO imeprezime (id,osoba_id,rbr,ime,prezime,klub_id,identitet_id,sintaksa_id,info,aktivno,dnevnik_id) VALUES ("&amp;BD357&amp;","&amp;IF(DK357="","Null",BD357)&amp;",1,'"&amp;IF(AV357&lt;&gt;"",AV357,AK357)&amp;"','"&amp;IF(AW357&lt;&gt;"",AW357,AL357)&amp;"',(SELECT id FROM klub WHERE naziv = '"&amp;CR357&amp;"'),Null,1,'',1,"&amp;data_dnevnik_id&amp;");")</f>
        <v/>
      </c>
      <c r="DM357" t="s">
        <v>0</v>
      </c>
      <c r="DN357" s="19" t="str">
        <f t="shared" si="350"/>
        <v/>
      </c>
      <c r="DO357" s="47" t="s">
        <v>0</v>
      </c>
      <c r="DP357" s="19" t="str">
        <f>IF(BA357="","","INSERT INTO imeprezime_alias(id,alias,imeprezime_id) VALUES ("&amp;BB357&amp;",'"&amp;BA357&amp;"',"&amp;IF(BC357="NEMA",BD357,BC357)&amp;");")</f>
        <v/>
      </c>
      <c r="DQ357" s="47" t="s">
        <v>0</v>
      </c>
      <c r="DR357" s="52" t="str">
        <f>IF(AL357="","",DU357 &amp; IF(Q357="",""," – " &amp; Q357))</f>
        <v/>
      </c>
      <c r="DS357" s="53" t="str">
        <f t="shared" si="312"/>
        <v/>
      </c>
      <c r="DT357" s="47" t="s">
        <v>0</v>
      </c>
      <c r="DU357" s="52" t="str">
        <f>IF(AL357="","",DX357 &amp; IF(CR357="",""," – " &amp; CR357))</f>
        <v/>
      </c>
      <c r="DV357" s="53" t="str">
        <f t="shared" si="313"/>
        <v/>
      </c>
      <c r="DW357" s="47" t="s">
        <v>0</v>
      </c>
      <c r="DX357" s="52" t="str">
        <f>IF(BG357="","",BF357&amp;" – "&amp;BG357)</f>
        <v/>
      </c>
      <c r="DY357" s="53" t="str">
        <f t="shared" si="314"/>
        <v/>
      </c>
      <c r="DZ357" s="47" t="s">
        <v>0</v>
      </c>
      <c r="EA357" s="58" t="str">
        <f t="shared" si="343"/>
        <v/>
      </c>
      <c r="EB357" s="53" t="str" cm="1">
        <f t="array" ref="EB357">IF(EA357&lt;&gt;"",INDEX(regNatjecatelj_id,EA357,0),IF(BD357&lt;&gt;"",BD357,""))</f>
        <v/>
      </c>
      <c r="EC357" s="47" t="s">
        <v>0</v>
      </c>
      <c r="ED357" s="58" t="str">
        <f>IF(AL357="","",IF(BD357&lt;&gt;"","novo",IF(AN357="","imepre","imepre(ali)")))</f>
        <v/>
      </c>
      <c r="EE357" s="73" t="str">
        <f>IF(AL357="","",IF(BL357="",IF(IFERROR(INDEX(regNatjecatelj_klub,MATCH(EB357,regNatjecatelj_id,0)),"NEMA")="","klu",""),IF(OR(AND(BN357&lt;&gt;"",BN357&lt;&gt;"NEMA"),CD357&lt;&gt;""),"klu(ali)",IF(AND(BP357&lt;&gt;"",BP357&lt;&gt;BO357),"(raz-klu)","klu"))))</f>
        <v/>
      </c>
      <c r="EF357" s="73" t="str">
        <f>IF(AL357="","","kat"&amp;IF(AND(W357&lt;&gt;Q357,Q357&lt;&gt;"Open"),"(ali)",""))</f>
        <v/>
      </c>
      <c r="EG357" s="73" t="str">
        <f t="shared" si="315"/>
        <v/>
      </c>
      <c r="EH357" s="66" t="str">
        <f>IF(AL357="","",ED357&amp;IF(ED357="novo","","-"&amp;EE357&amp;"-"&amp;EF357)&amp;IF(EG357="","","-"&amp;EG357))</f>
        <v/>
      </c>
      <c r="EI357" s="47" t="s">
        <v>0</v>
      </c>
      <c r="EJ357" s="58" t="str">
        <f>IF(AL357="","",MAX(EJ$12:EJ356)+1)</f>
        <v/>
      </c>
      <c r="EK357" s="73" t="str">
        <f>IF(AO357="","",X357)</f>
        <v/>
      </c>
      <c r="EL357" s="73" t="str">
        <f t="shared" si="344"/>
        <v/>
      </c>
      <c r="EM357" s="73" t="str">
        <f t="shared" si="316"/>
        <v/>
      </c>
      <c r="EN357" s="73" t="str">
        <f t="shared" si="317"/>
        <v/>
      </c>
      <c r="EO357" s="73" t="str">
        <f t="shared" si="345"/>
        <v/>
      </c>
      <c r="EP357" s="73" t="str">
        <f t="shared" si="346"/>
        <v/>
      </c>
      <c r="EQ357" s="73" t="str">
        <f t="shared" si="318"/>
        <v/>
      </c>
      <c r="ER357" s="73" t="str">
        <f>IF(OR(AN357="",AN357="NEMA"),BB357,AN357)</f>
        <v/>
      </c>
      <c r="ES357" s="73" t="str">
        <f>IF(AND(BN357&lt;&gt;"",BN357&lt;&gt;"NEMA"),BN357,IF(CG357&lt;&gt;"",CG357,IF(AND(CL357&lt;&gt;"",CL357&lt;&gt;"NEMA"),CL357,IF(CM357&lt;&gt;"",CM357,""))))</f>
        <v/>
      </c>
      <c r="ET357" s="53" t="str">
        <f>IF(INDEX(natKategorija_alias_Id,MATCH(S357,natKategorija_katRegId,0))="","",INDEX(natKategorija_alias_Id,MATCH(S357,natKategorija_katRegId,0)))</f>
        <v/>
      </c>
      <c r="EU357" s="47" t="s">
        <v>0</v>
      </c>
      <c r="EV357" s="19" t="str">
        <f t="shared" si="347"/>
        <v/>
      </c>
      <c r="EW357" s="47" t="s">
        <v>0</v>
      </c>
      <c r="EX357" s="19" t="str">
        <f t="shared" si="348"/>
        <v/>
      </c>
      <c r="EY357" s="47" t="s">
        <v>0</v>
      </c>
      <c r="EZ357" s="180" t="str">
        <f>AG357&amp;IF(CP357="","","
")&amp;CP357&amp;IF(CI357="","","
")&amp;CI357&amp;IF(DN357="","","
")&amp;DN357&amp;IF(DP357="","","
")&amp;DP357&amp;IF(EV357="","","
")&amp;EV357&amp;IF(EX357="","","
")&amp;EX357</f>
        <v/>
      </c>
      <c r="FA357" s="47" t="s">
        <v>0</v>
      </c>
    </row>
    <row r="358" spans="1:157" x14ac:dyDescent="0.25">
      <c r="A358" t="s">
        <v>0</v>
      </c>
      <c r="B358" s="52" t="str">
        <f>IF(csv!F348="","",csv!T348)</f>
        <v/>
      </c>
      <c r="C358" s="31" t="s">
        <v>0</v>
      </c>
      <c r="D358" s="31" t="str">
        <f>IF(csv!F348="","",csv!F348)</f>
        <v/>
      </c>
      <c r="E358" s="31" t="str">
        <f>IF(csv!E348="","",csv!E348)</f>
        <v/>
      </c>
      <c r="F358" s="31" t="s">
        <v>0</v>
      </c>
      <c r="G358" s="73" t="str">
        <f>IF(csv!M348="","",csv!M348)</f>
        <v/>
      </c>
      <c r="H358" s="73" t="str">
        <f>IF(csv!N348="","",csv!N348)</f>
        <v/>
      </c>
      <c r="I358" s="31" t="s">
        <v>0</v>
      </c>
      <c r="J358" s="31" t="str">
        <f>IF(csv!P348="","",csv!P348)</f>
        <v/>
      </c>
      <c r="K358" s="31" t="str">
        <f>IF(csv!Q348="","",csv!Q348)</f>
        <v/>
      </c>
      <c r="L358" s="31" t="s">
        <v>0</v>
      </c>
      <c r="M358" s="66" t="str">
        <f>IF(csv!R348="","",csv!R348)</f>
        <v/>
      </c>
      <c r="N358" s="47" t="s">
        <v>0</v>
      </c>
      <c r="O358" s="243" t="str">
        <f t="shared" si="319"/>
        <v/>
      </c>
      <c r="P358" s="47"/>
      <c r="Q358" s="52" t="str">
        <f t="shared" si="320"/>
        <v/>
      </c>
      <c r="R358" s="73" t="str">
        <f>IF(Q358="","",IF(COUNTIF(Q$12:Q357,Q358)=0,R357+1,R357))</f>
        <v/>
      </c>
      <c r="S358" s="73" t="str">
        <f t="shared" si="321"/>
        <v/>
      </c>
      <c r="T358" s="73" t="str">
        <f t="shared" si="297"/>
        <v/>
      </c>
      <c r="U358" s="66" t="str">
        <f t="shared" si="298"/>
        <v/>
      </c>
      <c r="V358" s="47" t="s">
        <v>0</v>
      </c>
      <c r="W358" s="222" t="str">
        <f t="shared" si="299"/>
        <v/>
      </c>
      <c r="X358" s="223" t="str">
        <f t="shared" si="300"/>
        <v/>
      </c>
      <c r="Y358" s="47" t="s">
        <v>0</v>
      </c>
      <c r="Z358" s="52" t="str">
        <f t="shared" si="322"/>
        <v/>
      </c>
      <c r="AA358" s="73" t="str">
        <f t="shared" si="301"/>
        <v/>
      </c>
      <c r="AB358" s="31" t="str">
        <f t="shared" si="323"/>
        <v/>
      </c>
      <c r="AC358" s="66" t="str">
        <f>IF(AB358="","",MAX(AC$12:AC357)+1)</f>
        <v/>
      </c>
      <c r="AD358" s="47" t="s">
        <v>0</v>
      </c>
      <c r="AE358" s="125"/>
      <c r="AF358" s="47" t="s">
        <v>0</v>
      </c>
      <c r="AG358" s="19" t="str">
        <f t="shared" si="324"/>
        <v/>
      </c>
      <c r="AH358" s="47" t="s">
        <v>0</v>
      </c>
      <c r="AI358" s="143" t="str">
        <f t="shared" si="325"/>
        <v/>
      </c>
      <c r="AJ358" s="47"/>
      <c r="AK358" s="52" t="str">
        <f t="shared" si="326"/>
        <v/>
      </c>
      <c r="AL358" s="31" t="str">
        <f t="shared" si="327"/>
        <v/>
      </c>
      <c r="AM358" s="73" t="str">
        <f t="shared" si="328"/>
        <v/>
      </c>
      <c r="AN358" s="73" t="str">
        <f t="shared" si="329"/>
        <v/>
      </c>
      <c r="AO358" s="31" t="str">
        <f t="shared" si="302"/>
        <v/>
      </c>
      <c r="AP358" s="66" t="str">
        <f t="shared" si="303"/>
        <v/>
      </c>
      <c r="AQ358" s="47" t="s">
        <v>0</v>
      </c>
      <c r="AR358" s="82" t="str">
        <f t="shared" si="330"/>
        <v/>
      </c>
      <c r="AS358" s="47" t="s">
        <v>0</v>
      </c>
      <c r="AT358" s="19" t="str">
        <f t="shared" si="331"/>
        <v/>
      </c>
      <c r="AU358" s="47" t="s">
        <v>0</v>
      </c>
      <c r="AV358" s="103"/>
      <c r="AW358" s="105"/>
      <c r="AX358" s="47" t="s">
        <v>0</v>
      </c>
      <c r="AY358" s="256" t="str">
        <f t="shared" si="349"/>
        <v/>
      </c>
      <c r="AZ358" s="47" t="s">
        <v>0</v>
      </c>
      <c r="BA358" s="52" t="str">
        <f t="shared" si="296"/>
        <v/>
      </c>
      <c r="BB358" s="73" t="str">
        <f>IF(AV358&amp;AW358="","",MAX(BB$12:BB357)+1)</f>
        <v/>
      </c>
      <c r="BC358" s="268" t="str">
        <f t="shared" si="304"/>
        <v/>
      </c>
      <c r="BD358" s="53" t="str">
        <f>IF(AND(AM358="NEMA",AN358="NEMA",OR(AV358&amp;AW358="",BC358="NEMA")),MAX(BD$12:BD357)+1,"")</f>
        <v/>
      </c>
      <c r="BE358" s="47" t="s">
        <v>0</v>
      </c>
      <c r="BF358" s="52" t="str">
        <f t="shared" si="305"/>
        <v/>
      </c>
      <c r="BG358" s="31" t="str">
        <f t="shared" si="306"/>
        <v/>
      </c>
      <c r="BH358" s="73" t="str">
        <f t="shared" si="332"/>
        <v/>
      </c>
      <c r="BI358" s="53" t="str">
        <f t="shared" si="333"/>
        <v/>
      </c>
      <c r="BJ358" s="47" t="s">
        <v>0</v>
      </c>
      <c r="BK358" s="52" t="str">
        <f t="shared" si="307"/>
        <v/>
      </c>
      <c r="BL358" s="31" t="str">
        <f t="shared" si="308"/>
        <v/>
      </c>
      <c r="BM358" s="73" t="str">
        <f t="shared" si="309"/>
        <v/>
      </c>
      <c r="BN358" s="73" t="str">
        <f t="shared" si="310"/>
        <v/>
      </c>
      <c r="BO358" s="31" t="str" cm="1">
        <f t="array" ref="BO358">IF(BN358="",""&amp;BL358,IF(BN358="NEMA",BL358,INDEX(regKlub_naziv,MATCH(INDEX(regKlub_alias_klubId,BN358),regKlub_id,0))))</f>
        <v/>
      </c>
      <c r="BP358" s="31" t="str" cm="1">
        <f t="array" ref="BP358">IFERROR(""&amp;INDEX(regNatjecatelj_klub,DY358),"")</f>
        <v/>
      </c>
      <c r="BQ358" s="88" t="str">
        <f t="shared" si="334"/>
        <v/>
      </c>
      <c r="BR358" s="66" t="str">
        <f t="shared" si="335"/>
        <v/>
      </c>
      <c r="BS358" s="47" t="s">
        <v>0</v>
      </c>
      <c r="BT358" s="82" t="str">
        <f>IF(BN358&lt;&gt;"NEMA","",IF(IFERROR(MATCH(BL358,BL$12:BL357,0),0)&lt;&gt;0,"",BL358))</f>
        <v/>
      </c>
      <c r="BU358" s="47" t="s">
        <v>0</v>
      </c>
      <c r="BV358" s="125"/>
      <c r="BW358" s="47" t="s">
        <v>0</v>
      </c>
      <c r="BX358" s="58" t="str">
        <f t="shared" si="336"/>
        <v/>
      </c>
      <c r="BY358" s="31" t="str">
        <f t="shared" si="337"/>
        <v/>
      </c>
      <c r="BZ358" s="31" t="str">
        <f>IF(BY358="","",MAX(BZ$12:BZ357)+1)</f>
        <v/>
      </c>
      <c r="CA358" s="31" t="str">
        <f>IF(BY358="","",IF(AA358="","",IF(AA358="NEMA",AC358,AA358)))</f>
        <v/>
      </c>
      <c r="CB358" s="31" t="str">
        <f t="shared" si="338"/>
        <v/>
      </c>
      <c r="CC358" s="31" t="str">
        <f>IF(BV358="","",MAX(CC$12:CC357)+1)</f>
        <v/>
      </c>
      <c r="CD358" s="31" t="str">
        <f t="shared" si="339"/>
        <v/>
      </c>
      <c r="CE358" s="66" t="str">
        <f t="shared" si="340"/>
        <v/>
      </c>
      <c r="CF358" s="47" t="s">
        <v>0</v>
      </c>
      <c r="CG358" s="73" t="str">
        <f>IF(BN358="","",IF(BN358&lt;&gt;"NEMA","",IFERROR(INDEX(nat_klubAliasId,MATCH(BL358,nat_noviKluboviAliasi,0)),"")))</f>
        <v/>
      </c>
      <c r="CH358" s="47"/>
      <c r="CI358" s="19" t="str">
        <f t="shared" si="341"/>
        <v/>
      </c>
      <c r="CJ358" s="47" t="s">
        <v>0</v>
      </c>
      <c r="CK358" s="52" t="str">
        <f>IF(X358&lt;&gt;"NEMA","",IF(IFERROR(MATCH(W358,W$12:W357,0),0)&lt;&gt;0,"",W358))</f>
        <v/>
      </c>
      <c r="CL358" s="73" t="str">
        <f>IF(CK358="","",IFERROR(INDEX(regKlub_alias_id,MATCH(CK358,regKlub_alias_alias,0)),"NEMA"))</f>
        <v/>
      </c>
      <c r="CM358" s="31" t="str">
        <f>IF(OR(CL358="",CL358&lt;&gt;"NEMA"),"",MAX(CM$12:CM357)+1)</f>
        <v/>
      </c>
      <c r="CN358" s="66" t="str">
        <f>IF(OR(CL358="",CL358&lt;&gt;"NEMA"),"",INDEX(regKlub_id,MATCH(CK358,regKlub_naziv,0)))</f>
        <v/>
      </c>
      <c r="CO358" s="47" t="s">
        <v>0</v>
      </c>
      <c r="CP358" s="19" t="str">
        <f>IF(OR(CL358="",CL358&lt;&gt;"NEMA"),"","INSERT INTO klub_alias(id,alias,klub_id) VALUES ("&amp;CM358&amp;",'"&amp;CK358&amp;"',"&amp;CN358&amp;");")</f>
        <v/>
      </c>
      <c r="CQ358" s="47" t="s">
        <v>0</v>
      </c>
      <c r="CR358" s="143" t="str">
        <f>IF(BR358="","",IF(BV358="",IF(IFERROR(MATCH(BR358,nat_noviKluboviAliasi,0),0)&gt;0,INDEX(nat_kluboviAliasi,MATCH(BR358,nat_noviKluboviAliasi,0)),BR358),BV358))</f>
        <v/>
      </c>
      <c r="CS358" s="47" t="s">
        <v>0</v>
      </c>
      <c r="CT358" s="58" t="str">
        <f>IF(G358="","",G358)</f>
        <v/>
      </c>
      <c r="CU358" s="73" t="str">
        <f>IF(H358="","",H358)</f>
        <v/>
      </c>
      <c r="CV358" s="229" t="str">
        <f>IF(CT358="",IF(OR(AL358="",CU358&lt;&gt;"0"),"","GREŠKA"),IF(AND(65535&gt;=VALUE(LEFT(CT358,SEARCH(":",CT358)-1))*60+VALUE(RIGHT(CT358,2)),OR(CU358="0",CU358="1",CU358="2",CU358="3",CU358="4")),"","GREŠKA"))</f>
        <v/>
      </c>
      <c r="CW358" s="230" t="str">
        <f t="shared" si="295"/>
        <v/>
      </c>
      <c r="CX358" s="163" t="str">
        <f t="shared" si="311"/>
        <v/>
      </c>
      <c r="CY358" s="47" t="s">
        <v>0</v>
      </c>
      <c r="CZ358" s="222" t="str">
        <f>IF(CV358&lt;&gt;"GREŠKA","",AK358&amp;" "&amp;AL358&amp;" – Molim u OEventu provjeriti i ispraviti rezultat – vrijeme ("&amp;IF(CT358="","nije upisano",CT358)&amp;") i classifier ("&amp;CU358&amp;").")&amp;IF(OR(CV358&lt;&gt;"GREŠKA",CX358&lt;&gt;5),"
","")&amp;IF(CX358&lt;&gt;5,"",AK358&amp;" "&amp;AL358&amp;" – Molim u provjeriti je li natjecatelj zaista diskvalificiran. Ako je koje je obrazloženje, ako nije molim u OEventu ispraviti rezultat")</f>
        <v xml:space="preserve">
</v>
      </c>
      <c r="DA358" s="223" t="str">
        <f t="shared" si="342"/>
        <v/>
      </c>
      <c r="DB358" s="47" t="s">
        <v>0</v>
      </c>
      <c r="DC358" s="47"/>
      <c r="DD358" s="47"/>
      <c r="DE358" s="47"/>
      <c r="DF358" s="47" t="s">
        <v>0</v>
      </c>
      <c r="DG358" s="53" t="str">
        <f>IF(BD358="","",IF(DI358="O",1,""))</f>
        <v/>
      </c>
      <c r="DH358" t="s">
        <v>0</v>
      </c>
      <c r="DI358" s="128" t="str">
        <f>IF(Q358="","",LEFT(INDEX(regKategorija_oznaka,MATCH(S358,regKategorija_id,0)),1))</f>
        <v/>
      </c>
      <c r="DJ358" t="s">
        <v>0</v>
      </c>
      <c r="DK358" s="52" t="str">
        <f>IF(BD358="","",IF(M358&lt;&gt;"CRO","","INSERT INTO osoba (id,reg_broj,oib,spol_id,dat_rodjenja) VALUES ("&amp;BD358&amp;",(SELECT max(os.reg_broj)+1 FROM osoba AS os),Null,'"&amp;DI358&amp;"',Null); INSERT INTO osoba_log (id,reg_broj,oib,spol_id,dat_rodjenja,dnevnik_id) SELECT id,reg_broj,oib,spol_id,dat_rodjenja,"&amp;data_dnevnik_id&amp;" FROM osoba WHERE id = "&amp;BD358&amp;";"))</f>
        <v/>
      </c>
      <c r="DL358" s="66" t="str">
        <f>IF(BD358="","","INSERT INTO imeprezime (id,osoba_id,rbr,ime,prezime,klub_id,identitet_id,sintaksa_id,info,aktivno,dnevnik_id) VALUES ("&amp;BD358&amp;","&amp;IF(DK358="","Null",BD358)&amp;",1,'"&amp;IF(AV358&lt;&gt;"",AV358,AK358)&amp;"','"&amp;IF(AW358&lt;&gt;"",AW358,AL358)&amp;"',(SELECT id FROM klub WHERE naziv = '"&amp;CR358&amp;"'),Null,1,'',1,"&amp;data_dnevnik_id&amp;");")</f>
        <v/>
      </c>
      <c r="DM358" t="s">
        <v>0</v>
      </c>
      <c r="DN358" s="19" t="str">
        <f t="shared" si="350"/>
        <v/>
      </c>
      <c r="DO358" s="47" t="s">
        <v>0</v>
      </c>
      <c r="DP358" s="19" t="str">
        <f>IF(BA358="","","INSERT INTO imeprezime_alias(id,alias,imeprezime_id) VALUES ("&amp;BB358&amp;",'"&amp;BA358&amp;"',"&amp;IF(BC358="NEMA",BD358,BC358)&amp;");")</f>
        <v/>
      </c>
      <c r="DQ358" s="47" t="s">
        <v>0</v>
      </c>
      <c r="DR358" s="52" t="str">
        <f>IF(AL358="","",DU358 &amp; IF(Q358="",""," – " &amp; Q358))</f>
        <v/>
      </c>
      <c r="DS358" s="53" t="str">
        <f t="shared" si="312"/>
        <v/>
      </c>
      <c r="DT358" s="47" t="s">
        <v>0</v>
      </c>
      <c r="DU358" s="52" t="str">
        <f>IF(AL358="","",DX358 &amp; IF(CR358="",""," – " &amp; CR358))</f>
        <v/>
      </c>
      <c r="DV358" s="53" t="str">
        <f t="shared" si="313"/>
        <v/>
      </c>
      <c r="DW358" s="47" t="s">
        <v>0</v>
      </c>
      <c r="DX358" s="52" t="str">
        <f>IF(BG358="","",BF358&amp;" – "&amp;BG358)</f>
        <v/>
      </c>
      <c r="DY358" s="53" t="str">
        <f t="shared" si="314"/>
        <v/>
      </c>
      <c r="DZ358" s="47" t="s">
        <v>0</v>
      </c>
      <c r="EA358" s="58" t="str">
        <f t="shared" si="343"/>
        <v/>
      </c>
      <c r="EB358" s="53" t="str" cm="1">
        <f t="array" ref="EB358">IF(EA358&lt;&gt;"",INDEX(regNatjecatelj_id,EA358,0),IF(BD358&lt;&gt;"",BD358,""))</f>
        <v/>
      </c>
      <c r="EC358" s="47" t="s">
        <v>0</v>
      </c>
      <c r="ED358" s="58" t="str">
        <f>IF(AL358="","",IF(BD358&lt;&gt;"","novo",IF(AN358="","imepre","imepre(ali)")))</f>
        <v/>
      </c>
      <c r="EE358" s="73" t="str">
        <f>IF(AL358="","",IF(BL358="",IF(IFERROR(INDEX(regNatjecatelj_klub,MATCH(EB358,regNatjecatelj_id,0)),"NEMA")="","klu",""),IF(OR(AND(BN358&lt;&gt;"",BN358&lt;&gt;"NEMA"),CD358&lt;&gt;""),"klu(ali)",IF(AND(BP358&lt;&gt;"",BP358&lt;&gt;BO358),"(raz-klu)","klu"))))</f>
        <v/>
      </c>
      <c r="EF358" s="73" t="str">
        <f>IF(AL358="","","kat"&amp;IF(AND(W358&lt;&gt;Q358,Q358&lt;&gt;"Open"),"(ali)",""))</f>
        <v/>
      </c>
      <c r="EG358" s="73" t="str">
        <f t="shared" si="315"/>
        <v/>
      </c>
      <c r="EH358" s="66" t="str">
        <f>IF(AL358="","",ED358&amp;IF(ED358="novo","","-"&amp;EE358&amp;"-"&amp;EF358)&amp;IF(EG358="","","-"&amp;EG358))</f>
        <v/>
      </c>
      <c r="EI358" s="47" t="s">
        <v>0</v>
      </c>
      <c r="EJ358" s="58" t="str">
        <f>IF(AL358="","",MAX(EJ$12:EJ357)+1)</f>
        <v/>
      </c>
      <c r="EK358" s="73" t="str">
        <f>IF(AO358="","",X358)</f>
        <v/>
      </c>
      <c r="EL358" s="73" t="str">
        <f t="shared" si="344"/>
        <v/>
      </c>
      <c r="EM358" s="73" t="str">
        <f t="shared" si="316"/>
        <v/>
      </c>
      <c r="EN358" s="73" t="str">
        <f t="shared" si="317"/>
        <v/>
      </c>
      <c r="EO358" s="73" t="str">
        <f t="shared" si="345"/>
        <v/>
      </c>
      <c r="EP358" s="73" t="str">
        <f t="shared" si="346"/>
        <v/>
      </c>
      <c r="EQ358" s="73" t="str">
        <f t="shared" si="318"/>
        <v/>
      </c>
      <c r="ER358" s="73" t="str">
        <f>IF(OR(AN358="",AN358="NEMA"),BB358,AN358)</f>
        <v/>
      </c>
      <c r="ES358" s="73" t="str">
        <f>IF(AND(BN358&lt;&gt;"",BN358&lt;&gt;"NEMA"),BN358,IF(CG358&lt;&gt;"",CG358,IF(AND(CL358&lt;&gt;"",CL358&lt;&gt;"NEMA"),CL358,IF(CM358&lt;&gt;"",CM358,""))))</f>
        <v/>
      </c>
      <c r="ET358" s="53" t="str">
        <f>IF(INDEX(natKategorija_alias_Id,MATCH(S358,natKategorija_katRegId,0))="","",INDEX(natKategorija_alias_Id,MATCH(S358,natKategorija_katRegId,0)))</f>
        <v/>
      </c>
      <c r="EU358" s="47" t="s">
        <v>0</v>
      </c>
      <c r="EV358" s="19" t="str">
        <f t="shared" si="347"/>
        <v/>
      </c>
      <c r="EW358" s="47" t="s">
        <v>0</v>
      </c>
      <c r="EX358" s="19" t="str">
        <f t="shared" si="348"/>
        <v/>
      </c>
      <c r="EY358" s="47" t="s">
        <v>0</v>
      </c>
      <c r="EZ358" s="180" t="str">
        <f>AG358&amp;IF(CP358="","","
")&amp;CP358&amp;IF(CI358="","","
")&amp;CI358&amp;IF(DN358="","","
")&amp;DN358&amp;IF(DP358="","","
")&amp;DP358&amp;IF(EV358="","","
")&amp;EV358&amp;IF(EX358="","","
")&amp;EX358</f>
        <v/>
      </c>
      <c r="FA358" s="47" t="s">
        <v>0</v>
      </c>
    </row>
    <row r="359" spans="1:157" x14ac:dyDescent="0.25">
      <c r="A359" t="s">
        <v>0</v>
      </c>
      <c r="B359" s="52" t="str">
        <f>IF(csv!F349="","",csv!T349)</f>
        <v/>
      </c>
      <c r="C359" s="31" t="s">
        <v>0</v>
      </c>
      <c r="D359" s="31" t="str">
        <f>IF(csv!F349="","",csv!F349)</f>
        <v/>
      </c>
      <c r="E359" s="31" t="str">
        <f>IF(csv!E349="","",csv!E349)</f>
        <v/>
      </c>
      <c r="F359" s="31" t="s">
        <v>0</v>
      </c>
      <c r="G359" s="73" t="str">
        <f>IF(csv!M349="","",csv!M349)</f>
        <v/>
      </c>
      <c r="H359" s="73" t="str">
        <f>IF(csv!N349="","",csv!N349)</f>
        <v/>
      </c>
      <c r="I359" s="31" t="s">
        <v>0</v>
      </c>
      <c r="J359" s="31" t="str">
        <f>IF(csv!P349="","",csv!P349)</f>
        <v/>
      </c>
      <c r="K359" s="31" t="str">
        <f>IF(csv!Q349="","",csv!Q349)</f>
        <v/>
      </c>
      <c r="L359" s="31" t="s">
        <v>0</v>
      </c>
      <c r="M359" s="66" t="str">
        <f>IF(csv!R349="","",csv!R349)</f>
        <v/>
      </c>
      <c r="N359" s="47" t="s">
        <v>0</v>
      </c>
      <c r="O359" s="243" t="str">
        <f t="shared" si="319"/>
        <v/>
      </c>
      <c r="P359" s="47"/>
      <c r="Q359" s="52" t="str">
        <f t="shared" si="320"/>
        <v/>
      </c>
      <c r="R359" s="73" t="str">
        <f>IF(Q359="","",IF(COUNTIF(Q$12:Q358,Q359)=0,R358+1,R358))</f>
        <v/>
      </c>
      <c r="S359" s="73" t="str">
        <f t="shared" si="321"/>
        <v/>
      </c>
      <c r="T359" s="73" t="str">
        <f t="shared" si="297"/>
        <v/>
      </c>
      <c r="U359" s="66" t="str">
        <f t="shared" si="298"/>
        <v/>
      </c>
      <c r="V359" s="47" t="s">
        <v>0</v>
      </c>
      <c r="W359" s="222" t="str">
        <f t="shared" si="299"/>
        <v/>
      </c>
      <c r="X359" s="223" t="str">
        <f t="shared" si="300"/>
        <v/>
      </c>
      <c r="Y359" s="47" t="s">
        <v>0</v>
      </c>
      <c r="Z359" s="52" t="str">
        <f t="shared" si="322"/>
        <v/>
      </c>
      <c r="AA359" s="73" t="str">
        <f t="shared" si="301"/>
        <v/>
      </c>
      <c r="AB359" s="31" t="str">
        <f t="shared" si="323"/>
        <v/>
      </c>
      <c r="AC359" s="66" t="str">
        <f>IF(AB359="","",MAX(AC$12:AC358)+1)</f>
        <v/>
      </c>
      <c r="AD359" s="47" t="s">
        <v>0</v>
      </c>
      <c r="AE359" s="125"/>
      <c r="AF359" s="47" t="s">
        <v>0</v>
      </c>
      <c r="AG359" s="19" t="str">
        <f t="shared" si="324"/>
        <v/>
      </c>
      <c r="AH359" s="47" t="s">
        <v>0</v>
      </c>
      <c r="AI359" s="143" t="str">
        <f t="shared" si="325"/>
        <v/>
      </c>
      <c r="AJ359" s="47"/>
      <c r="AK359" s="52" t="str">
        <f t="shared" si="326"/>
        <v/>
      </c>
      <c r="AL359" s="31" t="str">
        <f t="shared" si="327"/>
        <v/>
      </c>
      <c r="AM359" s="73" t="str">
        <f t="shared" si="328"/>
        <v/>
      </c>
      <c r="AN359" s="73" t="str">
        <f t="shared" si="329"/>
        <v/>
      </c>
      <c r="AO359" s="31" t="str">
        <f t="shared" si="302"/>
        <v/>
      </c>
      <c r="AP359" s="66" t="str">
        <f t="shared" si="303"/>
        <v/>
      </c>
      <c r="AQ359" s="47" t="s">
        <v>0</v>
      </c>
      <c r="AR359" s="82" t="str">
        <f t="shared" si="330"/>
        <v/>
      </c>
      <c r="AS359" s="47" t="s">
        <v>0</v>
      </c>
      <c r="AT359" s="19" t="str">
        <f t="shared" si="331"/>
        <v/>
      </c>
      <c r="AU359" s="47" t="s">
        <v>0</v>
      </c>
      <c r="AV359" s="103"/>
      <c r="AW359" s="105"/>
      <c r="AX359" s="47" t="s">
        <v>0</v>
      </c>
      <c r="AY359" s="256" t="str">
        <f t="shared" si="349"/>
        <v/>
      </c>
      <c r="AZ359" s="47" t="s">
        <v>0</v>
      </c>
      <c r="BA359" s="52" t="str">
        <f t="shared" si="296"/>
        <v/>
      </c>
      <c r="BB359" s="73" t="str">
        <f>IF(AV359&amp;AW359="","",MAX(BB$12:BB358)+1)</f>
        <v/>
      </c>
      <c r="BC359" s="268" t="str">
        <f t="shared" si="304"/>
        <v/>
      </c>
      <c r="BD359" s="53" t="str">
        <f>IF(AND(AM359="NEMA",AN359="NEMA",OR(AV359&amp;AW359="",BC359="NEMA")),MAX(BD$12:BD358)+1,"")</f>
        <v/>
      </c>
      <c r="BE359" s="47" t="s">
        <v>0</v>
      </c>
      <c r="BF359" s="52" t="str">
        <f t="shared" si="305"/>
        <v/>
      </c>
      <c r="BG359" s="31" t="str">
        <f t="shared" si="306"/>
        <v/>
      </c>
      <c r="BH359" s="73" t="str">
        <f t="shared" si="332"/>
        <v/>
      </c>
      <c r="BI359" s="53" t="str">
        <f t="shared" si="333"/>
        <v/>
      </c>
      <c r="BJ359" s="47" t="s">
        <v>0</v>
      </c>
      <c r="BK359" s="52" t="str">
        <f t="shared" si="307"/>
        <v/>
      </c>
      <c r="BL359" s="31" t="str">
        <f t="shared" si="308"/>
        <v/>
      </c>
      <c r="BM359" s="73" t="str">
        <f t="shared" si="309"/>
        <v/>
      </c>
      <c r="BN359" s="73" t="str">
        <f t="shared" si="310"/>
        <v/>
      </c>
      <c r="BO359" s="31" t="str" cm="1">
        <f t="array" ref="BO359">IF(BN359="",""&amp;BL359,IF(BN359="NEMA",BL359,INDEX(regKlub_naziv,MATCH(INDEX(regKlub_alias_klubId,BN359),regKlub_id,0))))</f>
        <v/>
      </c>
      <c r="BP359" s="31" t="str" cm="1">
        <f t="array" ref="BP359">IFERROR(""&amp;INDEX(regNatjecatelj_klub,DY359),"")</f>
        <v/>
      </c>
      <c r="BQ359" s="88" t="str">
        <f t="shared" si="334"/>
        <v/>
      </c>
      <c r="BR359" s="66" t="str">
        <f t="shared" si="335"/>
        <v/>
      </c>
      <c r="BS359" s="47" t="s">
        <v>0</v>
      </c>
      <c r="BT359" s="82" t="str">
        <f>IF(BN359&lt;&gt;"NEMA","",IF(IFERROR(MATCH(BL359,BL$12:BL358,0),0)&lt;&gt;0,"",BL359))</f>
        <v/>
      </c>
      <c r="BU359" s="47" t="s">
        <v>0</v>
      </c>
      <c r="BV359" s="125"/>
      <c r="BW359" s="47" t="s">
        <v>0</v>
      </c>
      <c r="BX359" s="58" t="str">
        <f t="shared" si="336"/>
        <v/>
      </c>
      <c r="BY359" s="31" t="str">
        <f t="shared" si="337"/>
        <v/>
      </c>
      <c r="BZ359" s="31" t="str">
        <f>IF(BY359="","",MAX(BZ$12:BZ358)+1)</f>
        <v/>
      </c>
      <c r="CA359" s="31" t="str">
        <f>IF(BY359="","",IF(AA359="","",IF(AA359="NEMA",AC359,AA359)))</f>
        <v/>
      </c>
      <c r="CB359" s="31" t="str">
        <f t="shared" si="338"/>
        <v/>
      </c>
      <c r="CC359" s="31" t="str">
        <f>IF(BV359="","",MAX(CC$12:CC358)+1)</f>
        <v/>
      </c>
      <c r="CD359" s="31" t="str">
        <f t="shared" si="339"/>
        <v/>
      </c>
      <c r="CE359" s="66" t="str">
        <f t="shared" si="340"/>
        <v/>
      </c>
      <c r="CF359" s="47" t="s">
        <v>0</v>
      </c>
      <c r="CG359" s="73" t="str">
        <f>IF(BN359="","",IF(BN359&lt;&gt;"NEMA","",IFERROR(INDEX(nat_klubAliasId,MATCH(BL359,nat_noviKluboviAliasi,0)),"")))</f>
        <v/>
      </c>
      <c r="CH359" s="47"/>
      <c r="CI359" s="19" t="str">
        <f t="shared" si="341"/>
        <v/>
      </c>
      <c r="CJ359" s="47" t="s">
        <v>0</v>
      </c>
      <c r="CK359" s="52" t="str">
        <f>IF(X359&lt;&gt;"NEMA","",IF(IFERROR(MATCH(W359,W$12:W358,0),0)&lt;&gt;0,"",W359))</f>
        <v/>
      </c>
      <c r="CL359" s="73" t="str">
        <f>IF(CK359="","",IFERROR(INDEX(regKlub_alias_id,MATCH(CK359,regKlub_alias_alias,0)),"NEMA"))</f>
        <v/>
      </c>
      <c r="CM359" s="31" t="str">
        <f>IF(OR(CL359="",CL359&lt;&gt;"NEMA"),"",MAX(CM$12:CM358)+1)</f>
        <v/>
      </c>
      <c r="CN359" s="66" t="str">
        <f>IF(OR(CL359="",CL359&lt;&gt;"NEMA"),"",INDEX(regKlub_id,MATCH(CK359,regKlub_naziv,0)))</f>
        <v/>
      </c>
      <c r="CO359" s="47" t="s">
        <v>0</v>
      </c>
      <c r="CP359" s="19" t="str">
        <f>IF(OR(CL359="",CL359&lt;&gt;"NEMA"),"","INSERT INTO klub_alias(id,alias,klub_id) VALUES ("&amp;CM359&amp;",'"&amp;CK359&amp;"',"&amp;CN359&amp;");")</f>
        <v/>
      </c>
      <c r="CQ359" s="47" t="s">
        <v>0</v>
      </c>
      <c r="CR359" s="143" t="str">
        <f>IF(BR359="","",IF(BV359="",IF(IFERROR(MATCH(BR359,nat_noviKluboviAliasi,0),0)&gt;0,INDEX(nat_kluboviAliasi,MATCH(BR359,nat_noviKluboviAliasi,0)),BR359),BV359))</f>
        <v/>
      </c>
      <c r="CS359" s="47" t="s">
        <v>0</v>
      </c>
      <c r="CT359" s="58" t="str">
        <f>IF(G359="","",G359)</f>
        <v/>
      </c>
      <c r="CU359" s="73" t="str">
        <f>IF(H359="","",H359)</f>
        <v/>
      </c>
      <c r="CV359" s="229" t="str">
        <f>IF(CT359="",IF(OR(AL359="",CU359&lt;&gt;"0"),"","GREŠKA"),IF(AND(65535&gt;=VALUE(LEFT(CT359,SEARCH(":",CT359)-1))*60+VALUE(RIGHT(CT359,2)),OR(CU359="0",CU359="1",CU359="2",CU359="3",CU359="4")),"","GREŠKA"))</f>
        <v/>
      </c>
      <c r="CW359" s="230" t="str">
        <f t="shared" si="295"/>
        <v/>
      </c>
      <c r="CX359" s="163" t="str">
        <f t="shared" si="311"/>
        <v/>
      </c>
      <c r="CY359" s="47" t="s">
        <v>0</v>
      </c>
      <c r="CZ359" s="222" t="str">
        <f>IF(CV359&lt;&gt;"GREŠKA","",AK359&amp;" "&amp;AL359&amp;" – Molim u OEventu provjeriti i ispraviti rezultat – vrijeme ("&amp;IF(CT359="","nije upisano",CT359)&amp;") i classifier ("&amp;CU359&amp;").")&amp;IF(OR(CV359&lt;&gt;"GREŠKA",CX359&lt;&gt;5),"
","")&amp;IF(CX359&lt;&gt;5,"",AK359&amp;" "&amp;AL359&amp;" – Molim u provjeriti je li natjecatelj zaista diskvalificiran. Ako je koje je obrazloženje, ako nije molim u OEventu ispraviti rezultat")</f>
        <v xml:space="preserve">
</v>
      </c>
      <c r="DA359" s="223" t="str">
        <f t="shared" si="342"/>
        <v/>
      </c>
      <c r="DB359" s="47" t="s">
        <v>0</v>
      </c>
      <c r="DC359" s="47"/>
      <c r="DD359" s="47"/>
      <c r="DE359" s="47"/>
      <c r="DF359" s="47" t="s">
        <v>0</v>
      </c>
      <c r="DG359" s="53" t="str">
        <f>IF(BD359="","",IF(DI359="O",1,""))</f>
        <v/>
      </c>
      <c r="DH359" t="s">
        <v>0</v>
      </c>
      <c r="DI359" s="128" t="str">
        <f>IF(Q359="","",LEFT(INDEX(regKategorija_oznaka,MATCH(S359,regKategorija_id,0)),1))</f>
        <v/>
      </c>
      <c r="DJ359" t="s">
        <v>0</v>
      </c>
      <c r="DK359" s="52" t="str">
        <f>IF(BD359="","",IF(M359&lt;&gt;"CRO","","INSERT INTO osoba (id,reg_broj,oib,spol_id,dat_rodjenja) VALUES ("&amp;BD359&amp;",(SELECT max(os.reg_broj)+1 FROM osoba AS os),Null,'"&amp;DI359&amp;"',Null); INSERT INTO osoba_log (id,reg_broj,oib,spol_id,dat_rodjenja,dnevnik_id) SELECT id,reg_broj,oib,spol_id,dat_rodjenja,"&amp;data_dnevnik_id&amp;" FROM osoba WHERE id = "&amp;BD359&amp;";"))</f>
        <v/>
      </c>
      <c r="DL359" s="66" t="str">
        <f>IF(BD359="","","INSERT INTO imeprezime (id,osoba_id,rbr,ime,prezime,klub_id,identitet_id,sintaksa_id,info,aktivno,dnevnik_id) VALUES ("&amp;BD359&amp;","&amp;IF(DK359="","Null",BD359)&amp;",1,'"&amp;IF(AV359&lt;&gt;"",AV359,AK359)&amp;"','"&amp;IF(AW359&lt;&gt;"",AW359,AL359)&amp;"',(SELECT id FROM klub WHERE naziv = '"&amp;CR359&amp;"'),Null,1,'',1,"&amp;data_dnevnik_id&amp;");")</f>
        <v/>
      </c>
      <c r="DM359" t="s">
        <v>0</v>
      </c>
      <c r="DN359" s="19" t="str">
        <f t="shared" si="350"/>
        <v/>
      </c>
      <c r="DO359" s="47" t="s">
        <v>0</v>
      </c>
      <c r="DP359" s="19" t="str">
        <f>IF(BA359="","","INSERT INTO imeprezime_alias(id,alias,imeprezime_id) VALUES ("&amp;BB359&amp;",'"&amp;BA359&amp;"',"&amp;IF(BC359="NEMA",BD359,BC359)&amp;");")</f>
        <v/>
      </c>
      <c r="DQ359" s="47" t="s">
        <v>0</v>
      </c>
      <c r="DR359" s="52" t="str">
        <f>IF(AL359="","",DU359 &amp; IF(Q359="",""," – " &amp; Q359))</f>
        <v/>
      </c>
      <c r="DS359" s="53" t="str">
        <f t="shared" si="312"/>
        <v/>
      </c>
      <c r="DT359" s="47" t="s">
        <v>0</v>
      </c>
      <c r="DU359" s="52" t="str">
        <f>IF(AL359="","",DX359 &amp; IF(CR359="",""," – " &amp; CR359))</f>
        <v/>
      </c>
      <c r="DV359" s="53" t="str">
        <f t="shared" si="313"/>
        <v/>
      </c>
      <c r="DW359" s="47" t="s">
        <v>0</v>
      </c>
      <c r="DX359" s="52" t="str">
        <f>IF(BG359="","",BF359&amp;" – "&amp;BG359)</f>
        <v/>
      </c>
      <c r="DY359" s="53" t="str">
        <f t="shared" si="314"/>
        <v/>
      </c>
      <c r="DZ359" s="47" t="s">
        <v>0</v>
      </c>
      <c r="EA359" s="58" t="str">
        <f t="shared" si="343"/>
        <v/>
      </c>
      <c r="EB359" s="53" t="str" cm="1">
        <f t="array" ref="EB359">IF(EA359&lt;&gt;"",INDEX(regNatjecatelj_id,EA359,0),IF(BD359&lt;&gt;"",BD359,""))</f>
        <v/>
      </c>
      <c r="EC359" s="47" t="s">
        <v>0</v>
      </c>
      <c r="ED359" s="58" t="str">
        <f>IF(AL359="","",IF(BD359&lt;&gt;"","novo",IF(AN359="","imepre","imepre(ali)")))</f>
        <v/>
      </c>
      <c r="EE359" s="73" t="str">
        <f>IF(AL359="","",IF(BL359="",IF(IFERROR(INDEX(regNatjecatelj_klub,MATCH(EB359,regNatjecatelj_id,0)),"NEMA")="","klu",""),IF(OR(AND(BN359&lt;&gt;"",BN359&lt;&gt;"NEMA"),CD359&lt;&gt;""),"klu(ali)",IF(AND(BP359&lt;&gt;"",BP359&lt;&gt;BO359),"(raz-klu)","klu"))))</f>
        <v/>
      </c>
      <c r="EF359" s="73" t="str">
        <f>IF(AL359="","","kat"&amp;IF(AND(W359&lt;&gt;Q359,Q359&lt;&gt;"Open"),"(ali)",""))</f>
        <v/>
      </c>
      <c r="EG359" s="73" t="str">
        <f t="shared" si="315"/>
        <v/>
      </c>
      <c r="EH359" s="66" t="str">
        <f>IF(AL359="","",ED359&amp;IF(ED359="novo","","-"&amp;EE359&amp;"-"&amp;EF359)&amp;IF(EG359="","","-"&amp;EG359))</f>
        <v/>
      </c>
      <c r="EI359" s="47" t="s">
        <v>0</v>
      </c>
      <c r="EJ359" s="58" t="str">
        <f>IF(AL359="","",MAX(EJ$12:EJ358)+1)</f>
        <v/>
      </c>
      <c r="EK359" s="73" t="str">
        <f>IF(AO359="","",X359)</f>
        <v/>
      </c>
      <c r="EL359" s="73" t="str">
        <f t="shared" si="344"/>
        <v/>
      </c>
      <c r="EM359" s="73" t="str">
        <f t="shared" si="316"/>
        <v/>
      </c>
      <c r="EN359" s="73" t="str">
        <f t="shared" si="317"/>
        <v/>
      </c>
      <c r="EO359" s="73" t="str">
        <f t="shared" si="345"/>
        <v/>
      </c>
      <c r="EP359" s="73" t="str">
        <f t="shared" si="346"/>
        <v/>
      </c>
      <c r="EQ359" s="73" t="str">
        <f t="shared" si="318"/>
        <v/>
      </c>
      <c r="ER359" s="73" t="str">
        <f>IF(OR(AN359="",AN359="NEMA"),BB359,AN359)</f>
        <v/>
      </c>
      <c r="ES359" s="73" t="str">
        <f>IF(AND(BN359&lt;&gt;"",BN359&lt;&gt;"NEMA"),BN359,IF(CG359&lt;&gt;"",CG359,IF(AND(CL359&lt;&gt;"",CL359&lt;&gt;"NEMA"),CL359,IF(CM359&lt;&gt;"",CM359,""))))</f>
        <v/>
      </c>
      <c r="ET359" s="53" t="str">
        <f>IF(INDEX(natKategorija_alias_Id,MATCH(S359,natKategorija_katRegId,0))="","",INDEX(natKategorija_alias_Id,MATCH(S359,natKategorija_katRegId,0)))</f>
        <v/>
      </c>
      <c r="EU359" s="47" t="s">
        <v>0</v>
      </c>
      <c r="EV359" s="19" t="str">
        <f t="shared" si="347"/>
        <v/>
      </c>
      <c r="EW359" s="47" t="s">
        <v>0</v>
      </c>
      <c r="EX359" s="19" t="str">
        <f t="shared" si="348"/>
        <v/>
      </c>
      <c r="EY359" s="47" t="s">
        <v>0</v>
      </c>
      <c r="EZ359" s="180" t="str">
        <f>AG359&amp;IF(CP359="","","
")&amp;CP359&amp;IF(CI359="","","
")&amp;CI359&amp;IF(DN359="","","
")&amp;DN359&amp;IF(DP359="","","
")&amp;DP359&amp;IF(EV359="","","
")&amp;EV359&amp;IF(EX359="","","
")&amp;EX359</f>
        <v/>
      </c>
      <c r="FA359" s="47" t="s">
        <v>0</v>
      </c>
    </row>
    <row r="360" spans="1:157" x14ac:dyDescent="0.25">
      <c r="A360" t="s">
        <v>0</v>
      </c>
      <c r="B360" s="52" t="str">
        <f>IF(csv!F350="","",csv!T350)</f>
        <v/>
      </c>
      <c r="C360" s="31" t="s">
        <v>0</v>
      </c>
      <c r="D360" s="31" t="str">
        <f>IF(csv!F350="","",csv!F350)</f>
        <v/>
      </c>
      <c r="E360" s="31" t="str">
        <f>IF(csv!E350="","",csv!E350)</f>
        <v/>
      </c>
      <c r="F360" s="31" t="s">
        <v>0</v>
      </c>
      <c r="G360" s="73" t="str">
        <f>IF(csv!M350="","",csv!M350)</f>
        <v/>
      </c>
      <c r="H360" s="73" t="str">
        <f>IF(csv!N350="","",csv!N350)</f>
        <v/>
      </c>
      <c r="I360" s="31" t="s">
        <v>0</v>
      </c>
      <c r="J360" s="31" t="str">
        <f>IF(csv!P350="","",csv!P350)</f>
        <v/>
      </c>
      <c r="K360" s="31" t="str">
        <f>IF(csv!Q350="","",csv!Q350)</f>
        <v/>
      </c>
      <c r="L360" s="31" t="s">
        <v>0</v>
      </c>
      <c r="M360" s="66" t="str">
        <f>IF(csv!R350="","",csv!R350)</f>
        <v/>
      </c>
      <c r="N360" s="47" t="s">
        <v>0</v>
      </c>
      <c r="O360" s="243" t="str">
        <f t="shared" si="319"/>
        <v/>
      </c>
      <c r="P360" s="47"/>
      <c r="Q360" s="52" t="str">
        <f t="shared" si="320"/>
        <v/>
      </c>
      <c r="R360" s="73" t="str">
        <f>IF(Q360="","",IF(COUNTIF(Q$12:Q359,Q360)=0,R359+1,R359))</f>
        <v/>
      </c>
      <c r="S360" s="73" t="str">
        <f t="shared" si="321"/>
        <v/>
      </c>
      <c r="T360" s="73" t="str">
        <f t="shared" si="297"/>
        <v/>
      </c>
      <c r="U360" s="66" t="str">
        <f t="shared" si="298"/>
        <v/>
      </c>
      <c r="V360" s="47" t="s">
        <v>0</v>
      </c>
      <c r="W360" s="222" t="str">
        <f t="shared" si="299"/>
        <v/>
      </c>
      <c r="X360" s="223" t="str">
        <f t="shared" si="300"/>
        <v/>
      </c>
      <c r="Y360" s="47" t="s">
        <v>0</v>
      </c>
      <c r="Z360" s="52" t="str">
        <f t="shared" si="322"/>
        <v/>
      </c>
      <c r="AA360" s="73" t="str">
        <f t="shared" si="301"/>
        <v/>
      </c>
      <c r="AB360" s="31" t="str">
        <f t="shared" si="323"/>
        <v/>
      </c>
      <c r="AC360" s="66" t="str">
        <f>IF(AB360="","",MAX(AC$12:AC359)+1)</f>
        <v/>
      </c>
      <c r="AD360" s="47" t="s">
        <v>0</v>
      </c>
      <c r="AE360" s="125"/>
      <c r="AF360" s="47" t="s">
        <v>0</v>
      </c>
      <c r="AG360" s="19" t="str">
        <f t="shared" si="324"/>
        <v/>
      </c>
      <c r="AH360" s="47" t="s">
        <v>0</v>
      </c>
      <c r="AI360" s="143" t="str">
        <f t="shared" si="325"/>
        <v/>
      </c>
      <c r="AJ360" s="47"/>
      <c r="AK360" s="52" t="str">
        <f t="shared" si="326"/>
        <v/>
      </c>
      <c r="AL360" s="31" t="str">
        <f t="shared" si="327"/>
        <v/>
      </c>
      <c r="AM360" s="73" t="str">
        <f t="shared" si="328"/>
        <v/>
      </c>
      <c r="AN360" s="73" t="str">
        <f t="shared" si="329"/>
        <v/>
      </c>
      <c r="AO360" s="31" t="str">
        <f t="shared" si="302"/>
        <v/>
      </c>
      <c r="AP360" s="66" t="str">
        <f t="shared" si="303"/>
        <v/>
      </c>
      <c r="AQ360" s="47" t="s">
        <v>0</v>
      </c>
      <c r="AR360" s="82" t="str">
        <f t="shared" si="330"/>
        <v/>
      </c>
      <c r="AS360" s="47" t="s">
        <v>0</v>
      </c>
      <c r="AT360" s="19" t="str">
        <f t="shared" si="331"/>
        <v/>
      </c>
      <c r="AU360" s="47" t="s">
        <v>0</v>
      </c>
      <c r="AV360" s="103"/>
      <c r="AW360" s="105"/>
      <c r="AX360" s="47" t="s">
        <v>0</v>
      </c>
      <c r="AY360" s="256" t="str">
        <f t="shared" si="349"/>
        <v/>
      </c>
      <c r="AZ360" s="47" t="s">
        <v>0</v>
      </c>
      <c r="BA360" s="52" t="str">
        <f t="shared" si="296"/>
        <v/>
      </c>
      <c r="BB360" s="73" t="str">
        <f>IF(AV360&amp;AW360="","",MAX(BB$12:BB359)+1)</f>
        <v/>
      </c>
      <c r="BC360" s="268" t="str">
        <f t="shared" si="304"/>
        <v/>
      </c>
      <c r="BD360" s="53" t="str">
        <f>IF(AND(AM360="NEMA",AN360="NEMA",OR(AV360&amp;AW360="",BC360="NEMA")),MAX(BD$12:BD359)+1,"")</f>
        <v/>
      </c>
      <c r="BE360" s="47" t="s">
        <v>0</v>
      </c>
      <c r="BF360" s="52" t="str">
        <f t="shared" si="305"/>
        <v/>
      </c>
      <c r="BG360" s="31" t="str">
        <f t="shared" si="306"/>
        <v/>
      </c>
      <c r="BH360" s="73" t="str">
        <f t="shared" si="332"/>
        <v/>
      </c>
      <c r="BI360" s="53" t="str">
        <f t="shared" si="333"/>
        <v/>
      </c>
      <c r="BJ360" s="47" t="s">
        <v>0</v>
      </c>
      <c r="BK360" s="52" t="str">
        <f t="shared" si="307"/>
        <v/>
      </c>
      <c r="BL360" s="31" t="str">
        <f t="shared" si="308"/>
        <v/>
      </c>
      <c r="BM360" s="73" t="str">
        <f t="shared" si="309"/>
        <v/>
      </c>
      <c r="BN360" s="73" t="str">
        <f t="shared" si="310"/>
        <v/>
      </c>
      <c r="BO360" s="31" t="str" cm="1">
        <f t="array" ref="BO360">IF(BN360="",""&amp;BL360,IF(BN360="NEMA",BL360,INDEX(regKlub_naziv,MATCH(INDEX(regKlub_alias_klubId,BN360),regKlub_id,0))))</f>
        <v/>
      </c>
      <c r="BP360" s="31" t="str" cm="1">
        <f t="array" ref="BP360">IFERROR(""&amp;INDEX(regNatjecatelj_klub,DY360),"")</f>
        <v/>
      </c>
      <c r="BQ360" s="88" t="str">
        <f t="shared" si="334"/>
        <v/>
      </c>
      <c r="BR360" s="66" t="str">
        <f t="shared" si="335"/>
        <v/>
      </c>
      <c r="BS360" s="47" t="s">
        <v>0</v>
      </c>
      <c r="BT360" s="82" t="str">
        <f>IF(BN360&lt;&gt;"NEMA","",IF(IFERROR(MATCH(BL360,BL$12:BL359,0),0)&lt;&gt;0,"",BL360))</f>
        <v/>
      </c>
      <c r="BU360" s="47" t="s">
        <v>0</v>
      </c>
      <c r="BV360" s="125"/>
      <c r="BW360" s="47" t="s">
        <v>0</v>
      </c>
      <c r="BX360" s="58" t="str">
        <f t="shared" si="336"/>
        <v/>
      </c>
      <c r="BY360" s="31" t="str">
        <f t="shared" si="337"/>
        <v/>
      </c>
      <c r="BZ360" s="31" t="str">
        <f>IF(BY360="","",MAX(BZ$12:BZ359)+1)</f>
        <v/>
      </c>
      <c r="CA360" s="31" t="str">
        <f>IF(BY360="","",IF(AA360="","",IF(AA360="NEMA",AC360,AA360)))</f>
        <v/>
      </c>
      <c r="CB360" s="31" t="str">
        <f t="shared" si="338"/>
        <v/>
      </c>
      <c r="CC360" s="31" t="str">
        <f>IF(BV360="","",MAX(CC$12:CC359)+1)</f>
        <v/>
      </c>
      <c r="CD360" s="31" t="str">
        <f t="shared" si="339"/>
        <v/>
      </c>
      <c r="CE360" s="66" t="str">
        <f t="shared" si="340"/>
        <v/>
      </c>
      <c r="CF360" s="47" t="s">
        <v>0</v>
      </c>
      <c r="CG360" s="73" t="str">
        <f>IF(BN360="","",IF(BN360&lt;&gt;"NEMA","",IFERROR(INDEX(nat_klubAliasId,MATCH(BL360,nat_noviKluboviAliasi,0)),"")))</f>
        <v/>
      </c>
      <c r="CH360" s="47"/>
      <c r="CI360" s="19" t="str">
        <f t="shared" si="341"/>
        <v/>
      </c>
      <c r="CJ360" s="47" t="s">
        <v>0</v>
      </c>
      <c r="CK360" s="52" t="str">
        <f>IF(X360&lt;&gt;"NEMA","",IF(IFERROR(MATCH(W360,W$12:W359,0),0)&lt;&gt;0,"",W360))</f>
        <v/>
      </c>
      <c r="CL360" s="73" t="str">
        <f>IF(CK360="","",IFERROR(INDEX(regKlub_alias_id,MATCH(CK360,regKlub_alias_alias,0)),"NEMA"))</f>
        <v/>
      </c>
      <c r="CM360" s="31" t="str">
        <f>IF(OR(CL360="",CL360&lt;&gt;"NEMA"),"",MAX(CM$12:CM359)+1)</f>
        <v/>
      </c>
      <c r="CN360" s="66" t="str">
        <f>IF(OR(CL360="",CL360&lt;&gt;"NEMA"),"",INDEX(regKlub_id,MATCH(CK360,regKlub_naziv,0)))</f>
        <v/>
      </c>
      <c r="CO360" s="47" t="s">
        <v>0</v>
      </c>
      <c r="CP360" s="19" t="str">
        <f>IF(OR(CL360="",CL360&lt;&gt;"NEMA"),"","INSERT INTO klub_alias(id,alias,klub_id) VALUES ("&amp;CM360&amp;",'"&amp;CK360&amp;"',"&amp;CN360&amp;");")</f>
        <v/>
      </c>
      <c r="CQ360" s="47" t="s">
        <v>0</v>
      </c>
      <c r="CR360" s="143" t="str">
        <f>IF(BR360="","",IF(BV360="",IF(IFERROR(MATCH(BR360,nat_noviKluboviAliasi,0),0)&gt;0,INDEX(nat_kluboviAliasi,MATCH(BR360,nat_noviKluboviAliasi,0)),BR360),BV360))</f>
        <v/>
      </c>
      <c r="CS360" s="47" t="s">
        <v>0</v>
      </c>
      <c r="CT360" s="58" t="str">
        <f>IF(G360="","",G360)</f>
        <v/>
      </c>
      <c r="CU360" s="73" t="str">
        <f>IF(H360="","",H360)</f>
        <v/>
      </c>
      <c r="CV360" s="229" t="str">
        <f>IF(CT360="",IF(OR(AL360="",CU360&lt;&gt;"0"),"","GREŠKA"),IF(AND(65535&gt;=VALUE(LEFT(CT360,SEARCH(":",CT360)-1))*60+VALUE(RIGHT(CT360,2)),OR(CU360="0",CU360="1",CU360="2",CU360="3",CU360="4")),"","GREŠKA"))</f>
        <v/>
      </c>
      <c r="CW360" s="230" t="str">
        <f t="shared" si="295"/>
        <v/>
      </c>
      <c r="CX360" s="163" t="str">
        <f t="shared" si="311"/>
        <v/>
      </c>
      <c r="CY360" s="47" t="s">
        <v>0</v>
      </c>
      <c r="CZ360" s="222" t="str">
        <f>IF(CV360&lt;&gt;"GREŠKA","",AK360&amp;" "&amp;AL360&amp;" – Molim u OEventu provjeriti i ispraviti rezultat – vrijeme ("&amp;IF(CT360="","nije upisano",CT360)&amp;") i classifier ("&amp;CU360&amp;").")&amp;IF(OR(CV360&lt;&gt;"GREŠKA",CX360&lt;&gt;5),"
","")&amp;IF(CX360&lt;&gt;5,"",AK360&amp;" "&amp;AL360&amp;" – Molim u provjeriti je li natjecatelj zaista diskvalificiran. Ako je koje je obrazloženje, ako nije molim u OEventu ispraviti rezultat")</f>
        <v xml:space="preserve">
</v>
      </c>
      <c r="DA360" s="223" t="str">
        <f t="shared" si="342"/>
        <v/>
      </c>
      <c r="DB360" s="47" t="s">
        <v>0</v>
      </c>
      <c r="DC360" s="47"/>
      <c r="DD360" s="47"/>
      <c r="DE360" s="47"/>
      <c r="DF360" s="47" t="s">
        <v>0</v>
      </c>
      <c r="DG360" s="53" t="str">
        <f>IF(BD360="","",IF(DI360="O",1,""))</f>
        <v/>
      </c>
      <c r="DH360" t="s">
        <v>0</v>
      </c>
      <c r="DI360" s="128" t="str">
        <f>IF(Q360="","",LEFT(INDEX(regKategorija_oznaka,MATCH(S360,regKategorija_id,0)),1))</f>
        <v/>
      </c>
      <c r="DJ360" t="s">
        <v>0</v>
      </c>
      <c r="DK360" s="52" t="str">
        <f>IF(BD360="","",IF(M360&lt;&gt;"CRO","","INSERT INTO osoba (id,reg_broj,oib,spol_id,dat_rodjenja) VALUES ("&amp;BD360&amp;",(SELECT max(os.reg_broj)+1 FROM osoba AS os),Null,'"&amp;DI360&amp;"',Null); INSERT INTO osoba_log (id,reg_broj,oib,spol_id,dat_rodjenja,dnevnik_id) SELECT id,reg_broj,oib,spol_id,dat_rodjenja,"&amp;data_dnevnik_id&amp;" FROM osoba WHERE id = "&amp;BD360&amp;";"))</f>
        <v/>
      </c>
      <c r="DL360" s="66" t="str">
        <f>IF(BD360="","","INSERT INTO imeprezime (id,osoba_id,rbr,ime,prezime,klub_id,identitet_id,sintaksa_id,info,aktivno,dnevnik_id) VALUES ("&amp;BD360&amp;","&amp;IF(DK360="","Null",BD360)&amp;",1,'"&amp;IF(AV360&lt;&gt;"",AV360,AK360)&amp;"','"&amp;IF(AW360&lt;&gt;"",AW360,AL360)&amp;"',(SELECT id FROM klub WHERE naziv = '"&amp;CR360&amp;"'),Null,1,'',1,"&amp;data_dnevnik_id&amp;");")</f>
        <v/>
      </c>
      <c r="DM360" t="s">
        <v>0</v>
      </c>
      <c r="DN360" s="19" t="str">
        <f t="shared" si="350"/>
        <v/>
      </c>
      <c r="DO360" s="47" t="s">
        <v>0</v>
      </c>
      <c r="DP360" s="19" t="str">
        <f>IF(BA360="","","INSERT INTO imeprezime_alias(id,alias,imeprezime_id) VALUES ("&amp;BB360&amp;",'"&amp;BA360&amp;"',"&amp;IF(BC360="NEMA",BD360,BC360)&amp;");")</f>
        <v/>
      </c>
      <c r="DQ360" s="47" t="s">
        <v>0</v>
      </c>
      <c r="DR360" s="52" t="str">
        <f>IF(AL360="","",DU360 &amp; IF(Q360="",""," – " &amp; Q360))</f>
        <v/>
      </c>
      <c r="DS360" s="53" t="str">
        <f t="shared" si="312"/>
        <v/>
      </c>
      <c r="DT360" s="47" t="s">
        <v>0</v>
      </c>
      <c r="DU360" s="52" t="str">
        <f>IF(AL360="","",DX360 &amp; IF(CR360="",""," – " &amp; CR360))</f>
        <v/>
      </c>
      <c r="DV360" s="53" t="str">
        <f t="shared" si="313"/>
        <v/>
      </c>
      <c r="DW360" s="47" t="s">
        <v>0</v>
      </c>
      <c r="DX360" s="52" t="str">
        <f>IF(BG360="","",BF360&amp;" – "&amp;BG360)</f>
        <v/>
      </c>
      <c r="DY360" s="53" t="str">
        <f t="shared" si="314"/>
        <v/>
      </c>
      <c r="DZ360" s="47" t="s">
        <v>0</v>
      </c>
      <c r="EA360" s="58" t="str">
        <f t="shared" si="343"/>
        <v/>
      </c>
      <c r="EB360" s="53" t="str" cm="1">
        <f t="array" ref="EB360">IF(EA360&lt;&gt;"",INDEX(regNatjecatelj_id,EA360,0),IF(BD360&lt;&gt;"",BD360,""))</f>
        <v/>
      </c>
      <c r="EC360" s="47" t="s">
        <v>0</v>
      </c>
      <c r="ED360" s="58" t="str">
        <f>IF(AL360="","",IF(BD360&lt;&gt;"","novo",IF(AN360="","imepre","imepre(ali)")))</f>
        <v/>
      </c>
      <c r="EE360" s="73" t="str">
        <f>IF(AL360="","",IF(BL360="",IF(IFERROR(INDEX(regNatjecatelj_klub,MATCH(EB360,regNatjecatelj_id,0)),"NEMA")="","klu",""),IF(OR(AND(BN360&lt;&gt;"",BN360&lt;&gt;"NEMA"),CD360&lt;&gt;""),"klu(ali)",IF(AND(BP360&lt;&gt;"",BP360&lt;&gt;BO360),"(raz-klu)","klu"))))</f>
        <v/>
      </c>
      <c r="EF360" s="73" t="str">
        <f>IF(AL360="","","kat"&amp;IF(AND(W360&lt;&gt;Q360,Q360&lt;&gt;"Open"),"(ali)",""))</f>
        <v/>
      </c>
      <c r="EG360" s="73" t="str">
        <f t="shared" si="315"/>
        <v/>
      </c>
      <c r="EH360" s="66" t="str">
        <f>IF(AL360="","",ED360&amp;IF(ED360="novo","","-"&amp;EE360&amp;"-"&amp;EF360)&amp;IF(EG360="","","-"&amp;EG360))</f>
        <v/>
      </c>
      <c r="EI360" s="47" t="s">
        <v>0</v>
      </c>
      <c r="EJ360" s="58" t="str">
        <f>IF(AL360="","",MAX(EJ$12:EJ359)+1)</f>
        <v/>
      </c>
      <c r="EK360" s="73" t="str">
        <f>IF(AO360="","",X360)</f>
        <v/>
      </c>
      <c r="EL360" s="73" t="str">
        <f t="shared" si="344"/>
        <v/>
      </c>
      <c r="EM360" s="73" t="str">
        <f t="shared" si="316"/>
        <v/>
      </c>
      <c r="EN360" s="73" t="str">
        <f t="shared" si="317"/>
        <v/>
      </c>
      <c r="EO360" s="73" t="str">
        <f t="shared" si="345"/>
        <v/>
      </c>
      <c r="EP360" s="73" t="str">
        <f t="shared" si="346"/>
        <v/>
      </c>
      <c r="EQ360" s="73" t="str">
        <f t="shared" si="318"/>
        <v/>
      </c>
      <c r="ER360" s="73" t="str">
        <f>IF(OR(AN360="",AN360="NEMA"),BB360,AN360)</f>
        <v/>
      </c>
      <c r="ES360" s="73" t="str">
        <f>IF(AND(BN360&lt;&gt;"",BN360&lt;&gt;"NEMA"),BN360,IF(CG360&lt;&gt;"",CG360,IF(AND(CL360&lt;&gt;"",CL360&lt;&gt;"NEMA"),CL360,IF(CM360&lt;&gt;"",CM360,""))))</f>
        <v/>
      </c>
      <c r="ET360" s="53" t="str">
        <f>IF(INDEX(natKategorija_alias_Id,MATCH(S360,natKategorija_katRegId,0))="","",INDEX(natKategorija_alias_Id,MATCH(S360,natKategorija_katRegId,0)))</f>
        <v/>
      </c>
      <c r="EU360" s="47" t="s">
        <v>0</v>
      </c>
      <c r="EV360" s="19" t="str">
        <f t="shared" si="347"/>
        <v/>
      </c>
      <c r="EW360" s="47" t="s">
        <v>0</v>
      </c>
      <c r="EX360" s="19" t="str">
        <f t="shared" si="348"/>
        <v/>
      </c>
      <c r="EY360" s="47" t="s">
        <v>0</v>
      </c>
      <c r="EZ360" s="180" t="str">
        <f>AG360&amp;IF(CP360="","","
")&amp;CP360&amp;IF(CI360="","","
")&amp;CI360&amp;IF(DN360="","","
")&amp;DN360&amp;IF(DP360="","","
")&amp;DP360&amp;IF(EV360="","","
")&amp;EV360&amp;IF(EX360="","","
")&amp;EX360</f>
        <v/>
      </c>
      <c r="FA360" s="47" t="s">
        <v>0</v>
      </c>
    </row>
    <row r="361" spans="1:157" x14ac:dyDescent="0.25">
      <c r="A361" t="s">
        <v>0</v>
      </c>
      <c r="B361" s="52" t="str">
        <f>IF(csv!F351="","",csv!T351)</f>
        <v/>
      </c>
      <c r="C361" s="31" t="s">
        <v>0</v>
      </c>
      <c r="D361" s="31" t="str">
        <f>IF(csv!F351="","",csv!F351)</f>
        <v/>
      </c>
      <c r="E361" s="31" t="str">
        <f>IF(csv!E351="","",csv!E351)</f>
        <v/>
      </c>
      <c r="F361" s="31" t="s">
        <v>0</v>
      </c>
      <c r="G361" s="73" t="str">
        <f>IF(csv!M351="","",csv!M351)</f>
        <v/>
      </c>
      <c r="H361" s="73" t="str">
        <f>IF(csv!N351="","",csv!N351)</f>
        <v/>
      </c>
      <c r="I361" s="31" t="s">
        <v>0</v>
      </c>
      <c r="J361" s="31" t="str">
        <f>IF(csv!P351="","",csv!P351)</f>
        <v/>
      </c>
      <c r="K361" s="31" t="str">
        <f>IF(csv!Q351="","",csv!Q351)</f>
        <v/>
      </c>
      <c r="L361" s="31" t="s">
        <v>0</v>
      </c>
      <c r="M361" s="66" t="str">
        <f>IF(csv!R351="","",csv!R351)</f>
        <v/>
      </c>
      <c r="N361" s="47" t="s">
        <v>0</v>
      </c>
      <c r="O361" s="243" t="str">
        <f t="shared" si="319"/>
        <v/>
      </c>
      <c r="P361" s="47"/>
      <c r="Q361" s="52" t="str">
        <f t="shared" si="320"/>
        <v/>
      </c>
      <c r="R361" s="73" t="str">
        <f>IF(Q361="","",IF(COUNTIF(Q$12:Q360,Q361)=0,R360+1,R360))</f>
        <v/>
      </c>
      <c r="S361" s="73" t="str">
        <f t="shared" si="321"/>
        <v/>
      </c>
      <c r="T361" s="73" t="str">
        <f t="shared" si="297"/>
        <v/>
      </c>
      <c r="U361" s="66" t="str">
        <f t="shared" si="298"/>
        <v/>
      </c>
      <c r="V361" s="47" t="s">
        <v>0</v>
      </c>
      <c r="W361" s="222" t="str">
        <f t="shared" si="299"/>
        <v/>
      </c>
      <c r="X361" s="223" t="str">
        <f t="shared" si="300"/>
        <v/>
      </c>
      <c r="Y361" s="47" t="s">
        <v>0</v>
      </c>
      <c r="Z361" s="52" t="str">
        <f t="shared" si="322"/>
        <v/>
      </c>
      <c r="AA361" s="73" t="str">
        <f t="shared" si="301"/>
        <v/>
      </c>
      <c r="AB361" s="31" t="str">
        <f t="shared" si="323"/>
        <v/>
      </c>
      <c r="AC361" s="66" t="str">
        <f>IF(AB361="","",MAX(AC$12:AC360)+1)</f>
        <v/>
      </c>
      <c r="AD361" s="47" t="s">
        <v>0</v>
      </c>
      <c r="AE361" s="125"/>
      <c r="AF361" s="47" t="s">
        <v>0</v>
      </c>
      <c r="AG361" s="19" t="str">
        <f t="shared" si="324"/>
        <v/>
      </c>
      <c r="AH361" s="47" t="s">
        <v>0</v>
      </c>
      <c r="AI361" s="143" t="str">
        <f t="shared" si="325"/>
        <v/>
      </c>
      <c r="AJ361" s="47"/>
      <c r="AK361" s="52" t="str">
        <f t="shared" si="326"/>
        <v/>
      </c>
      <c r="AL361" s="31" t="str">
        <f t="shared" si="327"/>
        <v/>
      </c>
      <c r="AM361" s="73" t="str">
        <f t="shared" si="328"/>
        <v/>
      </c>
      <c r="AN361" s="73" t="str">
        <f t="shared" si="329"/>
        <v/>
      </c>
      <c r="AO361" s="31" t="str">
        <f t="shared" si="302"/>
        <v/>
      </c>
      <c r="AP361" s="66" t="str">
        <f t="shared" si="303"/>
        <v/>
      </c>
      <c r="AQ361" s="47" t="s">
        <v>0</v>
      </c>
      <c r="AR361" s="82" t="str">
        <f t="shared" si="330"/>
        <v/>
      </c>
      <c r="AS361" s="47" t="s">
        <v>0</v>
      </c>
      <c r="AT361" s="19" t="str">
        <f t="shared" si="331"/>
        <v/>
      </c>
      <c r="AU361" s="47" t="s">
        <v>0</v>
      </c>
      <c r="AV361" s="103"/>
      <c r="AW361" s="105"/>
      <c r="AX361" s="47" t="s">
        <v>0</v>
      </c>
      <c r="AY361" s="256" t="str">
        <f t="shared" si="349"/>
        <v/>
      </c>
      <c r="AZ361" s="47" t="s">
        <v>0</v>
      </c>
      <c r="BA361" s="52" t="str">
        <f t="shared" si="296"/>
        <v/>
      </c>
      <c r="BB361" s="73" t="str">
        <f>IF(AV361&amp;AW361="","",MAX(BB$12:BB360)+1)</f>
        <v/>
      </c>
      <c r="BC361" s="268" t="str">
        <f t="shared" si="304"/>
        <v/>
      </c>
      <c r="BD361" s="53" t="str">
        <f>IF(AND(AM361="NEMA",AN361="NEMA",OR(AV361&amp;AW361="",BC361="NEMA")),MAX(BD$12:BD360)+1,"")</f>
        <v/>
      </c>
      <c r="BE361" s="47" t="s">
        <v>0</v>
      </c>
      <c r="BF361" s="52" t="str">
        <f t="shared" si="305"/>
        <v/>
      </c>
      <c r="BG361" s="31" t="str">
        <f t="shared" si="306"/>
        <v/>
      </c>
      <c r="BH361" s="73" t="str">
        <f t="shared" si="332"/>
        <v/>
      </c>
      <c r="BI361" s="53" t="str">
        <f t="shared" si="333"/>
        <v/>
      </c>
      <c r="BJ361" s="47" t="s">
        <v>0</v>
      </c>
      <c r="BK361" s="52" t="str">
        <f t="shared" si="307"/>
        <v/>
      </c>
      <c r="BL361" s="31" t="str">
        <f t="shared" si="308"/>
        <v/>
      </c>
      <c r="BM361" s="73" t="str">
        <f t="shared" si="309"/>
        <v/>
      </c>
      <c r="BN361" s="73" t="str">
        <f t="shared" si="310"/>
        <v/>
      </c>
      <c r="BO361" s="31" t="str" cm="1">
        <f t="array" ref="BO361">IF(BN361="",""&amp;BL361,IF(BN361="NEMA",BL361,INDEX(regKlub_naziv,MATCH(INDEX(regKlub_alias_klubId,BN361),regKlub_id,0))))</f>
        <v/>
      </c>
      <c r="BP361" s="31" t="str" cm="1">
        <f t="array" ref="BP361">IFERROR(""&amp;INDEX(regNatjecatelj_klub,DY361),"")</f>
        <v/>
      </c>
      <c r="BQ361" s="88" t="str">
        <f t="shared" si="334"/>
        <v/>
      </c>
      <c r="BR361" s="66" t="str">
        <f t="shared" si="335"/>
        <v/>
      </c>
      <c r="BS361" s="47" t="s">
        <v>0</v>
      </c>
      <c r="BT361" s="82" t="str">
        <f>IF(BN361&lt;&gt;"NEMA","",IF(IFERROR(MATCH(BL361,BL$12:BL360,0),0)&lt;&gt;0,"",BL361))</f>
        <v/>
      </c>
      <c r="BU361" s="47" t="s">
        <v>0</v>
      </c>
      <c r="BV361" s="125"/>
      <c r="BW361" s="47" t="s">
        <v>0</v>
      </c>
      <c r="BX361" s="58" t="str">
        <f t="shared" si="336"/>
        <v/>
      </c>
      <c r="BY361" s="31" t="str">
        <f t="shared" si="337"/>
        <v/>
      </c>
      <c r="BZ361" s="31" t="str">
        <f>IF(BY361="","",MAX(BZ$12:BZ360)+1)</f>
        <v/>
      </c>
      <c r="CA361" s="31" t="str">
        <f>IF(BY361="","",IF(AA361="","",IF(AA361="NEMA",AC361,AA361)))</f>
        <v/>
      </c>
      <c r="CB361" s="31" t="str">
        <f t="shared" si="338"/>
        <v/>
      </c>
      <c r="CC361" s="31" t="str">
        <f>IF(BV361="","",MAX(CC$12:CC360)+1)</f>
        <v/>
      </c>
      <c r="CD361" s="31" t="str">
        <f t="shared" si="339"/>
        <v/>
      </c>
      <c r="CE361" s="66" t="str">
        <f t="shared" si="340"/>
        <v/>
      </c>
      <c r="CF361" s="47" t="s">
        <v>0</v>
      </c>
      <c r="CG361" s="73" t="str">
        <f>IF(BN361="","",IF(BN361&lt;&gt;"NEMA","",IFERROR(INDEX(nat_klubAliasId,MATCH(BL361,nat_noviKluboviAliasi,0)),"")))</f>
        <v/>
      </c>
      <c r="CH361" s="47"/>
      <c r="CI361" s="19" t="str">
        <f t="shared" si="341"/>
        <v/>
      </c>
      <c r="CJ361" s="47" t="s">
        <v>0</v>
      </c>
      <c r="CK361" s="52" t="str">
        <f>IF(X361&lt;&gt;"NEMA","",IF(IFERROR(MATCH(W361,W$12:W360,0),0)&lt;&gt;0,"",W361))</f>
        <v/>
      </c>
      <c r="CL361" s="73" t="str">
        <f>IF(CK361="","",IFERROR(INDEX(regKlub_alias_id,MATCH(CK361,regKlub_alias_alias,0)),"NEMA"))</f>
        <v/>
      </c>
      <c r="CM361" s="31" t="str">
        <f>IF(OR(CL361="",CL361&lt;&gt;"NEMA"),"",MAX(CM$12:CM360)+1)</f>
        <v/>
      </c>
      <c r="CN361" s="66" t="str">
        <f>IF(OR(CL361="",CL361&lt;&gt;"NEMA"),"",INDEX(regKlub_id,MATCH(CK361,regKlub_naziv,0)))</f>
        <v/>
      </c>
      <c r="CO361" s="47" t="s">
        <v>0</v>
      </c>
      <c r="CP361" s="19" t="str">
        <f>IF(OR(CL361="",CL361&lt;&gt;"NEMA"),"","INSERT INTO klub_alias(id,alias,klub_id) VALUES ("&amp;CM361&amp;",'"&amp;CK361&amp;"',"&amp;CN361&amp;");")</f>
        <v/>
      </c>
      <c r="CQ361" s="47" t="s">
        <v>0</v>
      </c>
      <c r="CR361" s="143" t="str">
        <f>IF(BR361="","",IF(BV361="",IF(IFERROR(MATCH(BR361,nat_noviKluboviAliasi,0),0)&gt;0,INDEX(nat_kluboviAliasi,MATCH(BR361,nat_noviKluboviAliasi,0)),BR361),BV361))</f>
        <v/>
      </c>
      <c r="CS361" s="47" t="s">
        <v>0</v>
      </c>
      <c r="CT361" s="58" t="str">
        <f>IF(G361="","",G361)</f>
        <v/>
      </c>
      <c r="CU361" s="73" t="str">
        <f>IF(H361="","",H361)</f>
        <v/>
      </c>
      <c r="CV361" s="229" t="str">
        <f>IF(CT361="",IF(OR(AL361="",CU361&lt;&gt;"0"),"","GREŠKA"),IF(AND(65535&gt;=VALUE(LEFT(CT361,SEARCH(":",CT361)-1))*60+VALUE(RIGHT(CT361,2)),OR(CU361="0",CU361="1",CU361="2",CU361="3",CU361="4")),"","GREŠKA"))</f>
        <v/>
      </c>
      <c r="CW361" s="230" t="str">
        <f t="shared" si="295"/>
        <v/>
      </c>
      <c r="CX361" s="163" t="str">
        <f t="shared" si="311"/>
        <v/>
      </c>
      <c r="CY361" s="47" t="s">
        <v>0</v>
      </c>
      <c r="CZ361" s="222" t="str">
        <f>IF(CV361&lt;&gt;"GREŠKA","",AK361&amp;" "&amp;AL361&amp;" – Molim u OEventu provjeriti i ispraviti rezultat – vrijeme ("&amp;IF(CT361="","nije upisano",CT361)&amp;") i classifier ("&amp;CU361&amp;").")&amp;IF(OR(CV361&lt;&gt;"GREŠKA",CX361&lt;&gt;5),"
","")&amp;IF(CX361&lt;&gt;5,"",AK361&amp;" "&amp;AL361&amp;" – Molim u provjeriti je li natjecatelj zaista diskvalificiran. Ako je koje je obrazloženje, ako nije molim u OEventu ispraviti rezultat")</f>
        <v xml:space="preserve">
</v>
      </c>
      <c r="DA361" s="223" t="str">
        <f t="shared" si="342"/>
        <v/>
      </c>
      <c r="DB361" s="47" t="s">
        <v>0</v>
      </c>
      <c r="DC361" s="47"/>
      <c r="DD361" s="47"/>
      <c r="DE361" s="47"/>
      <c r="DF361" s="47" t="s">
        <v>0</v>
      </c>
      <c r="DG361" s="53" t="str">
        <f>IF(BD361="","",IF(DI361="O",1,""))</f>
        <v/>
      </c>
      <c r="DH361" t="s">
        <v>0</v>
      </c>
      <c r="DI361" s="128" t="str">
        <f>IF(Q361="","",LEFT(INDEX(regKategorija_oznaka,MATCH(S361,regKategorija_id,0)),1))</f>
        <v/>
      </c>
      <c r="DJ361" t="s">
        <v>0</v>
      </c>
      <c r="DK361" s="52" t="str">
        <f>IF(BD361="","",IF(M361&lt;&gt;"CRO","","INSERT INTO osoba (id,reg_broj,oib,spol_id,dat_rodjenja) VALUES ("&amp;BD361&amp;",(SELECT max(os.reg_broj)+1 FROM osoba AS os),Null,'"&amp;DI361&amp;"',Null); INSERT INTO osoba_log (id,reg_broj,oib,spol_id,dat_rodjenja,dnevnik_id) SELECT id,reg_broj,oib,spol_id,dat_rodjenja,"&amp;data_dnevnik_id&amp;" FROM osoba WHERE id = "&amp;BD361&amp;";"))</f>
        <v/>
      </c>
      <c r="DL361" s="66" t="str">
        <f>IF(BD361="","","INSERT INTO imeprezime (id,osoba_id,rbr,ime,prezime,klub_id,identitet_id,sintaksa_id,info,aktivno,dnevnik_id) VALUES ("&amp;BD361&amp;","&amp;IF(DK361="","Null",BD361)&amp;",1,'"&amp;IF(AV361&lt;&gt;"",AV361,AK361)&amp;"','"&amp;IF(AW361&lt;&gt;"",AW361,AL361)&amp;"',(SELECT id FROM klub WHERE naziv = '"&amp;CR361&amp;"'),Null,1,'',1,"&amp;data_dnevnik_id&amp;");")</f>
        <v/>
      </c>
      <c r="DM361" t="s">
        <v>0</v>
      </c>
      <c r="DN361" s="19" t="str">
        <f t="shared" si="350"/>
        <v/>
      </c>
      <c r="DO361" s="47" t="s">
        <v>0</v>
      </c>
      <c r="DP361" s="19" t="str">
        <f>IF(BA361="","","INSERT INTO imeprezime_alias(id,alias,imeprezime_id) VALUES ("&amp;BB361&amp;",'"&amp;BA361&amp;"',"&amp;IF(BC361="NEMA",BD361,BC361)&amp;");")</f>
        <v/>
      </c>
      <c r="DQ361" s="47" t="s">
        <v>0</v>
      </c>
      <c r="DR361" s="52" t="str">
        <f>IF(AL361="","",DU361 &amp; IF(Q361="",""," – " &amp; Q361))</f>
        <v/>
      </c>
      <c r="DS361" s="53" t="str">
        <f t="shared" si="312"/>
        <v/>
      </c>
      <c r="DT361" s="47" t="s">
        <v>0</v>
      </c>
      <c r="DU361" s="52" t="str">
        <f>IF(AL361="","",DX361 &amp; IF(CR361="",""," – " &amp; CR361))</f>
        <v/>
      </c>
      <c r="DV361" s="53" t="str">
        <f t="shared" si="313"/>
        <v/>
      </c>
      <c r="DW361" s="47" t="s">
        <v>0</v>
      </c>
      <c r="DX361" s="52" t="str">
        <f>IF(BG361="","",BF361&amp;" – "&amp;BG361)</f>
        <v/>
      </c>
      <c r="DY361" s="53" t="str">
        <f t="shared" si="314"/>
        <v/>
      </c>
      <c r="DZ361" s="47" t="s">
        <v>0</v>
      </c>
      <c r="EA361" s="58" t="str">
        <f t="shared" si="343"/>
        <v/>
      </c>
      <c r="EB361" s="53" t="str" cm="1">
        <f t="array" ref="EB361">IF(EA361&lt;&gt;"",INDEX(regNatjecatelj_id,EA361,0),IF(BD361&lt;&gt;"",BD361,""))</f>
        <v/>
      </c>
      <c r="EC361" s="47" t="s">
        <v>0</v>
      </c>
      <c r="ED361" s="58" t="str">
        <f>IF(AL361="","",IF(BD361&lt;&gt;"","novo",IF(AN361="","imepre","imepre(ali)")))</f>
        <v/>
      </c>
      <c r="EE361" s="73" t="str">
        <f>IF(AL361="","",IF(BL361="",IF(IFERROR(INDEX(regNatjecatelj_klub,MATCH(EB361,regNatjecatelj_id,0)),"NEMA")="","klu",""),IF(OR(AND(BN361&lt;&gt;"",BN361&lt;&gt;"NEMA"),CD361&lt;&gt;""),"klu(ali)",IF(AND(BP361&lt;&gt;"",BP361&lt;&gt;BO361),"(raz-klu)","klu"))))</f>
        <v/>
      </c>
      <c r="EF361" s="73" t="str">
        <f>IF(AL361="","","kat"&amp;IF(AND(W361&lt;&gt;Q361,Q361&lt;&gt;"Open"),"(ali)",""))</f>
        <v/>
      </c>
      <c r="EG361" s="73" t="str">
        <f t="shared" si="315"/>
        <v/>
      </c>
      <c r="EH361" s="66" t="str">
        <f>IF(AL361="","",ED361&amp;IF(ED361="novo","","-"&amp;EE361&amp;"-"&amp;EF361)&amp;IF(EG361="","","-"&amp;EG361))</f>
        <v/>
      </c>
      <c r="EI361" s="47" t="s">
        <v>0</v>
      </c>
      <c r="EJ361" s="58" t="str">
        <f>IF(AL361="","",MAX(EJ$12:EJ360)+1)</f>
        <v/>
      </c>
      <c r="EK361" s="73" t="str">
        <f>IF(AO361="","",X361)</f>
        <v/>
      </c>
      <c r="EL361" s="73" t="str">
        <f t="shared" si="344"/>
        <v/>
      </c>
      <c r="EM361" s="73" t="str">
        <f t="shared" si="316"/>
        <v/>
      </c>
      <c r="EN361" s="73" t="str">
        <f t="shared" si="317"/>
        <v/>
      </c>
      <c r="EO361" s="73" t="str">
        <f t="shared" si="345"/>
        <v/>
      </c>
      <c r="EP361" s="73" t="str">
        <f t="shared" si="346"/>
        <v/>
      </c>
      <c r="EQ361" s="73" t="str">
        <f t="shared" si="318"/>
        <v/>
      </c>
      <c r="ER361" s="73" t="str">
        <f>IF(OR(AN361="",AN361="NEMA"),BB361,AN361)</f>
        <v/>
      </c>
      <c r="ES361" s="73" t="str">
        <f>IF(AND(BN361&lt;&gt;"",BN361&lt;&gt;"NEMA"),BN361,IF(CG361&lt;&gt;"",CG361,IF(AND(CL361&lt;&gt;"",CL361&lt;&gt;"NEMA"),CL361,IF(CM361&lt;&gt;"",CM361,""))))</f>
        <v/>
      </c>
      <c r="ET361" s="53" t="str">
        <f>IF(INDEX(natKategorija_alias_Id,MATCH(S361,natKategorija_katRegId,0))="","",INDEX(natKategorija_alias_Id,MATCH(S361,natKategorija_katRegId,0)))</f>
        <v/>
      </c>
      <c r="EU361" s="47" t="s">
        <v>0</v>
      </c>
      <c r="EV361" s="19" t="str">
        <f t="shared" si="347"/>
        <v/>
      </c>
      <c r="EW361" s="47" t="s">
        <v>0</v>
      </c>
      <c r="EX361" s="19" t="str">
        <f t="shared" si="348"/>
        <v/>
      </c>
      <c r="EY361" s="47" t="s">
        <v>0</v>
      </c>
      <c r="EZ361" s="180" t="str">
        <f>AG361&amp;IF(CP361="","","
")&amp;CP361&amp;IF(CI361="","","
")&amp;CI361&amp;IF(DN361="","","
")&amp;DN361&amp;IF(DP361="","","
")&amp;DP361&amp;IF(EV361="","","
")&amp;EV361&amp;IF(EX361="","","
")&amp;EX361</f>
        <v/>
      </c>
      <c r="FA361" s="47" t="s">
        <v>0</v>
      </c>
    </row>
    <row r="362" spans="1:157" x14ac:dyDescent="0.25">
      <c r="A362" t="s">
        <v>0</v>
      </c>
      <c r="B362" s="52" t="str">
        <f>IF(csv!F352="","",csv!T352)</f>
        <v/>
      </c>
      <c r="C362" s="31" t="s">
        <v>0</v>
      </c>
      <c r="D362" s="31" t="str">
        <f>IF(csv!F352="","",csv!F352)</f>
        <v/>
      </c>
      <c r="E362" s="31" t="str">
        <f>IF(csv!E352="","",csv!E352)</f>
        <v/>
      </c>
      <c r="F362" s="31" t="s">
        <v>0</v>
      </c>
      <c r="G362" s="73" t="str">
        <f>IF(csv!M352="","",csv!M352)</f>
        <v/>
      </c>
      <c r="H362" s="73" t="str">
        <f>IF(csv!N352="","",csv!N352)</f>
        <v/>
      </c>
      <c r="I362" s="31" t="s">
        <v>0</v>
      </c>
      <c r="J362" s="31" t="str">
        <f>IF(csv!P352="","",csv!P352)</f>
        <v/>
      </c>
      <c r="K362" s="31" t="str">
        <f>IF(csv!Q352="","",csv!Q352)</f>
        <v/>
      </c>
      <c r="L362" s="31" t="s">
        <v>0</v>
      </c>
      <c r="M362" s="66" t="str">
        <f>IF(csv!R352="","",csv!R352)</f>
        <v/>
      </c>
      <c r="N362" s="47" t="s">
        <v>0</v>
      </c>
      <c r="O362" s="243" t="str">
        <f t="shared" si="319"/>
        <v/>
      </c>
      <c r="P362" s="47"/>
      <c r="Q362" s="52" t="str">
        <f t="shared" si="320"/>
        <v/>
      </c>
      <c r="R362" s="73" t="str">
        <f>IF(Q362="","",IF(COUNTIF(Q$12:Q361,Q362)=0,R361+1,R361))</f>
        <v/>
      </c>
      <c r="S362" s="73" t="str">
        <f t="shared" si="321"/>
        <v/>
      </c>
      <c r="T362" s="73" t="str">
        <f t="shared" si="297"/>
        <v/>
      </c>
      <c r="U362" s="66" t="str">
        <f t="shared" si="298"/>
        <v/>
      </c>
      <c r="V362" s="47" t="s">
        <v>0</v>
      </c>
      <c r="W362" s="222" t="str">
        <f t="shared" si="299"/>
        <v/>
      </c>
      <c r="X362" s="223" t="str">
        <f t="shared" si="300"/>
        <v/>
      </c>
      <c r="Y362" s="47" t="s">
        <v>0</v>
      </c>
      <c r="Z362" s="52" t="str">
        <f t="shared" si="322"/>
        <v/>
      </c>
      <c r="AA362" s="73" t="str">
        <f t="shared" si="301"/>
        <v/>
      </c>
      <c r="AB362" s="31" t="str">
        <f t="shared" si="323"/>
        <v/>
      </c>
      <c r="AC362" s="66" t="str">
        <f>IF(AB362="","",MAX(AC$12:AC361)+1)</f>
        <v/>
      </c>
      <c r="AD362" s="47" t="s">
        <v>0</v>
      </c>
      <c r="AE362" s="125"/>
      <c r="AF362" s="47" t="s">
        <v>0</v>
      </c>
      <c r="AG362" s="19" t="str">
        <f t="shared" si="324"/>
        <v/>
      </c>
      <c r="AH362" s="47" t="s">
        <v>0</v>
      </c>
      <c r="AI362" s="143" t="str">
        <f t="shared" si="325"/>
        <v/>
      </c>
      <c r="AJ362" s="47"/>
      <c r="AK362" s="52" t="str">
        <f t="shared" si="326"/>
        <v/>
      </c>
      <c r="AL362" s="31" t="str">
        <f t="shared" si="327"/>
        <v/>
      </c>
      <c r="AM362" s="73" t="str">
        <f t="shared" si="328"/>
        <v/>
      </c>
      <c r="AN362" s="73" t="str">
        <f t="shared" si="329"/>
        <v/>
      </c>
      <c r="AO362" s="31" t="str">
        <f t="shared" si="302"/>
        <v/>
      </c>
      <c r="AP362" s="66" t="str">
        <f t="shared" si="303"/>
        <v/>
      </c>
      <c r="AQ362" s="47" t="s">
        <v>0</v>
      </c>
      <c r="AR362" s="82" t="str">
        <f t="shared" si="330"/>
        <v/>
      </c>
      <c r="AS362" s="47" t="s">
        <v>0</v>
      </c>
      <c r="AT362" s="19" t="str">
        <f t="shared" si="331"/>
        <v/>
      </c>
      <c r="AU362" s="47" t="s">
        <v>0</v>
      </c>
      <c r="AV362" s="103"/>
      <c r="AW362" s="105"/>
      <c r="AX362" s="47" t="s">
        <v>0</v>
      </c>
      <c r="AY362" s="256" t="str">
        <f t="shared" si="349"/>
        <v/>
      </c>
      <c r="AZ362" s="47" t="s">
        <v>0</v>
      </c>
      <c r="BA362" s="52" t="str">
        <f t="shared" si="296"/>
        <v/>
      </c>
      <c r="BB362" s="73" t="str">
        <f>IF(AV362&amp;AW362="","",MAX(BB$12:BB361)+1)</f>
        <v/>
      </c>
      <c r="BC362" s="268" t="str">
        <f t="shared" si="304"/>
        <v/>
      </c>
      <c r="BD362" s="53" t="str">
        <f>IF(AND(AM362="NEMA",AN362="NEMA",OR(AV362&amp;AW362="",BC362="NEMA")),MAX(BD$12:BD361)+1,"")</f>
        <v/>
      </c>
      <c r="BE362" s="47" t="s">
        <v>0</v>
      </c>
      <c r="BF362" s="52" t="str">
        <f t="shared" si="305"/>
        <v/>
      </c>
      <c r="BG362" s="31" t="str">
        <f t="shared" si="306"/>
        <v/>
      </c>
      <c r="BH362" s="73" t="str">
        <f t="shared" si="332"/>
        <v/>
      </c>
      <c r="BI362" s="53" t="str">
        <f t="shared" si="333"/>
        <v/>
      </c>
      <c r="BJ362" s="47" t="s">
        <v>0</v>
      </c>
      <c r="BK362" s="52" t="str">
        <f t="shared" si="307"/>
        <v/>
      </c>
      <c r="BL362" s="31" t="str">
        <f t="shared" si="308"/>
        <v/>
      </c>
      <c r="BM362" s="73" t="str">
        <f t="shared" si="309"/>
        <v/>
      </c>
      <c r="BN362" s="73" t="str">
        <f t="shared" si="310"/>
        <v/>
      </c>
      <c r="BO362" s="31" t="str" cm="1">
        <f t="array" ref="BO362">IF(BN362="",""&amp;BL362,IF(BN362="NEMA",BL362,INDEX(regKlub_naziv,MATCH(INDEX(regKlub_alias_klubId,BN362),regKlub_id,0))))</f>
        <v/>
      </c>
      <c r="BP362" s="31" t="str" cm="1">
        <f t="array" ref="BP362">IFERROR(""&amp;INDEX(regNatjecatelj_klub,DY362),"")</f>
        <v/>
      </c>
      <c r="BQ362" s="88" t="str">
        <f t="shared" si="334"/>
        <v/>
      </c>
      <c r="BR362" s="66" t="str">
        <f t="shared" si="335"/>
        <v/>
      </c>
      <c r="BS362" s="47" t="s">
        <v>0</v>
      </c>
      <c r="BT362" s="82" t="str">
        <f>IF(BN362&lt;&gt;"NEMA","",IF(IFERROR(MATCH(BL362,BL$12:BL361,0),0)&lt;&gt;0,"",BL362))</f>
        <v/>
      </c>
      <c r="BU362" s="47" t="s">
        <v>0</v>
      </c>
      <c r="BV362" s="125"/>
      <c r="BW362" s="47" t="s">
        <v>0</v>
      </c>
      <c r="BX362" s="58" t="str">
        <f t="shared" si="336"/>
        <v/>
      </c>
      <c r="BY362" s="31" t="str">
        <f t="shared" si="337"/>
        <v/>
      </c>
      <c r="BZ362" s="31" t="str">
        <f>IF(BY362="","",MAX(BZ$12:BZ361)+1)</f>
        <v/>
      </c>
      <c r="CA362" s="31" t="str">
        <f>IF(BY362="","",IF(AA362="","",IF(AA362="NEMA",AC362,AA362)))</f>
        <v/>
      </c>
      <c r="CB362" s="31" t="str">
        <f t="shared" si="338"/>
        <v/>
      </c>
      <c r="CC362" s="31" t="str">
        <f>IF(BV362="","",MAX(CC$12:CC361)+1)</f>
        <v/>
      </c>
      <c r="CD362" s="31" t="str">
        <f t="shared" si="339"/>
        <v/>
      </c>
      <c r="CE362" s="66" t="str">
        <f t="shared" si="340"/>
        <v/>
      </c>
      <c r="CF362" s="47" t="s">
        <v>0</v>
      </c>
      <c r="CG362" s="73" t="str">
        <f>IF(BN362="","",IF(BN362&lt;&gt;"NEMA","",IFERROR(INDEX(nat_klubAliasId,MATCH(BL362,nat_noviKluboviAliasi,0)),"")))</f>
        <v/>
      </c>
      <c r="CH362" s="47"/>
      <c r="CI362" s="19" t="str">
        <f t="shared" si="341"/>
        <v/>
      </c>
      <c r="CJ362" s="47" t="s">
        <v>0</v>
      </c>
      <c r="CK362" s="52" t="str">
        <f>IF(X362&lt;&gt;"NEMA","",IF(IFERROR(MATCH(W362,W$12:W361,0),0)&lt;&gt;0,"",W362))</f>
        <v/>
      </c>
      <c r="CL362" s="73" t="str">
        <f>IF(CK362="","",IFERROR(INDEX(regKlub_alias_id,MATCH(CK362,regKlub_alias_alias,0)),"NEMA"))</f>
        <v/>
      </c>
      <c r="CM362" s="31" t="str">
        <f>IF(OR(CL362="",CL362&lt;&gt;"NEMA"),"",MAX(CM$12:CM361)+1)</f>
        <v/>
      </c>
      <c r="CN362" s="66" t="str">
        <f>IF(OR(CL362="",CL362&lt;&gt;"NEMA"),"",INDEX(regKlub_id,MATCH(CK362,regKlub_naziv,0)))</f>
        <v/>
      </c>
      <c r="CO362" s="47" t="s">
        <v>0</v>
      </c>
      <c r="CP362" s="19" t="str">
        <f>IF(OR(CL362="",CL362&lt;&gt;"NEMA"),"","INSERT INTO klub_alias(id,alias,klub_id) VALUES ("&amp;CM362&amp;",'"&amp;CK362&amp;"',"&amp;CN362&amp;");")</f>
        <v/>
      </c>
      <c r="CQ362" s="47" t="s">
        <v>0</v>
      </c>
      <c r="CR362" s="143" t="str">
        <f>IF(BR362="","",IF(BV362="",IF(IFERROR(MATCH(BR362,nat_noviKluboviAliasi,0),0)&gt;0,INDEX(nat_kluboviAliasi,MATCH(BR362,nat_noviKluboviAliasi,0)),BR362),BV362))</f>
        <v/>
      </c>
      <c r="CS362" s="47" t="s">
        <v>0</v>
      </c>
      <c r="CT362" s="58" t="str">
        <f>IF(G362="","",G362)</f>
        <v/>
      </c>
      <c r="CU362" s="73" t="str">
        <f>IF(H362="","",H362)</f>
        <v/>
      </c>
      <c r="CV362" s="229" t="str">
        <f>IF(CT362="",IF(OR(AL362="",CU362&lt;&gt;"0"),"","GREŠKA"),IF(AND(65535&gt;=VALUE(LEFT(CT362,SEARCH(":",CT362)-1))*60+VALUE(RIGHT(CT362,2)),OR(CU362="0",CU362="1",CU362="2",CU362="3",CU362="4")),"","GREŠKA"))</f>
        <v/>
      </c>
      <c r="CW362" s="230" t="str">
        <f t="shared" si="295"/>
        <v/>
      </c>
      <c r="CX362" s="163" t="str">
        <f t="shared" si="311"/>
        <v/>
      </c>
      <c r="CY362" s="47" t="s">
        <v>0</v>
      </c>
      <c r="CZ362" s="222" t="str">
        <f>IF(CV362&lt;&gt;"GREŠKA","",AK362&amp;" "&amp;AL362&amp;" – Molim u OEventu provjeriti i ispraviti rezultat – vrijeme ("&amp;IF(CT362="","nije upisano",CT362)&amp;") i classifier ("&amp;CU362&amp;").")&amp;IF(OR(CV362&lt;&gt;"GREŠKA",CX362&lt;&gt;5),"
","")&amp;IF(CX362&lt;&gt;5,"",AK362&amp;" "&amp;AL362&amp;" – Molim u provjeriti je li natjecatelj zaista diskvalificiran. Ako je koje je obrazloženje, ako nije molim u OEventu ispraviti rezultat")</f>
        <v xml:space="preserve">
</v>
      </c>
      <c r="DA362" s="223" t="str">
        <f t="shared" si="342"/>
        <v/>
      </c>
      <c r="DB362" s="47" t="s">
        <v>0</v>
      </c>
      <c r="DC362" s="47"/>
      <c r="DD362" s="47"/>
      <c r="DE362" s="47"/>
      <c r="DF362" s="47" t="s">
        <v>0</v>
      </c>
      <c r="DG362" s="53" t="str">
        <f>IF(BD362="","",IF(DI362="O",1,""))</f>
        <v/>
      </c>
      <c r="DH362" t="s">
        <v>0</v>
      </c>
      <c r="DI362" s="128" t="str">
        <f>IF(Q362="","",LEFT(INDEX(regKategorija_oznaka,MATCH(S362,regKategorija_id,0)),1))</f>
        <v/>
      </c>
      <c r="DJ362" t="s">
        <v>0</v>
      </c>
      <c r="DK362" s="52" t="str">
        <f>IF(BD362="","",IF(M362&lt;&gt;"CRO","","INSERT INTO osoba (id,reg_broj,oib,spol_id,dat_rodjenja) VALUES ("&amp;BD362&amp;",(SELECT max(os.reg_broj)+1 FROM osoba AS os),Null,'"&amp;DI362&amp;"',Null); INSERT INTO osoba_log (id,reg_broj,oib,spol_id,dat_rodjenja,dnevnik_id) SELECT id,reg_broj,oib,spol_id,dat_rodjenja,"&amp;data_dnevnik_id&amp;" FROM osoba WHERE id = "&amp;BD362&amp;";"))</f>
        <v/>
      </c>
      <c r="DL362" s="66" t="str">
        <f>IF(BD362="","","INSERT INTO imeprezime (id,osoba_id,rbr,ime,prezime,klub_id,identitet_id,sintaksa_id,info,aktivno,dnevnik_id) VALUES ("&amp;BD362&amp;","&amp;IF(DK362="","Null",BD362)&amp;",1,'"&amp;IF(AV362&lt;&gt;"",AV362,AK362)&amp;"','"&amp;IF(AW362&lt;&gt;"",AW362,AL362)&amp;"',(SELECT id FROM klub WHERE naziv = '"&amp;CR362&amp;"'),Null,1,'',1,"&amp;data_dnevnik_id&amp;");")</f>
        <v/>
      </c>
      <c r="DM362" t="s">
        <v>0</v>
      </c>
      <c r="DN362" s="19" t="str">
        <f t="shared" si="350"/>
        <v/>
      </c>
      <c r="DO362" s="47" t="s">
        <v>0</v>
      </c>
      <c r="DP362" s="19" t="str">
        <f>IF(BA362="","","INSERT INTO imeprezime_alias(id,alias,imeprezime_id) VALUES ("&amp;BB362&amp;",'"&amp;BA362&amp;"',"&amp;IF(BC362="NEMA",BD362,BC362)&amp;");")</f>
        <v/>
      </c>
      <c r="DQ362" s="47" t="s">
        <v>0</v>
      </c>
      <c r="DR362" s="52" t="str">
        <f>IF(AL362="","",DU362 &amp; IF(Q362="",""," – " &amp; Q362))</f>
        <v/>
      </c>
      <c r="DS362" s="53" t="str">
        <f t="shared" si="312"/>
        <v/>
      </c>
      <c r="DT362" s="47" t="s">
        <v>0</v>
      </c>
      <c r="DU362" s="52" t="str">
        <f>IF(AL362="","",DX362 &amp; IF(CR362="",""," – " &amp; CR362))</f>
        <v/>
      </c>
      <c r="DV362" s="53" t="str">
        <f t="shared" si="313"/>
        <v/>
      </c>
      <c r="DW362" s="47" t="s">
        <v>0</v>
      </c>
      <c r="DX362" s="52" t="str">
        <f>IF(BG362="","",BF362&amp;" – "&amp;BG362)</f>
        <v/>
      </c>
      <c r="DY362" s="53" t="str">
        <f t="shared" si="314"/>
        <v/>
      </c>
      <c r="DZ362" s="47" t="s">
        <v>0</v>
      </c>
      <c r="EA362" s="58" t="str">
        <f t="shared" si="343"/>
        <v/>
      </c>
      <c r="EB362" s="53" t="str" cm="1">
        <f t="array" ref="EB362">IF(EA362&lt;&gt;"",INDEX(regNatjecatelj_id,EA362,0),IF(BD362&lt;&gt;"",BD362,""))</f>
        <v/>
      </c>
      <c r="EC362" s="47" t="s">
        <v>0</v>
      </c>
      <c r="ED362" s="58" t="str">
        <f>IF(AL362="","",IF(BD362&lt;&gt;"","novo",IF(AN362="","imepre","imepre(ali)")))</f>
        <v/>
      </c>
      <c r="EE362" s="73" t="str">
        <f>IF(AL362="","",IF(BL362="",IF(IFERROR(INDEX(regNatjecatelj_klub,MATCH(EB362,regNatjecatelj_id,0)),"NEMA")="","klu",""),IF(OR(AND(BN362&lt;&gt;"",BN362&lt;&gt;"NEMA"),CD362&lt;&gt;""),"klu(ali)",IF(AND(BP362&lt;&gt;"",BP362&lt;&gt;BO362),"(raz-klu)","klu"))))</f>
        <v/>
      </c>
      <c r="EF362" s="73" t="str">
        <f>IF(AL362="","","kat"&amp;IF(AND(W362&lt;&gt;Q362,Q362&lt;&gt;"Open"),"(ali)",""))</f>
        <v/>
      </c>
      <c r="EG362" s="73" t="str">
        <f t="shared" si="315"/>
        <v/>
      </c>
      <c r="EH362" s="66" t="str">
        <f>IF(AL362="","",ED362&amp;IF(ED362="novo","","-"&amp;EE362&amp;"-"&amp;EF362)&amp;IF(EG362="","","-"&amp;EG362))</f>
        <v/>
      </c>
      <c r="EI362" s="47" t="s">
        <v>0</v>
      </c>
      <c r="EJ362" s="58" t="str">
        <f>IF(AL362="","",MAX(EJ$12:EJ361)+1)</f>
        <v/>
      </c>
      <c r="EK362" s="73" t="str">
        <f>IF(AO362="","",X362)</f>
        <v/>
      </c>
      <c r="EL362" s="73" t="str">
        <f t="shared" si="344"/>
        <v/>
      </c>
      <c r="EM362" s="73" t="str">
        <f t="shared" si="316"/>
        <v/>
      </c>
      <c r="EN362" s="73" t="str">
        <f t="shared" si="317"/>
        <v/>
      </c>
      <c r="EO362" s="73" t="str">
        <f t="shared" si="345"/>
        <v/>
      </c>
      <c r="EP362" s="73" t="str">
        <f t="shared" si="346"/>
        <v/>
      </c>
      <c r="EQ362" s="73" t="str">
        <f t="shared" si="318"/>
        <v/>
      </c>
      <c r="ER362" s="73" t="str">
        <f>IF(OR(AN362="",AN362="NEMA"),BB362,AN362)</f>
        <v/>
      </c>
      <c r="ES362" s="73" t="str">
        <f>IF(AND(BN362&lt;&gt;"",BN362&lt;&gt;"NEMA"),BN362,IF(CG362&lt;&gt;"",CG362,IF(AND(CL362&lt;&gt;"",CL362&lt;&gt;"NEMA"),CL362,IF(CM362&lt;&gt;"",CM362,""))))</f>
        <v/>
      </c>
      <c r="ET362" s="53" t="str">
        <f>IF(INDEX(natKategorija_alias_Id,MATCH(S362,natKategorija_katRegId,0))="","",INDEX(natKategorija_alias_Id,MATCH(S362,natKategorija_katRegId,0)))</f>
        <v/>
      </c>
      <c r="EU362" s="47" t="s">
        <v>0</v>
      </c>
      <c r="EV362" s="19" t="str">
        <f t="shared" si="347"/>
        <v/>
      </c>
      <c r="EW362" s="47" t="s">
        <v>0</v>
      </c>
      <c r="EX362" s="19" t="str">
        <f t="shared" si="348"/>
        <v/>
      </c>
      <c r="EY362" s="47" t="s">
        <v>0</v>
      </c>
      <c r="EZ362" s="180" t="str">
        <f>AG362&amp;IF(CP362="","","
")&amp;CP362&amp;IF(CI362="","","
")&amp;CI362&amp;IF(DN362="","","
")&amp;DN362&amp;IF(DP362="","","
")&amp;DP362&amp;IF(EV362="","","
")&amp;EV362&amp;IF(EX362="","","
")&amp;EX362</f>
        <v/>
      </c>
      <c r="FA362" s="47" t="s">
        <v>0</v>
      </c>
    </row>
    <row r="363" spans="1:157" x14ac:dyDescent="0.25">
      <c r="A363" t="s">
        <v>0</v>
      </c>
      <c r="B363" s="52" t="str">
        <f>IF(csv!F353="","",csv!T353)</f>
        <v/>
      </c>
      <c r="C363" s="31" t="s">
        <v>0</v>
      </c>
      <c r="D363" s="31" t="str">
        <f>IF(csv!F353="","",csv!F353)</f>
        <v/>
      </c>
      <c r="E363" s="31" t="str">
        <f>IF(csv!E353="","",csv!E353)</f>
        <v/>
      </c>
      <c r="F363" s="31" t="s">
        <v>0</v>
      </c>
      <c r="G363" s="73" t="str">
        <f>IF(csv!M353="","",csv!M353)</f>
        <v/>
      </c>
      <c r="H363" s="73" t="str">
        <f>IF(csv!N353="","",csv!N353)</f>
        <v/>
      </c>
      <c r="I363" s="31" t="s">
        <v>0</v>
      </c>
      <c r="J363" s="31" t="str">
        <f>IF(csv!P353="","",csv!P353)</f>
        <v/>
      </c>
      <c r="K363" s="31" t="str">
        <f>IF(csv!Q353="","",csv!Q353)</f>
        <v/>
      </c>
      <c r="L363" s="31" t="s">
        <v>0</v>
      </c>
      <c r="M363" s="66" t="str">
        <f>IF(csv!R353="","",csv!R353)</f>
        <v/>
      </c>
      <c r="N363" s="47" t="s">
        <v>0</v>
      </c>
      <c r="O363" s="243" t="str">
        <f t="shared" si="319"/>
        <v/>
      </c>
      <c r="P363" s="47"/>
      <c r="Q363" s="52" t="str">
        <f t="shared" si="320"/>
        <v/>
      </c>
      <c r="R363" s="73" t="str">
        <f>IF(Q363="","",IF(COUNTIF(Q$12:Q362,Q363)=0,R362+1,R362))</f>
        <v/>
      </c>
      <c r="S363" s="73" t="str">
        <f t="shared" si="321"/>
        <v/>
      </c>
      <c r="T363" s="73" t="str">
        <f t="shared" si="297"/>
        <v/>
      </c>
      <c r="U363" s="66" t="str">
        <f t="shared" si="298"/>
        <v/>
      </c>
      <c r="V363" s="47" t="s">
        <v>0</v>
      </c>
      <c r="W363" s="222" t="str">
        <f t="shared" si="299"/>
        <v/>
      </c>
      <c r="X363" s="223" t="str">
        <f t="shared" si="300"/>
        <v/>
      </c>
      <c r="Y363" s="47" t="s">
        <v>0</v>
      </c>
      <c r="Z363" s="52" t="str">
        <f t="shared" si="322"/>
        <v/>
      </c>
      <c r="AA363" s="73" t="str">
        <f t="shared" si="301"/>
        <v/>
      </c>
      <c r="AB363" s="31" t="str">
        <f t="shared" si="323"/>
        <v/>
      </c>
      <c r="AC363" s="66" t="str">
        <f>IF(AB363="","",MAX(AC$12:AC362)+1)</f>
        <v/>
      </c>
      <c r="AD363" s="47" t="s">
        <v>0</v>
      </c>
      <c r="AE363" s="125"/>
      <c r="AF363" s="47" t="s">
        <v>0</v>
      </c>
      <c r="AG363" s="19" t="str">
        <f t="shared" si="324"/>
        <v/>
      </c>
      <c r="AH363" s="47" t="s">
        <v>0</v>
      </c>
      <c r="AI363" s="143" t="str">
        <f t="shared" si="325"/>
        <v/>
      </c>
      <c r="AJ363" s="47"/>
      <c r="AK363" s="52" t="str">
        <f t="shared" si="326"/>
        <v/>
      </c>
      <c r="AL363" s="31" t="str">
        <f t="shared" si="327"/>
        <v/>
      </c>
      <c r="AM363" s="73" t="str">
        <f t="shared" si="328"/>
        <v/>
      </c>
      <c r="AN363" s="73" t="str">
        <f t="shared" si="329"/>
        <v/>
      </c>
      <c r="AO363" s="31" t="str">
        <f t="shared" si="302"/>
        <v/>
      </c>
      <c r="AP363" s="66" t="str">
        <f t="shared" si="303"/>
        <v/>
      </c>
      <c r="AQ363" s="47" t="s">
        <v>0</v>
      </c>
      <c r="AR363" s="82" t="str">
        <f t="shared" si="330"/>
        <v/>
      </c>
      <c r="AS363" s="47" t="s">
        <v>0</v>
      </c>
      <c r="AT363" s="19" t="str">
        <f t="shared" si="331"/>
        <v/>
      </c>
      <c r="AU363" s="47" t="s">
        <v>0</v>
      </c>
      <c r="AV363" s="103"/>
      <c r="AW363" s="105"/>
      <c r="AX363" s="47" t="s">
        <v>0</v>
      </c>
      <c r="AY363" s="256" t="str">
        <f t="shared" si="349"/>
        <v/>
      </c>
      <c r="AZ363" s="47" t="s">
        <v>0</v>
      </c>
      <c r="BA363" s="52" t="str">
        <f t="shared" si="296"/>
        <v/>
      </c>
      <c r="BB363" s="73" t="str">
        <f>IF(AV363&amp;AW363="","",MAX(BB$12:BB362)+1)</f>
        <v/>
      </c>
      <c r="BC363" s="268" t="str">
        <f t="shared" si="304"/>
        <v/>
      </c>
      <c r="BD363" s="53" t="str">
        <f>IF(AND(AM363="NEMA",AN363="NEMA",OR(AV363&amp;AW363="",BC363="NEMA")),MAX(BD$12:BD362)+1,"")</f>
        <v/>
      </c>
      <c r="BE363" s="47" t="s">
        <v>0</v>
      </c>
      <c r="BF363" s="52" t="str">
        <f t="shared" si="305"/>
        <v/>
      </c>
      <c r="BG363" s="31" t="str">
        <f t="shared" si="306"/>
        <v/>
      </c>
      <c r="BH363" s="73" t="str">
        <f t="shared" si="332"/>
        <v/>
      </c>
      <c r="BI363" s="53" t="str">
        <f t="shared" si="333"/>
        <v/>
      </c>
      <c r="BJ363" s="47" t="s">
        <v>0</v>
      </c>
      <c r="BK363" s="52" t="str">
        <f t="shared" si="307"/>
        <v/>
      </c>
      <c r="BL363" s="31" t="str">
        <f t="shared" si="308"/>
        <v/>
      </c>
      <c r="BM363" s="73" t="str">
        <f t="shared" si="309"/>
        <v/>
      </c>
      <c r="BN363" s="73" t="str">
        <f t="shared" si="310"/>
        <v/>
      </c>
      <c r="BO363" s="31" t="str" cm="1">
        <f t="array" ref="BO363">IF(BN363="",""&amp;BL363,IF(BN363="NEMA",BL363,INDEX(regKlub_naziv,MATCH(INDEX(regKlub_alias_klubId,BN363),regKlub_id,0))))</f>
        <v/>
      </c>
      <c r="BP363" s="31" t="str" cm="1">
        <f t="array" ref="BP363">IFERROR(""&amp;INDEX(regNatjecatelj_klub,DY363),"")</f>
        <v/>
      </c>
      <c r="BQ363" s="88" t="str">
        <f t="shared" si="334"/>
        <v/>
      </c>
      <c r="BR363" s="66" t="str">
        <f t="shared" si="335"/>
        <v/>
      </c>
      <c r="BS363" s="47" t="s">
        <v>0</v>
      </c>
      <c r="BT363" s="82" t="str">
        <f>IF(BN363&lt;&gt;"NEMA","",IF(IFERROR(MATCH(BL363,BL$12:BL362,0),0)&lt;&gt;0,"",BL363))</f>
        <v/>
      </c>
      <c r="BU363" s="47" t="s">
        <v>0</v>
      </c>
      <c r="BV363" s="125"/>
      <c r="BW363" s="47" t="s">
        <v>0</v>
      </c>
      <c r="BX363" s="58" t="str">
        <f t="shared" si="336"/>
        <v/>
      </c>
      <c r="BY363" s="31" t="str">
        <f t="shared" si="337"/>
        <v/>
      </c>
      <c r="BZ363" s="31" t="str">
        <f>IF(BY363="","",MAX(BZ$12:BZ362)+1)</f>
        <v/>
      </c>
      <c r="CA363" s="31" t="str">
        <f>IF(BY363="","",IF(AA363="","",IF(AA363="NEMA",AC363,AA363)))</f>
        <v/>
      </c>
      <c r="CB363" s="31" t="str">
        <f t="shared" si="338"/>
        <v/>
      </c>
      <c r="CC363" s="31" t="str">
        <f>IF(BV363="","",MAX(CC$12:CC362)+1)</f>
        <v/>
      </c>
      <c r="CD363" s="31" t="str">
        <f t="shared" si="339"/>
        <v/>
      </c>
      <c r="CE363" s="66" t="str">
        <f t="shared" si="340"/>
        <v/>
      </c>
      <c r="CF363" s="47" t="s">
        <v>0</v>
      </c>
      <c r="CG363" s="73" t="str">
        <f>IF(BN363="","",IF(BN363&lt;&gt;"NEMA","",IFERROR(INDEX(nat_klubAliasId,MATCH(BL363,nat_noviKluboviAliasi,0)),"")))</f>
        <v/>
      </c>
      <c r="CH363" s="47"/>
      <c r="CI363" s="19" t="str">
        <f t="shared" si="341"/>
        <v/>
      </c>
      <c r="CJ363" s="47" t="s">
        <v>0</v>
      </c>
      <c r="CK363" s="52" t="str">
        <f>IF(X363&lt;&gt;"NEMA","",IF(IFERROR(MATCH(W363,W$12:W362,0),0)&lt;&gt;0,"",W363))</f>
        <v/>
      </c>
      <c r="CL363" s="73" t="str">
        <f>IF(CK363="","",IFERROR(INDEX(regKlub_alias_id,MATCH(CK363,regKlub_alias_alias,0)),"NEMA"))</f>
        <v/>
      </c>
      <c r="CM363" s="31" t="str">
        <f>IF(OR(CL363="",CL363&lt;&gt;"NEMA"),"",MAX(CM$12:CM362)+1)</f>
        <v/>
      </c>
      <c r="CN363" s="66" t="str">
        <f>IF(OR(CL363="",CL363&lt;&gt;"NEMA"),"",INDEX(regKlub_id,MATCH(CK363,regKlub_naziv,0)))</f>
        <v/>
      </c>
      <c r="CO363" s="47" t="s">
        <v>0</v>
      </c>
      <c r="CP363" s="19" t="str">
        <f>IF(OR(CL363="",CL363&lt;&gt;"NEMA"),"","INSERT INTO klub_alias(id,alias,klub_id) VALUES ("&amp;CM363&amp;",'"&amp;CK363&amp;"',"&amp;CN363&amp;");")</f>
        <v/>
      </c>
      <c r="CQ363" s="47" t="s">
        <v>0</v>
      </c>
      <c r="CR363" s="143" t="str">
        <f>IF(BR363="","",IF(BV363="",IF(IFERROR(MATCH(BR363,nat_noviKluboviAliasi,0),0)&gt;0,INDEX(nat_kluboviAliasi,MATCH(BR363,nat_noviKluboviAliasi,0)),BR363),BV363))</f>
        <v/>
      </c>
      <c r="CS363" s="47" t="s">
        <v>0</v>
      </c>
      <c r="CT363" s="58" t="str">
        <f>IF(G363="","",G363)</f>
        <v/>
      </c>
      <c r="CU363" s="73" t="str">
        <f>IF(H363="","",H363)</f>
        <v/>
      </c>
      <c r="CV363" s="229" t="str">
        <f>IF(CT363="",IF(OR(AL363="",CU363&lt;&gt;"0"),"","GREŠKA"),IF(AND(65535&gt;=VALUE(LEFT(CT363,SEARCH(":",CT363)-1))*60+VALUE(RIGHT(CT363,2)),OR(CU363="0",CU363="1",CU363="2",CU363="3",CU363="4")),"","GREŠKA"))</f>
        <v/>
      </c>
      <c r="CW363" s="230" t="str">
        <f t="shared" si="295"/>
        <v/>
      </c>
      <c r="CX363" s="163" t="str">
        <f t="shared" si="311"/>
        <v/>
      </c>
      <c r="CY363" s="47" t="s">
        <v>0</v>
      </c>
      <c r="CZ363" s="222" t="str">
        <f>IF(CV363&lt;&gt;"GREŠKA","",AK363&amp;" "&amp;AL363&amp;" – Molim u OEventu provjeriti i ispraviti rezultat – vrijeme ("&amp;IF(CT363="","nije upisano",CT363)&amp;") i classifier ("&amp;CU363&amp;").")&amp;IF(OR(CV363&lt;&gt;"GREŠKA",CX363&lt;&gt;5),"
","")&amp;IF(CX363&lt;&gt;5,"",AK363&amp;" "&amp;AL363&amp;" – Molim u provjeriti je li natjecatelj zaista diskvalificiran. Ako je koje je obrazloženje, ako nije molim u OEventu ispraviti rezultat")</f>
        <v xml:space="preserve">
</v>
      </c>
      <c r="DA363" s="223" t="str">
        <f t="shared" si="342"/>
        <v/>
      </c>
      <c r="DB363" s="47" t="s">
        <v>0</v>
      </c>
      <c r="DC363" s="47"/>
      <c r="DD363" s="47"/>
      <c r="DE363" s="47"/>
      <c r="DF363" s="47" t="s">
        <v>0</v>
      </c>
      <c r="DG363" s="53" t="str">
        <f>IF(BD363="","",IF(DI363="O",1,""))</f>
        <v/>
      </c>
      <c r="DH363" t="s">
        <v>0</v>
      </c>
      <c r="DI363" s="128" t="str">
        <f>IF(Q363="","",LEFT(INDEX(regKategorija_oznaka,MATCH(S363,regKategorija_id,0)),1))</f>
        <v/>
      </c>
      <c r="DJ363" t="s">
        <v>0</v>
      </c>
      <c r="DK363" s="52" t="str">
        <f>IF(BD363="","",IF(M363&lt;&gt;"CRO","","INSERT INTO osoba (id,reg_broj,oib,spol_id,dat_rodjenja) VALUES ("&amp;BD363&amp;",(SELECT max(os.reg_broj)+1 FROM osoba AS os),Null,'"&amp;DI363&amp;"',Null); INSERT INTO osoba_log (id,reg_broj,oib,spol_id,dat_rodjenja,dnevnik_id) SELECT id,reg_broj,oib,spol_id,dat_rodjenja,"&amp;data_dnevnik_id&amp;" FROM osoba WHERE id = "&amp;BD363&amp;";"))</f>
        <v/>
      </c>
      <c r="DL363" s="66" t="str">
        <f>IF(BD363="","","INSERT INTO imeprezime (id,osoba_id,rbr,ime,prezime,klub_id,identitet_id,sintaksa_id,info,aktivno,dnevnik_id) VALUES ("&amp;BD363&amp;","&amp;IF(DK363="","Null",BD363)&amp;",1,'"&amp;IF(AV363&lt;&gt;"",AV363,AK363)&amp;"','"&amp;IF(AW363&lt;&gt;"",AW363,AL363)&amp;"',(SELECT id FROM klub WHERE naziv = '"&amp;CR363&amp;"'),Null,1,'',1,"&amp;data_dnevnik_id&amp;");")</f>
        <v/>
      </c>
      <c r="DM363" t="s">
        <v>0</v>
      </c>
      <c r="DN363" s="19" t="str">
        <f t="shared" si="350"/>
        <v/>
      </c>
      <c r="DO363" s="47" t="s">
        <v>0</v>
      </c>
      <c r="DP363" s="19" t="str">
        <f>IF(BA363="","","INSERT INTO imeprezime_alias(id,alias,imeprezime_id) VALUES ("&amp;BB363&amp;",'"&amp;BA363&amp;"',"&amp;IF(BC363="NEMA",BD363,BC363)&amp;");")</f>
        <v/>
      </c>
      <c r="DQ363" s="47" t="s">
        <v>0</v>
      </c>
      <c r="DR363" s="52" t="str">
        <f>IF(AL363="","",DU363 &amp; IF(Q363="",""," – " &amp; Q363))</f>
        <v/>
      </c>
      <c r="DS363" s="53" t="str">
        <f t="shared" si="312"/>
        <v/>
      </c>
      <c r="DT363" s="47" t="s">
        <v>0</v>
      </c>
      <c r="DU363" s="52" t="str">
        <f>IF(AL363="","",DX363 &amp; IF(CR363="",""," – " &amp; CR363))</f>
        <v/>
      </c>
      <c r="DV363" s="53" t="str">
        <f t="shared" si="313"/>
        <v/>
      </c>
      <c r="DW363" s="47" t="s">
        <v>0</v>
      </c>
      <c r="DX363" s="52" t="str">
        <f>IF(BG363="","",BF363&amp;" – "&amp;BG363)</f>
        <v/>
      </c>
      <c r="DY363" s="53" t="str">
        <f t="shared" si="314"/>
        <v/>
      </c>
      <c r="DZ363" s="47" t="s">
        <v>0</v>
      </c>
      <c r="EA363" s="58" t="str">
        <f t="shared" si="343"/>
        <v/>
      </c>
      <c r="EB363" s="53" t="str" cm="1">
        <f t="array" ref="EB363">IF(EA363&lt;&gt;"",INDEX(regNatjecatelj_id,EA363,0),IF(BD363&lt;&gt;"",BD363,""))</f>
        <v/>
      </c>
      <c r="EC363" s="47" t="s">
        <v>0</v>
      </c>
      <c r="ED363" s="58" t="str">
        <f>IF(AL363="","",IF(BD363&lt;&gt;"","novo",IF(AN363="","imepre","imepre(ali)")))</f>
        <v/>
      </c>
      <c r="EE363" s="73" t="str">
        <f>IF(AL363="","",IF(BL363="",IF(IFERROR(INDEX(regNatjecatelj_klub,MATCH(EB363,regNatjecatelj_id,0)),"NEMA")="","klu",""),IF(OR(AND(BN363&lt;&gt;"",BN363&lt;&gt;"NEMA"),CD363&lt;&gt;""),"klu(ali)",IF(AND(BP363&lt;&gt;"",BP363&lt;&gt;BO363),"(raz-klu)","klu"))))</f>
        <v/>
      </c>
      <c r="EF363" s="73" t="str">
        <f>IF(AL363="","","kat"&amp;IF(AND(W363&lt;&gt;Q363,Q363&lt;&gt;"Open"),"(ali)",""))</f>
        <v/>
      </c>
      <c r="EG363" s="73" t="str">
        <f t="shared" si="315"/>
        <v/>
      </c>
      <c r="EH363" s="66" t="str">
        <f>IF(AL363="","",ED363&amp;IF(ED363="novo","","-"&amp;EE363&amp;"-"&amp;EF363)&amp;IF(EG363="","","-"&amp;EG363))</f>
        <v/>
      </c>
      <c r="EI363" s="47" t="s">
        <v>0</v>
      </c>
      <c r="EJ363" s="58" t="str">
        <f>IF(AL363="","",MAX(EJ$12:EJ362)+1)</f>
        <v/>
      </c>
      <c r="EK363" s="73" t="str">
        <f>IF(AO363="","",X363)</f>
        <v/>
      </c>
      <c r="EL363" s="73" t="str">
        <f t="shared" si="344"/>
        <v/>
      </c>
      <c r="EM363" s="73" t="str">
        <f t="shared" si="316"/>
        <v/>
      </c>
      <c r="EN363" s="73" t="str">
        <f t="shared" si="317"/>
        <v/>
      </c>
      <c r="EO363" s="73" t="str">
        <f t="shared" si="345"/>
        <v/>
      </c>
      <c r="EP363" s="73" t="str">
        <f t="shared" si="346"/>
        <v/>
      </c>
      <c r="EQ363" s="73" t="str">
        <f t="shared" si="318"/>
        <v/>
      </c>
      <c r="ER363" s="73" t="str">
        <f>IF(OR(AN363="",AN363="NEMA"),BB363,AN363)</f>
        <v/>
      </c>
      <c r="ES363" s="73" t="str">
        <f>IF(AND(BN363&lt;&gt;"",BN363&lt;&gt;"NEMA"),BN363,IF(CG363&lt;&gt;"",CG363,IF(AND(CL363&lt;&gt;"",CL363&lt;&gt;"NEMA"),CL363,IF(CM363&lt;&gt;"",CM363,""))))</f>
        <v/>
      </c>
      <c r="ET363" s="53" t="str">
        <f>IF(INDEX(natKategorija_alias_Id,MATCH(S363,natKategorija_katRegId,0))="","",INDEX(natKategorija_alias_Id,MATCH(S363,natKategorija_katRegId,0)))</f>
        <v/>
      </c>
      <c r="EU363" s="47" t="s">
        <v>0</v>
      </c>
      <c r="EV363" s="19" t="str">
        <f t="shared" si="347"/>
        <v/>
      </c>
      <c r="EW363" s="47" t="s">
        <v>0</v>
      </c>
      <c r="EX363" s="19" t="str">
        <f t="shared" si="348"/>
        <v/>
      </c>
      <c r="EY363" s="47" t="s">
        <v>0</v>
      </c>
      <c r="EZ363" s="180" t="str">
        <f>AG363&amp;IF(CP363="","","
")&amp;CP363&amp;IF(CI363="","","
")&amp;CI363&amp;IF(DN363="","","
")&amp;DN363&amp;IF(DP363="","","
")&amp;DP363&amp;IF(EV363="","","
")&amp;EV363&amp;IF(EX363="","","
")&amp;EX363</f>
        <v/>
      </c>
      <c r="FA363" s="47" t="s">
        <v>0</v>
      </c>
    </row>
    <row r="364" spans="1:157" x14ac:dyDescent="0.25">
      <c r="A364" t="s">
        <v>0</v>
      </c>
      <c r="B364" s="52" t="str">
        <f>IF(csv!F354="","",csv!T354)</f>
        <v/>
      </c>
      <c r="C364" s="31" t="s">
        <v>0</v>
      </c>
      <c r="D364" s="31" t="str">
        <f>IF(csv!F354="","",csv!F354)</f>
        <v/>
      </c>
      <c r="E364" s="31" t="str">
        <f>IF(csv!E354="","",csv!E354)</f>
        <v/>
      </c>
      <c r="F364" s="31" t="s">
        <v>0</v>
      </c>
      <c r="G364" s="73" t="str">
        <f>IF(csv!M354="","",csv!M354)</f>
        <v/>
      </c>
      <c r="H364" s="73" t="str">
        <f>IF(csv!N354="","",csv!N354)</f>
        <v/>
      </c>
      <c r="I364" s="31" t="s">
        <v>0</v>
      </c>
      <c r="J364" s="31" t="str">
        <f>IF(csv!P354="","",csv!P354)</f>
        <v/>
      </c>
      <c r="K364" s="31" t="str">
        <f>IF(csv!Q354="","",csv!Q354)</f>
        <v/>
      </c>
      <c r="L364" s="31" t="s">
        <v>0</v>
      </c>
      <c r="M364" s="66" t="str">
        <f>IF(csv!R354="","",csv!R354)</f>
        <v/>
      </c>
      <c r="N364" s="47" t="s">
        <v>0</v>
      </c>
      <c r="O364" s="243" t="str">
        <f t="shared" si="319"/>
        <v/>
      </c>
      <c r="P364" s="47"/>
      <c r="Q364" s="52" t="str">
        <f t="shared" si="320"/>
        <v/>
      </c>
      <c r="R364" s="73" t="str">
        <f>IF(Q364="","",IF(COUNTIF(Q$12:Q363,Q364)=0,R363+1,R363))</f>
        <v/>
      </c>
      <c r="S364" s="73" t="str">
        <f t="shared" si="321"/>
        <v/>
      </c>
      <c r="T364" s="73" t="str">
        <f t="shared" si="297"/>
        <v/>
      </c>
      <c r="U364" s="66" t="str">
        <f t="shared" si="298"/>
        <v/>
      </c>
      <c r="V364" s="47" t="s">
        <v>0</v>
      </c>
      <c r="W364" s="222" t="str">
        <f t="shared" si="299"/>
        <v/>
      </c>
      <c r="X364" s="223" t="str">
        <f t="shared" si="300"/>
        <v/>
      </c>
      <c r="Y364" s="47" t="s">
        <v>0</v>
      </c>
      <c r="Z364" s="52" t="str">
        <f t="shared" si="322"/>
        <v/>
      </c>
      <c r="AA364" s="73" t="str">
        <f t="shared" si="301"/>
        <v/>
      </c>
      <c r="AB364" s="31" t="str">
        <f t="shared" si="323"/>
        <v/>
      </c>
      <c r="AC364" s="66" t="str">
        <f>IF(AB364="","",MAX(AC$12:AC363)+1)</f>
        <v/>
      </c>
      <c r="AD364" s="47" t="s">
        <v>0</v>
      </c>
      <c r="AE364" s="125"/>
      <c r="AF364" s="47" t="s">
        <v>0</v>
      </c>
      <c r="AG364" s="19" t="str">
        <f t="shared" si="324"/>
        <v/>
      </c>
      <c r="AH364" s="47" t="s">
        <v>0</v>
      </c>
      <c r="AI364" s="143" t="str">
        <f t="shared" si="325"/>
        <v/>
      </c>
      <c r="AJ364" s="47"/>
      <c r="AK364" s="52" t="str">
        <f t="shared" si="326"/>
        <v/>
      </c>
      <c r="AL364" s="31" t="str">
        <f t="shared" si="327"/>
        <v/>
      </c>
      <c r="AM364" s="73" t="str">
        <f t="shared" si="328"/>
        <v/>
      </c>
      <c r="AN364" s="73" t="str">
        <f t="shared" si="329"/>
        <v/>
      </c>
      <c r="AO364" s="31" t="str">
        <f t="shared" si="302"/>
        <v/>
      </c>
      <c r="AP364" s="66" t="str">
        <f t="shared" si="303"/>
        <v/>
      </c>
      <c r="AQ364" s="47" t="s">
        <v>0</v>
      </c>
      <c r="AR364" s="82" t="str">
        <f t="shared" si="330"/>
        <v/>
      </c>
      <c r="AS364" s="47" t="s">
        <v>0</v>
      </c>
      <c r="AT364" s="19" t="str">
        <f t="shared" si="331"/>
        <v/>
      </c>
      <c r="AU364" s="47" t="s">
        <v>0</v>
      </c>
      <c r="AV364" s="103"/>
      <c r="AW364" s="105"/>
      <c r="AX364" s="47" t="s">
        <v>0</v>
      </c>
      <c r="AY364" s="256" t="str">
        <f t="shared" si="349"/>
        <v/>
      </c>
      <c r="AZ364" s="47" t="s">
        <v>0</v>
      </c>
      <c r="BA364" s="52" t="str">
        <f t="shared" si="296"/>
        <v/>
      </c>
      <c r="BB364" s="73" t="str">
        <f>IF(AV364&amp;AW364="","",MAX(BB$12:BB363)+1)</f>
        <v/>
      </c>
      <c r="BC364" s="268" t="str">
        <f t="shared" si="304"/>
        <v/>
      </c>
      <c r="BD364" s="53" t="str">
        <f>IF(AND(AM364="NEMA",AN364="NEMA",OR(AV364&amp;AW364="",BC364="NEMA")),MAX(BD$12:BD363)+1,"")</f>
        <v/>
      </c>
      <c r="BE364" s="47" t="s">
        <v>0</v>
      </c>
      <c r="BF364" s="52" t="str">
        <f t="shared" si="305"/>
        <v/>
      </c>
      <c r="BG364" s="31" t="str">
        <f t="shared" si="306"/>
        <v/>
      </c>
      <c r="BH364" s="73" t="str">
        <f t="shared" si="332"/>
        <v/>
      </c>
      <c r="BI364" s="53" t="str">
        <f t="shared" si="333"/>
        <v/>
      </c>
      <c r="BJ364" s="47" t="s">
        <v>0</v>
      </c>
      <c r="BK364" s="52" t="str">
        <f t="shared" si="307"/>
        <v/>
      </c>
      <c r="BL364" s="31" t="str">
        <f t="shared" si="308"/>
        <v/>
      </c>
      <c r="BM364" s="73" t="str">
        <f t="shared" si="309"/>
        <v/>
      </c>
      <c r="BN364" s="73" t="str">
        <f t="shared" si="310"/>
        <v/>
      </c>
      <c r="BO364" s="31" t="str" cm="1">
        <f t="array" ref="BO364">IF(BN364="",""&amp;BL364,IF(BN364="NEMA",BL364,INDEX(regKlub_naziv,MATCH(INDEX(regKlub_alias_klubId,BN364),regKlub_id,0))))</f>
        <v/>
      </c>
      <c r="BP364" s="31" t="str" cm="1">
        <f t="array" ref="BP364">IFERROR(""&amp;INDEX(regNatjecatelj_klub,DY364),"")</f>
        <v/>
      </c>
      <c r="BQ364" s="88" t="str">
        <f t="shared" si="334"/>
        <v/>
      </c>
      <c r="BR364" s="66" t="str">
        <f t="shared" si="335"/>
        <v/>
      </c>
      <c r="BS364" s="47" t="s">
        <v>0</v>
      </c>
      <c r="BT364" s="82" t="str">
        <f>IF(BN364&lt;&gt;"NEMA","",IF(IFERROR(MATCH(BL364,BL$12:BL363,0),0)&lt;&gt;0,"",BL364))</f>
        <v/>
      </c>
      <c r="BU364" s="47" t="s">
        <v>0</v>
      </c>
      <c r="BV364" s="125"/>
      <c r="BW364" s="47" t="s">
        <v>0</v>
      </c>
      <c r="BX364" s="58" t="str">
        <f t="shared" si="336"/>
        <v/>
      </c>
      <c r="BY364" s="31" t="str">
        <f t="shared" si="337"/>
        <v/>
      </c>
      <c r="BZ364" s="31" t="str">
        <f>IF(BY364="","",MAX(BZ$12:BZ363)+1)</f>
        <v/>
      </c>
      <c r="CA364" s="31" t="str">
        <f>IF(BY364="","",IF(AA364="","",IF(AA364="NEMA",AC364,AA364)))</f>
        <v/>
      </c>
      <c r="CB364" s="31" t="str">
        <f t="shared" si="338"/>
        <v/>
      </c>
      <c r="CC364" s="31" t="str">
        <f>IF(BV364="","",MAX(CC$12:CC363)+1)</f>
        <v/>
      </c>
      <c r="CD364" s="31" t="str">
        <f t="shared" si="339"/>
        <v/>
      </c>
      <c r="CE364" s="66" t="str">
        <f t="shared" si="340"/>
        <v/>
      </c>
      <c r="CF364" s="47" t="s">
        <v>0</v>
      </c>
      <c r="CG364" s="73" t="str">
        <f>IF(BN364="","",IF(BN364&lt;&gt;"NEMA","",IFERROR(INDEX(nat_klubAliasId,MATCH(BL364,nat_noviKluboviAliasi,0)),"")))</f>
        <v/>
      </c>
      <c r="CH364" s="47"/>
      <c r="CI364" s="19" t="str">
        <f t="shared" si="341"/>
        <v/>
      </c>
      <c r="CJ364" s="47" t="s">
        <v>0</v>
      </c>
      <c r="CK364" s="52" t="str">
        <f>IF(X364&lt;&gt;"NEMA","",IF(IFERROR(MATCH(W364,W$12:W363,0),0)&lt;&gt;0,"",W364))</f>
        <v/>
      </c>
      <c r="CL364" s="73" t="str">
        <f>IF(CK364="","",IFERROR(INDEX(regKlub_alias_id,MATCH(CK364,regKlub_alias_alias,0)),"NEMA"))</f>
        <v/>
      </c>
      <c r="CM364" s="31" t="str">
        <f>IF(OR(CL364="",CL364&lt;&gt;"NEMA"),"",MAX(CM$12:CM363)+1)</f>
        <v/>
      </c>
      <c r="CN364" s="66" t="str">
        <f>IF(OR(CL364="",CL364&lt;&gt;"NEMA"),"",INDEX(regKlub_id,MATCH(CK364,regKlub_naziv,0)))</f>
        <v/>
      </c>
      <c r="CO364" s="47" t="s">
        <v>0</v>
      </c>
      <c r="CP364" s="19" t="str">
        <f>IF(OR(CL364="",CL364&lt;&gt;"NEMA"),"","INSERT INTO klub_alias(id,alias,klub_id) VALUES ("&amp;CM364&amp;",'"&amp;CK364&amp;"',"&amp;CN364&amp;");")</f>
        <v/>
      </c>
      <c r="CQ364" s="47" t="s">
        <v>0</v>
      </c>
      <c r="CR364" s="143" t="str">
        <f>IF(BR364="","",IF(BV364="",IF(IFERROR(MATCH(BR364,nat_noviKluboviAliasi,0),0)&gt;0,INDEX(nat_kluboviAliasi,MATCH(BR364,nat_noviKluboviAliasi,0)),BR364),BV364))</f>
        <v/>
      </c>
      <c r="CS364" s="47" t="s">
        <v>0</v>
      </c>
      <c r="CT364" s="58" t="str">
        <f>IF(G364="","",G364)</f>
        <v/>
      </c>
      <c r="CU364" s="73" t="str">
        <f>IF(H364="","",H364)</f>
        <v/>
      </c>
      <c r="CV364" s="229" t="str">
        <f>IF(CT364="",IF(OR(AL364="",CU364&lt;&gt;"0"),"","GREŠKA"),IF(AND(65535&gt;=VALUE(LEFT(CT364,SEARCH(":",CT364)-1))*60+VALUE(RIGHT(CT364,2)),OR(CU364="0",CU364="1",CU364="2",CU364="3",CU364="4")),"","GREŠKA"))</f>
        <v/>
      </c>
      <c r="CW364" s="230" t="str">
        <f t="shared" si="295"/>
        <v/>
      </c>
      <c r="CX364" s="163" t="str">
        <f t="shared" si="311"/>
        <v/>
      </c>
      <c r="CY364" s="47" t="s">
        <v>0</v>
      </c>
      <c r="CZ364" s="222" t="str">
        <f>IF(CV364&lt;&gt;"GREŠKA","",AK364&amp;" "&amp;AL364&amp;" – Molim u OEventu provjeriti i ispraviti rezultat – vrijeme ("&amp;IF(CT364="","nije upisano",CT364)&amp;") i classifier ("&amp;CU364&amp;").")&amp;IF(OR(CV364&lt;&gt;"GREŠKA",CX364&lt;&gt;5),"
","")&amp;IF(CX364&lt;&gt;5,"",AK364&amp;" "&amp;AL364&amp;" – Molim u provjeriti je li natjecatelj zaista diskvalificiran. Ako je koje je obrazloženje, ako nije molim u OEventu ispraviti rezultat")</f>
        <v xml:space="preserve">
</v>
      </c>
      <c r="DA364" s="223" t="str">
        <f t="shared" si="342"/>
        <v/>
      </c>
      <c r="DB364" s="47" t="s">
        <v>0</v>
      </c>
      <c r="DC364" s="47"/>
      <c r="DD364" s="47"/>
      <c r="DE364" s="47"/>
      <c r="DF364" s="47" t="s">
        <v>0</v>
      </c>
      <c r="DG364" s="53" t="str">
        <f>IF(BD364="","",IF(DI364="O",1,""))</f>
        <v/>
      </c>
      <c r="DH364" t="s">
        <v>0</v>
      </c>
      <c r="DI364" s="128" t="str">
        <f>IF(Q364="","",LEFT(INDEX(regKategorija_oznaka,MATCH(S364,regKategorija_id,0)),1))</f>
        <v/>
      </c>
      <c r="DJ364" t="s">
        <v>0</v>
      </c>
      <c r="DK364" s="52" t="str">
        <f>IF(BD364="","",IF(M364&lt;&gt;"CRO","","INSERT INTO osoba (id,reg_broj,oib,spol_id,dat_rodjenja) VALUES ("&amp;BD364&amp;",(SELECT max(os.reg_broj)+1 FROM osoba AS os),Null,'"&amp;DI364&amp;"',Null); INSERT INTO osoba_log (id,reg_broj,oib,spol_id,dat_rodjenja,dnevnik_id) SELECT id,reg_broj,oib,spol_id,dat_rodjenja,"&amp;data_dnevnik_id&amp;" FROM osoba WHERE id = "&amp;BD364&amp;";"))</f>
        <v/>
      </c>
      <c r="DL364" s="66" t="str">
        <f>IF(BD364="","","INSERT INTO imeprezime (id,osoba_id,rbr,ime,prezime,klub_id,identitet_id,sintaksa_id,info,aktivno,dnevnik_id) VALUES ("&amp;BD364&amp;","&amp;IF(DK364="","Null",BD364)&amp;",1,'"&amp;IF(AV364&lt;&gt;"",AV364,AK364)&amp;"','"&amp;IF(AW364&lt;&gt;"",AW364,AL364)&amp;"',(SELECT id FROM klub WHERE naziv = '"&amp;CR364&amp;"'),Null,1,'',1,"&amp;data_dnevnik_id&amp;");")</f>
        <v/>
      </c>
      <c r="DM364" t="s">
        <v>0</v>
      </c>
      <c r="DN364" s="19" t="str">
        <f t="shared" si="350"/>
        <v/>
      </c>
      <c r="DO364" s="47" t="s">
        <v>0</v>
      </c>
      <c r="DP364" s="19" t="str">
        <f>IF(BA364="","","INSERT INTO imeprezime_alias(id,alias,imeprezime_id) VALUES ("&amp;BB364&amp;",'"&amp;BA364&amp;"',"&amp;IF(BC364="NEMA",BD364,BC364)&amp;");")</f>
        <v/>
      </c>
      <c r="DQ364" s="47" t="s">
        <v>0</v>
      </c>
      <c r="DR364" s="52" t="str">
        <f>IF(AL364="","",DU364 &amp; IF(Q364="",""," – " &amp; Q364))</f>
        <v/>
      </c>
      <c r="DS364" s="53" t="str">
        <f t="shared" si="312"/>
        <v/>
      </c>
      <c r="DT364" s="47" t="s">
        <v>0</v>
      </c>
      <c r="DU364" s="52" t="str">
        <f>IF(AL364="","",DX364 &amp; IF(CR364="",""," – " &amp; CR364))</f>
        <v/>
      </c>
      <c r="DV364" s="53" t="str">
        <f t="shared" si="313"/>
        <v/>
      </c>
      <c r="DW364" s="47" t="s">
        <v>0</v>
      </c>
      <c r="DX364" s="52" t="str">
        <f>IF(BG364="","",BF364&amp;" – "&amp;BG364)</f>
        <v/>
      </c>
      <c r="DY364" s="53" t="str">
        <f t="shared" si="314"/>
        <v/>
      </c>
      <c r="DZ364" s="47" t="s">
        <v>0</v>
      </c>
      <c r="EA364" s="58" t="str">
        <f t="shared" si="343"/>
        <v/>
      </c>
      <c r="EB364" s="53" t="str" cm="1">
        <f t="array" ref="EB364">IF(EA364&lt;&gt;"",INDEX(regNatjecatelj_id,EA364,0),IF(BD364&lt;&gt;"",BD364,""))</f>
        <v/>
      </c>
      <c r="EC364" s="47" t="s">
        <v>0</v>
      </c>
      <c r="ED364" s="58" t="str">
        <f>IF(AL364="","",IF(BD364&lt;&gt;"","novo",IF(AN364="","imepre","imepre(ali)")))</f>
        <v/>
      </c>
      <c r="EE364" s="73" t="str">
        <f>IF(AL364="","",IF(BL364="",IF(IFERROR(INDEX(regNatjecatelj_klub,MATCH(EB364,regNatjecatelj_id,0)),"NEMA")="","klu",""),IF(OR(AND(BN364&lt;&gt;"",BN364&lt;&gt;"NEMA"),CD364&lt;&gt;""),"klu(ali)",IF(AND(BP364&lt;&gt;"",BP364&lt;&gt;BO364),"(raz-klu)","klu"))))</f>
        <v/>
      </c>
      <c r="EF364" s="73" t="str">
        <f>IF(AL364="","","kat"&amp;IF(AND(W364&lt;&gt;Q364,Q364&lt;&gt;"Open"),"(ali)",""))</f>
        <v/>
      </c>
      <c r="EG364" s="73" t="str">
        <f t="shared" si="315"/>
        <v/>
      </c>
      <c r="EH364" s="66" t="str">
        <f>IF(AL364="","",ED364&amp;IF(ED364="novo","","-"&amp;EE364&amp;"-"&amp;EF364)&amp;IF(EG364="","","-"&amp;EG364))</f>
        <v/>
      </c>
      <c r="EI364" s="47" t="s">
        <v>0</v>
      </c>
      <c r="EJ364" s="58" t="str">
        <f>IF(AL364="","",MAX(EJ$12:EJ363)+1)</f>
        <v/>
      </c>
      <c r="EK364" s="73" t="str">
        <f>IF(AO364="","",X364)</f>
        <v/>
      </c>
      <c r="EL364" s="73" t="str">
        <f t="shared" si="344"/>
        <v/>
      </c>
      <c r="EM364" s="73" t="str">
        <f t="shared" si="316"/>
        <v/>
      </c>
      <c r="EN364" s="73" t="str">
        <f t="shared" si="317"/>
        <v/>
      </c>
      <c r="EO364" s="73" t="str">
        <f t="shared" si="345"/>
        <v/>
      </c>
      <c r="EP364" s="73" t="str">
        <f t="shared" si="346"/>
        <v/>
      </c>
      <c r="EQ364" s="73" t="str">
        <f t="shared" si="318"/>
        <v/>
      </c>
      <c r="ER364" s="73" t="str">
        <f>IF(OR(AN364="",AN364="NEMA"),BB364,AN364)</f>
        <v/>
      </c>
      <c r="ES364" s="73" t="str">
        <f>IF(AND(BN364&lt;&gt;"",BN364&lt;&gt;"NEMA"),BN364,IF(CG364&lt;&gt;"",CG364,IF(AND(CL364&lt;&gt;"",CL364&lt;&gt;"NEMA"),CL364,IF(CM364&lt;&gt;"",CM364,""))))</f>
        <v/>
      </c>
      <c r="ET364" s="53" t="str">
        <f>IF(INDEX(natKategorija_alias_Id,MATCH(S364,natKategorija_katRegId,0))="","",INDEX(natKategorija_alias_Id,MATCH(S364,natKategorija_katRegId,0)))</f>
        <v/>
      </c>
      <c r="EU364" s="47" t="s">
        <v>0</v>
      </c>
      <c r="EV364" s="19" t="str">
        <f t="shared" si="347"/>
        <v/>
      </c>
      <c r="EW364" s="47" t="s">
        <v>0</v>
      </c>
      <c r="EX364" s="19" t="str">
        <f t="shared" si="348"/>
        <v/>
      </c>
      <c r="EY364" s="47" t="s">
        <v>0</v>
      </c>
      <c r="EZ364" s="180" t="str">
        <f>AG364&amp;IF(CP364="","","
")&amp;CP364&amp;IF(CI364="","","
")&amp;CI364&amp;IF(DN364="","","
")&amp;DN364&amp;IF(DP364="","","
")&amp;DP364&amp;IF(EV364="","","
")&amp;EV364&amp;IF(EX364="","","
")&amp;EX364</f>
        <v/>
      </c>
      <c r="FA364" s="47" t="s">
        <v>0</v>
      </c>
    </row>
    <row r="365" spans="1:157" x14ac:dyDescent="0.25">
      <c r="A365" t="s">
        <v>0</v>
      </c>
      <c r="B365" s="52" t="str">
        <f>IF(csv!F355="","",csv!T355)</f>
        <v/>
      </c>
      <c r="C365" s="31" t="s">
        <v>0</v>
      </c>
      <c r="D365" s="31" t="str">
        <f>IF(csv!F355="","",csv!F355)</f>
        <v/>
      </c>
      <c r="E365" s="31" t="str">
        <f>IF(csv!E355="","",csv!E355)</f>
        <v/>
      </c>
      <c r="F365" s="31" t="s">
        <v>0</v>
      </c>
      <c r="G365" s="73" t="str">
        <f>IF(csv!M355="","",csv!M355)</f>
        <v/>
      </c>
      <c r="H365" s="73" t="str">
        <f>IF(csv!N355="","",csv!N355)</f>
        <v/>
      </c>
      <c r="I365" s="31" t="s">
        <v>0</v>
      </c>
      <c r="J365" s="31" t="str">
        <f>IF(csv!P355="","",csv!P355)</f>
        <v/>
      </c>
      <c r="K365" s="31" t="str">
        <f>IF(csv!Q355="","",csv!Q355)</f>
        <v/>
      </c>
      <c r="L365" s="31" t="s">
        <v>0</v>
      </c>
      <c r="M365" s="66" t="str">
        <f>IF(csv!R355="","",csv!R355)</f>
        <v/>
      </c>
      <c r="N365" s="47" t="s">
        <v>0</v>
      </c>
      <c r="O365" s="243" t="str">
        <f t="shared" si="319"/>
        <v/>
      </c>
      <c r="P365" s="47"/>
      <c r="Q365" s="52" t="str">
        <f t="shared" si="320"/>
        <v/>
      </c>
      <c r="R365" s="73" t="str">
        <f>IF(Q365="","",IF(COUNTIF(Q$12:Q364,Q365)=0,R364+1,R364))</f>
        <v/>
      </c>
      <c r="S365" s="73" t="str">
        <f t="shared" si="321"/>
        <v/>
      </c>
      <c r="T365" s="73" t="str">
        <f t="shared" si="297"/>
        <v/>
      </c>
      <c r="U365" s="66" t="str">
        <f t="shared" si="298"/>
        <v/>
      </c>
      <c r="V365" s="47" t="s">
        <v>0</v>
      </c>
      <c r="W365" s="222" t="str">
        <f t="shared" si="299"/>
        <v/>
      </c>
      <c r="X365" s="223" t="str">
        <f t="shared" si="300"/>
        <v/>
      </c>
      <c r="Y365" s="47" t="s">
        <v>0</v>
      </c>
      <c r="Z365" s="52" t="str">
        <f t="shared" si="322"/>
        <v/>
      </c>
      <c r="AA365" s="73" t="str">
        <f t="shared" si="301"/>
        <v/>
      </c>
      <c r="AB365" s="31" t="str">
        <f t="shared" si="323"/>
        <v/>
      </c>
      <c r="AC365" s="66" t="str">
        <f>IF(AB365="","",MAX(AC$12:AC364)+1)</f>
        <v/>
      </c>
      <c r="AD365" s="47" t="s">
        <v>0</v>
      </c>
      <c r="AE365" s="125"/>
      <c r="AF365" s="47" t="s">
        <v>0</v>
      </c>
      <c r="AG365" s="19" t="str">
        <f t="shared" si="324"/>
        <v/>
      </c>
      <c r="AH365" s="47" t="s">
        <v>0</v>
      </c>
      <c r="AI365" s="143" t="str">
        <f t="shared" si="325"/>
        <v/>
      </c>
      <c r="AJ365" s="47"/>
      <c r="AK365" s="52" t="str">
        <f t="shared" si="326"/>
        <v/>
      </c>
      <c r="AL365" s="31" t="str">
        <f t="shared" si="327"/>
        <v/>
      </c>
      <c r="AM365" s="73" t="str">
        <f t="shared" si="328"/>
        <v/>
      </c>
      <c r="AN365" s="73" t="str">
        <f t="shared" si="329"/>
        <v/>
      </c>
      <c r="AO365" s="31" t="str">
        <f t="shared" si="302"/>
        <v/>
      </c>
      <c r="AP365" s="66" t="str">
        <f t="shared" si="303"/>
        <v/>
      </c>
      <c r="AQ365" s="47" t="s">
        <v>0</v>
      </c>
      <c r="AR365" s="82" t="str">
        <f t="shared" si="330"/>
        <v/>
      </c>
      <c r="AS365" s="47" t="s">
        <v>0</v>
      </c>
      <c r="AT365" s="19" t="str">
        <f t="shared" si="331"/>
        <v/>
      </c>
      <c r="AU365" s="47" t="s">
        <v>0</v>
      </c>
      <c r="AV365" s="103"/>
      <c r="AW365" s="105"/>
      <c r="AX365" s="47" t="s">
        <v>0</v>
      </c>
      <c r="AY365" s="256" t="str">
        <f t="shared" si="349"/>
        <v/>
      </c>
      <c r="AZ365" s="47" t="s">
        <v>0</v>
      </c>
      <c r="BA365" s="52" t="str">
        <f t="shared" si="296"/>
        <v/>
      </c>
      <c r="BB365" s="73" t="str">
        <f>IF(AV365&amp;AW365="","",MAX(BB$12:BB364)+1)</f>
        <v/>
      </c>
      <c r="BC365" s="268" t="str">
        <f t="shared" si="304"/>
        <v/>
      </c>
      <c r="BD365" s="53" t="str">
        <f>IF(AND(AM365="NEMA",AN365="NEMA",OR(AV365&amp;AW365="",BC365="NEMA")),MAX(BD$12:BD364)+1,"")</f>
        <v/>
      </c>
      <c r="BE365" s="47" t="s">
        <v>0</v>
      </c>
      <c r="BF365" s="52" t="str">
        <f t="shared" si="305"/>
        <v/>
      </c>
      <c r="BG365" s="31" t="str">
        <f t="shared" si="306"/>
        <v/>
      </c>
      <c r="BH365" s="73" t="str">
        <f t="shared" si="332"/>
        <v/>
      </c>
      <c r="BI365" s="53" t="str">
        <f t="shared" si="333"/>
        <v/>
      </c>
      <c r="BJ365" s="47" t="s">
        <v>0</v>
      </c>
      <c r="BK365" s="52" t="str">
        <f t="shared" si="307"/>
        <v/>
      </c>
      <c r="BL365" s="31" t="str">
        <f t="shared" si="308"/>
        <v/>
      </c>
      <c r="BM365" s="73" t="str">
        <f t="shared" si="309"/>
        <v/>
      </c>
      <c r="BN365" s="73" t="str">
        <f t="shared" si="310"/>
        <v/>
      </c>
      <c r="BO365" s="31" t="str" cm="1">
        <f t="array" ref="BO365">IF(BN365="",""&amp;BL365,IF(BN365="NEMA",BL365,INDEX(regKlub_naziv,MATCH(INDEX(regKlub_alias_klubId,BN365),regKlub_id,0))))</f>
        <v/>
      </c>
      <c r="BP365" s="31" t="str" cm="1">
        <f t="array" ref="BP365">IFERROR(""&amp;INDEX(regNatjecatelj_klub,DY365),"")</f>
        <v/>
      </c>
      <c r="BQ365" s="88" t="str">
        <f t="shared" si="334"/>
        <v/>
      </c>
      <c r="BR365" s="66" t="str">
        <f t="shared" si="335"/>
        <v/>
      </c>
      <c r="BS365" s="47" t="s">
        <v>0</v>
      </c>
      <c r="BT365" s="82" t="str">
        <f>IF(BN365&lt;&gt;"NEMA","",IF(IFERROR(MATCH(BL365,BL$12:BL364,0),0)&lt;&gt;0,"",BL365))</f>
        <v/>
      </c>
      <c r="BU365" s="47" t="s">
        <v>0</v>
      </c>
      <c r="BV365" s="125"/>
      <c r="BW365" s="47" t="s">
        <v>0</v>
      </c>
      <c r="BX365" s="58" t="str">
        <f t="shared" si="336"/>
        <v/>
      </c>
      <c r="BY365" s="31" t="str">
        <f t="shared" si="337"/>
        <v/>
      </c>
      <c r="BZ365" s="31" t="str">
        <f>IF(BY365="","",MAX(BZ$12:BZ364)+1)</f>
        <v/>
      </c>
      <c r="CA365" s="31" t="str">
        <f>IF(BY365="","",IF(AA365="","",IF(AA365="NEMA",AC365,AA365)))</f>
        <v/>
      </c>
      <c r="CB365" s="31" t="str">
        <f t="shared" si="338"/>
        <v/>
      </c>
      <c r="CC365" s="31" t="str">
        <f>IF(BV365="","",MAX(CC$12:CC364)+1)</f>
        <v/>
      </c>
      <c r="CD365" s="31" t="str">
        <f t="shared" si="339"/>
        <v/>
      </c>
      <c r="CE365" s="66" t="str">
        <f t="shared" si="340"/>
        <v/>
      </c>
      <c r="CF365" s="47" t="s">
        <v>0</v>
      </c>
      <c r="CG365" s="73" t="str">
        <f>IF(BN365="","",IF(BN365&lt;&gt;"NEMA","",IFERROR(INDEX(nat_klubAliasId,MATCH(BL365,nat_noviKluboviAliasi,0)),"")))</f>
        <v/>
      </c>
      <c r="CH365" s="47"/>
      <c r="CI365" s="19" t="str">
        <f t="shared" si="341"/>
        <v/>
      </c>
      <c r="CJ365" s="47" t="s">
        <v>0</v>
      </c>
      <c r="CK365" s="52" t="str">
        <f>IF(X365&lt;&gt;"NEMA","",IF(IFERROR(MATCH(W365,W$12:W364,0),0)&lt;&gt;0,"",W365))</f>
        <v/>
      </c>
      <c r="CL365" s="73" t="str">
        <f>IF(CK365="","",IFERROR(INDEX(regKlub_alias_id,MATCH(CK365,regKlub_alias_alias,0)),"NEMA"))</f>
        <v/>
      </c>
      <c r="CM365" s="31" t="str">
        <f>IF(OR(CL365="",CL365&lt;&gt;"NEMA"),"",MAX(CM$12:CM364)+1)</f>
        <v/>
      </c>
      <c r="CN365" s="66" t="str">
        <f>IF(OR(CL365="",CL365&lt;&gt;"NEMA"),"",INDEX(regKlub_id,MATCH(CK365,regKlub_naziv,0)))</f>
        <v/>
      </c>
      <c r="CO365" s="47" t="s">
        <v>0</v>
      </c>
      <c r="CP365" s="19" t="str">
        <f>IF(OR(CL365="",CL365&lt;&gt;"NEMA"),"","INSERT INTO klub_alias(id,alias,klub_id) VALUES ("&amp;CM365&amp;",'"&amp;CK365&amp;"',"&amp;CN365&amp;");")</f>
        <v/>
      </c>
      <c r="CQ365" s="47" t="s">
        <v>0</v>
      </c>
      <c r="CR365" s="143" t="str">
        <f>IF(BR365="","",IF(BV365="",IF(IFERROR(MATCH(BR365,nat_noviKluboviAliasi,0),0)&gt;0,INDEX(nat_kluboviAliasi,MATCH(BR365,nat_noviKluboviAliasi,0)),BR365),BV365))</f>
        <v/>
      </c>
      <c r="CS365" s="47" t="s">
        <v>0</v>
      </c>
      <c r="CT365" s="58" t="str">
        <f>IF(G365="","",G365)</f>
        <v/>
      </c>
      <c r="CU365" s="73" t="str">
        <f>IF(H365="","",H365)</f>
        <v/>
      </c>
      <c r="CV365" s="229" t="str">
        <f>IF(CT365="",IF(OR(AL365="",CU365&lt;&gt;"0"),"","GREŠKA"),IF(AND(65535&gt;=VALUE(LEFT(CT365,SEARCH(":",CT365)-1))*60+VALUE(RIGHT(CT365,2)),OR(CU365="0",CU365="1",CU365="2",CU365="3",CU365="4")),"","GREŠKA"))</f>
        <v/>
      </c>
      <c r="CW365" s="230" t="str">
        <f t="shared" si="295"/>
        <v/>
      </c>
      <c r="CX365" s="163" t="str">
        <f t="shared" si="311"/>
        <v/>
      </c>
      <c r="CY365" s="47" t="s">
        <v>0</v>
      </c>
      <c r="CZ365" s="222" t="str">
        <f>IF(CV365&lt;&gt;"GREŠKA","",AK365&amp;" "&amp;AL365&amp;" – Molim u OEventu provjeriti i ispraviti rezultat – vrijeme ("&amp;IF(CT365="","nije upisano",CT365)&amp;") i classifier ("&amp;CU365&amp;").")&amp;IF(OR(CV365&lt;&gt;"GREŠKA",CX365&lt;&gt;5),"
","")&amp;IF(CX365&lt;&gt;5,"",AK365&amp;" "&amp;AL365&amp;" – Molim u provjeriti je li natjecatelj zaista diskvalificiran. Ako je koje je obrazloženje, ako nije molim u OEventu ispraviti rezultat")</f>
        <v xml:space="preserve">
</v>
      </c>
      <c r="DA365" s="223" t="str">
        <f t="shared" si="342"/>
        <v/>
      </c>
      <c r="DB365" s="47" t="s">
        <v>0</v>
      </c>
      <c r="DC365" s="47"/>
      <c r="DD365" s="47"/>
      <c r="DE365" s="47"/>
      <c r="DF365" s="47" t="s">
        <v>0</v>
      </c>
      <c r="DG365" s="53" t="str">
        <f>IF(BD365="","",IF(DI365="O",1,""))</f>
        <v/>
      </c>
      <c r="DH365" t="s">
        <v>0</v>
      </c>
      <c r="DI365" s="128" t="str">
        <f>IF(Q365="","",LEFT(INDEX(regKategorija_oznaka,MATCH(S365,regKategorija_id,0)),1))</f>
        <v/>
      </c>
      <c r="DJ365" t="s">
        <v>0</v>
      </c>
      <c r="DK365" s="52" t="str">
        <f>IF(BD365="","",IF(M365&lt;&gt;"CRO","","INSERT INTO osoba (id,reg_broj,oib,spol_id,dat_rodjenja) VALUES ("&amp;BD365&amp;",(SELECT max(os.reg_broj)+1 FROM osoba AS os),Null,'"&amp;DI365&amp;"',Null); INSERT INTO osoba_log (id,reg_broj,oib,spol_id,dat_rodjenja,dnevnik_id) SELECT id,reg_broj,oib,spol_id,dat_rodjenja,"&amp;data_dnevnik_id&amp;" FROM osoba WHERE id = "&amp;BD365&amp;";"))</f>
        <v/>
      </c>
      <c r="DL365" s="66" t="str">
        <f>IF(BD365="","","INSERT INTO imeprezime (id,osoba_id,rbr,ime,prezime,klub_id,identitet_id,sintaksa_id,info,aktivno,dnevnik_id) VALUES ("&amp;BD365&amp;","&amp;IF(DK365="","Null",BD365)&amp;",1,'"&amp;IF(AV365&lt;&gt;"",AV365,AK365)&amp;"','"&amp;IF(AW365&lt;&gt;"",AW365,AL365)&amp;"',(SELECT id FROM klub WHERE naziv = '"&amp;CR365&amp;"'),Null,1,'',1,"&amp;data_dnevnik_id&amp;");")</f>
        <v/>
      </c>
      <c r="DM365" t="s">
        <v>0</v>
      </c>
      <c r="DN365" s="19" t="str">
        <f t="shared" si="350"/>
        <v/>
      </c>
      <c r="DO365" s="47" t="s">
        <v>0</v>
      </c>
      <c r="DP365" s="19" t="str">
        <f>IF(BA365="","","INSERT INTO imeprezime_alias(id,alias,imeprezime_id) VALUES ("&amp;BB365&amp;",'"&amp;BA365&amp;"',"&amp;IF(BC365="NEMA",BD365,BC365)&amp;");")</f>
        <v/>
      </c>
      <c r="DQ365" s="47" t="s">
        <v>0</v>
      </c>
      <c r="DR365" s="52" t="str">
        <f>IF(AL365="","",DU365 &amp; IF(Q365="",""," – " &amp; Q365))</f>
        <v/>
      </c>
      <c r="DS365" s="53" t="str">
        <f t="shared" si="312"/>
        <v/>
      </c>
      <c r="DT365" s="47" t="s">
        <v>0</v>
      </c>
      <c r="DU365" s="52" t="str">
        <f>IF(AL365="","",DX365 &amp; IF(CR365="",""," – " &amp; CR365))</f>
        <v/>
      </c>
      <c r="DV365" s="53" t="str">
        <f t="shared" si="313"/>
        <v/>
      </c>
      <c r="DW365" s="47" t="s">
        <v>0</v>
      </c>
      <c r="DX365" s="52" t="str">
        <f>IF(BG365="","",BF365&amp;" – "&amp;BG365)</f>
        <v/>
      </c>
      <c r="DY365" s="53" t="str">
        <f t="shared" si="314"/>
        <v/>
      </c>
      <c r="DZ365" s="47" t="s">
        <v>0</v>
      </c>
      <c r="EA365" s="58" t="str">
        <f t="shared" si="343"/>
        <v/>
      </c>
      <c r="EB365" s="53" t="str" cm="1">
        <f t="array" ref="EB365">IF(EA365&lt;&gt;"",INDEX(regNatjecatelj_id,EA365,0),IF(BD365&lt;&gt;"",BD365,""))</f>
        <v/>
      </c>
      <c r="EC365" s="47" t="s">
        <v>0</v>
      </c>
      <c r="ED365" s="58" t="str">
        <f>IF(AL365="","",IF(BD365&lt;&gt;"","novo",IF(AN365="","imepre","imepre(ali)")))</f>
        <v/>
      </c>
      <c r="EE365" s="73" t="str">
        <f>IF(AL365="","",IF(BL365="",IF(IFERROR(INDEX(regNatjecatelj_klub,MATCH(EB365,regNatjecatelj_id,0)),"NEMA")="","klu",""),IF(OR(AND(BN365&lt;&gt;"",BN365&lt;&gt;"NEMA"),CD365&lt;&gt;""),"klu(ali)",IF(AND(BP365&lt;&gt;"",BP365&lt;&gt;BO365),"(raz-klu)","klu"))))</f>
        <v/>
      </c>
      <c r="EF365" s="73" t="str">
        <f>IF(AL365="","","kat"&amp;IF(AND(W365&lt;&gt;Q365,Q365&lt;&gt;"Open"),"(ali)",""))</f>
        <v/>
      </c>
      <c r="EG365" s="73" t="str">
        <f t="shared" si="315"/>
        <v/>
      </c>
      <c r="EH365" s="66" t="str">
        <f>IF(AL365="","",ED365&amp;IF(ED365="novo","","-"&amp;EE365&amp;"-"&amp;EF365)&amp;IF(EG365="","","-"&amp;EG365))</f>
        <v/>
      </c>
      <c r="EI365" s="47" t="s">
        <v>0</v>
      </c>
      <c r="EJ365" s="58" t="str">
        <f>IF(AL365="","",MAX(EJ$12:EJ364)+1)</f>
        <v/>
      </c>
      <c r="EK365" s="73" t="str">
        <f>IF(AO365="","",X365)</f>
        <v/>
      </c>
      <c r="EL365" s="73" t="str">
        <f t="shared" si="344"/>
        <v/>
      </c>
      <c r="EM365" s="73" t="str">
        <f t="shared" si="316"/>
        <v/>
      </c>
      <c r="EN365" s="73" t="str">
        <f t="shared" si="317"/>
        <v/>
      </c>
      <c r="EO365" s="73" t="str">
        <f t="shared" si="345"/>
        <v/>
      </c>
      <c r="EP365" s="73" t="str">
        <f t="shared" si="346"/>
        <v/>
      </c>
      <c r="EQ365" s="73" t="str">
        <f t="shared" si="318"/>
        <v/>
      </c>
      <c r="ER365" s="73" t="str">
        <f>IF(OR(AN365="",AN365="NEMA"),BB365,AN365)</f>
        <v/>
      </c>
      <c r="ES365" s="73" t="str">
        <f>IF(AND(BN365&lt;&gt;"",BN365&lt;&gt;"NEMA"),BN365,IF(CG365&lt;&gt;"",CG365,IF(AND(CL365&lt;&gt;"",CL365&lt;&gt;"NEMA"),CL365,IF(CM365&lt;&gt;"",CM365,""))))</f>
        <v/>
      </c>
      <c r="ET365" s="53" t="str">
        <f>IF(INDEX(natKategorija_alias_Id,MATCH(S365,natKategorija_katRegId,0))="","",INDEX(natKategorija_alias_Id,MATCH(S365,natKategorija_katRegId,0)))</f>
        <v/>
      </c>
      <c r="EU365" s="47" t="s">
        <v>0</v>
      </c>
      <c r="EV365" s="19" t="str">
        <f t="shared" si="347"/>
        <v/>
      </c>
      <c r="EW365" s="47" t="s">
        <v>0</v>
      </c>
      <c r="EX365" s="19" t="str">
        <f t="shared" si="348"/>
        <v/>
      </c>
      <c r="EY365" s="47" t="s">
        <v>0</v>
      </c>
      <c r="EZ365" s="180" t="str">
        <f>AG365&amp;IF(CP365="","","
")&amp;CP365&amp;IF(CI365="","","
")&amp;CI365&amp;IF(DN365="","","
")&amp;DN365&amp;IF(DP365="","","
")&amp;DP365&amp;IF(EV365="","","
")&amp;EV365&amp;IF(EX365="","","
")&amp;EX365</f>
        <v/>
      </c>
      <c r="FA365" s="47" t="s">
        <v>0</v>
      </c>
    </row>
    <row r="366" spans="1:157" x14ac:dyDescent="0.25">
      <c r="A366" t="s">
        <v>0</v>
      </c>
      <c r="B366" s="52" t="str">
        <f>IF(csv!F356="","",csv!T356)</f>
        <v/>
      </c>
      <c r="C366" s="31" t="s">
        <v>0</v>
      </c>
      <c r="D366" s="31" t="str">
        <f>IF(csv!F356="","",csv!F356)</f>
        <v/>
      </c>
      <c r="E366" s="31" t="str">
        <f>IF(csv!E356="","",csv!E356)</f>
        <v/>
      </c>
      <c r="F366" s="31" t="s">
        <v>0</v>
      </c>
      <c r="G366" s="73" t="str">
        <f>IF(csv!M356="","",csv!M356)</f>
        <v/>
      </c>
      <c r="H366" s="73" t="str">
        <f>IF(csv!N356="","",csv!N356)</f>
        <v/>
      </c>
      <c r="I366" s="31" t="s">
        <v>0</v>
      </c>
      <c r="J366" s="31" t="str">
        <f>IF(csv!P356="","",csv!P356)</f>
        <v/>
      </c>
      <c r="K366" s="31" t="str">
        <f>IF(csv!Q356="","",csv!Q356)</f>
        <v/>
      </c>
      <c r="L366" s="31" t="s">
        <v>0</v>
      </c>
      <c r="M366" s="66" t="str">
        <f>IF(csv!R356="","",csv!R356)</f>
        <v/>
      </c>
      <c r="N366" s="47" t="s">
        <v>0</v>
      </c>
      <c r="O366" s="243" t="str">
        <f t="shared" si="319"/>
        <v/>
      </c>
      <c r="P366" s="47"/>
      <c r="Q366" s="52" t="str">
        <f t="shared" si="320"/>
        <v/>
      </c>
      <c r="R366" s="73" t="str">
        <f>IF(Q366="","",IF(COUNTIF(Q$12:Q365,Q366)=0,R365+1,R365))</f>
        <v/>
      </c>
      <c r="S366" s="73" t="str">
        <f t="shared" si="321"/>
        <v/>
      </c>
      <c r="T366" s="73" t="str">
        <f t="shared" si="297"/>
        <v/>
      </c>
      <c r="U366" s="66" t="str">
        <f t="shared" si="298"/>
        <v/>
      </c>
      <c r="V366" s="47" t="s">
        <v>0</v>
      </c>
      <c r="W366" s="222" t="str">
        <f t="shared" si="299"/>
        <v/>
      </c>
      <c r="X366" s="223" t="str">
        <f t="shared" si="300"/>
        <v/>
      </c>
      <c r="Y366" s="47" t="s">
        <v>0</v>
      </c>
      <c r="Z366" s="52" t="str">
        <f t="shared" si="322"/>
        <v/>
      </c>
      <c r="AA366" s="73" t="str">
        <f t="shared" si="301"/>
        <v/>
      </c>
      <c r="AB366" s="31" t="str">
        <f t="shared" si="323"/>
        <v/>
      </c>
      <c r="AC366" s="66" t="str">
        <f>IF(AB366="","",MAX(AC$12:AC365)+1)</f>
        <v/>
      </c>
      <c r="AD366" s="47" t="s">
        <v>0</v>
      </c>
      <c r="AE366" s="125"/>
      <c r="AF366" s="47" t="s">
        <v>0</v>
      </c>
      <c r="AG366" s="19" t="str">
        <f t="shared" si="324"/>
        <v/>
      </c>
      <c r="AH366" s="47" t="s">
        <v>0</v>
      </c>
      <c r="AI366" s="143" t="str">
        <f t="shared" si="325"/>
        <v/>
      </c>
      <c r="AJ366" s="47"/>
      <c r="AK366" s="52" t="str">
        <f t="shared" si="326"/>
        <v/>
      </c>
      <c r="AL366" s="31" t="str">
        <f t="shared" si="327"/>
        <v/>
      </c>
      <c r="AM366" s="73" t="str">
        <f t="shared" si="328"/>
        <v/>
      </c>
      <c r="AN366" s="73" t="str">
        <f t="shared" si="329"/>
        <v/>
      </c>
      <c r="AO366" s="31" t="str">
        <f t="shared" si="302"/>
        <v/>
      </c>
      <c r="AP366" s="66" t="str">
        <f t="shared" si="303"/>
        <v/>
      </c>
      <c r="AQ366" s="47" t="s">
        <v>0</v>
      </c>
      <c r="AR366" s="82" t="str">
        <f t="shared" si="330"/>
        <v/>
      </c>
      <c r="AS366" s="47" t="s">
        <v>0</v>
      </c>
      <c r="AT366" s="19" t="str">
        <f t="shared" si="331"/>
        <v/>
      </c>
      <c r="AU366" s="47" t="s">
        <v>0</v>
      </c>
      <c r="AV366" s="103"/>
      <c r="AW366" s="105"/>
      <c r="AX366" s="47" t="s">
        <v>0</v>
      </c>
      <c r="AY366" s="256" t="str">
        <f t="shared" si="349"/>
        <v/>
      </c>
      <c r="AZ366" s="47" t="s">
        <v>0</v>
      </c>
      <c r="BA366" s="52" t="str">
        <f t="shared" si="296"/>
        <v/>
      </c>
      <c r="BB366" s="73" t="str">
        <f>IF(AV366&amp;AW366="","",MAX(BB$12:BB365)+1)</f>
        <v/>
      </c>
      <c r="BC366" s="268" t="str">
        <f t="shared" si="304"/>
        <v/>
      </c>
      <c r="BD366" s="53" t="str">
        <f>IF(AND(AM366="NEMA",AN366="NEMA",OR(AV366&amp;AW366="",BC366="NEMA")),MAX(BD$12:BD365)+1,"")</f>
        <v/>
      </c>
      <c r="BE366" s="47" t="s">
        <v>0</v>
      </c>
      <c r="BF366" s="52" t="str">
        <f t="shared" si="305"/>
        <v/>
      </c>
      <c r="BG366" s="31" t="str">
        <f t="shared" si="306"/>
        <v/>
      </c>
      <c r="BH366" s="73" t="str">
        <f t="shared" si="332"/>
        <v/>
      </c>
      <c r="BI366" s="53" t="str">
        <f t="shared" si="333"/>
        <v/>
      </c>
      <c r="BJ366" s="47" t="s">
        <v>0</v>
      </c>
      <c r="BK366" s="52" t="str">
        <f t="shared" si="307"/>
        <v/>
      </c>
      <c r="BL366" s="31" t="str">
        <f t="shared" si="308"/>
        <v/>
      </c>
      <c r="BM366" s="73" t="str">
        <f t="shared" si="309"/>
        <v/>
      </c>
      <c r="BN366" s="73" t="str">
        <f t="shared" si="310"/>
        <v/>
      </c>
      <c r="BO366" s="31" t="str" cm="1">
        <f t="array" ref="BO366">IF(BN366="",""&amp;BL366,IF(BN366="NEMA",BL366,INDEX(regKlub_naziv,MATCH(INDEX(regKlub_alias_klubId,BN366),regKlub_id,0))))</f>
        <v/>
      </c>
      <c r="BP366" s="31" t="str" cm="1">
        <f t="array" ref="BP366">IFERROR(""&amp;INDEX(regNatjecatelj_klub,DY366),"")</f>
        <v/>
      </c>
      <c r="BQ366" s="88" t="str">
        <f t="shared" si="334"/>
        <v/>
      </c>
      <c r="BR366" s="66" t="str">
        <f t="shared" si="335"/>
        <v/>
      </c>
      <c r="BS366" s="47" t="s">
        <v>0</v>
      </c>
      <c r="BT366" s="82" t="str">
        <f>IF(BN366&lt;&gt;"NEMA","",IF(IFERROR(MATCH(BL366,BL$12:BL365,0),0)&lt;&gt;0,"",BL366))</f>
        <v/>
      </c>
      <c r="BU366" s="47" t="s">
        <v>0</v>
      </c>
      <c r="BV366" s="125"/>
      <c r="BW366" s="47" t="s">
        <v>0</v>
      </c>
      <c r="BX366" s="58" t="str">
        <f t="shared" si="336"/>
        <v/>
      </c>
      <c r="BY366" s="31" t="str">
        <f t="shared" si="337"/>
        <v/>
      </c>
      <c r="BZ366" s="31" t="str">
        <f>IF(BY366="","",MAX(BZ$12:BZ365)+1)</f>
        <v/>
      </c>
      <c r="CA366" s="31" t="str">
        <f>IF(BY366="","",IF(AA366="","",IF(AA366="NEMA",AC366,AA366)))</f>
        <v/>
      </c>
      <c r="CB366" s="31" t="str">
        <f t="shared" si="338"/>
        <v/>
      </c>
      <c r="CC366" s="31" t="str">
        <f>IF(BV366="","",MAX(CC$12:CC365)+1)</f>
        <v/>
      </c>
      <c r="CD366" s="31" t="str">
        <f t="shared" si="339"/>
        <v/>
      </c>
      <c r="CE366" s="66" t="str">
        <f t="shared" si="340"/>
        <v/>
      </c>
      <c r="CF366" s="47" t="s">
        <v>0</v>
      </c>
      <c r="CG366" s="73" t="str">
        <f>IF(BN366="","",IF(BN366&lt;&gt;"NEMA","",IFERROR(INDEX(nat_klubAliasId,MATCH(BL366,nat_noviKluboviAliasi,0)),"")))</f>
        <v/>
      </c>
      <c r="CH366" s="47"/>
      <c r="CI366" s="19" t="str">
        <f t="shared" si="341"/>
        <v/>
      </c>
      <c r="CJ366" s="47" t="s">
        <v>0</v>
      </c>
      <c r="CK366" s="52" t="str">
        <f>IF(X366&lt;&gt;"NEMA","",IF(IFERROR(MATCH(W366,W$12:W365,0),0)&lt;&gt;0,"",W366))</f>
        <v/>
      </c>
      <c r="CL366" s="73" t="str">
        <f>IF(CK366="","",IFERROR(INDEX(regKlub_alias_id,MATCH(CK366,regKlub_alias_alias,0)),"NEMA"))</f>
        <v/>
      </c>
      <c r="CM366" s="31" t="str">
        <f>IF(OR(CL366="",CL366&lt;&gt;"NEMA"),"",MAX(CM$12:CM365)+1)</f>
        <v/>
      </c>
      <c r="CN366" s="66" t="str">
        <f>IF(OR(CL366="",CL366&lt;&gt;"NEMA"),"",INDEX(regKlub_id,MATCH(CK366,regKlub_naziv,0)))</f>
        <v/>
      </c>
      <c r="CO366" s="47" t="s">
        <v>0</v>
      </c>
      <c r="CP366" s="19" t="str">
        <f>IF(OR(CL366="",CL366&lt;&gt;"NEMA"),"","INSERT INTO klub_alias(id,alias,klub_id) VALUES ("&amp;CM366&amp;",'"&amp;CK366&amp;"',"&amp;CN366&amp;");")</f>
        <v/>
      </c>
      <c r="CQ366" s="47" t="s">
        <v>0</v>
      </c>
      <c r="CR366" s="143" t="str">
        <f>IF(BR366="","",IF(BV366="",IF(IFERROR(MATCH(BR366,nat_noviKluboviAliasi,0),0)&gt;0,INDEX(nat_kluboviAliasi,MATCH(BR366,nat_noviKluboviAliasi,0)),BR366),BV366))</f>
        <v/>
      </c>
      <c r="CS366" s="47" t="s">
        <v>0</v>
      </c>
      <c r="CT366" s="58" t="str">
        <f>IF(G366="","",G366)</f>
        <v/>
      </c>
      <c r="CU366" s="73" t="str">
        <f>IF(H366="","",H366)</f>
        <v/>
      </c>
      <c r="CV366" s="229" t="str">
        <f>IF(CT366="",IF(OR(AL366="",CU366&lt;&gt;"0"),"","GREŠKA"),IF(AND(65535&gt;=VALUE(LEFT(CT366,SEARCH(":",CT366)-1))*60+VALUE(RIGHT(CT366,2)),OR(CU366="0",CU366="1",CU366="2",CU366="3",CU366="4")),"","GREŠKA"))</f>
        <v/>
      </c>
      <c r="CW366" s="230" t="str">
        <f t="shared" si="295"/>
        <v/>
      </c>
      <c r="CX366" s="163" t="str">
        <f t="shared" si="311"/>
        <v/>
      </c>
      <c r="CY366" s="47" t="s">
        <v>0</v>
      </c>
      <c r="CZ366" s="222" t="str">
        <f>IF(CV366&lt;&gt;"GREŠKA","",AK366&amp;" "&amp;AL366&amp;" – Molim u OEventu provjeriti i ispraviti rezultat – vrijeme ("&amp;IF(CT366="","nije upisano",CT366)&amp;") i classifier ("&amp;CU366&amp;").")&amp;IF(OR(CV366&lt;&gt;"GREŠKA",CX366&lt;&gt;5),"
","")&amp;IF(CX366&lt;&gt;5,"",AK366&amp;" "&amp;AL366&amp;" – Molim u provjeriti je li natjecatelj zaista diskvalificiran. Ako je koje je obrazloženje, ako nije molim u OEventu ispraviti rezultat")</f>
        <v xml:space="preserve">
</v>
      </c>
      <c r="DA366" s="223" t="str">
        <f t="shared" si="342"/>
        <v/>
      </c>
      <c r="DB366" s="47" t="s">
        <v>0</v>
      </c>
      <c r="DC366" s="47"/>
      <c r="DD366" s="47"/>
      <c r="DE366" s="47"/>
      <c r="DF366" s="47" t="s">
        <v>0</v>
      </c>
      <c r="DG366" s="53" t="str">
        <f>IF(BD366="","",IF(DI366="O",1,""))</f>
        <v/>
      </c>
      <c r="DH366" t="s">
        <v>0</v>
      </c>
      <c r="DI366" s="128" t="str">
        <f>IF(Q366="","",LEFT(INDEX(regKategorija_oznaka,MATCH(S366,regKategorija_id,0)),1))</f>
        <v/>
      </c>
      <c r="DJ366" t="s">
        <v>0</v>
      </c>
      <c r="DK366" s="52" t="str">
        <f>IF(BD366="","",IF(M366&lt;&gt;"CRO","","INSERT INTO osoba (id,reg_broj,oib,spol_id,dat_rodjenja) VALUES ("&amp;BD366&amp;",(SELECT max(os.reg_broj)+1 FROM osoba AS os),Null,'"&amp;DI366&amp;"',Null); INSERT INTO osoba_log (id,reg_broj,oib,spol_id,dat_rodjenja,dnevnik_id) SELECT id,reg_broj,oib,spol_id,dat_rodjenja,"&amp;data_dnevnik_id&amp;" FROM osoba WHERE id = "&amp;BD366&amp;";"))</f>
        <v/>
      </c>
      <c r="DL366" s="66" t="str">
        <f>IF(BD366="","","INSERT INTO imeprezime (id,osoba_id,rbr,ime,prezime,klub_id,identitet_id,sintaksa_id,info,aktivno,dnevnik_id) VALUES ("&amp;BD366&amp;","&amp;IF(DK366="","Null",BD366)&amp;",1,'"&amp;IF(AV366&lt;&gt;"",AV366,AK366)&amp;"','"&amp;IF(AW366&lt;&gt;"",AW366,AL366)&amp;"',(SELECT id FROM klub WHERE naziv = '"&amp;CR366&amp;"'),Null,1,'',1,"&amp;data_dnevnik_id&amp;");")</f>
        <v/>
      </c>
      <c r="DM366" t="s">
        <v>0</v>
      </c>
      <c r="DN366" s="19" t="str">
        <f t="shared" si="350"/>
        <v/>
      </c>
      <c r="DO366" s="47" t="s">
        <v>0</v>
      </c>
      <c r="DP366" s="19" t="str">
        <f>IF(BA366="","","INSERT INTO imeprezime_alias(id,alias,imeprezime_id) VALUES ("&amp;BB366&amp;",'"&amp;BA366&amp;"',"&amp;IF(BC366="NEMA",BD366,BC366)&amp;");")</f>
        <v/>
      </c>
      <c r="DQ366" s="47" t="s">
        <v>0</v>
      </c>
      <c r="DR366" s="52" t="str">
        <f>IF(AL366="","",DU366 &amp; IF(Q366="",""," – " &amp; Q366))</f>
        <v/>
      </c>
      <c r="DS366" s="53" t="str">
        <f t="shared" si="312"/>
        <v/>
      </c>
      <c r="DT366" s="47" t="s">
        <v>0</v>
      </c>
      <c r="DU366" s="52" t="str">
        <f>IF(AL366="","",DX366 &amp; IF(CR366="",""," – " &amp; CR366))</f>
        <v/>
      </c>
      <c r="DV366" s="53" t="str">
        <f t="shared" si="313"/>
        <v/>
      </c>
      <c r="DW366" s="47" t="s">
        <v>0</v>
      </c>
      <c r="DX366" s="52" t="str">
        <f>IF(BG366="","",BF366&amp;" – "&amp;BG366)</f>
        <v/>
      </c>
      <c r="DY366" s="53" t="str">
        <f t="shared" si="314"/>
        <v/>
      </c>
      <c r="DZ366" s="47" t="s">
        <v>0</v>
      </c>
      <c r="EA366" s="58" t="str">
        <f t="shared" si="343"/>
        <v/>
      </c>
      <c r="EB366" s="53" t="str" cm="1">
        <f t="array" ref="EB366">IF(EA366&lt;&gt;"",INDEX(regNatjecatelj_id,EA366,0),IF(BD366&lt;&gt;"",BD366,""))</f>
        <v/>
      </c>
      <c r="EC366" s="47" t="s">
        <v>0</v>
      </c>
      <c r="ED366" s="58" t="str">
        <f>IF(AL366="","",IF(BD366&lt;&gt;"","novo",IF(AN366="","imepre","imepre(ali)")))</f>
        <v/>
      </c>
      <c r="EE366" s="73" t="str">
        <f>IF(AL366="","",IF(BL366="",IF(IFERROR(INDEX(regNatjecatelj_klub,MATCH(EB366,regNatjecatelj_id,0)),"NEMA")="","klu",""),IF(OR(AND(BN366&lt;&gt;"",BN366&lt;&gt;"NEMA"),CD366&lt;&gt;""),"klu(ali)",IF(AND(BP366&lt;&gt;"",BP366&lt;&gt;BO366),"(raz-klu)","klu"))))</f>
        <v/>
      </c>
      <c r="EF366" s="73" t="str">
        <f>IF(AL366="","","kat"&amp;IF(AND(W366&lt;&gt;Q366,Q366&lt;&gt;"Open"),"(ali)",""))</f>
        <v/>
      </c>
      <c r="EG366" s="73" t="str">
        <f t="shared" si="315"/>
        <v/>
      </c>
      <c r="EH366" s="66" t="str">
        <f>IF(AL366="","",ED366&amp;IF(ED366="novo","","-"&amp;EE366&amp;"-"&amp;EF366)&amp;IF(EG366="","","-"&amp;EG366))</f>
        <v/>
      </c>
      <c r="EI366" s="47" t="s">
        <v>0</v>
      </c>
      <c r="EJ366" s="58" t="str">
        <f>IF(AL366="","",MAX(EJ$12:EJ365)+1)</f>
        <v/>
      </c>
      <c r="EK366" s="73" t="str">
        <f>IF(AO366="","",X366)</f>
        <v/>
      </c>
      <c r="EL366" s="73" t="str">
        <f t="shared" si="344"/>
        <v/>
      </c>
      <c r="EM366" s="73" t="str">
        <f t="shared" si="316"/>
        <v/>
      </c>
      <c r="EN366" s="73" t="str">
        <f t="shared" si="317"/>
        <v/>
      </c>
      <c r="EO366" s="73" t="str">
        <f t="shared" si="345"/>
        <v/>
      </c>
      <c r="EP366" s="73" t="str">
        <f t="shared" si="346"/>
        <v/>
      </c>
      <c r="EQ366" s="73" t="str">
        <f t="shared" si="318"/>
        <v/>
      </c>
      <c r="ER366" s="73" t="str">
        <f>IF(OR(AN366="",AN366="NEMA"),BB366,AN366)</f>
        <v/>
      </c>
      <c r="ES366" s="73" t="str">
        <f>IF(AND(BN366&lt;&gt;"",BN366&lt;&gt;"NEMA"),BN366,IF(CG366&lt;&gt;"",CG366,IF(AND(CL366&lt;&gt;"",CL366&lt;&gt;"NEMA"),CL366,IF(CM366&lt;&gt;"",CM366,""))))</f>
        <v/>
      </c>
      <c r="ET366" s="53" t="str">
        <f>IF(INDEX(natKategorija_alias_Id,MATCH(S366,natKategorija_katRegId,0))="","",INDEX(natKategorija_alias_Id,MATCH(S366,natKategorija_katRegId,0)))</f>
        <v/>
      </c>
      <c r="EU366" s="47" t="s">
        <v>0</v>
      </c>
      <c r="EV366" s="19" t="str">
        <f t="shared" si="347"/>
        <v/>
      </c>
      <c r="EW366" s="47" t="s">
        <v>0</v>
      </c>
      <c r="EX366" s="19" t="str">
        <f t="shared" si="348"/>
        <v/>
      </c>
      <c r="EY366" s="47" t="s">
        <v>0</v>
      </c>
      <c r="EZ366" s="180" t="str">
        <f>AG366&amp;IF(CP366="","","
")&amp;CP366&amp;IF(CI366="","","
")&amp;CI366&amp;IF(DN366="","","
")&amp;DN366&amp;IF(DP366="","","
")&amp;DP366&amp;IF(EV366="","","
")&amp;EV366&amp;IF(EX366="","","
")&amp;EX366</f>
        <v/>
      </c>
      <c r="FA366" s="47" t="s">
        <v>0</v>
      </c>
    </row>
    <row r="367" spans="1:157" x14ac:dyDescent="0.25">
      <c r="A367" t="s">
        <v>0</v>
      </c>
      <c r="B367" s="52" t="str">
        <f>IF(csv!F357="","",csv!T357)</f>
        <v/>
      </c>
      <c r="C367" s="31" t="s">
        <v>0</v>
      </c>
      <c r="D367" s="31" t="str">
        <f>IF(csv!F357="","",csv!F357)</f>
        <v/>
      </c>
      <c r="E367" s="31" t="str">
        <f>IF(csv!E357="","",csv!E357)</f>
        <v/>
      </c>
      <c r="F367" s="31" t="s">
        <v>0</v>
      </c>
      <c r="G367" s="73" t="str">
        <f>IF(csv!M357="","",csv!M357)</f>
        <v/>
      </c>
      <c r="H367" s="73" t="str">
        <f>IF(csv!N357="","",csv!N357)</f>
        <v/>
      </c>
      <c r="I367" s="31" t="s">
        <v>0</v>
      </c>
      <c r="J367" s="31" t="str">
        <f>IF(csv!P357="","",csv!P357)</f>
        <v/>
      </c>
      <c r="K367" s="31" t="str">
        <f>IF(csv!Q357="","",csv!Q357)</f>
        <v/>
      </c>
      <c r="L367" s="31" t="s">
        <v>0</v>
      </c>
      <c r="M367" s="66" t="str">
        <f>IF(csv!R357="","",csv!R357)</f>
        <v/>
      </c>
      <c r="N367" s="47" t="s">
        <v>0</v>
      </c>
      <c r="O367" s="243" t="str">
        <f t="shared" si="319"/>
        <v/>
      </c>
      <c r="P367" s="47"/>
      <c r="Q367" s="52" t="str">
        <f t="shared" si="320"/>
        <v/>
      </c>
      <c r="R367" s="73" t="str">
        <f>IF(Q367="","",IF(COUNTIF(Q$12:Q366,Q367)=0,R366+1,R366))</f>
        <v/>
      </c>
      <c r="S367" s="73" t="str">
        <f t="shared" si="321"/>
        <v/>
      </c>
      <c r="T367" s="73" t="str">
        <f t="shared" si="297"/>
        <v/>
      </c>
      <c r="U367" s="66" t="str">
        <f t="shared" si="298"/>
        <v/>
      </c>
      <c r="V367" s="47" t="s">
        <v>0</v>
      </c>
      <c r="W367" s="222" t="str">
        <f t="shared" si="299"/>
        <v/>
      </c>
      <c r="X367" s="223" t="str">
        <f t="shared" si="300"/>
        <v/>
      </c>
      <c r="Y367" s="47" t="s">
        <v>0</v>
      </c>
      <c r="Z367" s="52" t="str">
        <f t="shared" si="322"/>
        <v/>
      </c>
      <c r="AA367" s="73" t="str">
        <f t="shared" si="301"/>
        <v/>
      </c>
      <c r="AB367" s="31" t="str">
        <f t="shared" si="323"/>
        <v/>
      </c>
      <c r="AC367" s="66" t="str">
        <f>IF(AB367="","",MAX(AC$12:AC366)+1)</f>
        <v/>
      </c>
      <c r="AD367" s="47" t="s">
        <v>0</v>
      </c>
      <c r="AE367" s="125"/>
      <c r="AF367" s="47" t="s">
        <v>0</v>
      </c>
      <c r="AG367" s="19" t="str">
        <f t="shared" si="324"/>
        <v/>
      </c>
      <c r="AH367" s="47" t="s">
        <v>0</v>
      </c>
      <c r="AI367" s="143" t="str">
        <f t="shared" si="325"/>
        <v/>
      </c>
      <c r="AJ367" s="47"/>
      <c r="AK367" s="52" t="str">
        <f t="shared" si="326"/>
        <v/>
      </c>
      <c r="AL367" s="31" t="str">
        <f t="shared" si="327"/>
        <v/>
      </c>
      <c r="AM367" s="73" t="str">
        <f t="shared" si="328"/>
        <v/>
      </c>
      <c r="AN367" s="73" t="str">
        <f t="shared" si="329"/>
        <v/>
      </c>
      <c r="AO367" s="31" t="str">
        <f t="shared" si="302"/>
        <v/>
      </c>
      <c r="AP367" s="66" t="str">
        <f t="shared" si="303"/>
        <v/>
      </c>
      <c r="AQ367" s="47" t="s">
        <v>0</v>
      </c>
      <c r="AR367" s="82" t="str">
        <f t="shared" si="330"/>
        <v/>
      </c>
      <c r="AS367" s="47" t="s">
        <v>0</v>
      </c>
      <c r="AT367" s="19" t="str">
        <f t="shared" si="331"/>
        <v/>
      </c>
      <c r="AU367" s="47" t="s">
        <v>0</v>
      </c>
      <c r="AV367" s="103"/>
      <c r="AW367" s="105"/>
      <c r="AX367" s="47" t="s">
        <v>0</v>
      </c>
      <c r="AY367" s="256" t="str">
        <f t="shared" si="349"/>
        <v/>
      </c>
      <c r="AZ367" s="47" t="s">
        <v>0</v>
      </c>
      <c r="BA367" s="52" t="str">
        <f t="shared" si="296"/>
        <v/>
      </c>
      <c r="BB367" s="73" t="str">
        <f>IF(AV367&amp;AW367="","",MAX(BB$12:BB366)+1)</f>
        <v/>
      </c>
      <c r="BC367" s="268" t="str">
        <f t="shared" si="304"/>
        <v/>
      </c>
      <c r="BD367" s="53" t="str">
        <f>IF(AND(AM367="NEMA",AN367="NEMA",OR(AV367&amp;AW367="",BC367="NEMA")),MAX(BD$12:BD366)+1,"")</f>
        <v/>
      </c>
      <c r="BE367" s="47" t="s">
        <v>0</v>
      </c>
      <c r="BF367" s="52" t="str">
        <f t="shared" si="305"/>
        <v/>
      </c>
      <c r="BG367" s="31" t="str">
        <f t="shared" si="306"/>
        <v/>
      </c>
      <c r="BH367" s="73" t="str">
        <f t="shared" si="332"/>
        <v/>
      </c>
      <c r="BI367" s="53" t="str">
        <f t="shared" si="333"/>
        <v/>
      </c>
      <c r="BJ367" s="47" t="s">
        <v>0</v>
      </c>
      <c r="BK367" s="52" t="str">
        <f t="shared" si="307"/>
        <v/>
      </c>
      <c r="BL367" s="31" t="str">
        <f t="shared" si="308"/>
        <v/>
      </c>
      <c r="BM367" s="73" t="str">
        <f t="shared" si="309"/>
        <v/>
      </c>
      <c r="BN367" s="73" t="str">
        <f t="shared" si="310"/>
        <v/>
      </c>
      <c r="BO367" s="31" t="str" cm="1">
        <f t="array" ref="BO367">IF(BN367="",""&amp;BL367,IF(BN367="NEMA",BL367,INDEX(regKlub_naziv,MATCH(INDEX(regKlub_alias_klubId,BN367),regKlub_id,0))))</f>
        <v/>
      </c>
      <c r="BP367" s="31" t="str" cm="1">
        <f t="array" ref="BP367">IFERROR(""&amp;INDEX(regNatjecatelj_klub,DY367),"")</f>
        <v/>
      </c>
      <c r="BQ367" s="88" t="str">
        <f t="shared" si="334"/>
        <v/>
      </c>
      <c r="BR367" s="66" t="str">
        <f t="shared" si="335"/>
        <v/>
      </c>
      <c r="BS367" s="47" t="s">
        <v>0</v>
      </c>
      <c r="BT367" s="82" t="str">
        <f>IF(BN367&lt;&gt;"NEMA","",IF(IFERROR(MATCH(BL367,BL$12:BL366,0),0)&lt;&gt;0,"",BL367))</f>
        <v/>
      </c>
      <c r="BU367" s="47" t="s">
        <v>0</v>
      </c>
      <c r="BV367" s="125"/>
      <c r="BW367" s="47" t="s">
        <v>0</v>
      </c>
      <c r="BX367" s="58" t="str">
        <f t="shared" si="336"/>
        <v/>
      </c>
      <c r="BY367" s="31" t="str">
        <f t="shared" si="337"/>
        <v/>
      </c>
      <c r="BZ367" s="31" t="str">
        <f>IF(BY367="","",MAX(BZ$12:BZ366)+1)</f>
        <v/>
      </c>
      <c r="CA367" s="31" t="str">
        <f>IF(BY367="","",IF(AA367="","",IF(AA367="NEMA",AC367,AA367)))</f>
        <v/>
      </c>
      <c r="CB367" s="31" t="str">
        <f t="shared" si="338"/>
        <v/>
      </c>
      <c r="CC367" s="31" t="str">
        <f>IF(BV367="","",MAX(CC$12:CC366)+1)</f>
        <v/>
      </c>
      <c r="CD367" s="31" t="str">
        <f t="shared" si="339"/>
        <v/>
      </c>
      <c r="CE367" s="66" t="str">
        <f t="shared" si="340"/>
        <v/>
      </c>
      <c r="CF367" s="47" t="s">
        <v>0</v>
      </c>
      <c r="CG367" s="73" t="str">
        <f>IF(BN367="","",IF(BN367&lt;&gt;"NEMA","",IFERROR(INDEX(nat_klubAliasId,MATCH(BL367,nat_noviKluboviAliasi,0)),"")))</f>
        <v/>
      </c>
      <c r="CH367" s="47"/>
      <c r="CI367" s="19" t="str">
        <f t="shared" si="341"/>
        <v/>
      </c>
      <c r="CJ367" s="47" t="s">
        <v>0</v>
      </c>
      <c r="CK367" s="52" t="str">
        <f>IF(X367&lt;&gt;"NEMA","",IF(IFERROR(MATCH(W367,W$12:W366,0),0)&lt;&gt;0,"",W367))</f>
        <v/>
      </c>
      <c r="CL367" s="73" t="str">
        <f>IF(CK367="","",IFERROR(INDEX(regKlub_alias_id,MATCH(CK367,regKlub_alias_alias,0)),"NEMA"))</f>
        <v/>
      </c>
      <c r="CM367" s="31" t="str">
        <f>IF(OR(CL367="",CL367&lt;&gt;"NEMA"),"",MAX(CM$12:CM366)+1)</f>
        <v/>
      </c>
      <c r="CN367" s="66" t="str">
        <f>IF(OR(CL367="",CL367&lt;&gt;"NEMA"),"",INDEX(regKlub_id,MATCH(CK367,regKlub_naziv,0)))</f>
        <v/>
      </c>
      <c r="CO367" s="47" t="s">
        <v>0</v>
      </c>
      <c r="CP367" s="19" t="str">
        <f>IF(OR(CL367="",CL367&lt;&gt;"NEMA"),"","INSERT INTO klub_alias(id,alias,klub_id) VALUES ("&amp;CM367&amp;",'"&amp;CK367&amp;"',"&amp;CN367&amp;");")</f>
        <v/>
      </c>
      <c r="CQ367" s="47" t="s">
        <v>0</v>
      </c>
      <c r="CR367" s="143" t="str">
        <f>IF(BR367="","",IF(BV367="",IF(IFERROR(MATCH(BR367,nat_noviKluboviAliasi,0),0)&gt;0,INDEX(nat_kluboviAliasi,MATCH(BR367,nat_noviKluboviAliasi,0)),BR367),BV367))</f>
        <v/>
      </c>
      <c r="CS367" s="47" t="s">
        <v>0</v>
      </c>
      <c r="CT367" s="58" t="str">
        <f>IF(G367="","",G367)</f>
        <v/>
      </c>
      <c r="CU367" s="73" t="str">
        <f>IF(H367="","",H367)</f>
        <v/>
      </c>
      <c r="CV367" s="229" t="str">
        <f>IF(CT367="",IF(OR(AL367="",CU367&lt;&gt;"0"),"","GREŠKA"),IF(AND(65535&gt;=VALUE(LEFT(CT367,SEARCH(":",CT367)-1))*60+VALUE(RIGHT(CT367,2)),OR(CU367="0",CU367="1",CU367="2",CU367="3",CU367="4")),"","GREŠKA"))</f>
        <v/>
      </c>
      <c r="CW367" s="230" t="str">
        <f t="shared" si="295"/>
        <v/>
      </c>
      <c r="CX367" s="163" t="str">
        <f t="shared" si="311"/>
        <v/>
      </c>
      <c r="CY367" s="47" t="s">
        <v>0</v>
      </c>
      <c r="CZ367" s="222" t="str">
        <f>IF(CV367&lt;&gt;"GREŠKA","",AK367&amp;" "&amp;AL367&amp;" – Molim u OEventu provjeriti i ispraviti rezultat – vrijeme ("&amp;IF(CT367="","nije upisano",CT367)&amp;") i classifier ("&amp;CU367&amp;").")&amp;IF(OR(CV367&lt;&gt;"GREŠKA",CX367&lt;&gt;5),"
","")&amp;IF(CX367&lt;&gt;5,"",AK367&amp;" "&amp;AL367&amp;" – Molim u provjeriti je li natjecatelj zaista diskvalificiran. Ako je koje je obrazloženje, ako nije molim u OEventu ispraviti rezultat")</f>
        <v xml:space="preserve">
</v>
      </c>
      <c r="DA367" s="223" t="str">
        <f t="shared" si="342"/>
        <v/>
      </c>
      <c r="DB367" s="47" t="s">
        <v>0</v>
      </c>
      <c r="DC367" s="47"/>
      <c r="DD367" s="47"/>
      <c r="DE367" s="47"/>
      <c r="DF367" s="47" t="s">
        <v>0</v>
      </c>
      <c r="DG367" s="53" t="str">
        <f>IF(BD367="","",IF(DI367="O",1,""))</f>
        <v/>
      </c>
      <c r="DH367" t="s">
        <v>0</v>
      </c>
      <c r="DI367" s="128" t="str">
        <f>IF(Q367="","",LEFT(INDEX(regKategorija_oznaka,MATCH(S367,regKategorija_id,0)),1))</f>
        <v/>
      </c>
      <c r="DJ367" t="s">
        <v>0</v>
      </c>
      <c r="DK367" s="52" t="str">
        <f>IF(BD367="","",IF(M367&lt;&gt;"CRO","","INSERT INTO osoba (id,reg_broj,oib,spol_id,dat_rodjenja) VALUES ("&amp;BD367&amp;",(SELECT max(os.reg_broj)+1 FROM osoba AS os),Null,'"&amp;DI367&amp;"',Null); INSERT INTO osoba_log (id,reg_broj,oib,spol_id,dat_rodjenja,dnevnik_id) SELECT id,reg_broj,oib,spol_id,dat_rodjenja,"&amp;data_dnevnik_id&amp;" FROM osoba WHERE id = "&amp;BD367&amp;";"))</f>
        <v/>
      </c>
      <c r="DL367" s="66" t="str">
        <f>IF(BD367="","","INSERT INTO imeprezime (id,osoba_id,rbr,ime,prezime,klub_id,identitet_id,sintaksa_id,info,aktivno,dnevnik_id) VALUES ("&amp;BD367&amp;","&amp;IF(DK367="","Null",BD367)&amp;",1,'"&amp;IF(AV367&lt;&gt;"",AV367,AK367)&amp;"','"&amp;IF(AW367&lt;&gt;"",AW367,AL367)&amp;"',(SELECT id FROM klub WHERE naziv = '"&amp;CR367&amp;"'),Null,1,'',1,"&amp;data_dnevnik_id&amp;");")</f>
        <v/>
      </c>
      <c r="DM367" t="s">
        <v>0</v>
      </c>
      <c r="DN367" s="19" t="str">
        <f t="shared" si="350"/>
        <v/>
      </c>
      <c r="DO367" s="47" t="s">
        <v>0</v>
      </c>
      <c r="DP367" s="19" t="str">
        <f>IF(BA367="","","INSERT INTO imeprezime_alias(id,alias,imeprezime_id) VALUES ("&amp;BB367&amp;",'"&amp;BA367&amp;"',"&amp;IF(BC367="NEMA",BD367,BC367)&amp;");")</f>
        <v/>
      </c>
      <c r="DQ367" s="47" t="s">
        <v>0</v>
      </c>
      <c r="DR367" s="52" t="str">
        <f>IF(AL367="","",DU367 &amp; IF(Q367="",""," – " &amp; Q367))</f>
        <v/>
      </c>
      <c r="DS367" s="53" t="str">
        <f t="shared" si="312"/>
        <v/>
      </c>
      <c r="DT367" s="47" t="s">
        <v>0</v>
      </c>
      <c r="DU367" s="52" t="str">
        <f>IF(AL367="","",DX367 &amp; IF(CR367="",""," – " &amp; CR367))</f>
        <v/>
      </c>
      <c r="DV367" s="53" t="str">
        <f t="shared" si="313"/>
        <v/>
      </c>
      <c r="DW367" s="47" t="s">
        <v>0</v>
      </c>
      <c r="DX367" s="52" t="str">
        <f>IF(BG367="","",BF367&amp;" – "&amp;BG367)</f>
        <v/>
      </c>
      <c r="DY367" s="53" t="str">
        <f t="shared" si="314"/>
        <v/>
      </c>
      <c r="DZ367" s="47" t="s">
        <v>0</v>
      </c>
      <c r="EA367" s="58" t="str">
        <f t="shared" si="343"/>
        <v/>
      </c>
      <c r="EB367" s="53" t="str" cm="1">
        <f t="array" ref="EB367">IF(EA367&lt;&gt;"",INDEX(regNatjecatelj_id,EA367,0),IF(BD367&lt;&gt;"",BD367,""))</f>
        <v/>
      </c>
      <c r="EC367" s="47" t="s">
        <v>0</v>
      </c>
      <c r="ED367" s="58" t="str">
        <f>IF(AL367="","",IF(BD367&lt;&gt;"","novo",IF(AN367="","imepre","imepre(ali)")))</f>
        <v/>
      </c>
      <c r="EE367" s="73" t="str">
        <f>IF(AL367="","",IF(BL367="",IF(IFERROR(INDEX(regNatjecatelj_klub,MATCH(EB367,regNatjecatelj_id,0)),"NEMA")="","klu",""),IF(OR(AND(BN367&lt;&gt;"",BN367&lt;&gt;"NEMA"),CD367&lt;&gt;""),"klu(ali)",IF(AND(BP367&lt;&gt;"",BP367&lt;&gt;BO367),"(raz-klu)","klu"))))</f>
        <v/>
      </c>
      <c r="EF367" s="73" t="str">
        <f>IF(AL367="","","kat"&amp;IF(AND(W367&lt;&gt;Q367,Q367&lt;&gt;"Open"),"(ali)",""))</f>
        <v/>
      </c>
      <c r="EG367" s="73" t="str">
        <f t="shared" si="315"/>
        <v/>
      </c>
      <c r="EH367" s="66" t="str">
        <f>IF(AL367="","",ED367&amp;IF(ED367="novo","","-"&amp;EE367&amp;"-"&amp;EF367)&amp;IF(EG367="","","-"&amp;EG367))</f>
        <v/>
      </c>
      <c r="EI367" s="47" t="s">
        <v>0</v>
      </c>
      <c r="EJ367" s="58" t="str">
        <f>IF(AL367="","",MAX(EJ$12:EJ366)+1)</f>
        <v/>
      </c>
      <c r="EK367" s="73" t="str">
        <f>IF(AO367="","",X367)</f>
        <v/>
      </c>
      <c r="EL367" s="73" t="str">
        <f t="shared" si="344"/>
        <v/>
      </c>
      <c r="EM367" s="73" t="str">
        <f t="shared" si="316"/>
        <v/>
      </c>
      <c r="EN367" s="73" t="str">
        <f t="shared" si="317"/>
        <v/>
      </c>
      <c r="EO367" s="73" t="str">
        <f t="shared" si="345"/>
        <v/>
      </c>
      <c r="EP367" s="73" t="str">
        <f t="shared" si="346"/>
        <v/>
      </c>
      <c r="EQ367" s="73" t="str">
        <f t="shared" si="318"/>
        <v/>
      </c>
      <c r="ER367" s="73" t="str">
        <f>IF(OR(AN367="",AN367="NEMA"),BB367,AN367)</f>
        <v/>
      </c>
      <c r="ES367" s="73" t="str">
        <f>IF(AND(BN367&lt;&gt;"",BN367&lt;&gt;"NEMA"),BN367,IF(CG367&lt;&gt;"",CG367,IF(AND(CL367&lt;&gt;"",CL367&lt;&gt;"NEMA"),CL367,IF(CM367&lt;&gt;"",CM367,""))))</f>
        <v/>
      </c>
      <c r="ET367" s="53" t="str">
        <f>IF(INDEX(natKategorija_alias_Id,MATCH(S367,natKategorija_katRegId,0))="","",INDEX(natKategorija_alias_Id,MATCH(S367,natKategorija_katRegId,0)))</f>
        <v/>
      </c>
      <c r="EU367" s="47" t="s">
        <v>0</v>
      </c>
      <c r="EV367" s="19" t="str">
        <f t="shared" si="347"/>
        <v/>
      </c>
      <c r="EW367" s="47" t="s">
        <v>0</v>
      </c>
      <c r="EX367" s="19" t="str">
        <f t="shared" si="348"/>
        <v/>
      </c>
      <c r="EY367" s="47" t="s">
        <v>0</v>
      </c>
      <c r="EZ367" s="180" t="str">
        <f>AG367&amp;IF(CP367="","","
")&amp;CP367&amp;IF(CI367="","","
")&amp;CI367&amp;IF(DN367="","","
")&amp;DN367&amp;IF(DP367="","","
")&amp;DP367&amp;IF(EV367="","","
")&amp;EV367&amp;IF(EX367="","","
")&amp;EX367</f>
        <v/>
      </c>
      <c r="FA367" s="47" t="s">
        <v>0</v>
      </c>
    </row>
    <row r="368" spans="1:157" x14ac:dyDescent="0.25">
      <c r="A368" t="s">
        <v>0</v>
      </c>
      <c r="B368" s="52" t="str">
        <f>IF(csv!F358="","",csv!T358)</f>
        <v/>
      </c>
      <c r="C368" s="31" t="s">
        <v>0</v>
      </c>
      <c r="D368" s="31" t="str">
        <f>IF(csv!F358="","",csv!F358)</f>
        <v/>
      </c>
      <c r="E368" s="31" t="str">
        <f>IF(csv!E358="","",csv!E358)</f>
        <v/>
      </c>
      <c r="F368" s="31" t="s">
        <v>0</v>
      </c>
      <c r="G368" s="73" t="str">
        <f>IF(csv!M358="","",csv!M358)</f>
        <v/>
      </c>
      <c r="H368" s="73" t="str">
        <f>IF(csv!N358="","",csv!N358)</f>
        <v/>
      </c>
      <c r="I368" s="31" t="s">
        <v>0</v>
      </c>
      <c r="J368" s="31" t="str">
        <f>IF(csv!P358="","",csv!P358)</f>
        <v/>
      </c>
      <c r="K368" s="31" t="str">
        <f>IF(csv!Q358="","",csv!Q358)</f>
        <v/>
      </c>
      <c r="L368" s="31" t="s">
        <v>0</v>
      </c>
      <c r="M368" s="66" t="str">
        <f>IF(csv!R358="","",csv!R358)</f>
        <v/>
      </c>
      <c r="N368" s="47" t="s">
        <v>0</v>
      </c>
      <c r="O368" s="243" t="str">
        <f t="shared" si="319"/>
        <v/>
      </c>
      <c r="P368" s="47"/>
      <c r="Q368" s="52" t="str">
        <f t="shared" si="320"/>
        <v/>
      </c>
      <c r="R368" s="73" t="str">
        <f>IF(Q368="","",IF(COUNTIF(Q$12:Q367,Q368)=0,R367+1,R367))</f>
        <v/>
      </c>
      <c r="S368" s="73" t="str">
        <f t="shared" si="321"/>
        <v/>
      </c>
      <c r="T368" s="73" t="str">
        <f t="shared" si="297"/>
        <v/>
      </c>
      <c r="U368" s="66" t="str">
        <f t="shared" si="298"/>
        <v/>
      </c>
      <c r="V368" s="47" t="s">
        <v>0</v>
      </c>
      <c r="W368" s="222" t="str">
        <f t="shared" si="299"/>
        <v/>
      </c>
      <c r="X368" s="223" t="str">
        <f t="shared" si="300"/>
        <v/>
      </c>
      <c r="Y368" s="47" t="s">
        <v>0</v>
      </c>
      <c r="Z368" s="52" t="str">
        <f t="shared" si="322"/>
        <v/>
      </c>
      <c r="AA368" s="73" t="str">
        <f t="shared" si="301"/>
        <v/>
      </c>
      <c r="AB368" s="31" t="str">
        <f t="shared" si="323"/>
        <v/>
      </c>
      <c r="AC368" s="66" t="str">
        <f>IF(AB368="","",MAX(AC$12:AC367)+1)</f>
        <v/>
      </c>
      <c r="AD368" s="47" t="s">
        <v>0</v>
      </c>
      <c r="AE368" s="125"/>
      <c r="AF368" s="47" t="s">
        <v>0</v>
      </c>
      <c r="AG368" s="19" t="str">
        <f t="shared" si="324"/>
        <v/>
      </c>
      <c r="AH368" s="47" t="s">
        <v>0</v>
      </c>
      <c r="AI368" s="143" t="str">
        <f t="shared" si="325"/>
        <v/>
      </c>
      <c r="AJ368" s="47"/>
      <c r="AK368" s="52" t="str">
        <f t="shared" si="326"/>
        <v/>
      </c>
      <c r="AL368" s="31" t="str">
        <f t="shared" si="327"/>
        <v/>
      </c>
      <c r="AM368" s="73" t="str">
        <f t="shared" si="328"/>
        <v/>
      </c>
      <c r="AN368" s="73" t="str">
        <f t="shared" si="329"/>
        <v/>
      </c>
      <c r="AO368" s="31" t="str">
        <f t="shared" si="302"/>
        <v/>
      </c>
      <c r="AP368" s="66" t="str">
        <f t="shared" si="303"/>
        <v/>
      </c>
      <c r="AQ368" s="47" t="s">
        <v>0</v>
      </c>
      <c r="AR368" s="82" t="str">
        <f t="shared" si="330"/>
        <v/>
      </c>
      <c r="AS368" s="47" t="s">
        <v>0</v>
      </c>
      <c r="AT368" s="19" t="str">
        <f t="shared" si="331"/>
        <v/>
      </c>
      <c r="AU368" s="47" t="s">
        <v>0</v>
      </c>
      <c r="AV368" s="103"/>
      <c r="AW368" s="105"/>
      <c r="AX368" s="47" t="s">
        <v>0</v>
      </c>
      <c r="AY368" s="256" t="str">
        <f t="shared" si="349"/>
        <v/>
      </c>
      <c r="AZ368" s="47" t="s">
        <v>0</v>
      </c>
      <c r="BA368" s="52" t="str">
        <f t="shared" si="296"/>
        <v/>
      </c>
      <c r="BB368" s="73" t="str">
        <f>IF(AV368&amp;AW368="","",MAX(BB$12:BB367)+1)</f>
        <v/>
      </c>
      <c r="BC368" s="268" t="str">
        <f t="shared" si="304"/>
        <v/>
      </c>
      <c r="BD368" s="53" t="str">
        <f>IF(AND(AM368="NEMA",AN368="NEMA",OR(AV368&amp;AW368="",BC368="NEMA")),MAX(BD$12:BD367)+1,"")</f>
        <v/>
      </c>
      <c r="BE368" s="47" t="s">
        <v>0</v>
      </c>
      <c r="BF368" s="52" t="str">
        <f t="shared" si="305"/>
        <v/>
      </c>
      <c r="BG368" s="31" t="str">
        <f t="shared" si="306"/>
        <v/>
      </c>
      <c r="BH368" s="73" t="str">
        <f t="shared" si="332"/>
        <v/>
      </c>
      <c r="BI368" s="53" t="str">
        <f t="shared" si="333"/>
        <v/>
      </c>
      <c r="BJ368" s="47" t="s">
        <v>0</v>
      </c>
      <c r="BK368" s="52" t="str">
        <f t="shared" si="307"/>
        <v/>
      </c>
      <c r="BL368" s="31" t="str">
        <f t="shared" si="308"/>
        <v/>
      </c>
      <c r="BM368" s="73" t="str">
        <f t="shared" si="309"/>
        <v/>
      </c>
      <c r="BN368" s="73" t="str">
        <f t="shared" si="310"/>
        <v/>
      </c>
      <c r="BO368" s="31" t="str" cm="1">
        <f t="array" ref="BO368">IF(BN368="",""&amp;BL368,IF(BN368="NEMA",BL368,INDEX(regKlub_naziv,MATCH(INDEX(regKlub_alias_klubId,BN368),regKlub_id,0))))</f>
        <v/>
      </c>
      <c r="BP368" s="31" t="str" cm="1">
        <f t="array" ref="BP368">IFERROR(""&amp;INDEX(regNatjecatelj_klub,DY368),"")</f>
        <v/>
      </c>
      <c r="BQ368" s="88" t="str">
        <f t="shared" si="334"/>
        <v/>
      </c>
      <c r="BR368" s="66" t="str">
        <f t="shared" si="335"/>
        <v/>
      </c>
      <c r="BS368" s="47" t="s">
        <v>0</v>
      </c>
      <c r="BT368" s="82" t="str">
        <f>IF(BN368&lt;&gt;"NEMA","",IF(IFERROR(MATCH(BL368,BL$12:BL367,0),0)&lt;&gt;0,"",BL368))</f>
        <v/>
      </c>
      <c r="BU368" s="47" t="s">
        <v>0</v>
      </c>
      <c r="BV368" s="125"/>
      <c r="BW368" s="47" t="s">
        <v>0</v>
      </c>
      <c r="BX368" s="58" t="str">
        <f t="shared" si="336"/>
        <v/>
      </c>
      <c r="BY368" s="31" t="str">
        <f t="shared" si="337"/>
        <v/>
      </c>
      <c r="BZ368" s="31" t="str">
        <f>IF(BY368="","",MAX(BZ$12:BZ367)+1)</f>
        <v/>
      </c>
      <c r="CA368" s="31" t="str">
        <f>IF(BY368="","",IF(AA368="","",IF(AA368="NEMA",AC368,AA368)))</f>
        <v/>
      </c>
      <c r="CB368" s="31" t="str">
        <f t="shared" si="338"/>
        <v/>
      </c>
      <c r="CC368" s="31" t="str">
        <f>IF(BV368="","",MAX(CC$12:CC367)+1)</f>
        <v/>
      </c>
      <c r="CD368" s="31" t="str">
        <f t="shared" si="339"/>
        <v/>
      </c>
      <c r="CE368" s="66" t="str">
        <f t="shared" si="340"/>
        <v/>
      </c>
      <c r="CF368" s="47" t="s">
        <v>0</v>
      </c>
      <c r="CG368" s="73" t="str">
        <f>IF(BN368="","",IF(BN368&lt;&gt;"NEMA","",IFERROR(INDEX(nat_klubAliasId,MATCH(BL368,nat_noviKluboviAliasi,0)),"")))</f>
        <v/>
      </c>
      <c r="CH368" s="47"/>
      <c r="CI368" s="19" t="str">
        <f t="shared" si="341"/>
        <v/>
      </c>
      <c r="CJ368" s="47" t="s">
        <v>0</v>
      </c>
      <c r="CK368" s="52" t="str">
        <f>IF(X368&lt;&gt;"NEMA","",IF(IFERROR(MATCH(W368,W$12:W367,0),0)&lt;&gt;0,"",W368))</f>
        <v/>
      </c>
      <c r="CL368" s="73" t="str">
        <f>IF(CK368="","",IFERROR(INDEX(regKlub_alias_id,MATCH(CK368,regKlub_alias_alias,0)),"NEMA"))</f>
        <v/>
      </c>
      <c r="CM368" s="31" t="str">
        <f>IF(OR(CL368="",CL368&lt;&gt;"NEMA"),"",MAX(CM$12:CM367)+1)</f>
        <v/>
      </c>
      <c r="CN368" s="66" t="str">
        <f>IF(OR(CL368="",CL368&lt;&gt;"NEMA"),"",INDEX(regKlub_id,MATCH(CK368,regKlub_naziv,0)))</f>
        <v/>
      </c>
      <c r="CO368" s="47" t="s">
        <v>0</v>
      </c>
      <c r="CP368" s="19" t="str">
        <f>IF(OR(CL368="",CL368&lt;&gt;"NEMA"),"","INSERT INTO klub_alias(id,alias,klub_id) VALUES ("&amp;CM368&amp;",'"&amp;CK368&amp;"',"&amp;CN368&amp;");")</f>
        <v/>
      </c>
      <c r="CQ368" s="47" t="s">
        <v>0</v>
      </c>
      <c r="CR368" s="143" t="str">
        <f>IF(BR368="","",IF(BV368="",IF(IFERROR(MATCH(BR368,nat_noviKluboviAliasi,0),0)&gt;0,INDEX(nat_kluboviAliasi,MATCH(BR368,nat_noviKluboviAliasi,0)),BR368),BV368))</f>
        <v/>
      </c>
      <c r="CS368" s="47" t="s">
        <v>0</v>
      </c>
      <c r="CT368" s="58" t="str">
        <f>IF(G368="","",G368)</f>
        <v/>
      </c>
      <c r="CU368" s="73" t="str">
        <f>IF(H368="","",H368)</f>
        <v/>
      </c>
      <c r="CV368" s="229" t="str">
        <f>IF(CT368="",IF(OR(AL368="",CU368&lt;&gt;"0"),"","GREŠKA"),IF(AND(65535&gt;=VALUE(LEFT(CT368,SEARCH(":",CT368)-1))*60+VALUE(RIGHT(CT368,2)),OR(CU368="0",CU368="1",CU368="2",CU368="3",CU368="4")),"","GREŠKA"))</f>
        <v/>
      </c>
      <c r="CW368" s="230" t="str">
        <f t="shared" si="295"/>
        <v/>
      </c>
      <c r="CX368" s="163" t="str">
        <f t="shared" si="311"/>
        <v/>
      </c>
      <c r="CY368" s="47" t="s">
        <v>0</v>
      </c>
      <c r="CZ368" s="222" t="str">
        <f>IF(CV368&lt;&gt;"GREŠKA","",AK368&amp;" "&amp;AL368&amp;" – Molim u OEventu provjeriti i ispraviti rezultat – vrijeme ("&amp;IF(CT368="","nije upisano",CT368)&amp;") i classifier ("&amp;CU368&amp;").")&amp;IF(OR(CV368&lt;&gt;"GREŠKA",CX368&lt;&gt;5),"
","")&amp;IF(CX368&lt;&gt;5,"",AK368&amp;" "&amp;AL368&amp;" – Molim u provjeriti je li natjecatelj zaista diskvalificiran. Ako je koje je obrazloženje, ako nije molim u OEventu ispraviti rezultat")</f>
        <v xml:space="preserve">
</v>
      </c>
      <c r="DA368" s="223" t="str">
        <f t="shared" si="342"/>
        <v/>
      </c>
      <c r="DB368" s="47" t="s">
        <v>0</v>
      </c>
      <c r="DC368" s="47"/>
      <c r="DD368" s="47"/>
      <c r="DE368" s="47"/>
      <c r="DF368" s="47" t="s">
        <v>0</v>
      </c>
      <c r="DG368" s="53" t="str">
        <f>IF(BD368="","",IF(DI368="O",1,""))</f>
        <v/>
      </c>
      <c r="DH368" t="s">
        <v>0</v>
      </c>
      <c r="DI368" s="128" t="str">
        <f>IF(Q368="","",LEFT(INDEX(regKategorija_oznaka,MATCH(S368,regKategorija_id,0)),1))</f>
        <v/>
      </c>
      <c r="DJ368" t="s">
        <v>0</v>
      </c>
      <c r="DK368" s="52" t="str">
        <f>IF(BD368="","",IF(M368&lt;&gt;"CRO","","INSERT INTO osoba (id,reg_broj,oib,spol_id,dat_rodjenja) VALUES ("&amp;BD368&amp;",(SELECT max(os.reg_broj)+1 FROM osoba AS os),Null,'"&amp;DI368&amp;"',Null); INSERT INTO osoba_log (id,reg_broj,oib,spol_id,dat_rodjenja,dnevnik_id) SELECT id,reg_broj,oib,spol_id,dat_rodjenja,"&amp;data_dnevnik_id&amp;" FROM osoba WHERE id = "&amp;BD368&amp;";"))</f>
        <v/>
      </c>
      <c r="DL368" s="66" t="str">
        <f>IF(BD368="","","INSERT INTO imeprezime (id,osoba_id,rbr,ime,prezime,klub_id,identitet_id,sintaksa_id,info,aktivno,dnevnik_id) VALUES ("&amp;BD368&amp;","&amp;IF(DK368="","Null",BD368)&amp;",1,'"&amp;IF(AV368&lt;&gt;"",AV368,AK368)&amp;"','"&amp;IF(AW368&lt;&gt;"",AW368,AL368)&amp;"',(SELECT id FROM klub WHERE naziv = '"&amp;CR368&amp;"'),Null,1,'',1,"&amp;data_dnevnik_id&amp;");")</f>
        <v/>
      </c>
      <c r="DM368" t="s">
        <v>0</v>
      </c>
      <c r="DN368" s="19" t="str">
        <f t="shared" si="350"/>
        <v/>
      </c>
      <c r="DO368" s="47" t="s">
        <v>0</v>
      </c>
      <c r="DP368" s="19" t="str">
        <f>IF(BA368="","","INSERT INTO imeprezime_alias(id,alias,imeprezime_id) VALUES ("&amp;BB368&amp;",'"&amp;BA368&amp;"',"&amp;IF(BC368="NEMA",BD368,BC368)&amp;");")</f>
        <v/>
      </c>
      <c r="DQ368" s="47" t="s">
        <v>0</v>
      </c>
      <c r="DR368" s="52" t="str">
        <f>IF(AL368="","",DU368 &amp; IF(Q368="",""," – " &amp; Q368))</f>
        <v/>
      </c>
      <c r="DS368" s="53" t="str">
        <f t="shared" si="312"/>
        <v/>
      </c>
      <c r="DT368" s="47" t="s">
        <v>0</v>
      </c>
      <c r="DU368" s="52" t="str">
        <f>IF(AL368="","",DX368 &amp; IF(CR368="",""," – " &amp; CR368))</f>
        <v/>
      </c>
      <c r="DV368" s="53" t="str">
        <f t="shared" si="313"/>
        <v/>
      </c>
      <c r="DW368" s="47" t="s">
        <v>0</v>
      </c>
      <c r="DX368" s="52" t="str">
        <f>IF(BG368="","",BF368&amp;" – "&amp;BG368)</f>
        <v/>
      </c>
      <c r="DY368" s="53" t="str">
        <f t="shared" si="314"/>
        <v/>
      </c>
      <c r="DZ368" s="47" t="s">
        <v>0</v>
      </c>
      <c r="EA368" s="58" t="str">
        <f t="shared" si="343"/>
        <v/>
      </c>
      <c r="EB368" s="53" t="str" cm="1">
        <f t="array" ref="EB368">IF(EA368&lt;&gt;"",INDEX(regNatjecatelj_id,EA368,0),IF(BD368&lt;&gt;"",BD368,""))</f>
        <v/>
      </c>
      <c r="EC368" s="47" t="s">
        <v>0</v>
      </c>
      <c r="ED368" s="58" t="str">
        <f>IF(AL368="","",IF(BD368&lt;&gt;"","novo",IF(AN368="","imepre","imepre(ali)")))</f>
        <v/>
      </c>
      <c r="EE368" s="73" t="str">
        <f>IF(AL368="","",IF(BL368="",IF(IFERROR(INDEX(regNatjecatelj_klub,MATCH(EB368,regNatjecatelj_id,0)),"NEMA")="","klu",""),IF(OR(AND(BN368&lt;&gt;"",BN368&lt;&gt;"NEMA"),CD368&lt;&gt;""),"klu(ali)",IF(AND(BP368&lt;&gt;"",BP368&lt;&gt;BO368),"(raz-klu)","klu"))))</f>
        <v/>
      </c>
      <c r="EF368" s="73" t="str">
        <f>IF(AL368="","","kat"&amp;IF(AND(W368&lt;&gt;Q368,Q368&lt;&gt;"Open"),"(ali)",""))</f>
        <v/>
      </c>
      <c r="EG368" s="73" t="str">
        <f t="shared" si="315"/>
        <v/>
      </c>
      <c r="EH368" s="66" t="str">
        <f>IF(AL368="","",ED368&amp;IF(ED368="novo","","-"&amp;EE368&amp;"-"&amp;EF368)&amp;IF(EG368="","","-"&amp;EG368))</f>
        <v/>
      </c>
      <c r="EI368" s="47" t="s">
        <v>0</v>
      </c>
      <c r="EJ368" s="58" t="str">
        <f>IF(AL368="","",MAX(EJ$12:EJ367)+1)</f>
        <v/>
      </c>
      <c r="EK368" s="73" t="str">
        <f>IF(AO368="","",X368)</f>
        <v/>
      </c>
      <c r="EL368" s="73" t="str">
        <f t="shared" si="344"/>
        <v/>
      </c>
      <c r="EM368" s="73" t="str">
        <f t="shared" si="316"/>
        <v/>
      </c>
      <c r="EN368" s="73" t="str">
        <f t="shared" si="317"/>
        <v/>
      </c>
      <c r="EO368" s="73" t="str">
        <f t="shared" si="345"/>
        <v/>
      </c>
      <c r="EP368" s="73" t="str">
        <f t="shared" si="346"/>
        <v/>
      </c>
      <c r="EQ368" s="73" t="str">
        <f t="shared" si="318"/>
        <v/>
      </c>
      <c r="ER368" s="73" t="str">
        <f>IF(OR(AN368="",AN368="NEMA"),BB368,AN368)</f>
        <v/>
      </c>
      <c r="ES368" s="73" t="str">
        <f>IF(AND(BN368&lt;&gt;"",BN368&lt;&gt;"NEMA"),BN368,IF(CG368&lt;&gt;"",CG368,IF(AND(CL368&lt;&gt;"",CL368&lt;&gt;"NEMA"),CL368,IF(CM368&lt;&gt;"",CM368,""))))</f>
        <v/>
      </c>
      <c r="ET368" s="53" t="str">
        <f>IF(INDEX(natKategorija_alias_Id,MATCH(S368,natKategorija_katRegId,0))="","",INDEX(natKategorija_alias_Id,MATCH(S368,natKategorija_katRegId,0)))</f>
        <v/>
      </c>
      <c r="EU368" s="47" t="s">
        <v>0</v>
      </c>
      <c r="EV368" s="19" t="str">
        <f t="shared" si="347"/>
        <v/>
      </c>
      <c r="EW368" s="47" t="s">
        <v>0</v>
      </c>
      <c r="EX368" s="19" t="str">
        <f t="shared" si="348"/>
        <v/>
      </c>
      <c r="EY368" s="47" t="s">
        <v>0</v>
      </c>
      <c r="EZ368" s="180" t="str">
        <f>AG368&amp;IF(CP368="","","
")&amp;CP368&amp;IF(CI368="","","
")&amp;CI368&amp;IF(DN368="","","
")&amp;DN368&amp;IF(DP368="","","
")&amp;DP368&amp;IF(EV368="","","
")&amp;EV368&amp;IF(EX368="","","
")&amp;EX368</f>
        <v/>
      </c>
      <c r="FA368" s="47" t="s">
        <v>0</v>
      </c>
    </row>
    <row r="369" spans="1:157" x14ac:dyDescent="0.25">
      <c r="A369" t="s">
        <v>0</v>
      </c>
      <c r="B369" s="52" t="str">
        <f>IF(csv!F359="","",csv!T359)</f>
        <v/>
      </c>
      <c r="C369" s="31" t="s">
        <v>0</v>
      </c>
      <c r="D369" s="31" t="str">
        <f>IF(csv!F359="","",csv!F359)</f>
        <v/>
      </c>
      <c r="E369" s="31" t="str">
        <f>IF(csv!E359="","",csv!E359)</f>
        <v/>
      </c>
      <c r="F369" s="31" t="s">
        <v>0</v>
      </c>
      <c r="G369" s="73" t="str">
        <f>IF(csv!M359="","",csv!M359)</f>
        <v/>
      </c>
      <c r="H369" s="73" t="str">
        <f>IF(csv!N359="","",csv!N359)</f>
        <v/>
      </c>
      <c r="I369" s="31" t="s">
        <v>0</v>
      </c>
      <c r="J369" s="31" t="str">
        <f>IF(csv!P359="","",csv!P359)</f>
        <v/>
      </c>
      <c r="K369" s="31" t="str">
        <f>IF(csv!Q359="","",csv!Q359)</f>
        <v/>
      </c>
      <c r="L369" s="31" t="s">
        <v>0</v>
      </c>
      <c r="M369" s="66" t="str">
        <f>IF(csv!R359="","",csv!R359)</f>
        <v/>
      </c>
      <c r="N369" s="47" t="s">
        <v>0</v>
      </c>
      <c r="O369" s="243" t="str">
        <f t="shared" si="319"/>
        <v/>
      </c>
      <c r="P369" s="47"/>
      <c r="Q369" s="52" t="str">
        <f t="shared" si="320"/>
        <v/>
      </c>
      <c r="R369" s="73" t="str">
        <f>IF(Q369="","",IF(COUNTIF(Q$12:Q368,Q369)=0,R368+1,R368))</f>
        <v/>
      </c>
      <c r="S369" s="73" t="str">
        <f t="shared" si="321"/>
        <v/>
      </c>
      <c r="T369" s="73" t="str">
        <f t="shared" si="297"/>
        <v/>
      </c>
      <c r="U369" s="66" t="str">
        <f t="shared" si="298"/>
        <v/>
      </c>
      <c r="V369" s="47" t="s">
        <v>0</v>
      </c>
      <c r="W369" s="222" t="str">
        <f t="shared" si="299"/>
        <v/>
      </c>
      <c r="X369" s="223" t="str">
        <f t="shared" si="300"/>
        <v/>
      </c>
      <c r="Y369" s="47" t="s">
        <v>0</v>
      </c>
      <c r="Z369" s="52" t="str">
        <f t="shared" si="322"/>
        <v/>
      </c>
      <c r="AA369" s="73" t="str">
        <f t="shared" si="301"/>
        <v/>
      </c>
      <c r="AB369" s="31" t="str">
        <f t="shared" si="323"/>
        <v/>
      </c>
      <c r="AC369" s="66" t="str">
        <f>IF(AB369="","",MAX(AC$12:AC368)+1)</f>
        <v/>
      </c>
      <c r="AD369" s="47" t="s">
        <v>0</v>
      </c>
      <c r="AE369" s="125"/>
      <c r="AF369" s="47" t="s">
        <v>0</v>
      </c>
      <c r="AG369" s="19" t="str">
        <f t="shared" si="324"/>
        <v/>
      </c>
      <c r="AH369" s="47" t="s">
        <v>0</v>
      </c>
      <c r="AI369" s="143" t="str">
        <f t="shared" si="325"/>
        <v/>
      </c>
      <c r="AJ369" s="47"/>
      <c r="AK369" s="52" t="str">
        <f t="shared" si="326"/>
        <v/>
      </c>
      <c r="AL369" s="31" t="str">
        <f t="shared" si="327"/>
        <v/>
      </c>
      <c r="AM369" s="73" t="str">
        <f t="shared" si="328"/>
        <v/>
      </c>
      <c r="AN369" s="73" t="str">
        <f t="shared" si="329"/>
        <v/>
      </c>
      <c r="AO369" s="31" t="str">
        <f t="shared" si="302"/>
        <v/>
      </c>
      <c r="AP369" s="66" t="str">
        <f t="shared" si="303"/>
        <v/>
      </c>
      <c r="AQ369" s="47" t="s">
        <v>0</v>
      </c>
      <c r="AR369" s="82" t="str">
        <f t="shared" si="330"/>
        <v/>
      </c>
      <c r="AS369" s="47" t="s">
        <v>0</v>
      </c>
      <c r="AT369" s="19" t="str">
        <f t="shared" si="331"/>
        <v/>
      </c>
      <c r="AU369" s="47" t="s">
        <v>0</v>
      </c>
      <c r="AV369" s="103"/>
      <c r="AW369" s="105"/>
      <c r="AX369" s="47" t="s">
        <v>0</v>
      </c>
      <c r="AY369" s="256" t="str">
        <f t="shared" si="349"/>
        <v/>
      </c>
      <c r="AZ369" s="47" t="s">
        <v>0</v>
      </c>
      <c r="BA369" s="52" t="str">
        <f t="shared" si="296"/>
        <v/>
      </c>
      <c r="BB369" s="73" t="str">
        <f>IF(AV369&amp;AW369="","",MAX(BB$12:BB368)+1)</f>
        <v/>
      </c>
      <c r="BC369" s="268" t="str">
        <f t="shared" si="304"/>
        <v/>
      </c>
      <c r="BD369" s="53" t="str">
        <f>IF(AND(AM369="NEMA",AN369="NEMA",OR(AV369&amp;AW369="",BC369="NEMA")),MAX(BD$12:BD368)+1,"")</f>
        <v/>
      </c>
      <c r="BE369" s="47" t="s">
        <v>0</v>
      </c>
      <c r="BF369" s="52" t="str">
        <f t="shared" si="305"/>
        <v/>
      </c>
      <c r="BG369" s="31" t="str">
        <f t="shared" si="306"/>
        <v/>
      </c>
      <c r="BH369" s="73" t="str">
        <f t="shared" si="332"/>
        <v/>
      </c>
      <c r="BI369" s="53" t="str">
        <f t="shared" si="333"/>
        <v/>
      </c>
      <c r="BJ369" s="47" t="s">
        <v>0</v>
      </c>
      <c r="BK369" s="52" t="str">
        <f t="shared" si="307"/>
        <v/>
      </c>
      <c r="BL369" s="31" t="str">
        <f t="shared" si="308"/>
        <v/>
      </c>
      <c r="BM369" s="73" t="str">
        <f t="shared" si="309"/>
        <v/>
      </c>
      <c r="BN369" s="73" t="str">
        <f t="shared" si="310"/>
        <v/>
      </c>
      <c r="BO369" s="31" t="str" cm="1">
        <f t="array" ref="BO369">IF(BN369="",""&amp;BL369,IF(BN369="NEMA",BL369,INDEX(regKlub_naziv,MATCH(INDEX(regKlub_alias_klubId,BN369),regKlub_id,0))))</f>
        <v/>
      </c>
      <c r="BP369" s="31" t="str" cm="1">
        <f t="array" ref="BP369">IFERROR(""&amp;INDEX(regNatjecatelj_klub,DY369),"")</f>
        <v/>
      </c>
      <c r="BQ369" s="88" t="str">
        <f t="shared" si="334"/>
        <v/>
      </c>
      <c r="BR369" s="66" t="str">
        <f t="shared" si="335"/>
        <v/>
      </c>
      <c r="BS369" s="47" t="s">
        <v>0</v>
      </c>
      <c r="BT369" s="82" t="str">
        <f>IF(BN369&lt;&gt;"NEMA","",IF(IFERROR(MATCH(BL369,BL$12:BL368,0),0)&lt;&gt;0,"",BL369))</f>
        <v/>
      </c>
      <c r="BU369" s="47" t="s">
        <v>0</v>
      </c>
      <c r="BV369" s="125"/>
      <c r="BW369" s="47" t="s">
        <v>0</v>
      </c>
      <c r="BX369" s="58" t="str">
        <f t="shared" si="336"/>
        <v/>
      </c>
      <c r="BY369" s="31" t="str">
        <f t="shared" si="337"/>
        <v/>
      </c>
      <c r="BZ369" s="31" t="str">
        <f>IF(BY369="","",MAX(BZ$12:BZ368)+1)</f>
        <v/>
      </c>
      <c r="CA369" s="31" t="str">
        <f>IF(BY369="","",IF(AA369="","",IF(AA369="NEMA",AC369,AA369)))</f>
        <v/>
      </c>
      <c r="CB369" s="31" t="str">
        <f t="shared" si="338"/>
        <v/>
      </c>
      <c r="CC369" s="31" t="str">
        <f>IF(BV369="","",MAX(CC$12:CC368)+1)</f>
        <v/>
      </c>
      <c r="CD369" s="31" t="str">
        <f t="shared" si="339"/>
        <v/>
      </c>
      <c r="CE369" s="66" t="str">
        <f t="shared" si="340"/>
        <v/>
      </c>
      <c r="CF369" s="47" t="s">
        <v>0</v>
      </c>
      <c r="CG369" s="73" t="str">
        <f>IF(BN369="","",IF(BN369&lt;&gt;"NEMA","",IFERROR(INDEX(nat_klubAliasId,MATCH(BL369,nat_noviKluboviAliasi,0)),"")))</f>
        <v/>
      </c>
      <c r="CH369" s="47"/>
      <c r="CI369" s="19" t="str">
        <f t="shared" si="341"/>
        <v/>
      </c>
      <c r="CJ369" s="47" t="s">
        <v>0</v>
      </c>
      <c r="CK369" s="52" t="str">
        <f>IF(X369&lt;&gt;"NEMA","",IF(IFERROR(MATCH(W369,W$12:W368,0),0)&lt;&gt;0,"",W369))</f>
        <v/>
      </c>
      <c r="CL369" s="73" t="str">
        <f>IF(CK369="","",IFERROR(INDEX(regKlub_alias_id,MATCH(CK369,regKlub_alias_alias,0)),"NEMA"))</f>
        <v/>
      </c>
      <c r="CM369" s="31" t="str">
        <f>IF(OR(CL369="",CL369&lt;&gt;"NEMA"),"",MAX(CM$12:CM368)+1)</f>
        <v/>
      </c>
      <c r="CN369" s="66" t="str">
        <f>IF(OR(CL369="",CL369&lt;&gt;"NEMA"),"",INDEX(regKlub_id,MATCH(CK369,regKlub_naziv,0)))</f>
        <v/>
      </c>
      <c r="CO369" s="47" t="s">
        <v>0</v>
      </c>
      <c r="CP369" s="19" t="str">
        <f>IF(OR(CL369="",CL369&lt;&gt;"NEMA"),"","INSERT INTO klub_alias(id,alias,klub_id) VALUES ("&amp;CM369&amp;",'"&amp;CK369&amp;"',"&amp;CN369&amp;");")</f>
        <v/>
      </c>
      <c r="CQ369" s="47" t="s">
        <v>0</v>
      </c>
      <c r="CR369" s="143" t="str">
        <f>IF(BR369="","",IF(BV369="",IF(IFERROR(MATCH(BR369,nat_noviKluboviAliasi,0),0)&gt;0,INDEX(nat_kluboviAliasi,MATCH(BR369,nat_noviKluboviAliasi,0)),BR369),BV369))</f>
        <v/>
      </c>
      <c r="CS369" s="47" t="s">
        <v>0</v>
      </c>
      <c r="CT369" s="58" t="str">
        <f>IF(G369="","",G369)</f>
        <v/>
      </c>
      <c r="CU369" s="73" t="str">
        <f>IF(H369="","",H369)</f>
        <v/>
      </c>
      <c r="CV369" s="229" t="str">
        <f>IF(CT369="",IF(OR(AL369="",CU369&lt;&gt;"0"),"","GREŠKA"),IF(AND(65535&gt;=VALUE(LEFT(CT369,SEARCH(":",CT369)-1))*60+VALUE(RIGHT(CT369,2)),OR(CU369="0",CU369="1",CU369="2",CU369="3",CU369="4")),"","GREŠKA"))</f>
        <v/>
      </c>
      <c r="CW369" s="230" t="str">
        <f t="shared" si="295"/>
        <v/>
      </c>
      <c r="CX369" s="163" t="str">
        <f t="shared" si="311"/>
        <v/>
      </c>
      <c r="CY369" s="47" t="s">
        <v>0</v>
      </c>
      <c r="CZ369" s="222" t="str">
        <f>IF(CV369&lt;&gt;"GREŠKA","",AK369&amp;" "&amp;AL369&amp;" – Molim u OEventu provjeriti i ispraviti rezultat – vrijeme ("&amp;IF(CT369="","nije upisano",CT369)&amp;") i classifier ("&amp;CU369&amp;").")&amp;IF(OR(CV369&lt;&gt;"GREŠKA",CX369&lt;&gt;5),"
","")&amp;IF(CX369&lt;&gt;5,"",AK369&amp;" "&amp;AL369&amp;" – Molim u provjeriti je li natjecatelj zaista diskvalificiran. Ako je koje je obrazloženje, ako nije molim u OEventu ispraviti rezultat")</f>
        <v xml:space="preserve">
</v>
      </c>
      <c r="DA369" s="223" t="str">
        <f t="shared" si="342"/>
        <v/>
      </c>
      <c r="DB369" s="47" t="s">
        <v>0</v>
      </c>
      <c r="DC369" s="47"/>
      <c r="DD369" s="47"/>
      <c r="DE369" s="47"/>
      <c r="DF369" s="47" t="s">
        <v>0</v>
      </c>
      <c r="DG369" s="53" t="str">
        <f>IF(BD369="","",IF(DI369="O",1,""))</f>
        <v/>
      </c>
      <c r="DH369" t="s">
        <v>0</v>
      </c>
      <c r="DI369" s="128" t="str">
        <f>IF(Q369="","",LEFT(INDEX(regKategorija_oznaka,MATCH(S369,regKategorija_id,0)),1))</f>
        <v/>
      </c>
      <c r="DJ369" t="s">
        <v>0</v>
      </c>
      <c r="DK369" s="52" t="str">
        <f>IF(BD369="","",IF(M369&lt;&gt;"CRO","","INSERT INTO osoba (id,reg_broj,oib,spol_id,dat_rodjenja) VALUES ("&amp;BD369&amp;",(SELECT max(os.reg_broj)+1 FROM osoba AS os),Null,'"&amp;DI369&amp;"',Null); INSERT INTO osoba_log (id,reg_broj,oib,spol_id,dat_rodjenja,dnevnik_id) SELECT id,reg_broj,oib,spol_id,dat_rodjenja,"&amp;data_dnevnik_id&amp;" FROM osoba WHERE id = "&amp;BD369&amp;";"))</f>
        <v/>
      </c>
      <c r="DL369" s="66" t="str">
        <f>IF(BD369="","","INSERT INTO imeprezime (id,osoba_id,rbr,ime,prezime,klub_id,identitet_id,sintaksa_id,info,aktivno,dnevnik_id) VALUES ("&amp;BD369&amp;","&amp;IF(DK369="","Null",BD369)&amp;",1,'"&amp;IF(AV369&lt;&gt;"",AV369,AK369)&amp;"','"&amp;IF(AW369&lt;&gt;"",AW369,AL369)&amp;"',(SELECT id FROM klub WHERE naziv = '"&amp;CR369&amp;"'),Null,1,'',1,"&amp;data_dnevnik_id&amp;");")</f>
        <v/>
      </c>
      <c r="DM369" t="s">
        <v>0</v>
      </c>
      <c r="DN369" s="19" t="str">
        <f t="shared" si="350"/>
        <v/>
      </c>
      <c r="DO369" s="47" t="s">
        <v>0</v>
      </c>
      <c r="DP369" s="19" t="str">
        <f>IF(BA369="","","INSERT INTO imeprezime_alias(id,alias,imeprezime_id) VALUES ("&amp;BB369&amp;",'"&amp;BA369&amp;"',"&amp;IF(BC369="NEMA",BD369,BC369)&amp;");")</f>
        <v/>
      </c>
      <c r="DQ369" s="47" t="s">
        <v>0</v>
      </c>
      <c r="DR369" s="52" t="str">
        <f>IF(AL369="","",DU369 &amp; IF(Q369="",""," – " &amp; Q369))</f>
        <v/>
      </c>
      <c r="DS369" s="53" t="str">
        <f t="shared" si="312"/>
        <v/>
      </c>
      <c r="DT369" s="47" t="s">
        <v>0</v>
      </c>
      <c r="DU369" s="52" t="str">
        <f>IF(AL369="","",DX369 &amp; IF(CR369="",""," – " &amp; CR369))</f>
        <v/>
      </c>
      <c r="DV369" s="53" t="str">
        <f t="shared" si="313"/>
        <v/>
      </c>
      <c r="DW369" s="47" t="s">
        <v>0</v>
      </c>
      <c r="DX369" s="52" t="str">
        <f>IF(BG369="","",BF369&amp;" – "&amp;BG369)</f>
        <v/>
      </c>
      <c r="DY369" s="53" t="str">
        <f t="shared" si="314"/>
        <v/>
      </c>
      <c r="DZ369" s="47" t="s">
        <v>0</v>
      </c>
      <c r="EA369" s="58" t="str">
        <f t="shared" si="343"/>
        <v/>
      </c>
      <c r="EB369" s="53" t="str" cm="1">
        <f t="array" ref="EB369">IF(EA369&lt;&gt;"",INDEX(regNatjecatelj_id,EA369,0),IF(BD369&lt;&gt;"",BD369,""))</f>
        <v/>
      </c>
      <c r="EC369" s="47" t="s">
        <v>0</v>
      </c>
      <c r="ED369" s="58" t="str">
        <f>IF(AL369="","",IF(BD369&lt;&gt;"","novo",IF(AN369="","imepre","imepre(ali)")))</f>
        <v/>
      </c>
      <c r="EE369" s="73" t="str">
        <f>IF(AL369="","",IF(BL369="",IF(IFERROR(INDEX(regNatjecatelj_klub,MATCH(EB369,regNatjecatelj_id,0)),"NEMA")="","klu",""),IF(OR(AND(BN369&lt;&gt;"",BN369&lt;&gt;"NEMA"),CD369&lt;&gt;""),"klu(ali)",IF(AND(BP369&lt;&gt;"",BP369&lt;&gt;BO369),"(raz-klu)","klu"))))</f>
        <v/>
      </c>
      <c r="EF369" s="73" t="str">
        <f>IF(AL369="","","kat"&amp;IF(AND(W369&lt;&gt;Q369,Q369&lt;&gt;"Open"),"(ali)",""))</f>
        <v/>
      </c>
      <c r="EG369" s="73" t="str">
        <f t="shared" si="315"/>
        <v/>
      </c>
      <c r="EH369" s="66" t="str">
        <f>IF(AL369="","",ED369&amp;IF(ED369="novo","","-"&amp;EE369&amp;"-"&amp;EF369)&amp;IF(EG369="","","-"&amp;EG369))</f>
        <v/>
      </c>
      <c r="EI369" s="47" t="s">
        <v>0</v>
      </c>
      <c r="EJ369" s="58" t="str">
        <f>IF(AL369="","",MAX(EJ$12:EJ368)+1)</f>
        <v/>
      </c>
      <c r="EK369" s="73" t="str">
        <f>IF(AO369="","",X369)</f>
        <v/>
      </c>
      <c r="EL369" s="73" t="str">
        <f t="shared" si="344"/>
        <v/>
      </c>
      <c r="EM369" s="73" t="str">
        <f t="shared" si="316"/>
        <v/>
      </c>
      <c r="EN369" s="73" t="str">
        <f t="shared" si="317"/>
        <v/>
      </c>
      <c r="EO369" s="73" t="str">
        <f t="shared" si="345"/>
        <v/>
      </c>
      <c r="EP369" s="73" t="str">
        <f t="shared" si="346"/>
        <v/>
      </c>
      <c r="EQ369" s="73" t="str">
        <f t="shared" si="318"/>
        <v/>
      </c>
      <c r="ER369" s="73" t="str">
        <f>IF(OR(AN369="",AN369="NEMA"),BB369,AN369)</f>
        <v/>
      </c>
      <c r="ES369" s="73" t="str">
        <f>IF(AND(BN369&lt;&gt;"",BN369&lt;&gt;"NEMA"),BN369,IF(CG369&lt;&gt;"",CG369,IF(AND(CL369&lt;&gt;"",CL369&lt;&gt;"NEMA"),CL369,IF(CM369&lt;&gt;"",CM369,""))))</f>
        <v/>
      </c>
      <c r="ET369" s="53" t="str">
        <f>IF(INDEX(natKategorija_alias_Id,MATCH(S369,natKategorija_katRegId,0))="","",INDEX(natKategorija_alias_Id,MATCH(S369,natKategorija_katRegId,0)))</f>
        <v/>
      </c>
      <c r="EU369" s="47" t="s">
        <v>0</v>
      </c>
      <c r="EV369" s="19" t="str">
        <f t="shared" si="347"/>
        <v/>
      </c>
      <c r="EW369" s="47" t="s">
        <v>0</v>
      </c>
      <c r="EX369" s="19" t="str">
        <f t="shared" si="348"/>
        <v/>
      </c>
      <c r="EY369" s="47" t="s">
        <v>0</v>
      </c>
      <c r="EZ369" s="180" t="str">
        <f>AG369&amp;IF(CP369="","","
")&amp;CP369&amp;IF(CI369="","","
")&amp;CI369&amp;IF(DN369="","","
")&amp;DN369&amp;IF(DP369="","","
")&amp;DP369&amp;IF(EV369="","","
")&amp;EV369&amp;IF(EX369="","","
")&amp;EX369</f>
        <v/>
      </c>
      <c r="FA369" s="47" t="s">
        <v>0</v>
      </c>
    </row>
    <row r="370" spans="1:157" x14ac:dyDescent="0.25">
      <c r="A370" t="s">
        <v>0</v>
      </c>
      <c r="B370" s="52" t="str">
        <f>IF(csv!F360="","",csv!T360)</f>
        <v/>
      </c>
      <c r="C370" s="31" t="s">
        <v>0</v>
      </c>
      <c r="D370" s="31" t="str">
        <f>IF(csv!F360="","",csv!F360)</f>
        <v/>
      </c>
      <c r="E370" s="31" t="str">
        <f>IF(csv!E360="","",csv!E360)</f>
        <v/>
      </c>
      <c r="F370" s="31" t="s">
        <v>0</v>
      </c>
      <c r="G370" s="73" t="str">
        <f>IF(csv!M360="","",csv!M360)</f>
        <v/>
      </c>
      <c r="H370" s="73" t="str">
        <f>IF(csv!N360="","",csv!N360)</f>
        <v/>
      </c>
      <c r="I370" s="31" t="s">
        <v>0</v>
      </c>
      <c r="J370" s="31" t="str">
        <f>IF(csv!P360="","",csv!P360)</f>
        <v/>
      </c>
      <c r="K370" s="31" t="str">
        <f>IF(csv!Q360="","",csv!Q360)</f>
        <v/>
      </c>
      <c r="L370" s="31" t="s">
        <v>0</v>
      </c>
      <c r="M370" s="66" t="str">
        <f>IF(csv!R360="","",csv!R360)</f>
        <v/>
      </c>
      <c r="N370" s="47" t="s">
        <v>0</v>
      </c>
      <c r="O370" s="243" t="str">
        <f t="shared" si="319"/>
        <v/>
      </c>
      <c r="P370" s="47"/>
      <c r="Q370" s="52" t="str">
        <f t="shared" si="320"/>
        <v/>
      </c>
      <c r="R370" s="73" t="str">
        <f>IF(Q370="","",IF(COUNTIF(Q$12:Q369,Q370)=0,R369+1,R369))</f>
        <v/>
      </c>
      <c r="S370" s="73" t="str">
        <f t="shared" si="321"/>
        <v/>
      </c>
      <c r="T370" s="73" t="str">
        <f t="shared" si="297"/>
        <v/>
      </c>
      <c r="U370" s="66" t="str">
        <f t="shared" si="298"/>
        <v/>
      </c>
      <c r="V370" s="47" t="s">
        <v>0</v>
      </c>
      <c r="W370" s="222" t="str">
        <f t="shared" si="299"/>
        <v/>
      </c>
      <c r="X370" s="223" t="str">
        <f t="shared" si="300"/>
        <v/>
      </c>
      <c r="Y370" s="47" t="s">
        <v>0</v>
      </c>
      <c r="Z370" s="52" t="str">
        <f t="shared" si="322"/>
        <v/>
      </c>
      <c r="AA370" s="73" t="str">
        <f t="shared" si="301"/>
        <v/>
      </c>
      <c r="AB370" s="31" t="str">
        <f t="shared" si="323"/>
        <v/>
      </c>
      <c r="AC370" s="66" t="str">
        <f>IF(AB370="","",MAX(AC$12:AC369)+1)</f>
        <v/>
      </c>
      <c r="AD370" s="47" t="s">
        <v>0</v>
      </c>
      <c r="AE370" s="125"/>
      <c r="AF370" s="47" t="s">
        <v>0</v>
      </c>
      <c r="AG370" s="19" t="str">
        <f t="shared" si="324"/>
        <v/>
      </c>
      <c r="AH370" s="47" t="s">
        <v>0</v>
      </c>
      <c r="AI370" s="143" t="str">
        <f t="shared" si="325"/>
        <v/>
      </c>
      <c r="AJ370" s="47"/>
      <c r="AK370" s="52" t="str">
        <f t="shared" si="326"/>
        <v/>
      </c>
      <c r="AL370" s="31" t="str">
        <f t="shared" si="327"/>
        <v/>
      </c>
      <c r="AM370" s="73" t="str">
        <f t="shared" si="328"/>
        <v/>
      </c>
      <c r="AN370" s="73" t="str">
        <f t="shared" si="329"/>
        <v/>
      </c>
      <c r="AO370" s="31" t="str">
        <f t="shared" si="302"/>
        <v/>
      </c>
      <c r="AP370" s="66" t="str">
        <f t="shared" si="303"/>
        <v/>
      </c>
      <c r="AQ370" s="47" t="s">
        <v>0</v>
      </c>
      <c r="AR370" s="82" t="str">
        <f t="shared" si="330"/>
        <v/>
      </c>
      <c r="AS370" s="47" t="s">
        <v>0</v>
      </c>
      <c r="AT370" s="19" t="str">
        <f t="shared" si="331"/>
        <v/>
      </c>
      <c r="AU370" s="47" t="s">
        <v>0</v>
      </c>
      <c r="AV370" s="103"/>
      <c r="AW370" s="105"/>
      <c r="AX370" s="47" t="s">
        <v>0</v>
      </c>
      <c r="AY370" s="256" t="str">
        <f t="shared" si="349"/>
        <v/>
      </c>
      <c r="AZ370" s="47" t="s">
        <v>0</v>
      </c>
      <c r="BA370" s="52" t="str">
        <f t="shared" si="296"/>
        <v/>
      </c>
      <c r="BB370" s="73" t="str">
        <f>IF(AV370&amp;AW370="","",MAX(BB$12:BB369)+1)</f>
        <v/>
      </c>
      <c r="BC370" s="268" t="str">
        <f t="shared" si="304"/>
        <v/>
      </c>
      <c r="BD370" s="53" t="str">
        <f>IF(AND(AM370="NEMA",AN370="NEMA",OR(AV370&amp;AW370="",BC370="NEMA")),MAX(BD$12:BD369)+1,"")</f>
        <v/>
      </c>
      <c r="BE370" s="47" t="s">
        <v>0</v>
      </c>
      <c r="BF370" s="52" t="str">
        <f t="shared" si="305"/>
        <v/>
      </c>
      <c r="BG370" s="31" t="str">
        <f t="shared" si="306"/>
        <v/>
      </c>
      <c r="BH370" s="73" t="str">
        <f t="shared" si="332"/>
        <v/>
      </c>
      <c r="BI370" s="53" t="str">
        <f t="shared" si="333"/>
        <v/>
      </c>
      <c r="BJ370" s="47" t="s">
        <v>0</v>
      </c>
      <c r="BK370" s="52" t="str">
        <f t="shared" si="307"/>
        <v/>
      </c>
      <c r="BL370" s="31" t="str">
        <f t="shared" si="308"/>
        <v/>
      </c>
      <c r="BM370" s="73" t="str">
        <f t="shared" si="309"/>
        <v/>
      </c>
      <c r="BN370" s="73" t="str">
        <f t="shared" si="310"/>
        <v/>
      </c>
      <c r="BO370" s="31" t="str" cm="1">
        <f t="array" ref="BO370">IF(BN370="",""&amp;BL370,IF(BN370="NEMA",BL370,INDEX(regKlub_naziv,MATCH(INDEX(regKlub_alias_klubId,BN370),regKlub_id,0))))</f>
        <v/>
      </c>
      <c r="BP370" s="31" t="str" cm="1">
        <f t="array" ref="BP370">IFERROR(""&amp;INDEX(regNatjecatelj_klub,DY370),"")</f>
        <v/>
      </c>
      <c r="BQ370" s="88" t="str">
        <f t="shared" si="334"/>
        <v/>
      </c>
      <c r="BR370" s="66" t="str">
        <f t="shared" si="335"/>
        <v/>
      </c>
      <c r="BS370" s="47" t="s">
        <v>0</v>
      </c>
      <c r="BT370" s="82" t="str">
        <f>IF(BN370&lt;&gt;"NEMA","",IF(IFERROR(MATCH(BL370,BL$12:BL369,0),0)&lt;&gt;0,"",BL370))</f>
        <v/>
      </c>
      <c r="BU370" s="47" t="s">
        <v>0</v>
      </c>
      <c r="BV370" s="125"/>
      <c r="BW370" s="47" t="s">
        <v>0</v>
      </c>
      <c r="BX370" s="58" t="str">
        <f t="shared" si="336"/>
        <v/>
      </c>
      <c r="BY370" s="31" t="str">
        <f t="shared" si="337"/>
        <v/>
      </c>
      <c r="BZ370" s="31" t="str">
        <f>IF(BY370="","",MAX(BZ$12:BZ369)+1)</f>
        <v/>
      </c>
      <c r="CA370" s="31" t="str">
        <f>IF(BY370="","",IF(AA370="","",IF(AA370="NEMA",AC370,AA370)))</f>
        <v/>
      </c>
      <c r="CB370" s="31" t="str">
        <f t="shared" si="338"/>
        <v/>
      </c>
      <c r="CC370" s="31" t="str">
        <f>IF(BV370="","",MAX(CC$12:CC369)+1)</f>
        <v/>
      </c>
      <c r="CD370" s="31" t="str">
        <f t="shared" si="339"/>
        <v/>
      </c>
      <c r="CE370" s="66" t="str">
        <f t="shared" si="340"/>
        <v/>
      </c>
      <c r="CF370" s="47" t="s">
        <v>0</v>
      </c>
      <c r="CG370" s="73" t="str">
        <f>IF(BN370="","",IF(BN370&lt;&gt;"NEMA","",IFERROR(INDEX(nat_klubAliasId,MATCH(BL370,nat_noviKluboviAliasi,0)),"")))</f>
        <v/>
      </c>
      <c r="CH370" s="47"/>
      <c r="CI370" s="19" t="str">
        <f t="shared" si="341"/>
        <v/>
      </c>
      <c r="CJ370" s="47" t="s">
        <v>0</v>
      </c>
      <c r="CK370" s="52" t="str">
        <f>IF(X370&lt;&gt;"NEMA","",IF(IFERROR(MATCH(W370,W$12:W369,0),0)&lt;&gt;0,"",W370))</f>
        <v/>
      </c>
      <c r="CL370" s="73" t="str">
        <f>IF(CK370="","",IFERROR(INDEX(regKlub_alias_id,MATCH(CK370,regKlub_alias_alias,0)),"NEMA"))</f>
        <v/>
      </c>
      <c r="CM370" s="31" t="str">
        <f>IF(OR(CL370="",CL370&lt;&gt;"NEMA"),"",MAX(CM$12:CM369)+1)</f>
        <v/>
      </c>
      <c r="CN370" s="66" t="str">
        <f>IF(OR(CL370="",CL370&lt;&gt;"NEMA"),"",INDEX(regKlub_id,MATCH(CK370,regKlub_naziv,0)))</f>
        <v/>
      </c>
      <c r="CO370" s="47" t="s">
        <v>0</v>
      </c>
      <c r="CP370" s="19" t="str">
        <f>IF(OR(CL370="",CL370&lt;&gt;"NEMA"),"","INSERT INTO klub_alias(id,alias,klub_id) VALUES ("&amp;CM370&amp;",'"&amp;CK370&amp;"',"&amp;CN370&amp;");")</f>
        <v/>
      </c>
      <c r="CQ370" s="47" t="s">
        <v>0</v>
      </c>
      <c r="CR370" s="143" t="str">
        <f>IF(BR370="","",IF(BV370="",IF(IFERROR(MATCH(BR370,nat_noviKluboviAliasi,0),0)&gt;0,INDEX(nat_kluboviAliasi,MATCH(BR370,nat_noviKluboviAliasi,0)),BR370),BV370))</f>
        <v/>
      </c>
      <c r="CS370" s="47" t="s">
        <v>0</v>
      </c>
      <c r="CT370" s="58" t="str">
        <f>IF(G370="","",G370)</f>
        <v/>
      </c>
      <c r="CU370" s="73" t="str">
        <f>IF(H370="","",H370)</f>
        <v/>
      </c>
      <c r="CV370" s="229" t="str">
        <f>IF(CT370="",IF(OR(AL370="",CU370&lt;&gt;"0"),"","GREŠKA"),IF(AND(65535&gt;=VALUE(LEFT(CT370,SEARCH(":",CT370)-1))*60+VALUE(RIGHT(CT370,2)),OR(CU370="0",CU370="1",CU370="2",CU370="3",CU370="4")),"","GREŠKA"))</f>
        <v/>
      </c>
      <c r="CW370" s="230" t="str">
        <f t="shared" si="295"/>
        <v/>
      </c>
      <c r="CX370" s="163" t="str">
        <f t="shared" si="311"/>
        <v/>
      </c>
      <c r="CY370" s="47" t="s">
        <v>0</v>
      </c>
      <c r="CZ370" s="222" t="str">
        <f>IF(CV370&lt;&gt;"GREŠKA","",AK370&amp;" "&amp;AL370&amp;" – Molim u OEventu provjeriti i ispraviti rezultat – vrijeme ("&amp;IF(CT370="","nije upisano",CT370)&amp;") i classifier ("&amp;CU370&amp;").")&amp;IF(OR(CV370&lt;&gt;"GREŠKA",CX370&lt;&gt;5),"
","")&amp;IF(CX370&lt;&gt;5,"",AK370&amp;" "&amp;AL370&amp;" – Molim u provjeriti je li natjecatelj zaista diskvalificiran. Ako je koje je obrazloženje, ako nije molim u OEventu ispraviti rezultat")</f>
        <v xml:space="preserve">
</v>
      </c>
      <c r="DA370" s="223" t="str">
        <f t="shared" si="342"/>
        <v/>
      </c>
      <c r="DB370" s="47" t="s">
        <v>0</v>
      </c>
      <c r="DC370" s="47"/>
      <c r="DD370" s="47"/>
      <c r="DE370" s="47"/>
      <c r="DF370" s="47" t="s">
        <v>0</v>
      </c>
      <c r="DG370" s="53" t="str">
        <f>IF(BD370="","",IF(DI370="O",1,""))</f>
        <v/>
      </c>
      <c r="DH370" t="s">
        <v>0</v>
      </c>
      <c r="DI370" s="128" t="str">
        <f>IF(Q370="","",LEFT(INDEX(regKategorija_oznaka,MATCH(S370,regKategorija_id,0)),1))</f>
        <v/>
      </c>
      <c r="DJ370" t="s">
        <v>0</v>
      </c>
      <c r="DK370" s="52" t="str">
        <f>IF(BD370="","",IF(M370&lt;&gt;"CRO","","INSERT INTO osoba (id,reg_broj,oib,spol_id,dat_rodjenja) VALUES ("&amp;BD370&amp;",(SELECT max(os.reg_broj)+1 FROM osoba AS os),Null,'"&amp;DI370&amp;"',Null); INSERT INTO osoba_log (id,reg_broj,oib,spol_id,dat_rodjenja,dnevnik_id) SELECT id,reg_broj,oib,spol_id,dat_rodjenja,"&amp;data_dnevnik_id&amp;" FROM osoba WHERE id = "&amp;BD370&amp;";"))</f>
        <v/>
      </c>
      <c r="DL370" s="66" t="str">
        <f>IF(BD370="","","INSERT INTO imeprezime (id,osoba_id,rbr,ime,prezime,klub_id,identitet_id,sintaksa_id,info,aktivno,dnevnik_id) VALUES ("&amp;BD370&amp;","&amp;IF(DK370="","Null",BD370)&amp;",1,'"&amp;IF(AV370&lt;&gt;"",AV370,AK370)&amp;"','"&amp;IF(AW370&lt;&gt;"",AW370,AL370)&amp;"',(SELECT id FROM klub WHERE naziv = '"&amp;CR370&amp;"'),Null,1,'',1,"&amp;data_dnevnik_id&amp;");")</f>
        <v/>
      </c>
      <c r="DM370" t="s">
        <v>0</v>
      </c>
      <c r="DN370" s="19" t="str">
        <f t="shared" si="350"/>
        <v/>
      </c>
      <c r="DO370" s="47" t="s">
        <v>0</v>
      </c>
      <c r="DP370" s="19" t="str">
        <f>IF(BA370="","","INSERT INTO imeprezime_alias(id,alias,imeprezime_id) VALUES ("&amp;BB370&amp;",'"&amp;BA370&amp;"',"&amp;IF(BC370="NEMA",BD370,BC370)&amp;");")</f>
        <v/>
      </c>
      <c r="DQ370" s="47" t="s">
        <v>0</v>
      </c>
      <c r="DR370" s="52" t="str">
        <f>IF(AL370="","",DU370 &amp; IF(Q370="",""," – " &amp; Q370))</f>
        <v/>
      </c>
      <c r="DS370" s="53" t="str">
        <f t="shared" si="312"/>
        <v/>
      </c>
      <c r="DT370" s="47" t="s">
        <v>0</v>
      </c>
      <c r="DU370" s="52" t="str">
        <f>IF(AL370="","",DX370 &amp; IF(CR370="",""," – " &amp; CR370))</f>
        <v/>
      </c>
      <c r="DV370" s="53" t="str">
        <f t="shared" si="313"/>
        <v/>
      </c>
      <c r="DW370" s="47" t="s">
        <v>0</v>
      </c>
      <c r="DX370" s="52" t="str">
        <f>IF(BG370="","",BF370&amp;" – "&amp;BG370)</f>
        <v/>
      </c>
      <c r="DY370" s="53" t="str">
        <f t="shared" si="314"/>
        <v/>
      </c>
      <c r="DZ370" s="47" t="s">
        <v>0</v>
      </c>
      <c r="EA370" s="58" t="str">
        <f t="shared" si="343"/>
        <v/>
      </c>
      <c r="EB370" s="53" t="str" cm="1">
        <f t="array" ref="EB370">IF(EA370&lt;&gt;"",INDEX(regNatjecatelj_id,EA370,0),IF(BD370&lt;&gt;"",BD370,""))</f>
        <v/>
      </c>
      <c r="EC370" s="47" t="s">
        <v>0</v>
      </c>
      <c r="ED370" s="58" t="str">
        <f>IF(AL370="","",IF(BD370&lt;&gt;"","novo",IF(AN370="","imepre","imepre(ali)")))</f>
        <v/>
      </c>
      <c r="EE370" s="73" t="str">
        <f>IF(AL370="","",IF(BL370="",IF(IFERROR(INDEX(regNatjecatelj_klub,MATCH(EB370,regNatjecatelj_id,0)),"NEMA")="","klu",""),IF(OR(AND(BN370&lt;&gt;"",BN370&lt;&gt;"NEMA"),CD370&lt;&gt;""),"klu(ali)",IF(AND(BP370&lt;&gt;"",BP370&lt;&gt;BO370),"(raz-klu)","klu"))))</f>
        <v/>
      </c>
      <c r="EF370" s="73" t="str">
        <f>IF(AL370="","","kat"&amp;IF(AND(W370&lt;&gt;Q370,Q370&lt;&gt;"Open"),"(ali)",""))</f>
        <v/>
      </c>
      <c r="EG370" s="73" t="str">
        <f t="shared" si="315"/>
        <v/>
      </c>
      <c r="EH370" s="66" t="str">
        <f>IF(AL370="","",ED370&amp;IF(ED370="novo","","-"&amp;EE370&amp;"-"&amp;EF370)&amp;IF(EG370="","","-"&amp;EG370))</f>
        <v/>
      </c>
      <c r="EI370" s="47" t="s">
        <v>0</v>
      </c>
      <c r="EJ370" s="58" t="str">
        <f>IF(AL370="","",MAX(EJ$12:EJ369)+1)</f>
        <v/>
      </c>
      <c r="EK370" s="73" t="str">
        <f>IF(AO370="","",X370)</f>
        <v/>
      </c>
      <c r="EL370" s="73" t="str">
        <f t="shared" si="344"/>
        <v/>
      </c>
      <c r="EM370" s="73" t="str">
        <f t="shared" si="316"/>
        <v/>
      </c>
      <c r="EN370" s="73" t="str">
        <f t="shared" si="317"/>
        <v/>
      </c>
      <c r="EO370" s="73" t="str">
        <f t="shared" si="345"/>
        <v/>
      </c>
      <c r="EP370" s="73" t="str">
        <f t="shared" si="346"/>
        <v/>
      </c>
      <c r="EQ370" s="73" t="str">
        <f t="shared" si="318"/>
        <v/>
      </c>
      <c r="ER370" s="73" t="str">
        <f>IF(OR(AN370="",AN370="NEMA"),BB370,AN370)</f>
        <v/>
      </c>
      <c r="ES370" s="73" t="str">
        <f>IF(AND(BN370&lt;&gt;"",BN370&lt;&gt;"NEMA"),BN370,IF(CG370&lt;&gt;"",CG370,IF(AND(CL370&lt;&gt;"",CL370&lt;&gt;"NEMA"),CL370,IF(CM370&lt;&gt;"",CM370,""))))</f>
        <v/>
      </c>
      <c r="ET370" s="53" t="str">
        <f>IF(INDEX(natKategorija_alias_Id,MATCH(S370,natKategorija_katRegId,0))="","",INDEX(natKategorija_alias_Id,MATCH(S370,natKategorija_katRegId,0)))</f>
        <v/>
      </c>
      <c r="EU370" s="47" t="s">
        <v>0</v>
      </c>
      <c r="EV370" s="19" t="str">
        <f t="shared" si="347"/>
        <v/>
      </c>
      <c r="EW370" s="47" t="s">
        <v>0</v>
      </c>
      <c r="EX370" s="19" t="str">
        <f t="shared" si="348"/>
        <v/>
      </c>
      <c r="EY370" s="47" t="s">
        <v>0</v>
      </c>
      <c r="EZ370" s="180" t="str">
        <f>AG370&amp;IF(CP370="","","
")&amp;CP370&amp;IF(CI370="","","
")&amp;CI370&amp;IF(DN370="","","
")&amp;DN370&amp;IF(DP370="","","
")&amp;DP370&amp;IF(EV370="","","
")&amp;EV370&amp;IF(EX370="","","
")&amp;EX370</f>
        <v/>
      </c>
      <c r="FA370" s="47" t="s">
        <v>0</v>
      </c>
    </row>
    <row r="371" spans="1:157" x14ac:dyDescent="0.25">
      <c r="A371" t="s">
        <v>0</v>
      </c>
      <c r="B371" s="52" t="str">
        <f>IF(csv!F361="","",csv!T361)</f>
        <v/>
      </c>
      <c r="C371" s="31" t="s">
        <v>0</v>
      </c>
      <c r="D371" s="31" t="str">
        <f>IF(csv!F361="","",csv!F361)</f>
        <v/>
      </c>
      <c r="E371" s="31" t="str">
        <f>IF(csv!E361="","",csv!E361)</f>
        <v/>
      </c>
      <c r="F371" s="31" t="s">
        <v>0</v>
      </c>
      <c r="G371" s="73" t="str">
        <f>IF(csv!M361="","",csv!M361)</f>
        <v/>
      </c>
      <c r="H371" s="73" t="str">
        <f>IF(csv!N361="","",csv!N361)</f>
        <v/>
      </c>
      <c r="I371" s="31" t="s">
        <v>0</v>
      </c>
      <c r="J371" s="31" t="str">
        <f>IF(csv!P361="","",csv!P361)</f>
        <v/>
      </c>
      <c r="K371" s="31" t="str">
        <f>IF(csv!Q361="","",csv!Q361)</f>
        <v/>
      </c>
      <c r="L371" s="31" t="s">
        <v>0</v>
      </c>
      <c r="M371" s="66" t="str">
        <f>IF(csv!R361="","",csv!R361)</f>
        <v/>
      </c>
      <c r="N371" s="47" t="s">
        <v>0</v>
      </c>
      <c r="O371" s="243" t="str">
        <f t="shared" si="319"/>
        <v/>
      </c>
      <c r="P371" s="47"/>
      <c r="Q371" s="52" t="str">
        <f t="shared" si="320"/>
        <v/>
      </c>
      <c r="R371" s="73" t="str">
        <f>IF(Q371="","",IF(COUNTIF(Q$12:Q370,Q371)=0,R370+1,R370))</f>
        <v/>
      </c>
      <c r="S371" s="73" t="str">
        <f t="shared" si="321"/>
        <v/>
      </c>
      <c r="T371" s="73" t="str">
        <f t="shared" si="297"/>
        <v/>
      </c>
      <c r="U371" s="66" t="str">
        <f t="shared" si="298"/>
        <v/>
      </c>
      <c r="V371" s="47" t="s">
        <v>0</v>
      </c>
      <c r="W371" s="222" t="str">
        <f t="shared" si="299"/>
        <v/>
      </c>
      <c r="X371" s="223" t="str">
        <f t="shared" si="300"/>
        <v/>
      </c>
      <c r="Y371" s="47" t="s">
        <v>0</v>
      </c>
      <c r="Z371" s="52" t="str">
        <f t="shared" si="322"/>
        <v/>
      </c>
      <c r="AA371" s="73" t="str">
        <f t="shared" si="301"/>
        <v/>
      </c>
      <c r="AB371" s="31" t="str">
        <f t="shared" si="323"/>
        <v/>
      </c>
      <c r="AC371" s="66" t="str">
        <f>IF(AB371="","",MAX(AC$12:AC370)+1)</f>
        <v/>
      </c>
      <c r="AD371" s="47" t="s">
        <v>0</v>
      </c>
      <c r="AE371" s="125"/>
      <c r="AF371" s="47" t="s">
        <v>0</v>
      </c>
      <c r="AG371" s="19" t="str">
        <f t="shared" si="324"/>
        <v/>
      </c>
      <c r="AH371" s="47" t="s">
        <v>0</v>
      </c>
      <c r="AI371" s="143" t="str">
        <f t="shared" si="325"/>
        <v/>
      </c>
      <c r="AJ371" s="47"/>
      <c r="AK371" s="52" t="str">
        <f t="shared" si="326"/>
        <v/>
      </c>
      <c r="AL371" s="31" t="str">
        <f t="shared" si="327"/>
        <v/>
      </c>
      <c r="AM371" s="73" t="str">
        <f t="shared" si="328"/>
        <v/>
      </c>
      <c r="AN371" s="73" t="str">
        <f t="shared" si="329"/>
        <v/>
      </c>
      <c r="AO371" s="31" t="str">
        <f t="shared" si="302"/>
        <v/>
      </c>
      <c r="AP371" s="66" t="str">
        <f t="shared" si="303"/>
        <v/>
      </c>
      <c r="AQ371" s="47" t="s">
        <v>0</v>
      </c>
      <c r="AR371" s="82" t="str">
        <f t="shared" si="330"/>
        <v/>
      </c>
      <c r="AS371" s="47" t="s">
        <v>0</v>
      </c>
      <c r="AT371" s="19" t="str">
        <f t="shared" si="331"/>
        <v/>
      </c>
      <c r="AU371" s="47" t="s">
        <v>0</v>
      </c>
      <c r="AV371" s="103"/>
      <c r="AW371" s="105"/>
      <c r="AX371" s="47" t="s">
        <v>0</v>
      </c>
      <c r="AY371" s="256" t="str">
        <f t="shared" si="349"/>
        <v/>
      </c>
      <c r="AZ371" s="47" t="s">
        <v>0</v>
      </c>
      <c r="BA371" s="52" t="str">
        <f t="shared" si="296"/>
        <v/>
      </c>
      <c r="BB371" s="73" t="str">
        <f>IF(AV371&amp;AW371="","",MAX(BB$12:BB370)+1)</f>
        <v/>
      </c>
      <c r="BC371" s="268" t="str">
        <f t="shared" si="304"/>
        <v/>
      </c>
      <c r="BD371" s="53" t="str">
        <f>IF(AND(AM371="NEMA",AN371="NEMA",OR(AV371&amp;AW371="",BC371="NEMA")),MAX(BD$12:BD370)+1,"")</f>
        <v/>
      </c>
      <c r="BE371" s="47" t="s">
        <v>0</v>
      </c>
      <c r="BF371" s="52" t="str">
        <f t="shared" si="305"/>
        <v/>
      </c>
      <c r="BG371" s="31" t="str">
        <f t="shared" si="306"/>
        <v/>
      </c>
      <c r="BH371" s="73" t="str">
        <f t="shared" si="332"/>
        <v/>
      </c>
      <c r="BI371" s="53" t="str">
        <f t="shared" si="333"/>
        <v/>
      </c>
      <c r="BJ371" s="47" t="s">
        <v>0</v>
      </c>
      <c r="BK371" s="52" t="str">
        <f t="shared" si="307"/>
        <v/>
      </c>
      <c r="BL371" s="31" t="str">
        <f t="shared" si="308"/>
        <v/>
      </c>
      <c r="BM371" s="73" t="str">
        <f t="shared" si="309"/>
        <v/>
      </c>
      <c r="BN371" s="73" t="str">
        <f t="shared" si="310"/>
        <v/>
      </c>
      <c r="BO371" s="31" t="str" cm="1">
        <f t="array" ref="BO371">IF(BN371="",""&amp;BL371,IF(BN371="NEMA",BL371,INDEX(regKlub_naziv,MATCH(INDEX(regKlub_alias_klubId,BN371),regKlub_id,0))))</f>
        <v/>
      </c>
      <c r="BP371" s="31" t="str" cm="1">
        <f t="array" ref="BP371">IFERROR(""&amp;INDEX(regNatjecatelj_klub,DY371),"")</f>
        <v/>
      </c>
      <c r="BQ371" s="88" t="str">
        <f t="shared" si="334"/>
        <v/>
      </c>
      <c r="BR371" s="66" t="str">
        <f t="shared" si="335"/>
        <v/>
      </c>
      <c r="BS371" s="47" t="s">
        <v>0</v>
      </c>
      <c r="BT371" s="82" t="str">
        <f>IF(BN371&lt;&gt;"NEMA","",IF(IFERROR(MATCH(BL371,BL$12:BL370,0),0)&lt;&gt;0,"",BL371))</f>
        <v/>
      </c>
      <c r="BU371" s="47" t="s">
        <v>0</v>
      </c>
      <c r="BV371" s="125"/>
      <c r="BW371" s="47" t="s">
        <v>0</v>
      </c>
      <c r="BX371" s="58" t="str">
        <f t="shared" si="336"/>
        <v/>
      </c>
      <c r="BY371" s="31" t="str">
        <f t="shared" si="337"/>
        <v/>
      </c>
      <c r="BZ371" s="31" t="str">
        <f>IF(BY371="","",MAX(BZ$12:BZ370)+1)</f>
        <v/>
      </c>
      <c r="CA371" s="31" t="str">
        <f>IF(BY371="","",IF(AA371="","",IF(AA371="NEMA",AC371,AA371)))</f>
        <v/>
      </c>
      <c r="CB371" s="31" t="str">
        <f t="shared" si="338"/>
        <v/>
      </c>
      <c r="CC371" s="31" t="str">
        <f>IF(BV371="","",MAX(CC$12:CC370)+1)</f>
        <v/>
      </c>
      <c r="CD371" s="31" t="str">
        <f t="shared" si="339"/>
        <v/>
      </c>
      <c r="CE371" s="66" t="str">
        <f t="shared" si="340"/>
        <v/>
      </c>
      <c r="CF371" s="47" t="s">
        <v>0</v>
      </c>
      <c r="CG371" s="73" t="str">
        <f>IF(BN371="","",IF(BN371&lt;&gt;"NEMA","",IFERROR(INDEX(nat_klubAliasId,MATCH(BL371,nat_noviKluboviAliasi,0)),"")))</f>
        <v/>
      </c>
      <c r="CH371" s="47"/>
      <c r="CI371" s="19" t="str">
        <f t="shared" si="341"/>
        <v/>
      </c>
      <c r="CJ371" s="47" t="s">
        <v>0</v>
      </c>
      <c r="CK371" s="52" t="str">
        <f>IF(X371&lt;&gt;"NEMA","",IF(IFERROR(MATCH(W371,W$12:W370,0),0)&lt;&gt;0,"",W371))</f>
        <v/>
      </c>
      <c r="CL371" s="73" t="str">
        <f>IF(CK371="","",IFERROR(INDEX(regKlub_alias_id,MATCH(CK371,regKlub_alias_alias,0)),"NEMA"))</f>
        <v/>
      </c>
      <c r="CM371" s="31" t="str">
        <f>IF(OR(CL371="",CL371&lt;&gt;"NEMA"),"",MAX(CM$12:CM370)+1)</f>
        <v/>
      </c>
      <c r="CN371" s="66" t="str">
        <f>IF(OR(CL371="",CL371&lt;&gt;"NEMA"),"",INDEX(regKlub_id,MATCH(CK371,regKlub_naziv,0)))</f>
        <v/>
      </c>
      <c r="CO371" s="47" t="s">
        <v>0</v>
      </c>
      <c r="CP371" s="19" t="str">
        <f>IF(OR(CL371="",CL371&lt;&gt;"NEMA"),"","INSERT INTO klub_alias(id,alias,klub_id) VALUES ("&amp;CM371&amp;",'"&amp;CK371&amp;"',"&amp;CN371&amp;");")</f>
        <v/>
      </c>
      <c r="CQ371" s="47" t="s">
        <v>0</v>
      </c>
      <c r="CR371" s="143" t="str">
        <f>IF(BR371="","",IF(BV371="",IF(IFERROR(MATCH(BR371,nat_noviKluboviAliasi,0),0)&gt;0,INDEX(nat_kluboviAliasi,MATCH(BR371,nat_noviKluboviAliasi,0)),BR371),BV371))</f>
        <v/>
      </c>
      <c r="CS371" s="47" t="s">
        <v>0</v>
      </c>
      <c r="CT371" s="58" t="str">
        <f>IF(G371="","",G371)</f>
        <v/>
      </c>
      <c r="CU371" s="73" t="str">
        <f>IF(H371="","",H371)</f>
        <v/>
      </c>
      <c r="CV371" s="229" t="str">
        <f>IF(CT371="",IF(OR(AL371="",CU371&lt;&gt;"0"),"","GREŠKA"),IF(AND(65535&gt;=VALUE(LEFT(CT371,SEARCH(":",CT371)-1))*60+VALUE(RIGHT(CT371,2)),OR(CU371="0",CU371="1",CU371="2",CU371="3",CU371="4")),"","GREŠKA"))</f>
        <v/>
      </c>
      <c r="CW371" s="230" t="str">
        <f t="shared" si="295"/>
        <v/>
      </c>
      <c r="CX371" s="163" t="str">
        <f t="shared" si="311"/>
        <v/>
      </c>
      <c r="CY371" s="47" t="s">
        <v>0</v>
      </c>
      <c r="CZ371" s="222" t="str">
        <f>IF(CV371&lt;&gt;"GREŠKA","",AK371&amp;" "&amp;AL371&amp;" – Molim u OEventu provjeriti i ispraviti rezultat – vrijeme ("&amp;IF(CT371="","nije upisano",CT371)&amp;") i classifier ("&amp;CU371&amp;").")&amp;IF(OR(CV371&lt;&gt;"GREŠKA",CX371&lt;&gt;5),"
","")&amp;IF(CX371&lt;&gt;5,"",AK371&amp;" "&amp;AL371&amp;" – Molim u provjeriti je li natjecatelj zaista diskvalificiran. Ako je koje je obrazloženje, ako nije molim u OEventu ispraviti rezultat")</f>
        <v xml:space="preserve">
</v>
      </c>
      <c r="DA371" s="223" t="str">
        <f t="shared" si="342"/>
        <v/>
      </c>
      <c r="DB371" s="47" t="s">
        <v>0</v>
      </c>
      <c r="DC371" s="47"/>
      <c r="DD371" s="47"/>
      <c r="DE371" s="47"/>
      <c r="DF371" s="47" t="s">
        <v>0</v>
      </c>
      <c r="DG371" s="53" t="str">
        <f>IF(BD371="","",IF(DI371="O",1,""))</f>
        <v/>
      </c>
      <c r="DH371" t="s">
        <v>0</v>
      </c>
      <c r="DI371" s="128" t="str">
        <f>IF(Q371="","",LEFT(INDEX(regKategorija_oznaka,MATCH(S371,regKategorija_id,0)),1))</f>
        <v/>
      </c>
      <c r="DJ371" t="s">
        <v>0</v>
      </c>
      <c r="DK371" s="52" t="str">
        <f>IF(BD371="","",IF(M371&lt;&gt;"CRO","","INSERT INTO osoba (id,reg_broj,oib,spol_id,dat_rodjenja) VALUES ("&amp;BD371&amp;",(SELECT max(os.reg_broj)+1 FROM osoba AS os),Null,'"&amp;DI371&amp;"',Null); INSERT INTO osoba_log (id,reg_broj,oib,spol_id,dat_rodjenja,dnevnik_id) SELECT id,reg_broj,oib,spol_id,dat_rodjenja,"&amp;data_dnevnik_id&amp;" FROM osoba WHERE id = "&amp;BD371&amp;";"))</f>
        <v/>
      </c>
      <c r="DL371" s="66" t="str">
        <f>IF(BD371="","","INSERT INTO imeprezime (id,osoba_id,rbr,ime,prezime,klub_id,identitet_id,sintaksa_id,info,aktivno,dnevnik_id) VALUES ("&amp;BD371&amp;","&amp;IF(DK371="","Null",BD371)&amp;",1,'"&amp;IF(AV371&lt;&gt;"",AV371,AK371)&amp;"','"&amp;IF(AW371&lt;&gt;"",AW371,AL371)&amp;"',(SELECT id FROM klub WHERE naziv = '"&amp;CR371&amp;"'),Null,1,'',1,"&amp;data_dnevnik_id&amp;");")</f>
        <v/>
      </c>
      <c r="DM371" t="s">
        <v>0</v>
      </c>
      <c r="DN371" s="19" t="str">
        <f t="shared" si="350"/>
        <v/>
      </c>
      <c r="DO371" s="47" t="s">
        <v>0</v>
      </c>
      <c r="DP371" s="19" t="str">
        <f>IF(BA371="","","INSERT INTO imeprezime_alias(id,alias,imeprezime_id) VALUES ("&amp;BB371&amp;",'"&amp;BA371&amp;"',"&amp;IF(BC371="NEMA",BD371,BC371)&amp;");")</f>
        <v/>
      </c>
      <c r="DQ371" s="47" t="s">
        <v>0</v>
      </c>
      <c r="DR371" s="52" t="str">
        <f>IF(AL371="","",DU371 &amp; IF(Q371="",""," – " &amp; Q371))</f>
        <v/>
      </c>
      <c r="DS371" s="53" t="str">
        <f t="shared" si="312"/>
        <v/>
      </c>
      <c r="DT371" s="47" t="s">
        <v>0</v>
      </c>
      <c r="DU371" s="52" t="str">
        <f>IF(AL371="","",DX371 &amp; IF(CR371="",""," – " &amp; CR371))</f>
        <v/>
      </c>
      <c r="DV371" s="53" t="str">
        <f t="shared" si="313"/>
        <v/>
      </c>
      <c r="DW371" s="47" t="s">
        <v>0</v>
      </c>
      <c r="DX371" s="52" t="str">
        <f>IF(BG371="","",BF371&amp;" – "&amp;BG371)</f>
        <v/>
      </c>
      <c r="DY371" s="53" t="str">
        <f t="shared" si="314"/>
        <v/>
      </c>
      <c r="DZ371" s="47" t="s">
        <v>0</v>
      </c>
      <c r="EA371" s="58" t="str">
        <f t="shared" si="343"/>
        <v/>
      </c>
      <c r="EB371" s="53" t="str" cm="1">
        <f t="array" ref="EB371">IF(EA371&lt;&gt;"",INDEX(regNatjecatelj_id,EA371,0),IF(BD371&lt;&gt;"",BD371,""))</f>
        <v/>
      </c>
      <c r="EC371" s="47" t="s">
        <v>0</v>
      </c>
      <c r="ED371" s="58" t="str">
        <f>IF(AL371="","",IF(BD371&lt;&gt;"","novo",IF(AN371="","imepre","imepre(ali)")))</f>
        <v/>
      </c>
      <c r="EE371" s="73" t="str">
        <f>IF(AL371="","",IF(BL371="",IF(IFERROR(INDEX(regNatjecatelj_klub,MATCH(EB371,regNatjecatelj_id,0)),"NEMA")="","klu",""),IF(OR(AND(BN371&lt;&gt;"",BN371&lt;&gt;"NEMA"),CD371&lt;&gt;""),"klu(ali)",IF(AND(BP371&lt;&gt;"",BP371&lt;&gt;BO371),"(raz-klu)","klu"))))</f>
        <v/>
      </c>
      <c r="EF371" s="73" t="str">
        <f>IF(AL371="","","kat"&amp;IF(AND(W371&lt;&gt;Q371,Q371&lt;&gt;"Open"),"(ali)",""))</f>
        <v/>
      </c>
      <c r="EG371" s="73" t="str">
        <f t="shared" si="315"/>
        <v/>
      </c>
      <c r="EH371" s="66" t="str">
        <f>IF(AL371="","",ED371&amp;IF(ED371="novo","","-"&amp;EE371&amp;"-"&amp;EF371)&amp;IF(EG371="","","-"&amp;EG371))</f>
        <v/>
      </c>
      <c r="EI371" s="47" t="s">
        <v>0</v>
      </c>
      <c r="EJ371" s="58" t="str">
        <f>IF(AL371="","",MAX(EJ$12:EJ370)+1)</f>
        <v/>
      </c>
      <c r="EK371" s="73" t="str">
        <f>IF(AO371="","",X371)</f>
        <v/>
      </c>
      <c r="EL371" s="73" t="str">
        <f t="shared" si="344"/>
        <v/>
      </c>
      <c r="EM371" s="73" t="str">
        <f t="shared" si="316"/>
        <v/>
      </c>
      <c r="EN371" s="73" t="str">
        <f t="shared" si="317"/>
        <v/>
      </c>
      <c r="EO371" s="73" t="str">
        <f t="shared" si="345"/>
        <v/>
      </c>
      <c r="EP371" s="73" t="str">
        <f t="shared" si="346"/>
        <v/>
      </c>
      <c r="EQ371" s="73" t="str">
        <f t="shared" si="318"/>
        <v/>
      </c>
      <c r="ER371" s="73" t="str">
        <f>IF(OR(AN371="",AN371="NEMA"),BB371,AN371)</f>
        <v/>
      </c>
      <c r="ES371" s="73" t="str">
        <f>IF(AND(BN371&lt;&gt;"",BN371&lt;&gt;"NEMA"),BN371,IF(CG371&lt;&gt;"",CG371,IF(AND(CL371&lt;&gt;"",CL371&lt;&gt;"NEMA"),CL371,IF(CM371&lt;&gt;"",CM371,""))))</f>
        <v/>
      </c>
      <c r="ET371" s="53" t="str">
        <f>IF(INDEX(natKategorija_alias_Id,MATCH(S371,natKategorija_katRegId,0))="","",INDEX(natKategorija_alias_Id,MATCH(S371,natKategorija_katRegId,0)))</f>
        <v/>
      </c>
      <c r="EU371" s="47" t="s">
        <v>0</v>
      </c>
      <c r="EV371" s="19" t="str">
        <f t="shared" si="347"/>
        <v/>
      </c>
      <c r="EW371" s="47" t="s">
        <v>0</v>
      </c>
      <c r="EX371" s="19" t="str">
        <f t="shared" si="348"/>
        <v/>
      </c>
      <c r="EY371" s="47" t="s">
        <v>0</v>
      </c>
      <c r="EZ371" s="180" t="str">
        <f>AG371&amp;IF(CP371="","","
")&amp;CP371&amp;IF(CI371="","","
")&amp;CI371&amp;IF(DN371="","","
")&amp;DN371&amp;IF(DP371="","","
")&amp;DP371&amp;IF(EV371="","","
")&amp;EV371&amp;IF(EX371="","","
")&amp;EX371</f>
        <v/>
      </c>
      <c r="FA371" s="47" t="s">
        <v>0</v>
      </c>
    </row>
    <row r="372" spans="1:157" x14ac:dyDescent="0.25">
      <c r="A372" t="s">
        <v>0</v>
      </c>
      <c r="B372" s="52" t="str">
        <f>IF(csv!F362="","",csv!T362)</f>
        <v/>
      </c>
      <c r="C372" s="31" t="s">
        <v>0</v>
      </c>
      <c r="D372" s="31" t="str">
        <f>IF(csv!F362="","",csv!F362)</f>
        <v/>
      </c>
      <c r="E372" s="31" t="str">
        <f>IF(csv!E362="","",csv!E362)</f>
        <v/>
      </c>
      <c r="F372" s="31" t="s">
        <v>0</v>
      </c>
      <c r="G372" s="73" t="str">
        <f>IF(csv!M362="","",csv!M362)</f>
        <v/>
      </c>
      <c r="H372" s="73" t="str">
        <f>IF(csv!N362="","",csv!N362)</f>
        <v/>
      </c>
      <c r="I372" s="31" t="s">
        <v>0</v>
      </c>
      <c r="J372" s="31" t="str">
        <f>IF(csv!P362="","",csv!P362)</f>
        <v/>
      </c>
      <c r="K372" s="31" t="str">
        <f>IF(csv!Q362="","",csv!Q362)</f>
        <v/>
      </c>
      <c r="L372" s="31" t="s">
        <v>0</v>
      </c>
      <c r="M372" s="66" t="str">
        <f>IF(csv!R362="","",csv!R362)</f>
        <v/>
      </c>
      <c r="N372" s="47" t="s">
        <v>0</v>
      </c>
      <c r="O372" s="243" t="str">
        <f t="shared" si="319"/>
        <v/>
      </c>
      <c r="P372" s="47"/>
      <c r="Q372" s="52" t="str">
        <f t="shared" si="320"/>
        <v/>
      </c>
      <c r="R372" s="73" t="str">
        <f>IF(Q372="","",IF(COUNTIF(Q$12:Q371,Q372)=0,R371+1,R371))</f>
        <v/>
      </c>
      <c r="S372" s="73" t="str">
        <f t="shared" si="321"/>
        <v/>
      </c>
      <c r="T372" s="73" t="str">
        <f t="shared" si="297"/>
        <v/>
      </c>
      <c r="U372" s="66" t="str">
        <f t="shared" si="298"/>
        <v/>
      </c>
      <c r="V372" s="47" t="s">
        <v>0</v>
      </c>
      <c r="W372" s="222" t="str">
        <f t="shared" si="299"/>
        <v/>
      </c>
      <c r="X372" s="223" t="str">
        <f t="shared" si="300"/>
        <v/>
      </c>
      <c r="Y372" s="47" t="s">
        <v>0</v>
      </c>
      <c r="Z372" s="52" t="str">
        <f t="shared" si="322"/>
        <v/>
      </c>
      <c r="AA372" s="73" t="str">
        <f t="shared" si="301"/>
        <v/>
      </c>
      <c r="AB372" s="31" t="str">
        <f t="shared" si="323"/>
        <v/>
      </c>
      <c r="AC372" s="66" t="str">
        <f>IF(AB372="","",MAX(AC$12:AC371)+1)</f>
        <v/>
      </c>
      <c r="AD372" s="47" t="s">
        <v>0</v>
      </c>
      <c r="AE372" s="125"/>
      <c r="AF372" s="47" t="s">
        <v>0</v>
      </c>
      <c r="AG372" s="19" t="str">
        <f t="shared" si="324"/>
        <v/>
      </c>
      <c r="AH372" s="47" t="s">
        <v>0</v>
      </c>
      <c r="AI372" s="143" t="str">
        <f t="shared" si="325"/>
        <v/>
      </c>
      <c r="AJ372" s="47"/>
      <c r="AK372" s="52" t="str">
        <f t="shared" si="326"/>
        <v/>
      </c>
      <c r="AL372" s="31" t="str">
        <f t="shared" si="327"/>
        <v/>
      </c>
      <c r="AM372" s="73" t="str">
        <f t="shared" si="328"/>
        <v/>
      </c>
      <c r="AN372" s="73" t="str">
        <f t="shared" si="329"/>
        <v/>
      </c>
      <c r="AO372" s="31" t="str">
        <f t="shared" si="302"/>
        <v/>
      </c>
      <c r="AP372" s="66" t="str">
        <f t="shared" si="303"/>
        <v/>
      </c>
      <c r="AQ372" s="47" t="s">
        <v>0</v>
      </c>
      <c r="AR372" s="82" t="str">
        <f t="shared" si="330"/>
        <v/>
      </c>
      <c r="AS372" s="47" t="s">
        <v>0</v>
      </c>
      <c r="AT372" s="19" t="str">
        <f t="shared" si="331"/>
        <v/>
      </c>
      <c r="AU372" s="47" t="s">
        <v>0</v>
      </c>
      <c r="AV372" s="103"/>
      <c r="AW372" s="105"/>
      <c r="AX372" s="47" t="s">
        <v>0</v>
      </c>
      <c r="AY372" s="256" t="str">
        <f t="shared" si="349"/>
        <v/>
      </c>
      <c r="AZ372" s="47" t="s">
        <v>0</v>
      </c>
      <c r="BA372" s="52" t="str">
        <f t="shared" si="296"/>
        <v/>
      </c>
      <c r="BB372" s="73" t="str">
        <f>IF(AV372&amp;AW372="","",MAX(BB$12:BB371)+1)</f>
        <v/>
      </c>
      <c r="BC372" s="268" t="str">
        <f t="shared" si="304"/>
        <v/>
      </c>
      <c r="BD372" s="53" t="str">
        <f>IF(AND(AM372="NEMA",AN372="NEMA",OR(AV372&amp;AW372="",BC372="NEMA")),MAX(BD$12:BD371)+1,"")</f>
        <v/>
      </c>
      <c r="BE372" s="47" t="s">
        <v>0</v>
      </c>
      <c r="BF372" s="52" t="str">
        <f t="shared" si="305"/>
        <v/>
      </c>
      <c r="BG372" s="31" t="str">
        <f t="shared" si="306"/>
        <v/>
      </c>
      <c r="BH372" s="73" t="str">
        <f t="shared" si="332"/>
        <v/>
      </c>
      <c r="BI372" s="53" t="str">
        <f t="shared" si="333"/>
        <v/>
      </c>
      <c r="BJ372" s="47" t="s">
        <v>0</v>
      </c>
      <c r="BK372" s="52" t="str">
        <f t="shared" si="307"/>
        <v/>
      </c>
      <c r="BL372" s="31" t="str">
        <f t="shared" si="308"/>
        <v/>
      </c>
      <c r="BM372" s="73" t="str">
        <f t="shared" si="309"/>
        <v/>
      </c>
      <c r="BN372" s="73" t="str">
        <f t="shared" si="310"/>
        <v/>
      </c>
      <c r="BO372" s="31" t="str" cm="1">
        <f t="array" ref="BO372">IF(BN372="",""&amp;BL372,IF(BN372="NEMA",BL372,INDEX(regKlub_naziv,MATCH(INDEX(regKlub_alias_klubId,BN372),regKlub_id,0))))</f>
        <v/>
      </c>
      <c r="BP372" s="31" t="str" cm="1">
        <f t="array" ref="BP372">IFERROR(""&amp;INDEX(regNatjecatelj_klub,DY372),"")</f>
        <v/>
      </c>
      <c r="BQ372" s="88" t="str">
        <f t="shared" si="334"/>
        <v/>
      </c>
      <c r="BR372" s="66" t="str">
        <f t="shared" si="335"/>
        <v/>
      </c>
      <c r="BS372" s="47" t="s">
        <v>0</v>
      </c>
      <c r="BT372" s="82" t="str">
        <f>IF(BN372&lt;&gt;"NEMA","",IF(IFERROR(MATCH(BL372,BL$12:BL371,0),0)&lt;&gt;0,"",BL372))</f>
        <v/>
      </c>
      <c r="BU372" s="47" t="s">
        <v>0</v>
      </c>
      <c r="BV372" s="125"/>
      <c r="BW372" s="47" t="s">
        <v>0</v>
      </c>
      <c r="BX372" s="58" t="str">
        <f t="shared" si="336"/>
        <v/>
      </c>
      <c r="BY372" s="31" t="str">
        <f t="shared" si="337"/>
        <v/>
      </c>
      <c r="BZ372" s="31" t="str">
        <f>IF(BY372="","",MAX(BZ$12:BZ371)+1)</f>
        <v/>
      </c>
      <c r="CA372" s="31" t="str">
        <f>IF(BY372="","",IF(AA372="","",IF(AA372="NEMA",AC372,AA372)))</f>
        <v/>
      </c>
      <c r="CB372" s="31" t="str">
        <f t="shared" si="338"/>
        <v/>
      </c>
      <c r="CC372" s="31" t="str">
        <f>IF(BV372="","",MAX(CC$12:CC371)+1)</f>
        <v/>
      </c>
      <c r="CD372" s="31" t="str">
        <f t="shared" si="339"/>
        <v/>
      </c>
      <c r="CE372" s="66" t="str">
        <f t="shared" si="340"/>
        <v/>
      </c>
      <c r="CF372" s="47" t="s">
        <v>0</v>
      </c>
      <c r="CG372" s="73" t="str">
        <f>IF(BN372="","",IF(BN372&lt;&gt;"NEMA","",IFERROR(INDEX(nat_klubAliasId,MATCH(BL372,nat_noviKluboviAliasi,0)),"")))</f>
        <v/>
      </c>
      <c r="CH372" s="47"/>
      <c r="CI372" s="19" t="str">
        <f t="shared" si="341"/>
        <v/>
      </c>
      <c r="CJ372" s="47" t="s">
        <v>0</v>
      </c>
      <c r="CK372" s="52" t="str">
        <f>IF(X372&lt;&gt;"NEMA","",IF(IFERROR(MATCH(W372,W$12:W371,0),0)&lt;&gt;0,"",W372))</f>
        <v/>
      </c>
      <c r="CL372" s="73" t="str">
        <f>IF(CK372="","",IFERROR(INDEX(regKlub_alias_id,MATCH(CK372,regKlub_alias_alias,0)),"NEMA"))</f>
        <v/>
      </c>
      <c r="CM372" s="31" t="str">
        <f>IF(OR(CL372="",CL372&lt;&gt;"NEMA"),"",MAX(CM$12:CM371)+1)</f>
        <v/>
      </c>
      <c r="CN372" s="66" t="str">
        <f>IF(OR(CL372="",CL372&lt;&gt;"NEMA"),"",INDEX(regKlub_id,MATCH(CK372,regKlub_naziv,0)))</f>
        <v/>
      </c>
      <c r="CO372" s="47" t="s">
        <v>0</v>
      </c>
      <c r="CP372" s="19" t="str">
        <f>IF(OR(CL372="",CL372&lt;&gt;"NEMA"),"","INSERT INTO klub_alias(id,alias,klub_id) VALUES ("&amp;CM372&amp;",'"&amp;CK372&amp;"',"&amp;CN372&amp;");")</f>
        <v/>
      </c>
      <c r="CQ372" s="47" t="s">
        <v>0</v>
      </c>
      <c r="CR372" s="143" t="str">
        <f>IF(BR372="","",IF(BV372="",IF(IFERROR(MATCH(BR372,nat_noviKluboviAliasi,0),0)&gt;0,INDEX(nat_kluboviAliasi,MATCH(BR372,nat_noviKluboviAliasi,0)),BR372),BV372))</f>
        <v/>
      </c>
      <c r="CS372" s="47" t="s">
        <v>0</v>
      </c>
      <c r="CT372" s="58" t="str">
        <f>IF(G372="","",G372)</f>
        <v/>
      </c>
      <c r="CU372" s="73" t="str">
        <f>IF(H372="","",H372)</f>
        <v/>
      </c>
      <c r="CV372" s="229" t="str">
        <f>IF(CT372="",IF(OR(AL372="",CU372&lt;&gt;"0"),"","GREŠKA"),IF(AND(65535&gt;=VALUE(LEFT(CT372,SEARCH(":",CT372)-1))*60+VALUE(RIGHT(CT372,2)),OR(CU372="0",CU372="1",CU372="2",CU372="3",CU372="4")),"","GREŠKA"))</f>
        <v/>
      </c>
      <c r="CW372" s="230" t="str">
        <f t="shared" si="295"/>
        <v/>
      </c>
      <c r="CX372" s="163" t="str">
        <f t="shared" si="311"/>
        <v/>
      </c>
      <c r="CY372" s="47" t="s">
        <v>0</v>
      </c>
      <c r="CZ372" s="222" t="str">
        <f>IF(CV372&lt;&gt;"GREŠKA","",AK372&amp;" "&amp;AL372&amp;" – Molim u OEventu provjeriti i ispraviti rezultat – vrijeme ("&amp;IF(CT372="","nije upisano",CT372)&amp;") i classifier ("&amp;CU372&amp;").")&amp;IF(OR(CV372&lt;&gt;"GREŠKA",CX372&lt;&gt;5),"
","")&amp;IF(CX372&lt;&gt;5,"",AK372&amp;" "&amp;AL372&amp;" – Molim u provjeriti je li natjecatelj zaista diskvalificiran. Ako je koje je obrazloženje, ako nije molim u OEventu ispraviti rezultat")</f>
        <v xml:space="preserve">
</v>
      </c>
      <c r="DA372" s="223" t="str">
        <f t="shared" si="342"/>
        <v/>
      </c>
      <c r="DB372" s="47" t="s">
        <v>0</v>
      </c>
      <c r="DC372" s="47"/>
      <c r="DD372" s="47"/>
      <c r="DE372" s="47"/>
      <c r="DF372" s="47" t="s">
        <v>0</v>
      </c>
      <c r="DG372" s="53" t="str">
        <f>IF(BD372="","",IF(DI372="O",1,""))</f>
        <v/>
      </c>
      <c r="DH372" t="s">
        <v>0</v>
      </c>
      <c r="DI372" s="128" t="str">
        <f>IF(Q372="","",LEFT(INDEX(regKategorija_oznaka,MATCH(S372,regKategorija_id,0)),1))</f>
        <v/>
      </c>
      <c r="DJ372" t="s">
        <v>0</v>
      </c>
      <c r="DK372" s="52" t="str">
        <f>IF(BD372="","",IF(M372&lt;&gt;"CRO","","INSERT INTO osoba (id,reg_broj,oib,spol_id,dat_rodjenja) VALUES ("&amp;BD372&amp;",(SELECT max(os.reg_broj)+1 FROM osoba AS os),Null,'"&amp;DI372&amp;"',Null); INSERT INTO osoba_log (id,reg_broj,oib,spol_id,dat_rodjenja,dnevnik_id) SELECT id,reg_broj,oib,spol_id,dat_rodjenja,"&amp;data_dnevnik_id&amp;" FROM osoba WHERE id = "&amp;BD372&amp;";"))</f>
        <v/>
      </c>
      <c r="DL372" s="66" t="str">
        <f>IF(BD372="","","INSERT INTO imeprezime (id,osoba_id,rbr,ime,prezime,klub_id,identitet_id,sintaksa_id,info,aktivno,dnevnik_id) VALUES ("&amp;BD372&amp;","&amp;IF(DK372="","Null",BD372)&amp;",1,'"&amp;IF(AV372&lt;&gt;"",AV372,AK372)&amp;"','"&amp;IF(AW372&lt;&gt;"",AW372,AL372)&amp;"',(SELECT id FROM klub WHERE naziv = '"&amp;CR372&amp;"'),Null,1,'',1,"&amp;data_dnevnik_id&amp;");")</f>
        <v/>
      </c>
      <c r="DM372" t="s">
        <v>0</v>
      </c>
      <c r="DN372" s="19" t="str">
        <f t="shared" si="350"/>
        <v/>
      </c>
      <c r="DO372" s="47" t="s">
        <v>0</v>
      </c>
      <c r="DP372" s="19" t="str">
        <f>IF(BA372="","","INSERT INTO imeprezime_alias(id,alias,imeprezime_id) VALUES ("&amp;BB372&amp;",'"&amp;BA372&amp;"',"&amp;IF(BC372="NEMA",BD372,BC372)&amp;");")</f>
        <v/>
      </c>
      <c r="DQ372" s="47" t="s">
        <v>0</v>
      </c>
      <c r="DR372" s="52" t="str">
        <f>IF(AL372="","",DU372 &amp; IF(Q372="",""," – " &amp; Q372))</f>
        <v/>
      </c>
      <c r="DS372" s="53" t="str">
        <f t="shared" si="312"/>
        <v/>
      </c>
      <c r="DT372" s="47" t="s">
        <v>0</v>
      </c>
      <c r="DU372" s="52" t="str">
        <f>IF(AL372="","",DX372 &amp; IF(CR372="",""," – " &amp; CR372))</f>
        <v/>
      </c>
      <c r="DV372" s="53" t="str">
        <f t="shared" si="313"/>
        <v/>
      </c>
      <c r="DW372" s="47" t="s">
        <v>0</v>
      </c>
      <c r="DX372" s="52" t="str">
        <f>IF(BG372="","",BF372&amp;" – "&amp;BG372)</f>
        <v/>
      </c>
      <c r="DY372" s="53" t="str">
        <f t="shared" si="314"/>
        <v/>
      </c>
      <c r="DZ372" s="47" t="s">
        <v>0</v>
      </c>
      <c r="EA372" s="58" t="str">
        <f t="shared" si="343"/>
        <v/>
      </c>
      <c r="EB372" s="53" t="str" cm="1">
        <f t="array" ref="EB372">IF(EA372&lt;&gt;"",INDEX(regNatjecatelj_id,EA372,0),IF(BD372&lt;&gt;"",BD372,""))</f>
        <v/>
      </c>
      <c r="EC372" s="47" t="s">
        <v>0</v>
      </c>
      <c r="ED372" s="58" t="str">
        <f>IF(AL372="","",IF(BD372&lt;&gt;"","novo",IF(AN372="","imepre","imepre(ali)")))</f>
        <v/>
      </c>
      <c r="EE372" s="73" t="str">
        <f>IF(AL372="","",IF(BL372="",IF(IFERROR(INDEX(regNatjecatelj_klub,MATCH(EB372,regNatjecatelj_id,0)),"NEMA")="","klu",""),IF(OR(AND(BN372&lt;&gt;"",BN372&lt;&gt;"NEMA"),CD372&lt;&gt;""),"klu(ali)",IF(AND(BP372&lt;&gt;"",BP372&lt;&gt;BO372),"(raz-klu)","klu"))))</f>
        <v/>
      </c>
      <c r="EF372" s="73" t="str">
        <f>IF(AL372="","","kat"&amp;IF(AND(W372&lt;&gt;Q372,Q372&lt;&gt;"Open"),"(ali)",""))</f>
        <v/>
      </c>
      <c r="EG372" s="73" t="str">
        <f t="shared" si="315"/>
        <v/>
      </c>
      <c r="EH372" s="66" t="str">
        <f>IF(AL372="","",ED372&amp;IF(ED372="novo","","-"&amp;EE372&amp;"-"&amp;EF372)&amp;IF(EG372="","","-"&amp;EG372))</f>
        <v/>
      </c>
      <c r="EI372" s="47" t="s">
        <v>0</v>
      </c>
      <c r="EJ372" s="58" t="str">
        <f>IF(AL372="","",MAX(EJ$12:EJ371)+1)</f>
        <v/>
      </c>
      <c r="EK372" s="73" t="str">
        <f>IF(AO372="","",X372)</f>
        <v/>
      </c>
      <c r="EL372" s="73" t="str">
        <f t="shared" si="344"/>
        <v/>
      </c>
      <c r="EM372" s="73" t="str">
        <f t="shared" si="316"/>
        <v/>
      </c>
      <c r="EN372" s="73" t="str">
        <f t="shared" si="317"/>
        <v/>
      </c>
      <c r="EO372" s="73" t="str">
        <f t="shared" si="345"/>
        <v/>
      </c>
      <c r="EP372" s="73" t="str">
        <f t="shared" si="346"/>
        <v/>
      </c>
      <c r="EQ372" s="73" t="str">
        <f t="shared" si="318"/>
        <v/>
      </c>
      <c r="ER372" s="73" t="str">
        <f>IF(OR(AN372="",AN372="NEMA"),BB372,AN372)</f>
        <v/>
      </c>
      <c r="ES372" s="73" t="str">
        <f>IF(AND(BN372&lt;&gt;"",BN372&lt;&gt;"NEMA"),BN372,IF(CG372&lt;&gt;"",CG372,IF(AND(CL372&lt;&gt;"",CL372&lt;&gt;"NEMA"),CL372,IF(CM372&lt;&gt;"",CM372,""))))</f>
        <v/>
      </c>
      <c r="ET372" s="53" t="str">
        <f>IF(INDEX(natKategorija_alias_Id,MATCH(S372,natKategorija_katRegId,0))="","",INDEX(natKategorija_alias_Id,MATCH(S372,natKategorija_katRegId,0)))</f>
        <v/>
      </c>
      <c r="EU372" s="47" t="s">
        <v>0</v>
      </c>
      <c r="EV372" s="19" t="str">
        <f t="shared" si="347"/>
        <v/>
      </c>
      <c r="EW372" s="47" t="s">
        <v>0</v>
      </c>
      <c r="EX372" s="19" t="str">
        <f t="shared" si="348"/>
        <v/>
      </c>
      <c r="EY372" s="47" t="s">
        <v>0</v>
      </c>
      <c r="EZ372" s="180" t="str">
        <f>AG372&amp;IF(CP372="","","
")&amp;CP372&amp;IF(CI372="","","
")&amp;CI372&amp;IF(DN372="","","
")&amp;DN372&amp;IF(DP372="","","
")&amp;DP372&amp;IF(EV372="","","
")&amp;EV372&amp;IF(EX372="","","
")&amp;EX372</f>
        <v/>
      </c>
      <c r="FA372" s="47" t="s">
        <v>0</v>
      </c>
    </row>
    <row r="373" spans="1:157" x14ac:dyDescent="0.25">
      <c r="A373" t="s">
        <v>0</v>
      </c>
      <c r="B373" s="52" t="str">
        <f>IF(csv!F363="","",csv!T363)</f>
        <v/>
      </c>
      <c r="C373" s="31" t="s">
        <v>0</v>
      </c>
      <c r="D373" s="31" t="str">
        <f>IF(csv!F363="","",csv!F363)</f>
        <v/>
      </c>
      <c r="E373" s="31" t="str">
        <f>IF(csv!E363="","",csv!E363)</f>
        <v/>
      </c>
      <c r="F373" s="31" t="s">
        <v>0</v>
      </c>
      <c r="G373" s="73" t="str">
        <f>IF(csv!M363="","",csv!M363)</f>
        <v/>
      </c>
      <c r="H373" s="73" t="str">
        <f>IF(csv!N363="","",csv!N363)</f>
        <v/>
      </c>
      <c r="I373" s="31" t="s">
        <v>0</v>
      </c>
      <c r="J373" s="31" t="str">
        <f>IF(csv!P363="","",csv!P363)</f>
        <v/>
      </c>
      <c r="K373" s="31" t="str">
        <f>IF(csv!Q363="","",csv!Q363)</f>
        <v/>
      </c>
      <c r="L373" s="31" t="s">
        <v>0</v>
      </c>
      <c r="M373" s="66" t="str">
        <f>IF(csv!R363="","",csv!R363)</f>
        <v/>
      </c>
      <c r="N373" s="47" t="s">
        <v>0</v>
      </c>
      <c r="O373" s="243" t="str">
        <f t="shared" si="319"/>
        <v/>
      </c>
      <c r="P373" s="47"/>
      <c r="Q373" s="52" t="str">
        <f t="shared" si="320"/>
        <v/>
      </c>
      <c r="R373" s="73" t="str">
        <f>IF(Q373="","",IF(COUNTIF(Q$12:Q372,Q373)=0,R372+1,R372))</f>
        <v/>
      </c>
      <c r="S373" s="73" t="str">
        <f t="shared" si="321"/>
        <v/>
      </c>
      <c r="T373" s="73" t="str">
        <f t="shared" si="297"/>
        <v/>
      </c>
      <c r="U373" s="66" t="str">
        <f t="shared" si="298"/>
        <v/>
      </c>
      <c r="V373" s="47" t="s">
        <v>0</v>
      </c>
      <c r="W373" s="222" t="str">
        <f t="shared" si="299"/>
        <v/>
      </c>
      <c r="X373" s="223" t="str">
        <f t="shared" si="300"/>
        <v/>
      </c>
      <c r="Y373" s="47" t="s">
        <v>0</v>
      </c>
      <c r="Z373" s="52" t="str">
        <f t="shared" si="322"/>
        <v/>
      </c>
      <c r="AA373" s="73" t="str">
        <f t="shared" si="301"/>
        <v/>
      </c>
      <c r="AB373" s="31" t="str">
        <f t="shared" si="323"/>
        <v/>
      </c>
      <c r="AC373" s="66" t="str">
        <f>IF(AB373="","",MAX(AC$12:AC372)+1)</f>
        <v/>
      </c>
      <c r="AD373" s="47" t="s">
        <v>0</v>
      </c>
      <c r="AE373" s="125"/>
      <c r="AF373" s="47" t="s">
        <v>0</v>
      </c>
      <c r="AG373" s="19" t="str">
        <f t="shared" si="324"/>
        <v/>
      </c>
      <c r="AH373" s="47" t="s">
        <v>0</v>
      </c>
      <c r="AI373" s="143" t="str">
        <f t="shared" si="325"/>
        <v/>
      </c>
      <c r="AJ373" s="47"/>
      <c r="AK373" s="52" t="str">
        <f t="shared" si="326"/>
        <v/>
      </c>
      <c r="AL373" s="31" t="str">
        <f t="shared" si="327"/>
        <v/>
      </c>
      <c r="AM373" s="73" t="str">
        <f t="shared" si="328"/>
        <v/>
      </c>
      <c r="AN373" s="73" t="str">
        <f t="shared" si="329"/>
        <v/>
      </c>
      <c r="AO373" s="31" t="str">
        <f t="shared" si="302"/>
        <v/>
      </c>
      <c r="AP373" s="66" t="str">
        <f t="shared" si="303"/>
        <v/>
      </c>
      <c r="AQ373" s="47" t="s">
        <v>0</v>
      </c>
      <c r="AR373" s="82" t="str">
        <f t="shared" si="330"/>
        <v/>
      </c>
      <c r="AS373" s="47" t="s">
        <v>0</v>
      </c>
      <c r="AT373" s="19" t="str">
        <f t="shared" si="331"/>
        <v/>
      </c>
      <c r="AU373" s="47" t="s">
        <v>0</v>
      </c>
      <c r="AV373" s="103"/>
      <c r="AW373" s="105"/>
      <c r="AX373" s="47" t="s">
        <v>0</v>
      </c>
      <c r="AY373" s="256" t="str">
        <f t="shared" si="349"/>
        <v/>
      </c>
      <c r="AZ373" s="47" t="s">
        <v>0</v>
      </c>
      <c r="BA373" s="52" t="str">
        <f t="shared" si="296"/>
        <v/>
      </c>
      <c r="BB373" s="73" t="str">
        <f>IF(AV373&amp;AW373="","",MAX(BB$12:BB372)+1)</f>
        <v/>
      </c>
      <c r="BC373" s="268" t="str">
        <f t="shared" si="304"/>
        <v/>
      </c>
      <c r="BD373" s="53" t="str">
        <f>IF(AND(AM373="NEMA",AN373="NEMA",OR(AV373&amp;AW373="",BC373="NEMA")),MAX(BD$12:BD372)+1,"")</f>
        <v/>
      </c>
      <c r="BE373" s="47" t="s">
        <v>0</v>
      </c>
      <c r="BF373" s="52" t="str">
        <f t="shared" si="305"/>
        <v/>
      </c>
      <c r="BG373" s="31" t="str">
        <f t="shared" si="306"/>
        <v/>
      </c>
      <c r="BH373" s="73" t="str">
        <f t="shared" si="332"/>
        <v/>
      </c>
      <c r="BI373" s="53" t="str">
        <f t="shared" si="333"/>
        <v/>
      </c>
      <c r="BJ373" s="47" t="s">
        <v>0</v>
      </c>
      <c r="BK373" s="52" t="str">
        <f t="shared" si="307"/>
        <v/>
      </c>
      <c r="BL373" s="31" t="str">
        <f t="shared" si="308"/>
        <v/>
      </c>
      <c r="BM373" s="73" t="str">
        <f t="shared" si="309"/>
        <v/>
      </c>
      <c r="BN373" s="73" t="str">
        <f t="shared" si="310"/>
        <v/>
      </c>
      <c r="BO373" s="31" t="str" cm="1">
        <f t="array" ref="BO373">IF(BN373="",""&amp;BL373,IF(BN373="NEMA",BL373,INDEX(regKlub_naziv,MATCH(INDEX(regKlub_alias_klubId,BN373),regKlub_id,0))))</f>
        <v/>
      </c>
      <c r="BP373" s="31" t="str" cm="1">
        <f t="array" ref="BP373">IFERROR(""&amp;INDEX(regNatjecatelj_klub,DY373),"")</f>
        <v/>
      </c>
      <c r="BQ373" s="88" t="str">
        <f t="shared" si="334"/>
        <v/>
      </c>
      <c r="BR373" s="66" t="str">
        <f t="shared" si="335"/>
        <v/>
      </c>
      <c r="BS373" s="47" t="s">
        <v>0</v>
      </c>
      <c r="BT373" s="82" t="str">
        <f>IF(BN373&lt;&gt;"NEMA","",IF(IFERROR(MATCH(BL373,BL$12:BL372,0),0)&lt;&gt;0,"",BL373))</f>
        <v/>
      </c>
      <c r="BU373" s="47" t="s">
        <v>0</v>
      </c>
      <c r="BV373" s="125"/>
      <c r="BW373" s="47" t="s">
        <v>0</v>
      </c>
      <c r="BX373" s="58" t="str">
        <f t="shared" si="336"/>
        <v/>
      </c>
      <c r="BY373" s="31" t="str">
        <f t="shared" si="337"/>
        <v/>
      </c>
      <c r="BZ373" s="31" t="str">
        <f>IF(BY373="","",MAX(BZ$12:BZ372)+1)</f>
        <v/>
      </c>
      <c r="CA373" s="31" t="str">
        <f>IF(BY373="","",IF(AA373="","",IF(AA373="NEMA",AC373,AA373)))</f>
        <v/>
      </c>
      <c r="CB373" s="31" t="str">
        <f t="shared" si="338"/>
        <v/>
      </c>
      <c r="CC373" s="31" t="str">
        <f>IF(BV373="","",MAX(CC$12:CC372)+1)</f>
        <v/>
      </c>
      <c r="CD373" s="31" t="str">
        <f t="shared" si="339"/>
        <v/>
      </c>
      <c r="CE373" s="66" t="str">
        <f t="shared" si="340"/>
        <v/>
      </c>
      <c r="CF373" s="47" t="s">
        <v>0</v>
      </c>
      <c r="CG373" s="73" t="str">
        <f>IF(BN373="","",IF(BN373&lt;&gt;"NEMA","",IFERROR(INDEX(nat_klubAliasId,MATCH(BL373,nat_noviKluboviAliasi,0)),"")))</f>
        <v/>
      </c>
      <c r="CH373" s="47"/>
      <c r="CI373" s="19" t="str">
        <f t="shared" si="341"/>
        <v/>
      </c>
      <c r="CJ373" s="47" t="s">
        <v>0</v>
      </c>
      <c r="CK373" s="52" t="str">
        <f>IF(X373&lt;&gt;"NEMA","",IF(IFERROR(MATCH(W373,W$12:W372,0),0)&lt;&gt;0,"",W373))</f>
        <v/>
      </c>
      <c r="CL373" s="73" t="str">
        <f>IF(CK373="","",IFERROR(INDEX(regKlub_alias_id,MATCH(CK373,regKlub_alias_alias,0)),"NEMA"))</f>
        <v/>
      </c>
      <c r="CM373" s="31" t="str">
        <f>IF(OR(CL373="",CL373&lt;&gt;"NEMA"),"",MAX(CM$12:CM372)+1)</f>
        <v/>
      </c>
      <c r="CN373" s="66" t="str">
        <f>IF(OR(CL373="",CL373&lt;&gt;"NEMA"),"",INDEX(regKlub_id,MATCH(CK373,regKlub_naziv,0)))</f>
        <v/>
      </c>
      <c r="CO373" s="47" t="s">
        <v>0</v>
      </c>
      <c r="CP373" s="19" t="str">
        <f>IF(OR(CL373="",CL373&lt;&gt;"NEMA"),"","INSERT INTO klub_alias(id,alias,klub_id) VALUES ("&amp;CM373&amp;",'"&amp;CK373&amp;"',"&amp;CN373&amp;");")</f>
        <v/>
      </c>
      <c r="CQ373" s="47" t="s">
        <v>0</v>
      </c>
      <c r="CR373" s="143" t="str">
        <f>IF(BR373="","",IF(BV373="",IF(IFERROR(MATCH(BR373,nat_noviKluboviAliasi,0),0)&gt;0,INDEX(nat_kluboviAliasi,MATCH(BR373,nat_noviKluboviAliasi,0)),BR373),BV373))</f>
        <v/>
      </c>
      <c r="CS373" s="47" t="s">
        <v>0</v>
      </c>
      <c r="CT373" s="58" t="str">
        <f>IF(G373="","",G373)</f>
        <v/>
      </c>
      <c r="CU373" s="73" t="str">
        <f>IF(H373="","",H373)</f>
        <v/>
      </c>
      <c r="CV373" s="229" t="str">
        <f>IF(CT373="",IF(OR(AL373="",CU373&lt;&gt;"0"),"","GREŠKA"),IF(AND(65535&gt;=VALUE(LEFT(CT373,SEARCH(":",CT373)-1))*60+VALUE(RIGHT(CT373,2)),OR(CU373="0",CU373="1",CU373="2",CU373="3",CU373="4")),"","GREŠKA"))</f>
        <v/>
      </c>
      <c r="CW373" s="230" t="str">
        <f t="shared" si="295"/>
        <v/>
      </c>
      <c r="CX373" s="163" t="str">
        <f t="shared" si="311"/>
        <v/>
      </c>
      <c r="CY373" s="47" t="s">
        <v>0</v>
      </c>
      <c r="CZ373" s="222" t="str">
        <f>IF(CV373&lt;&gt;"GREŠKA","",AK373&amp;" "&amp;AL373&amp;" – Molim u OEventu provjeriti i ispraviti rezultat – vrijeme ("&amp;IF(CT373="","nije upisano",CT373)&amp;") i classifier ("&amp;CU373&amp;").")&amp;IF(OR(CV373&lt;&gt;"GREŠKA",CX373&lt;&gt;5),"
","")&amp;IF(CX373&lt;&gt;5,"",AK373&amp;" "&amp;AL373&amp;" – Molim u provjeriti je li natjecatelj zaista diskvalificiran. Ako je koje je obrazloženje, ako nije molim u OEventu ispraviti rezultat")</f>
        <v xml:space="preserve">
</v>
      </c>
      <c r="DA373" s="223" t="str">
        <f t="shared" si="342"/>
        <v/>
      </c>
      <c r="DB373" s="47" t="s">
        <v>0</v>
      </c>
      <c r="DC373" s="47"/>
      <c r="DD373" s="47"/>
      <c r="DE373" s="47"/>
      <c r="DF373" s="47" t="s">
        <v>0</v>
      </c>
      <c r="DG373" s="53" t="str">
        <f>IF(BD373="","",IF(DI373="O",1,""))</f>
        <v/>
      </c>
      <c r="DH373" t="s">
        <v>0</v>
      </c>
      <c r="DI373" s="128" t="str">
        <f>IF(Q373="","",LEFT(INDEX(regKategorija_oznaka,MATCH(S373,regKategorija_id,0)),1))</f>
        <v/>
      </c>
      <c r="DJ373" t="s">
        <v>0</v>
      </c>
      <c r="DK373" s="52" t="str">
        <f>IF(BD373="","",IF(M373&lt;&gt;"CRO","","INSERT INTO osoba (id,reg_broj,oib,spol_id,dat_rodjenja) VALUES ("&amp;BD373&amp;",(SELECT max(os.reg_broj)+1 FROM osoba AS os),Null,'"&amp;DI373&amp;"',Null); INSERT INTO osoba_log (id,reg_broj,oib,spol_id,dat_rodjenja,dnevnik_id) SELECT id,reg_broj,oib,spol_id,dat_rodjenja,"&amp;data_dnevnik_id&amp;" FROM osoba WHERE id = "&amp;BD373&amp;";"))</f>
        <v/>
      </c>
      <c r="DL373" s="66" t="str">
        <f>IF(BD373="","","INSERT INTO imeprezime (id,osoba_id,rbr,ime,prezime,klub_id,identitet_id,sintaksa_id,info,aktivno,dnevnik_id) VALUES ("&amp;BD373&amp;","&amp;IF(DK373="","Null",BD373)&amp;",1,'"&amp;IF(AV373&lt;&gt;"",AV373,AK373)&amp;"','"&amp;IF(AW373&lt;&gt;"",AW373,AL373)&amp;"',(SELECT id FROM klub WHERE naziv = '"&amp;CR373&amp;"'),Null,1,'',1,"&amp;data_dnevnik_id&amp;");")</f>
        <v/>
      </c>
      <c r="DM373" t="s">
        <v>0</v>
      </c>
      <c r="DN373" s="19" t="str">
        <f t="shared" si="350"/>
        <v/>
      </c>
      <c r="DO373" s="47" t="s">
        <v>0</v>
      </c>
      <c r="DP373" s="19" t="str">
        <f>IF(BA373="","","INSERT INTO imeprezime_alias(id,alias,imeprezime_id) VALUES ("&amp;BB373&amp;",'"&amp;BA373&amp;"',"&amp;IF(BC373="NEMA",BD373,BC373)&amp;");")</f>
        <v/>
      </c>
      <c r="DQ373" s="47" t="s">
        <v>0</v>
      </c>
      <c r="DR373" s="52" t="str">
        <f>IF(AL373="","",DU373 &amp; IF(Q373="",""," – " &amp; Q373))</f>
        <v/>
      </c>
      <c r="DS373" s="53" t="str">
        <f t="shared" si="312"/>
        <v/>
      </c>
      <c r="DT373" s="47" t="s">
        <v>0</v>
      </c>
      <c r="DU373" s="52" t="str">
        <f>IF(AL373="","",DX373 &amp; IF(CR373="",""," – " &amp; CR373))</f>
        <v/>
      </c>
      <c r="DV373" s="53" t="str">
        <f t="shared" si="313"/>
        <v/>
      </c>
      <c r="DW373" s="47" t="s">
        <v>0</v>
      </c>
      <c r="DX373" s="52" t="str">
        <f>IF(BG373="","",BF373&amp;" – "&amp;BG373)</f>
        <v/>
      </c>
      <c r="DY373" s="53" t="str">
        <f t="shared" si="314"/>
        <v/>
      </c>
      <c r="DZ373" s="47" t="s">
        <v>0</v>
      </c>
      <c r="EA373" s="58" t="str">
        <f t="shared" si="343"/>
        <v/>
      </c>
      <c r="EB373" s="53" t="str" cm="1">
        <f t="array" ref="EB373">IF(EA373&lt;&gt;"",INDEX(regNatjecatelj_id,EA373,0),IF(BD373&lt;&gt;"",BD373,""))</f>
        <v/>
      </c>
      <c r="EC373" s="47" t="s">
        <v>0</v>
      </c>
      <c r="ED373" s="58" t="str">
        <f>IF(AL373="","",IF(BD373&lt;&gt;"","novo",IF(AN373="","imepre","imepre(ali)")))</f>
        <v/>
      </c>
      <c r="EE373" s="73" t="str">
        <f>IF(AL373="","",IF(BL373="",IF(IFERROR(INDEX(regNatjecatelj_klub,MATCH(EB373,regNatjecatelj_id,0)),"NEMA")="","klu",""),IF(OR(AND(BN373&lt;&gt;"",BN373&lt;&gt;"NEMA"),CD373&lt;&gt;""),"klu(ali)",IF(AND(BP373&lt;&gt;"",BP373&lt;&gt;BO373),"(raz-klu)","klu"))))</f>
        <v/>
      </c>
      <c r="EF373" s="73" t="str">
        <f>IF(AL373="","","kat"&amp;IF(AND(W373&lt;&gt;Q373,Q373&lt;&gt;"Open"),"(ali)",""))</f>
        <v/>
      </c>
      <c r="EG373" s="73" t="str">
        <f t="shared" si="315"/>
        <v/>
      </c>
      <c r="EH373" s="66" t="str">
        <f>IF(AL373="","",ED373&amp;IF(ED373="novo","","-"&amp;EE373&amp;"-"&amp;EF373)&amp;IF(EG373="","","-"&amp;EG373))</f>
        <v/>
      </c>
      <c r="EI373" s="47" t="s">
        <v>0</v>
      </c>
      <c r="EJ373" s="58" t="str">
        <f>IF(AL373="","",MAX(EJ$12:EJ372)+1)</f>
        <v/>
      </c>
      <c r="EK373" s="73" t="str">
        <f>IF(AO373="","",X373)</f>
        <v/>
      </c>
      <c r="EL373" s="73" t="str">
        <f t="shared" si="344"/>
        <v/>
      </c>
      <c r="EM373" s="73" t="str">
        <f t="shared" si="316"/>
        <v/>
      </c>
      <c r="EN373" s="73" t="str">
        <f t="shared" si="317"/>
        <v/>
      </c>
      <c r="EO373" s="73" t="str">
        <f t="shared" si="345"/>
        <v/>
      </c>
      <c r="EP373" s="73" t="str">
        <f t="shared" si="346"/>
        <v/>
      </c>
      <c r="EQ373" s="73" t="str">
        <f t="shared" si="318"/>
        <v/>
      </c>
      <c r="ER373" s="73" t="str">
        <f>IF(OR(AN373="",AN373="NEMA"),BB373,AN373)</f>
        <v/>
      </c>
      <c r="ES373" s="73" t="str">
        <f>IF(AND(BN373&lt;&gt;"",BN373&lt;&gt;"NEMA"),BN373,IF(CG373&lt;&gt;"",CG373,IF(AND(CL373&lt;&gt;"",CL373&lt;&gt;"NEMA"),CL373,IF(CM373&lt;&gt;"",CM373,""))))</f>
        <v/>
      </c>
      <c r="ET373" s="53" t="str">
        <f>IF(INDEX(natKategorija_alias_Id,MATCH(S373,natKategorija_katRegId,0))="","",INDEX(natKategorija_alias_Id,MATCH(S373,natKategorija_katRegId,0)))</f>
        <v/>
      </c>
      <c r="EU373" s="47" t="s">
        <v>0</v>
      </c>
      <c r="EV373" s="19" t="str">
        <f t="shared" si="347"/>
        <v/>
      </c>
      <c r="EW373" s="47" t="s">
        <v>0</v>
      </c>
      <c r="EX373" s="19" t="str">
        <f t="shared" si="348"/>
        <v/>
      </c>
      <c r="EY373" s="47" t="s">
        <v>0</v>
      </c>
      <c r="EZ373" s="180" t="str">
        <f>AG373&amp;IF(CP373="","","
")&amp;CP373&amp;IF(CI373="","","
")&amp;CI373&amp;IF(DN373="","","
")&amp;DN373&amp;IF(DP373="","","
")&amp;DP373&amp;IF(EV373="","","
")&amp;EV373&amp;IF(EX373="","","
")&amp;EX373</f>
        <v/>
      </c>
      <c r="FA373" s="47" t="s">
        <v>0</v>
      </c>
    </row>
    <row r="374" spans="1:157" x14ac:dyDescent="0.25">
      <c r="A374" t="s">
        <v>0</v>
      </c>
      <c r="B374" s="52" t="str">
        <f>IF(csv!F364="","",csv!T364)</f>
        <v/>
      </c>
      <c r="C374" s="31" t="s">
        <v>0</v>
      </c>
      <c r="D374" s="31" t="str">
        <f>IF(csv!F364="","",csv!F364)</f>
        <v/>
      </c>
      <c r="E374" s="31" t="str">
        <f>IF(csv!E364="","",csv!E364)</f>
        <v/>
      </c>
      <c r="F374" s="31" t="s">
        <v>0</v>
      </c>
      <c r="G374" s="73" t="str">
        <f>IF(csv!M364="","",csv!M364)</f>
        <v/>
      </c>
      <c r="H374" s="73" t="str">
        <f>IF(csv!N364="","",csv!N364)</f>
        <v/>
      </c>
      <c r="I374" s="31" t="s">
        <v>0</v>
      </c>
      <c r="J374" s="31" t="str">
        <f>IF(csv!P364="","",csv!P364)</f>
        <v/>
      </c>
      <c r="K374" s="31" t="str">
        <f>IF(csv!Q364="","",csv!Q364)</f>
        <v/>
      </c>
      <c r="L374" s="31" t="s">
        <v>0</v>
      </c>
      <c r="M374" s="66" t="str">
        <f>IF(csv!R364="","",csv!R364)</f>
        <v/>
      </c>
      <c r="N374" s="47" t="s">
        <v>0</v>
      </c>
      <c r="O374" s="243" t="str">
        <f t="shared" si="319"/>
        <v/>
      </c>
      <c r="P374" s="47"/>
      <c r="Q374" s="52" t="str">
        <f t="shared" si="320"/>
        <v/>
      </c>
      <c r="R374" s="73" t="str">
        <f>IF(Q374="","",IF(COUNTIF(Q$12:Q373,Q374)=0,R373+1,R373))</f>
        <v/>
      </c>
      <c r="S374" s="73" t="str">
        <f t="shared" si="321"/>
        <v/>
      </c>
      <c r="T374" s="73" t="str">
        <f t="shared" si="297"/>
        <v/>
      </c>
      <c r="U374" s="66" t="str">
        <f t="shared" si="298"/>
        <v/>
      </c>
      <c r="V374" s="47" t="s">
        <v>0</v>
      </c>
      <c r="W374" s="222" t="str">
        <f t="shared" si="299"/>
        <v/>
      </c>
      <c r="X374" s="223" t="str">
        <f t="shared" si="300"/>
        <v/>
      </c>
      <c r="Y374" s="47" t="s">
        <v>0</v>
      </c>
      <c r="Z374" s="52" t="str">
        <f t="shared" si="322"/>
        <v/>
      </c>
      <c r="AA374" s="73" t="str">
        <f t="shared" si="301"/>
        <v/>
      </c>
      <c r="AB374" s="31" t="str">
        <f t="shared" si="323"/>
        <v/>
      </c>
      <c r="AC374" s="66" t="str">
        <f>IF(AB374="","",MAX(AC$12:AC373)+1)</f>
        <v/>
      </c>
      <c r="AD374" s="47" t="s">
        <v>0</v>
      </c>
      <c r="AE374" s="125"/>
      <c r="AF374" s="47" t="s">
        <v>0</v>
      </c>
      <c r="AG374" s="19" t="str">
        <f t="shared" si="324"/>
        <v/>
      </c>
      <c r="AH374" s="47" t="s">
        <v>0</v>
      </c>
      <c r="AI374" s="143" t="str">
        <f t="shared" si="325"/>
        <v/>
      </c>
      <c r="AJ374" s="47"/>
      <c r="AK374" s="52" t="str">
        <f t="shared" si="326"/>
        <v/>
      </c>
      <c r="AL374" s="31" t="str">
        <f t="shared" si="327"/>
        <v/>
      </c>
      <c r="AM374" s="73" t="str">
        <f t="shared" si="328"/>
        <v/>
      </c>
      <c r="AN374" s="73" t="str">
        <f t="shared" si="329"/>
        <v/>
      </c>
      <c r="AO374" s="31" t="str">
        <f t="shared" si="302"/>
        <v/>
      </c>
      <c r="AP374" s="66" t="str">
        <f t="shared" si="303"/>
        <v/>
      </c>
      <c r="AQ374" s="47" t="s">
        <v>0</v>
      </c>
      <c r="AR374" s="82" t="str">
        <f t="shared" si="330"/>
        <v/>
      </c>
      <c r="AS374" s="47" t="s">
        <v>0</v>
      </c>
      <c r="AT374" s="19" t="str">
        <f t="shared" si="331"/>
        <v/>
      </c>
      <c r="AU374" s="47" t="s">
        <v>0</v>
      </c>
      <c r="AV374" s="103"/>
      <c r="AW374" s="105"/>
      <c r="AX374" s="47" t="s">
        <v>0</v>
      </c>
      <c r="AY374" s="256" t="str">
        <f t="shared" si="349"/>
        <v/>
      </c>
      <c r="AZ374" s="47" t="s">
        <v>0</v>
      </c>
      <c r="BA374" s="52" t="str">
        <f t="shared" si="296"/>
        <v/>
      </c>
      <c r="BB374" s="73" t="str">
        <f>IF(AV374&amp;AW374="","",MAX(BB$12:BB373)+1)</f>
        <v/>
      </c>
      <c r="BC374" s="268" t="str">
        <f t="shared" si="304"/>
        <v/>
      </c>
      <c r="BD374" s="53" t="str">
        <f>IF(AND(AM374="NEMA",AN374="NEMA",OR(AV374&amp;AW374="",BC374="NEMA")),MAX(BD$12:BD373)+1,"")</f>
        <v/>
      </c>
      <c r="BE374" s="47" t="s">
        <v>0</v>
      </c>
      <c r="BF374" s="52" t="str">
        <f t="shared" si="305"/>
        <v/>
      </c>
      <c r="BG374" s="31" t="str">
        <f t="shared" si="306"/>
        <v/>
      </c>
      <c r="BH374" s="73" t="str">
        <f t="shared" si="332"/>
        <v/>
      </c>
      <c r="BI374" s="53" t="str">
        <f t="shared" si="333"/>
        <v/>
      </c>
      <c r="BJ374" s="47" t="s">
        <v>0</v>
      </c>
      <c r="BK374" s="52" t="str">
        <f t="shared" si="307"/>
        <v/>
      </c>
      <c r="BL374" s="31" t="str">
        <f t="shared" si="308"/>
        <v/>
      </c>
      <c r="BM374" s="73" t="str">
        <f t="shared" si="309"/>
        <v/>
      </c>
      <c r="BN374" s="73" t="str">
        <f t="shared" si="310"/>
        <v/>
      </c>
      <c r="BO374" s="31" t="str" cm="1">
        <f t="array" ref="BO374">IF(BN374="",""&amp;BL374,IF(BN374="NEMA",BL374,INDEX(regKlub_naziv,MATCH(INDEX(regKlub_alias_klubId,BN374),regKlub_id,0))))</f>
        <v/>
      </c>
      <c r="BP374" s="31" t="str" cm="1">
        <f t="array" ref="BP374">IFERROR(""&amp;INDEX(regNatjecatelj_klub,DY374),"")</f>
        <v/>
      </c>
      <c r="BQ374" s="88" t="str">
        <f t="shared" si="334"/>
        <v/>
      </c>
      <c r="BR374" s="66" t="str">
        <f t="shared" si="335"/>
        <v/>
      </c>
      <c r="BS374" s="47" t="s">
        <v>0</v>
      </c>
      <c r="BT374" s="82" t="str">
        <f>IF(BN374&lt;&gt;"NEMA","",IF(IFERROR(MATCH(BL374,BL$12:BL373,0),0)&lt;&gt;0,"",BL374))</f>
        <v/>
      </c>
      <c r="BU374" s="47" t="s">
        <v>0</v>
      </c>
      <c r="BV374" s="125"/>
      <c r="BW374" s="47" t="s">
        <v>0</v>
      </c>
      <c r="BX374" s="58" t="str">
        <f t="shared" si="336"/>
        <v/>
      </c>
      <c r="BY374" s="31" t="str">
        <f t="shared" si="337"/>
        <v/>
      </c>
      <c r="BZ374" s="31" t="str">
        <f>IF(BY374="","",MAX(BZ$12:BZ373)+1)</f>
        <v/>
      </c>
      <c r="CA374" s="31" t="str">
        <f>IF(BY374="","",IF(AA374="","",IF(AA374="NEMA",AC374,AA374)))</f>
        <v/>
      </c>
      <c r="CB374" s="31" t="str">
        <f t="shared" si="338"/>
        <v/>
      </c>
      <c r="CC374" s="31" t="str">
        <f>IF(BV374="","",MAX(CC$12:CC373)+1)</f>
        <v/>
      </c>
      <c r="CD374" s="31" t="str">
        <f t="shared" si="339"/>
        <v/>
      </c>
      <c r="CE374" s="66" t="str">
        <f t="shared" si="340"/>
        <v/>
      </c>
      <c r="CF374" s="47" t="s">
        <v>0</v>
      </c>
      <c r="CG374" s="73" t="str">
        <f>IF(BN374="","",IF(BN374&lt;&gt;"NEMA","",IFERROR(INDEX(nat_klubAliasId,MATCH(BL374,nat_noviKluboviAliasi,0)),"")))</f>
        <v/>
      </c>
      <c r="CH374" s="47"/>
      <c r="CI374" s="19" t="str">
        <f t="shared" si="341"/>
        <v/>
      </c>
      <c r="CJ374" s="47" t="s">
        <v>0</v>
      </c>
      <c r="CK374" s="52" t="str">
        <f>IF(X374&lt;&gt;"NEMA","",IF(IFERROR(MATCH(W374,W$12:W373,0),0)&lt;&gt;0,"",W374))</f>
        <v/>
      </c>
      <c r="CL374" s="73" t="str">
        <f>IF(CK374="","",IFERROR(INDEX(regKlub_alias_id,MATCH(CK374,regKlub_alias_alias,0)),"NEMA"))</f>
        <v/>
      </c>
      <c r="CM374" s="31" t="str">
        <f>IF(OR(CL374="",CL374&lt;&gt;"NEMA"),"",MAX(CM$12:CM373)+1)</f>
        <v/>
      </c>
      <c r="CN374" s="66" t="str">
        <f>IF(OR(CL374="",CL374&lt;&gt;"NEMA"),"",INDEX(regKlub_id,MATCH(CK374,regKlub_naziv,0)))</f>
        <v/>
      </c>
      <c r="CO374" s="47" t="s">
        <v>0</v>
      </c>
      <c r="CP374" s="19" t="str">
        <f>IF(OR(CL374="",CL374&lt;&gt;"NEMA"),"","INSERT INTO klub_alias(id,alias,klub_id) VALUES ("&amp;CM374&amp;",'"&amp;CK374&amp;"',"&amp;CN374&amp;");")</f>
        <v/>
      </c>
      <c r="CQ374" s="47" t="s">
        <v>0</v>
      </c>
      <c r="CR374" s="143" t="str">
        <f>IF(BR374="","",IF(BV374="",IF(IFERROR(MATCH(BR374,nat_noviKluboviAliasi,0),0)&gt;0,INDEX(nat_kluboviAliasi,MATCH(BR374,nat_noviKluboviAliasi,0)),BR374),BV374))</f>
        <v/>
      </c>
      <c r="CS374" s="47" t="s">
        <v>0</v>
      </c>
      <c r="CT374" s="58" t="str">
        <f>IF(G374="","",G374)</f>
        <v/>
      </c>
      <c r="CU374" s="73" t="str">
        <f>IF(H374="","",H374)</f>
        <v/>
      </c>
      <c r="CV374" s="229" t="str">
        <f>IF(CT374="",IF(OR(AL374="",CU374&lt;&gt;"0"),"","GREŠKA"),IF(AND(65535&gt;=VALUE(LEFT(CT374,SEARCH(":",CT374)-1))*60+VALUE(RIGHT(CT374,2)),OR(CU374="0",CU374="1",CU374="2",CU374="3",CU374="4")),"","GREŠKA"))</f>
        <v/>
      </c>
      <c r="CW374" s="230" t="str">
        <f t="shared" si="295"/>
        <v/>
      </c>
      <c r="CX374" s="163" t="str">
        <f t="shared" si="311"/>
        <v/>
      </c>
      <c r="CY374" s="47" t="s">
        <v>0</v>
      </c>
      <c r="CZ374" s="222" t="str">
        <f>IF(CV374&lt;&gt;"GREŠKA","",AK374&amp;" "&amp;AL374&amp;" – Molim u OEventu provjeriti i ispraviti rezultat – vrijeme ("&amp;IF(CT374="","nije upisano",CT374)&amp;") i classifier ("&amp;CU374&amp;").")&amp;IF(OR(CV374&lt;&gt;"GREŠKA",CX374&lt;&gt;5),"
","")&amp;IF(CX374&lt;&gt;5,"",AK374&amp;" "&amp;AL374&amp;" – Molim u provjeriti je li natjecatelj zaista diskvalificiran. Ako je koje je obrazloženje, ako nije molim u OEventu ispraviti rezultat")</f>
        <v xml:space="preserve">
</v>
      </c>
      <c r="DA374" s="223" t="str">
        <f t="shared" si="342"/>
        <v/>
      </c>
      <c r="DB374" s="47" t="s">
        <v>0</v>
      </c>
      <c r="DC374" s="47"/>
      <c r="DD374" s="47"/>
      <c r="DE374" s="47"/>
      <c r="DF374" s="47" t="s">
        <v>0</v>
      </c>
      <c r="DG374" s="53" t="str">
        <f>IF(BD374="","",IF(DI374="O",1,""))</f>
        <v/>
      </c>
      <c r="DH374" t="s">
        <v>0</v>
      </c>
      <c r="DI374" s="128" t="str">
        <f>IF(Q374="","",LEFT(INDEX(regKategorija_oznaka,MATCH(S374,regKategorija_id,0)),1))</f>
        <v/>
      </c>
      <c r="DJ374" t="s">
        <v>0</v>
      </c>
      <c r="DK374" s="52" t="str">
        <f>IF(BD374="","",IF(M374&lt;&gt;"CRO","","INSERT INTO osoba (id,reg_broj,oib,spol_id,dat_rodjenja) VALUES ("&amp;BD374&amp;",(SELECT max(os.reg_broj)+1 FROM osoba AS os),Null,'"&amp;DI374&amp;"',Null); INSERT INTO osoba_log (id,reg_broj,oib,spol_id,dat_rodjenja,dnevnik_id) SELECT id,reg_broj,oib,spol_id,dat_rodjenja,"&amp;data_dnevnik_id&amp;" FROM osoba WHERE id = "&amp;BD374&amp;";"))</f>
        <v/>
      </c>
      <c r="DL374" s="66" t="str">
        <f>IF(BD374="","","INSERT INTO imeprezime (id,osoba_id,rbr,ime,prezime,klub_id,identitet_id,sintaksa_id,info,aktivno,dnevnik_id) VALUES ("&amp;BD374&amp;","&amp;IF(DK374="","Null",BD374)&amp;",1,'"&amp;IF(AV374&lt;&gt;"",AV374,AK374)&amp;"','"&amp;IF(AW374&lt;&gt;"",AW374,AL374)&amp;"',(SELECT id FROM klub WHERE naziv = '"&amp;CR374&amp;"'),Null,1,'',1,"&amp;data_dnevnik_id&amp;");")</f>
        <v/>
      </c>
      <c r="DM374" t="s">
        <v>0</v>
      </c>
      <c r="DN374" s="19" t="str">
        <f t="shared" si="350"/>
        <v/>
      </c>
      <c r="DO374" s="47" t="s">
        <v>0</v>
      </c>
      <c r="DP374" s="19" t="str">
        <f>IF(BA374="","","INSERT INTO imeprezime_alias(id,alias,imeprezime_id) VALUES ("&amp;BB374&amp;",'"&amp;BA374&amp;"',"&amp;IF(BC374="NEMA",BD374,BC374)&amp;");")</f>
        <v/>
      </c>
      <c r="DQ374" s="47" t="s">
        <v>0</v>
      </c>
      <c r="DR374" s="52" t="str">
        <f>IF(AL374="","",DU374 &amp; IF(Q374="",""," – " &amp; Q374))</f>
        <v/>
      </c>
      <c r="DS374" s="53" t="str">
        <f t="shared" si="312"/>
        <v/>
      </c>
      <c r="DT374" s="47" t="s">
        <v>0</v>
      </c>
      <c r="DU374" s="52" t="str">
        <f>IF(AL374="","",DX374 &amp; IF(CR374="",""," – " &amp; CR374))</f>
        <v/>
      </c>
      <c r="DV374" s="53" t="str">
        <f t="shared" si="313"/>
        <v/>
      </c>
      <c r="DW374" s="47" t="s">
        <v>0</v>
      </c>
      <c r="DX374" s="52" t="str">
        <f>IF(BG374="","",BF374&amp;" – "&amp;BG374)</f>
        <v/>
      </c>
      <c r="DY374" s="53" t="str">
        <f t="shared" si="314"/>
        <v/>
      </c>
      <c r="DZ374" s="47" t="s">
        <v>0</v>
      </c>
      <c r="EA374" s="58" t="str">
        <f t="shared" si="343"/>
        <v/>
      </c>
      <c r="EB374" s="53" t="str" cm="1">
        <f t="array" ref="EB374">IF(EA374&lt;&gt;"",INDEX(regNatjecatelj_id,EA374,0),IF(BD374&lt;&gt;"",BD374,""))</f>
        <v/>
      </c>
      <c r="EC374" s="47" t="s">
        <v>0</v>
      </c>
      <c r="ED374" s="58" t="str">
        <f>IF(AL374="","",IF(BD374&lt;&gt;"","novo",IF(AN374="","imepre","imepre(ali)")))</f>
        <v/>
      </c>
      <c r="EE374" s="73" t="str">
        <f>IF(AL374="","",IF(BL374="",IF(IFERROR(INDEX(regNatjecatelj_klub,MATCH(EB374,regNatjecatelj_id,0)),"NEMA")="","klu",""),IF(OR(AND(BN374&lt;&gt;"",BN374&lt;&gt;"NEMA"),CD374&lt;&gt;""),"klu(ali)",IF(AND(BP374&lt;&gt;"",BP374&lt;&gt;BO374),"(raz-klu)","klu"))))</f>
        <v/>
      </c>
      <c r="EF374" s="73" t="str">
        <f>IF(AL374="","","kat"&amp;IF(AND(W374&lt;&gt;Q374,Q374&lt;&gt;"Open"),"(ali)",""))</f>
        <v/>
      </c>
      <c r="EG374" s="73" t="str">
        <f t="shared" si="315"/>
        <v/>
      </c>
      <c r="EH374" s="66" t="str">
        <f>IF(AL374="","",ED374&amp;IF(ED374="novo","","-"&amp;EE374&amp;"-"&amp;EF374)&amp;IF(EG374="","","-"&amp;EG374))</f>
        <v/>
      </c>
      <c r="EI374" s="47" t="s">
        <v>0</v>
      </c>
      <c r="EJ374" s="58" t="str">
        <f>IF(AL374="","",MAX(EJ$12:EJ373)+1)</f>
        <v/>
      </c>
      <c r="EK374" s="73" t="str">
        <f>IF(AO374="","",X374)</f>
        <v/>
      </c>
      <c r="EL374" s="73" t="str">
        <f t="shared" si="344"/>
        <v/>
      </c>
      <c r="EM374" s="73" t="str">
        <f t="shared" si="316"/>
        <v/>
      </c>
      <c r="EN374" s="73" t="str">
        <f t="shared" si="317"/>
        <v/>
      </c>
      <c r="EO374" s="73" t="str">
        <f t="shared" si="345"/>
        <v/>
      </c>
      <c r="EP374" s="73" t="str">
        <f t="shared" si="346"/>
        <v/>
      </c>
      <c r="EQ374" s="73" t="str">
        <f t="shared" si="318"/>
        <v/>
      </c>
      <c r="ER374" s="73" t="str">
        <f>IF(OR(AN374="",AN374="NEMA"),BB374,AN374)</f>
        <v/>
      </c>
      <c r="ES374" s="73" t="str">
        <f>IF(AND(BN374&lt;&gt;"",BN374&lt;&gt;"NEMA"),BN374,IF(CG374&lt;&gt;"",CG374,IF(AND(CL374&lt;&gt;"",CL374&lt;&gt;"NEMA"),CL374,IF(CM374&lt;&gt;"",CM374,""))))</f>
        <v/>
      </c>
      <c r="ET374" s="53" t="str">
        <f>IF(INDEX(natKategorija_alias_Id,MATCH(S374,natKategorija_katRegId,0))="","",INDEX(natKategorija_alias_Id,MATCH(S374,natKategorija_katRegId,0)))</f>
        <v/>
      </c>
      <c r="EU374" s="47" t="s">
        <v>0</v>
      </c>
      <c r="EV374" s="19" t="str">
        <f t="shared" si="347"/>
        <v/>
      </c>
      <c r="EW374" s="47" t="s">
        <v>0</v>
      </c>
      <c r="EX374" s="19" t="str">
        <f t="shared" si="348"/>
        <v/>
      </c>
      <c r="EY374" s="47" t="s">
        <v>0</v>
      </c>
      <c r="EZ374" s="180" t="str">
        <f>AG374&amp;IF(CP374="","","
")&amp;CP374&amp;IF(CI374="","","
")&amp;CI374&amp;IF(DN374="","","
")&amp;DN374&amp;IF(DP374="","","
")&amp;DP374&amp;IF(EV374="","","
")&amp;EV374&amp;IF(EX374="","","
")&amp;EX374</f>
        <v/>
      </c>
      <c r="FA374" s="47" t="s">
        <v>0</v>
      </c>
    </row>
    <row r="375" spans="1:157" x14ac:dyDescent="0.25">
      <c r="A375" t="s">
        <v>0</v>
      </c>
      <c r="B375" s="52" t="str">
        <f>IF(csv!F365="","",csv!T365)</f>
        <v/>
      </c>
      <c r="C375" s="31" t="s">
        <v>0</v>
      </c>
      <c r="D375" s="31" t="str">
        <f>IF(csv!F365="","",csv!F365)</f>
        <v/>
      </c>
      <c r="E375" s="31" t="str">
        <f>IF(csv!E365="","",csv!E365)</f>
        <v/>
      </c>
      <c r="F375" s="31" t="s">
        <v>0</v>
      </c>
      <c r="G375" s="73" t="str">
        <f>IF(csv!M365="","",csv!M365)</f>
        <v/>
      </c>
      <c r="H375" s="73" t="str">
        <f>IF(csv!N365="","",csv!N365)</f>
        <v/>
      </c>
      <c r="I375" s="31" t="s">
        <v>0</v>
      </c>
      <c r="J375" s="31" t="str">
        <f>IF(csv!P365="","",csv!P365)</f>
        <v/>
      </c>
      <c r="K375" s="31" t="str">
        <f>IF(csv!Q365="","",csv!Q365)</f>
        <v/>
      </c>
      <c r="L375" s="31" t="s">
        <v>0</v>
      </c>
      <c r="M375" s="66" t="str">
        <f>IF(csv!R365="","",csv!R365)</f>
        <v/>
      </c>
      <c r="N375" s="47" t="s">
        <v>0</v>
      </c>
      <c r="O375" s="243" t="str">
        <f t="shared" si="319"/>
        <v/>
      </c>
      <c r="P375" s="47"/>
      <c r="Q375" s="52" t="str">
        <f t="shared" si="320"/>
        <v/>
      </c>
      <c r="R375" s="73" t="str">
        <f>IF(Q375="","",IF(COUNTIF(Q$12:Q374,Q375)=0,R374+1,R374))</f>
        <v/>
      </c>
      <c r="S375" s="73" t="str">
        <f t="shared" si="321"/>
        <v/>
      </c>
      <c r="T375" s="73" t="str">
        <f t="shared" si="297"/>
        <v/>
      </c>
      <c r="U375" s="66" t="str">
        <f t="shared" si="298"/>
        <v/>
      </c>
      <c r="V375" s="47" t="s">
        <v>0</v>
      </c>
      <c r="W375" s="222" t="str">
        <f t="shared" si="299"/>
        <v/>
      </c>
      <c r="X375" s="223" t="str">
        <f t="shared" si="300"/>
        <v/>
      </c>
      <c r="Y375" s="47" t="s">
        <v>0</v>
      </c>
      <c r="Z375" s="52" t="str">
        <f t="shared" si="322"/>
        <v/>
      </c>
      <c r="AA375" s="73" t="str">
        <f t="shared" si="301"/>
        <v/>
      </c>
      <c r="AB375" s="31" t="str">
        <f t="shared" si="323"/>
        <v/>
      </c>
      <c r="AC375" s="66" t="str">
        <f>IF(AB375="","",MAX(AC$12:AC374)+1)</f>
        <v/>
      </c>
      <c r="AD375" s="47" t="s">
        <v>0</v>
      </c>
      <c r="AE375" s="125"/>
      <c r="AF375" s="47" t="s">
        <v>0</v>
      </c>
      <c r="AG375" s="19" t="str">
        <f t="shared" si="324"/>
        <v/>
      </c>
      <c r="AH375" s="47" t="s">
        <v>0</v>
      </c>
      <c r="AI375" s="143" t="str">
        <f t="shared" si="325"/>
        <v/>
      </c>
      <c r="AJ375" s="47"/>
      <c r="AK375" s="52" t="str">
        <f t="shared" si="326"/>
        <v/>
      </c>
      <c r="AL375" s="31" t="str">
        <f t="shared" si="327"/>
        <v/>
      </c>
      <c r="AM375" s="73" t="str">
        <f t="shared" si="328"/>
        <v/>
      </c>
      <c r="AN375" s="73" t="str">
        <f t="shared" si="329"/>
        <v/>
      </c>
      <c r="AO375" s="31" t="str">
        <f t="shared" si="302"/>
        <v/>
      </c>
      <c r="AP375" s="66" t="str">
        <f t="shared" si="303"/>
        <v/>
      </c>
      <c r="AQ375" s="47" t="s">
        <v>0</v>
      </c>
      <c r="AR375" s="82" t="str">
        <f t="shared" si="330"/>
        <v/>
      </c>
      <c r="AS375" s="47" t="s">
        <v>0</v>
      </c>
      <c r="AT375" s="19" t="str">
        <f t="shared" si="331"/>
        <v/>
      </c>
      <c r="AU375" s="47" t="s">
        <v>0</v>
      </c>
      <c r="AV375" s="103"/>
      <c r="AW375" s="105"/>
      <c r="AX375" s="47" t="s">
        <v>0</v>
      </c>
      <c r="AY375" s="256" t="str">
        <f t="shared" si="349"/>
        <v/>
      </c>
      <c r="AZ375" s="47" t="s">
        <v>0</v>
      </c>
      <c r="BA375" s="52" t="str">
        <f t="shared" si="296"/>
        <v/>
      </c>
      <c r="BB375" s="73" t="str">
        <f>IF(AV375&amp;AW375="","",MAX(BB$12:BB374)+1)</f>
        <v/>
      </c>
      <c r="BC375" s="268" t="str">
        <f t="shared" si="304"/>
        <v/>
      </c>
      <c r="BD375" s="53" t="str">
        <f>IF(AND(AM375="NEMA",AN375="NEMA",OR(AV375&amp;AW375="",BC375="NEMA")),MAX(BD$12:BD374)+1,"")</f>
        <v/>
      </c>
      <c r="BE375" s="47" t="s">
        <v>0</v>
      </c>
      <c r="BF375" s="52" t="str">
        <f t="shared" si="305"/>
        <v/>
      </c>
      <c r="BG375" s="31" t="str">
        <f t="shared" si="306"/>
        <v/>
      </c>
      <c r="BH375" s="73" t="str">
        <f t="shared" si="332"/>
        <v/>
      </c>
      <c r="BI375" s="53" t="str">
        <f t="shared" si="333"/>
        <v/>
      </c>
      <c r="BJ375" s="47" t="s">
        <v>0</v>
      </c>
      <c r="BK375" s="52" t="str">
        <f t="shared" si="307"/>
        <v/>
      </c>
      <c r="BL375" s="31" t="str">
        <f t="shared" si="308"/>
        <v/>
      </c>
      <c r="BM375" s="73" t="str">
        <f t="shared" si="309"/>
        <v/>
      </c>
      <c r="BN375" s="73" t="str">
        <f t="shared" si="310"/>
        <v/>
      </c>
      <c r="BO375" s="31" t="str" cm="1">
        <f t="array" ref="BO375">IF(BN375="",""&amp;BL375,IF(BN375="NEMA",BL375,INDEX(regKlub_naziv,MATCH(INDEX(regKlub_alias_klubId,BN375),regKlub_id,0))))</f>
        <v/>
      </c>
      <c r="BP375" s="31" t="str" cm="1">
        <f t="array" ref="BP375">IFERROR(""&amp;INDEX(regNatjecatelj_klub,DY375),"")</f>
        <v/>
      </c>
      <c r="BQ375" s="88" t="str">
        <f t="shared" si="334"/>
        <v/>
      </c>
      <c r="BR375" s="66" t="str">
        <f t="shared" si="335"/>
        <v/>
      </c>
      <c r="BS375" s="47" t="s">
        <v>0</v>
      </c>
      <c r="BT375" s="82" t="str">
        <f>IF(BN375&lt;&gt;"NEMA","",IF(IFERROR(MATCH(BL375,BL$12:BL374,0),0)&lt;&gt;0,"",BL375))</f>
        <v/>
      </c>
      <c r="BU375" s="47" t="s">
        <v>0</v>
      </c>
      <c r="BV375" s="125"/>
      <c r="BW375" s="47" t="s">
        <v>0</v>
      </c>
      <c r="BX375" s="58" t="str">
        <f t="shared" si="336"/>
        <v/>
      </c>
      <c r="BY375" s="31" t="str">
        <f t="shared" si="337"/>
        <v/>
      </c>
      <c r="BZ375" s="31" t="str">
        <f>IF(BY375="","",MAX(BZ$12:BZ374)+1)</f>
        <v/>
      </c>
      <c r="CA375" s="31" t="str">
        <f>IF(BY375="","",IF(AA375="","",IF(AA375="NEMA",AC375,AA375)))</f>
        <v/>
      </c>
      <c r="CB375" s="31" t="str">
        <f t="shared" si="338"/>
        <v/>
      </c>
      <c r="CC375" s="31" t="str">
        <f>IF(BV375="","",MAX(CC$12:CC374)+1)</f>
        <v/>
      </c>
      <c r="CD375" s="31" t="str">
        <f t="shared" si="339"/>
        <v/>
      </c>
      <c r="CE375" s="66" t="str">
        <f t="shared" si="340"/>
        <v/>
      </c>
      <c r="CF375" s="47" t="s">
        <v>0</v>
      </c>
      <c r="CG375" s="73" t="str">
        <f>IF(BN375="","",IF(BN375&lt;&gt;"NEMA","",IFERROR(INDEX(nat_klubAliasId,MATCH(BL375,nat_noviKluboviAliasi,0)),"")))</f>
        <v/>
      </c>
      <c r="CH375" s="47"/>
      <c r="CI375" s="19" t="str">
        <f t="shared" si="341"/>
        <v/>
      </c>
      <c r="CJ375" s="47" t="s">
        <v>0</v>
      </c>
      <c r="CK375" s="52" t="str">
        <f>IF(X375&lt;&gt;"NEMA","",IF(IFERROR(MATCH(W375,W$12:W374,0),0)&lt;&gt;0,"",W375))</f>
        <v/>
      </c>
      <c r="CL375" s="73" t="str">
        <f>IF(CK375="","",IFERROR(INDEX(regKlub_alias_id,MATCH(CK375,regKlub_alias_alias,0)),"NEMA"))</f>
        <v/>
      </c>
      <c r="CM375" s="31" t="str">
        <f>IF(OR(CL375="",CL375&lt;&gt;"NEMA"),"",MAX(CM$12:CM374)+1)</f>
        <v/>
      </c>
      <c r="CN375" s="66" t="str">
        <f>IF(OR(CL375="",CL375&lt;&gt;"NEMA"),"",INDEX(regKlub_id,MATCH(CK375,regKlub_naziv,0)))</f>
        <v/>
      </c>
      <c r="CO375" s="47" t="s">
        <v>0</v>
      </c>
      <c r="CP375" s="19" t="str">
        <f>IF(OR(CL375="",CL375&lt;&gt;"NEMA"),"","INSERT INTO klub_alias(id,alias,klub_id) VALUES ("&amp;CM375&amp;",'"&amp;CK375&amp;"',"&amp;CN375&amp;");")</f>
        <v/>
      </c>
      <c r="CQ375" s="47" t="s">
        <v>0</v>
      </c>
      <c r="CR375" s="143" t="str">
        <f>IF(BR375="","",IF(BV375="",IF(IFERROR(MATCH(BR375,nat_noviKluboviAliasi,0),0)&gt;0,INDEX(nat_kluboviAliasi,MATCH(BR375,nat_noviKluboviAliasi,0)),BR375),BV375))</f>
        <v/>
      </c>
      <c r="CS375" s="47" t="s">
        <v>0</v>
      </c>
      <c r="CT375" s="58" t="str">
        <f>IF(G375="","",G375)</f>
        <v/>
      </c>
      <c r="CU375" s="73" t="str">
        <f>IF(H375="","",H375)</f>
        <v/>
      </c>
      <c r="CV375" s="229" t="str">
        <f>IF(CT375="",IF(OR(AL375="",CU375&lt;&gt;"0"),"","GREŠKA"),IF(AND(65535&gt;=VALUE(LEFT(CT375,SEARCH(":",CT375)-1))*60+VALUE(RIGHT(CT375,2)),OR(CU375="0",CU375="1",CU375="2",CU375="3",CU375="4")),"","GREŠKA"))</f>
        <v/>
      </c>
      <c r="CW375" s="230" t="str">
        <f t="shared" si="295"/>
        <v/>
      </c>
      <c r="CX375" s="163" t="str">
        <f t="shared" si="311"/>
        <v/>
      </c>
      <c r="CY375" s="47" t="s">
        <v>0</v>
      </c>
      <c r="CZ375" s="222" t="str">
        <f>IF(CV375&lt;&gt;"GREŠKA","",AK375&amp;" "&amp;AL375&amp;" – Molim u OEventu provjeriti i ispraviti rezultat – vrijeme ("&amp;IF(CT375="","nije upisano",CT375)&amp;") i classifier ("&amp;CU375&amp;").")&amp;IF(OR(CV375&lt;&gt;"GREŠKA",CX375&lt;&gt;5),"
","")&amp;IF(CX375&lt;&gt;5,"",AK375&amp;" "&amp;AL375&amp;" – Molim u provjeriti je li natjecatelj zaista diskvalificiran. Ako je koje je obrazloženje, ako nije molim u OEventu ispraviti rezultat")</f>
        <v xml:space="preserve">
</v>
      </c>
      <c r="DA375" s="223" t="str">
        <f t="shared" si="342"/>
        <v/>
      </c>
      <c r="DB375" s="47" t="s">
        <v>0</v>
      </c>
      <c r="DC375" s="47"/>
      <c r="DD375" s="47"/>
      <c r="DE375" s="47"/>
      <c r="DF375" s="47" t="s">
        <v>0</v>
      </c>
      <c r="DG375" s="53" t="str">
        <f>IF(BD375="","",IF(DI375="O",1,""))</f>
        <v/>
      </c>
      <c r="DH375" t="s">
        <v>0</v>
      </c>
      <c r="DI375" s="128" t="str">
        <f>IF(Q375="","",LEFT(INDEX(regKategorija_oznaka,MATCH(S375,regKategorija_id,0)),1))</f>
        <v/>
      </c>
      <c r="DJ375" t="s">
        <v>0</v>
      </c>
      <c r="DK375" s="52" t="str">
        <f>IF(BD375="","",IF(M375&lt;&gt;"CRO","","INSERT INTO osoba (id,reg_broj,oib,spol_id,dat_rodjenja) VALUES ("&amp;BD375&amp;",(SELECT max(os.reg_broj)+1 FROM osoba AS os),Null,'"&amp;DI375&amp;"',Null); INSERT INTO osoba_log (id,reg_broj,oib,spol_id,dat_rodjenja,dnevnik_id) SELECT id,reg_broj,oib,spol_id,dat_rodjenja,"&amp;data_dnevnik_id&amp;" FROM osoba WHERE id = "&amp;BD375&amp;";"))</f>
        <v/>
      </c>
      <c r="DL375" s="66" t="str">
        <f>IF(BD375="","","INSERT INTO imeprezime (id,osoba_id,rbr,ime,prezime,klub_id,identitet_id,sintaksa_id,info,aktivno,dnevnik_id) VALUES ("&amp;BD375&amp;","&amp;IF(DK375="","Null",BD375)&amp;",1,'"&amp;IF(AV375&lt;&gt;"",AV375,AK375)&amp;"','"&amp;IF(AW375&lt;&gt;"",AW375,AL375)&amp;"',(SELECT id FROM klub WHERE naziv = '"&amp;CR375&amp;"'),Null,1,'',1,"&amp;data_dnevnik_id&amp;");")</f>
        <v/>
      </c>
      <c r="DM375" t="s">
        <v>0</v>
      </c>
      <c r="DN375" s="19" t="str">
        <f t="shared" si="350"/>
        <v/>
      </c>
      <c r="DO375" s="47" t="s">
        <v>0</v>
      </c>
      <c r="DP375" s="19" t="str">
        <f>IF(BA375="","","INSERT INTO imeprezime_alias(id,alias,imeprezime_id) VALUES ("&amp;BB375&amp;",'"&amp;BA375&amp;"',"&amp;IF(BC375="NEMA",BD375,BC375)&amp;");")</f>
        <v/>
      </c>
      <c r="DQ375" s="47" t="s">
        <v>0</v>
      </c>
      <c r="DR375" s="52" t="str">
        <f>IF(AL375="","",DU375 &amp; IF(Q375="",""," – " &amp; Q375))</f>
        <v/>
      </c>
      <c r="DS375" s="53" t="str">
        <f t="shared" si="312"/>
        <v/>
      </c>
      <c r="DT375" s="47" t="s">
        <v>0</v>
      </c>
      <c r="DU375" s="52" t="str">
        <f>IF(AL375="","",DX375 &amp; IF(CR375="",""," – " &amp; CR375))</f>
        <v/>
      </c>
      <c r="DV375" s="53" t="str">
        <f t="shared" si="313"/>
        <v/>
      </c>
      <c r="DW375" s="47" t="s">
        <v>0</v>
      </c>
      <c r="DX375" s="52" t="str">
        <f>IF(BG375="","",BF375&amp;" – "&amp;BG375)</f>
        <v/>
      </c>
      <c r="DY375" s="53" t="str">
        <f t="shared" si="314"/>
        <v/>
      </c>
      <c r="DZ375" s="47" t="s">
        <v>0</v>
      </c>
      <c r="EA375" s="58" t="str">
        <f t="shared" si="343"/>
        <v/>
      </c>
      <c r="EB375" s="53" t="str" cm="1">
        <f t="array" ref="EB375">IF(EA375&lt;&gt;"",INDEX(regNatjecatelj_id,EA375,0),IF(BD375&lt;&gt;"",BD375,""))</f>
        <v/>
      </c>
      <c r="EC375" s="47" t="s">
        <v>0</v>
      </c>
      <c r="ED375" s="58" t="str">
        <f>IF(AL375="","",IF(BD375&lt;&gt;"","novo",IF(AN375="","imepre","imepre(ali)")))</f>
        <v/>
      </c>
      <c r="EE375" s="73" t="str">
        <f>IF(AL375="","",IF(BL375="",IF(IFERROR(INDEX(regNatjecatelj_klub,MATCH(EB375,regNatjecatelj_id,0)),"NEMA")="","klu",""),IF(OR(AND(BN375&lt;&gt;"",BN375&lt;&gt;"NEMA"),CD375&lt;&gt;""),"klu(ali)",IF(AND(BP375&lt;&gt;"",BP375&lt;&gt;BO375),"(raz-klu)","klu"))))</f>
        <v/>
      </c>
      <c r="EF375" s="73" t="str">
        <f>IF(AL375="","","kat"&amp;IF(AND(W375&lt;&gt;Q375,Q375&lt;&gt;"Open"),"(ali)",""))</f>
        <v/>
      </c>
      <c r="EG375" s="73" t="str">
        <f t="shared" si="315"/>
        <v/>
      </c>
      <c r="EH375" s="66" t="str">
        <f>IF(AL375="","",ED375&amp;IF(ED375="novo","","-"&amp;EE375&amp;"-"&amp;EF375)&amp;IF(EG375="","","-"&amp;EG375))</f>
        <v/>
      </c>
      <c r="EI375" s="47" t="s">
        <v>0</v>
      </c>
      <c r="EJ375" s="58" t="str">
        <f>IF(AL375="","",MAX(EJ$12:EJ374)+1)</f>
        <v/>
      </c>
      <c r="EK375" s="73" t="str">
        <f>IF(AO375="","",X375)</f>
        <v/>
      </c>
      <c r="EL375" s="73" t="str">
        <f t="shared" si="344"/>
        <v/>
      </c>
      <c r="EM375" s="73" t="str">
        <f t="shared" si="316"/>
        <v/>
      </c>
      <c r="EN375" s="73" t="str">
        <f t="shared" si="317"/>
        <v/>
      </c>
      <c r="EO375" s="73" t="str">
        <f t="shared" si="345"/>
        <v/>
      </c>
      <c r="EP375" s="73" t="str">
        <f t="shared" si="346"/>
        <v/>
      </c>
      <c r="EQ375" s="73" t="str">
        <f t="shared" si="318"/>
        <v/>
      </c>
      <c r="ER375" s="73" t="str">
        <f>IF(OR(AN375="",AN375="NEMA"),BB375,AN375)</f>
        <v/>
      </c>
      <c r="ES375" s="73" t="str">
        <f>IF(AND(BN375&lt;&gt;"",BN375&lt;&gt;"NEMA"),BN375,IF(CG375&lt;&gt;"",CG375,IF(AND(CL375&lt;&gt;"",CL375&lt;&gt;"NEMA"),CL375,IF(CM375&lt;&gt;"",CM375,""))))</f>
        <v/>
      </c>
      <c r="ET375" s="53" t="str">
        <f>IF(INDEX(natKategorija_alias_Id,MATCH(S375,natKategorija_katRegId,0))="","",INDEX(natKategorija_alias_Id,MATCH(S375,natKategorija_katRegId,0)))</f>
        <v/>
      </c>
      <c r="EU375" s="47" t="s">
        <v>0</v>
      </c>
      <c r="EV375" s="19" t="str">
        <f t="shared" si="347"/>
        <v/>
      </c>
      <c r="EW375" s="47" t="s">
        <v>0</v>
      </c>
      <c r="EX375" s="19" t="str">
        <f t="shared" si="348"/>
        <v/>
      </c>
      <c r="EY375" s="47" t="s">
        <v>0</v>
      </c>
      <c r="EZ375" s="180" t="str">
        <f>AG375&amp;IF(CP375="","","
")&amp;CP375&amp;IF(CI375="","","
")&amp;CI375&amp;IF(DN375="","","
")&amp;DN375&amp;IF(DP375="","","
")&amp;DP375&amp;IF(EV375="","","
")&amp;EV375&amp;IF(EX375="","","
")&amp;EX375</f>
        <v/>
      </c>
      <c r="FA375" s="47" t="s">
        <v>0</v>
      </c>
    </row>
    <row r="376" spans="1:157" x14ac:dyDescent="0.25">
      <c r="A376" t="s">
        <v>0</v>
      </c>
      <c r="B376" s="52" t="str">
        <f>IF(csv!F366="","",csv!T366)</f>
        <v/>
      </c>
      <c r="C376" s="31" t="s">
        <v>0</v>
      </c>
      <c r="D376" s="31" t="str">
        <f>IF(csv!F366="","",csv!F366)</f>
        <v/>
      </c>
      <c r="E376" s="31" t="str">
        <f>IF(csv!E366="","",csv!E366)</f>
        <v/>
      </c>
      <c r="F376" s="31" t="s">
        <v>0</v>
      </c>
      <c r="G376" s="73" t="str">
        <f>IF(csv!M366="","",csv!M366)</f>
        <v/>
      </c>
      <c r="H376" s="73" t="str">
        <f>IF(csv!N366="","",csv!N366)</f>
        <v/>
      </c>
      <c r="I376" s="31" t="s">
        <v>0</v>
      </c>
      <c r="J376" s="31" t="str">
        <f>IF(csv!P366="","",csv!P366)</f>
        <v/>
      </c>
      <c r="K376" s="31" t="str">
        <f>IF(csv!Q366="","",csv!Q366)</f>
        <v/>
      </c>
      <c r="L376" s="31" t="s">
        <v>0</v>
      </c>
      <c r="M376" s="66" t="str">
        <f>IF(csv!R366="","",csv!R366)</f>
        <v/>
      </c>
      <c r="N376" s="47" t="s">
        <v>0</v>
      </c>
      <c r="O376" s="243" t="str">
        <f t="shared" si="319"/>
        <v/>
      </c>
      <c r="P376" s="47"/>
      <c r="Q376" s="52" t="str">
        <f t="shared" si="320"/>
        <v/>
      </c>
      <c r="R376" s="73" t="str">
        <f>IF(Q376="","",IF(COUNTIF(Q$12:Q375,Q376)=0,R375+1,R375))</f>
        <v/>
      </c>
      <c r="S376" s="73" t="str">
        <f t="shared" si="321"/>
        <v/>
      </c>
      <c r="T376" s="73" t="str">
        <f t="shared" si="297"/>
        <v/>
      </c>
      <c r="U376" s="66" t="str">
        <f t="shared" si="298"/>
        <v/>
      </c>
      <c r="V376" s="47" t="s">
        <v>0</v>
      </c>
      <c r="W376" s="222" t="str">
        <f t="shared" si="299"/>
        <v/>
      </c>
      <c r="X376" s="223" t="str">
        <f t="shared" si="300"/>
        <v/>
      </c>
      <c r="Y376" s="47" t="s">
        <v>0</v>
      </c>
      <c r="Z376" s="52" t="str">
        <f t="shared" si="322"/>
        <v/>
      </c>
      <c r="AA376" s="73" t="str">
        <f t="shared" si="301"/>
        <v/>
      </c>
      <c r="AB376" s="31" t="str">
        <f t="shared" si="323"/>
        <v/>
      </c>
      <c r="AC376" s="66" t="str">
        <f>IF(AB376="","",MAX(AC$12:AC375)+1)</f>
        <v/>
      </c>
      <c r="AD376" s="47" t="s">
        <v>0</v>
      </c>
      <c r="AE376" s="125"/>
      <c r="AF376" s="47" t="s">
        <v>0</v>
      </c>
      <c r="AG376" s="19" t="str">
        <f t="shared" si="324"/>
        <v/>
      </c>
      <c r="AH376" s="47" t="s">
        <v>0</v>
      </c>
      <c r="AI376" s="143" t="str">
        <f t="shared" si="325"/>
        <v/>
      </c>
      <c r="AJ376" s="47"/>
      <c r="AK376" s="52" t="str">
        <f t="shared" si="326"/>
        <v/>
      </c>
      <c r="AL376" s="31" t="str">
        <f t="shared" si="327"/>
        <v/>
      </c>
      <c r="AM376" s="73" t="str">
        <f t="shared" si="328"/>
        <v/>
      </c>
      <c r="AN376" s="73" t="str">
        <f t="shared" si="329"/>
        <v/>
      </c>
      <c r="AO376" s="31" t="str">
        <f t="shared" si="302"/>
        <v/>
      </c>
      <c r="AP376" s="66" t="str">
        <f t="shared" si="303"/>
        <v/>
      </c>
      <c r="AQ376" s="47" t="s">
        <v>0</v>
      </c>
      <c r="AR376" s="82" t="str">
        <f t="shared" si="330"/>
        <v/>
      </c>
      <c r="AS376" s="47" t="s">
        <v>0</v>
      </c>
      <c r="AT376" s="19" t="str">
        <f t="shared" si="331"/>
        <v/>
      </c>
      <c r="AU376" s="47" t="s">
        <v>0</v>
      </c>
      <c r="AV376" s="103"/>
      <c r="AW376" s="105"/>
      <c r="AX376" s="47" t="s">
        <v>0</v>
      </c>
      <c r="AY376" s="256" t="str">
        <f t="shared" si="349"/>
        <v/>
      </c>
      <c r="AZ376" s="47" t="s">
        <v>0</v>
      </c>
      <c r="BA376" s="52" t="str">
        <f t="shared" si="296"/>
        <v/>
      </c>
      <c r="BB376" s="73" t="str">
        <f>IF(AV376&amp;AW376="","",MAX(BB$12:BB375)+1)</f>
        <v/>
      </c>
      <c r="BC376" s="268" t="str">
        <f t="shared" si="304"/>
        <v/>
      </c>
      <c r="BD376" s="53" t="str">
        <f>IF(AND(AM376="NEMA",AN376="NEMA",OR(AV376&amp;AW376="",BC376="NEMA")),MAX(BD$12:BD375)+1,"")</f>
        <v/>
      </c>
      <c r="BE376" s="47" t="s">
        <v>0</v>
      </c>
      <c r="BF376" s="52" t="str">
        <f t="shared" si="305"/>
        <v/>
      </c>
      <c r="BG376" s="31" t="str">
        <f t="shared" si="306"/>
        <v/>
      </c>
      <c r="BH376" s="73" t="str">
        <f t="shared" si="332"/>
        <v/>
      </c>
      <c r="BI376" s="53" t="str">
        <f t="shared" si="333"/>
        <v/>
      </c>
      <c r="BJ376" s="47" t="s">
        <v>0</v>
      </c>
      <c r="BK376" s="52" t="str">
        <f t="shared" si="307"/>
        <v/>
      </c>
      <c r="BL376" s="31" t="str">
        <f t="shared" si="308"/>
        <v/>
      </c>
      <c r="BM376" s="73" t="str">
        <f t="shared" si="309"/>
        <v/>
      </c>
      <c r="BN376" s="73" t="str">
        <f t="shared" si="310"/>
        <v/>
      </c>
      <c r="BO376" s="31" t="str" cm="1">
        <f t="array" ref="BO376">IF(BN376="",""&amp;BL376,IF(BN376="NEMA",BL376,INDEX(regKlub_naziv,MATCH(INDEX(regKlub_alias_klubId,BN376),regKlub_id,0))))</f>
        <v/>
      </c>
      <c r="BP376" s="31" t="str" cm="1">
        <f t="array" ref="BP376">IFERROR(""&amp;INDEX(regNatjecatelj_klub,DY376),"")</f>
        <v/>
      </c>
      <c r="BQ376" s="88" t="str">
        <f t="shared" si="334"/>
        <v/>
      </c>
      <c r="BR376" s="66" t="str">
        <f t="shared" si="335"/>
        <v/>
      </c>
      <c r="BS376" s="47" t="s">
        <v>0</v>
      </c>
      <c r="BT376" s="82" t="str">
        <f>IF(BN376&lt;&gt;"NEMA","",IF(IFERROR(MATCH(BL376,BL$12:BL375,0),0)&lt;&gt;0,"",BL376))</f>
        <v/>
      </c>
      <c r="BU376" s="47" t="s">
        <v>0</v>
      </c>
      <c r="BV376" s="125"/>
      <c r="BW376" s="47" t="s">
        <v>0</v>
      </c>
      <c r="BX376" s="58" t="str">
        <f t="shared" si="336"/>
        <v/>
      </c>
      <c r="BY376" s="31" t="str">
        <f t="shared" si="337"/>
        <v/>
      </c>
      <c r="BZ376" s="31" t="str">
        <f>IF(BY376="","",MAX(BZ$12:BZ375)+1)</f>
        <v/>
      </c>
      <c r="CA376" s="31" t="str">
        <f>IF(BY376="","",IF(AA376="","",IF(AA376="NEMA",AC376,AA376)))</f>
        <v/>
      </c>
      <c r="CB376" s="31" t="str">
        <f t="shared" si="338"/>
        <v/>
      </c>
      <c r="CC376" s="31" t="str">
        <f>IF(BV376="","",MAX(CC$12:CC375)+1)</f>
        <v/>
      </c>
      <c r="CD376" s="31" t="str">
        <f t="shared" si="339"/>
        <v/>
      </c>
      <c r="CE376" s="66" t="str">
        <f t="shared" si="340"/>
        <v/>
      </c>
      <c r="CF376" s="47" t="s">
        <v>0</v>
      </c>
      <c r="CG376" s="73" t="str">
        <f>IF(BN376="","",IF(BN376&lt;&gt;"NEMA","",IFERROR(INDEX(nat_klubAliasId,MATCH(BL376,nat_noviKluboviAliasi,0)),"")))</f>
        <v/>
      </c>
      <c r="CH376" s="47"/>
      <c r="CI376" s="19" t="str">
        <f t="shared" si="341"/>
        <v/>
      </c>
      <c r="CJ376" s="47" t="s">
        <v>0</v>
      </c>
      <c r="CK376" s="52" t="str">
        <f>IF(X376&lt;&gt;"NEMA","",IF(IFERROR(MATCH(W376,W$12:W375,0),0)&lt;&gt;0,"",W376))</f>
        <v/>
      </c>
      <c r="CL376" s="73" t="str">
        <f>IF(CK376="","",IFERROR(INDEX(regKlub_alias_id,MATCH(CK376,regKlub_alias_alias,0)),"NEMA"))</f>
        <v/>
      </c>
      <c r="CM376" s="31" t="str">
        <f>IF(OR(CL376="",CL376&lt;&gt;"NEMA"),"",MAX(CM$12:CM375)+1)</f>
        <v/>
      </c>
      <c r="CN376" s="66" t="str">
        <f>IF(OR(CL376="",CL376&lt;&gt;"NEMA"),"",INDEX(regKlub_id,MATCH(CK376,regKlub_naziv,0)))</f>
        <v/>
      </c>
      <c r="CO376" s="47" t="s">
        <v>0</v>
      </c>
      <c r="CP376" s="19" t="str">
        <f>IF(OR(CL376="",CL376&lt;&gt;"NEMA"),"","INSERT INTO klub_alias(id,alias,klub_id) VALUES ("&amp;CM376&amp;",'"&amp;CK376&amp;"',"&amp;CN376&amp;");")</f>
        <v/>
      </c>
      <c r="CQ376" s="47" t="s">
        <v>0</v>
      </c>
      <c r="CR376" s="143" t="str">
        <f>IF(BR376="","",IF(BV376="",IF(IFERROR(MATCH(BR376,nat_noviKluboviAliasi,0),0)&gt;0,INDEX(nat_kluboviAliasi,MATCH(BR376,nat_noviKluboviAliasi,0)),BR376),BV376))</f>
        <v/>
      </c>
      <c r="CS376" s="47" t="s">
        <v>0</v>
      </c>
      <c r="CT376" s="58" t="str">
        <f>IF(G376="","",G376)</f>
        <v/>
      </c>
      <c r="CU376" s="73" t="str">
        <f>IF(H376="","",H376)</f>
        <v/>
      </c>
      <c r="CV376" s="229" t="str">
        <f>IF(CT376="",IF(OR(AL376="",CU376&lt;&gt;"0"),"","GREŠKA"),IF(AND(65535&gt;=VALUE(LEFT(CT376,SEARCH(":",CT376)-1))*60+VALUE(RIGHT(CT376,2)),OR(CU376="0",CU376="1",CU376="2",CU376="3",CU376="4")),"","GREŠKA"))</f>
        <v/>
      </c>
      <c r="CW376" s="230" t="str">
        <f t="shared" si="295"/>
        <v/>
      </c>
      <c r="CX376" s="163" t="str">
        <f t="shared" si="311"/>
        <v/>
      </c>
      <c r="CY376" s="47" t="s">
        <v>0</v>
      </c>
      <c r="CZ376" s="222" t="str">
        <f>IF(CV376&lt;&gt;"GREŠKA","",AK376&amp;" "&amp;AL376&amp;" – Molim u OEventu provjeriti i ispraviti rezultat – vrijeme ("&amp;IF(CT376="","nije upisano",CT376)&amp;") i classifier ("&amp;CU376&amp;").")&amp;IF(OR(CV376&lt;&gt;"GREŠKA",CX376&lt;&gt;5),"
","")&amp;IF(CX376&lt;&gt;5,"",AK376&amp;" "&amp;AL376&amp;" – Molim u provjeriti je li natjecatelj zaista diskvalificiran. Ako je koje je obrazloženje, ako nije molim u OEventu ispraviti rezultat")</f>
        <v xml:space="preserve">
</v>
      </c>
      <c r="DA376" s="223" t="str">
        <f t="shared" si="342"/>
        <v/>
      </c>
      <c r="DB376" s="47" t="s">
        <v>0</v>
      </c>
      <c r="DC376" s="47"/>
      <c r="DD376" s="47"/>
      <c r="DE376" s="47"/>
      <c r="DF376" s="47" t="s">
        <v>0</v>
      </c>
      <c r="DG376" s="53" t="str">
        <f>IF(BD376="","",IF(DI376="O",1,""))</f>
        <v/>
      </c>
      <c r="DH376" t="s">
        <v>0</v>
      </c>
      <c r="DI376" s="128" t="str">
        <f>IF(Q376="","",LEFT(INDEX(regKategorija_oznaka,MATCH(S376,regKategorija_id,0)),1))</f>
        <v/>
      </c>
      <c r="DJ376" t="s">
        <v>0</v>
      </c>
      <c r="DK376" s="52" t="str">
        <f>IF(BD376="","",IF(M376&lt;&gt;"CRO","","INSERT INTO osoba (id,reg_broj,oib,spol_id,dat_rodjenja) VALUES ("&amp;BD376&amp;",(SELECT max(os.reg_broj)+1 FROM osoba AS os),Null,'"&amp;DI376&amp;"',Null); INSERT INTO osoba_log (id,reg_broj,oib,spol_id,dat_rodjenja,dnevnik_id) SELECT id,reg_broj,oib,spol_id,dat_rodjenja,"&amp;data_dnevnik_id&amp;" FROM osoba WHERE id = "&amp;BD376&amp;";"))</f>
        <v/>
      </c>
      <c r="DL376" s="66" t="str">
        <f>IF(BD376="","","INSERT INTO imeprezime (id,osoba_id,rbr,ime,prezime,klub_id,identitet_id,sintaksa_id,info,aktivno,dnevnik_id) VALUES ("&amp;BD376&amp;","&amp;IF(DK376="","Null",BD376)&amp;",1,'"&amp;IF(AV376&lt;&gt;"",AV376,AK376)&amp;"','"&amp;IF(AW376&lt;&gt;"",AW376,AL376)&amp;"',(SELECT id FROM klub WHERE naziv = '"&amp;CR376&amp;"'),Null,1,'',1,"&amp;data_dnevnik_id&amp;");")</f>
        <v/>
      </c>
      <c r="DM376" t="s">
        <v>0</v>
      </c>
      <c r="DN376" s="19" t="str">
        <f t="shared" si="350"/>
        <v/>
      </c>
      <c r="DO376" s="47" t="s">
        <v>0</v>
      </c>
      <c r="DP376" s="19" t="str">
        <f>IF(BA376="","","INSERT INTO imeprezime_alias(id,alias,imeprezime_id) VALUES ("&amp;BB376&amp;",'"&amp;BA376&amp;"',"&amp;IF(BC376="NEMA",BD376,BC376)&amp;");")</f>
        <v/>
      </c>
      <c r="DQ376" s="47" t="s">
        <v>0</v>
      </c>
      <c r="DR376" s="52" t="str">
        <f>IF(AL376="","",DU376 &amp; IF(Q376="",""," – " &amp; Q376))</f>
        <v/>
      </c>
      <c r="DS376" s="53" t="str">
        <f t="shared" si="312"/>
        <v/>
      </c>
      <c r="DT376" s="47" t="s">
        <v>0</v>
      </c>
      <c r="DU376" s="52" t="str">
        <f>IF(AL376="","",DX376 &amp; IF(CR376="",""," – " &amp; CR376))</f>
        <v/>
      </c>
      <c r="DV376" s="53" t="str">
        <f t="shared" si="313"/>
        <v/>
      </c>
      <c r="DW376" s="47" t="s">
        <v>0</v>
      </c>
      <c r="DX376" s="52" t="str">
        <f>IF(BG376="","",BF376&amp;" – "&amp;BG376)</f>
        <v/>
      </c>
      <c r="DY376" s="53" t="str">
        <f t="shared" si="314"/>
        <v/>
      </c>
      <c r="DZ376" s="47" t="s">
        <v>0</v>
      </c>
      <c r="EA376" s="58" t="str">
        <f t="shared" si="343"/>
        <v/>
      </c>
      <c r="EB376" s="53" t="str" cm="1">
        <f t="array" ref="EB376">IF(EA376&lt;&gt;"",INDEX(regNatjecatelj_id,EA376,0),IF(BD376&lt;&gt;"",BD376,""))</f>
        <v/>
      </c>
      <c r="EC376" s="47" t="s">
        <v>0</v>
      </c>
      <c r="ED376" s="58" t="str">
        <f>IF(AL376="","",IF(BD376&lt;&gt;"","novo",IF(AN376="","imepre","imepre(ali)")))</f>
        <v/>
      </c>
      <c r="EE376" s="73" t="str">
        <f>IF(AL376="","",IF(BL376="",IF(IFERROR(INDEX(regNatjecatelj_klub,MATCH(EB376,regNatjecatelj_id,0)),"NEMA")="","klu",""),IF(OR(AND(BN376&lt;&gt;"",BN376&lt;&gt;"NEMA"),CD376&lt;&gt;""),"klu(ali)",IF(AND(BP376&lt;&gt;"",BP376&lt;&gt;BO376),"(raz-klu)","klu"))))</f>
        <v/>
      </c>
      <c r="EF376" s="73" t="str">
        <f>IF(AL376="","","kat"&amp;IF(AND(W376&lt;&gt;Q376,Q376&lt;&gt;"Open"),"(ali)",""))</f>
        <v/>
      </c>
      <c r="EG376" s="73" t="str">
        <f t="shared" si="315"/>
        <v/>
      </c>
      <c r="EH376" s="66" t="str">
        <f>IF(AL376="","",ED376&amp;IF(ED376="novo","","-"&amp;EE376&amp;"-"&amp;EF376)&amp;IF(EG376="","","-"&amp;EG376))</f>
        <v/>
      </c>
      <c r="EI376" s="47" t="s">
        <v>0</v>
      </c>
      <c r="EJ376" s="58" t="str">
        <f>IF(AL376="","",MAX(EJ$12:EJ375)+1)</f>
        <v/>
      </c>
      <c r="EK376" s="73" t="str">
        <f>IF(AO376="","",X376)</f>
        <v/>
      </c>
      <c r="EL376" s="73" t="str">
        <f t="shared" si="344"/>
        <v/>
      </c>
      <c r="EM376" s="73" t="str">
        <f t="shared" si="316"/>
        <v/>
      </c>
      <c r="EN376" s="73" t="str">
        <f t="shared" si="317"/>
        <v/>
      </c>
      <c r="EO376" s="73" t="str">
        <f t="shared" si="345"/>
        <v/>
      </c>
      <c r="EP376" s="73" t="str">
        <f t="shared" si="346"/>
        <v/>
      </c>
      <c r="EQ376" s="73" t="str">
        <f t="shared" si="318"/>
        <v/>
      </c>
      <c r="ER376" s="73" t="str">
        <f>IF(OR(AN376="",AN376="NEMA"),BB376,AN376)</f>
        <v/>
      </c>
      <c r="ES376" s="73" t="str">
        <f>IF(AND(BN376&lt;&gt;"",BN376&lt;&gt;"NEMA"),BN376,IF(CG376&lt;&gt;"",CG376,IF(AND(CL376&lt;&gt;"",CL376&lt;&gt;"NEMA"),CL376,IF(CM376&lt;&gt;"",CM376,""))))</f>
        <v/>
      </c>
      <c r="ET376" s="53" t="str">
        <f>IF(INDEX(natKategorija_alias_Id,MATCH(S376,natKategorija_katRegId,0))="","",INDEX(natKategorija_alias_Id,MATCH(S376,natKategorija_katRegId,0)))</f>
        <v/>
      </c>
      <c r="EU376" s="47" t="s">
        <v>0</v>
      </c>
      <c r="EV376" s="19" t="str">
        <f t="shared" si="347"/>
        <v/>
      </c>
      <c r="EW376" s="47" t="s">
        <v>0</v>
      </c>
      <c r="EX376" s="19" t="str">
        <f t="shared" si="348"/>
        <v/>
      </c>
      <c r="EY376" s="47" t="s">
        <v>0</v>
      </c>
      <c r="EZ376" s="180" t="str">
        <f>AG376&amp;IF(CP376="","","
")&amp;CP376&amp;IF(CI376="","","
")&amp;CI376&amp;IF(DN376="","","
")&amp;DN376&amp;IF(DP376="","","
")&amp;DP376&amp;IF(EV376="","","
")&amp;EV376&amp;IF(EX376="","","
")&amp;EX376</f>
        <v/>
      </c>
      <c r="FA376" s="47" t="s">
        <v>0</v>
      </c>
    </row>
    <row r="377" spans="1:157" x14ac:dyDescent="0.25">
      <c r="A377" t="s">
        <v>0</v>
      </c>
      <c r="B377" s="52" t="str">
        <f>IF(csv!F367="","",csv!T367)</f>
        <v/>
      </c>
      <c r="C377" s="31" t="s">
        <v>0</v>
      </c>
      <c r="D377" s="31" t="str">
        <f>IF(csv!F367="","",csv!F367)</f>
        <v/>
      </c>
      <c r="E377" s="31" t="str">
        <f>IF(csv!E367="","",csv!E367)</f>
        <v/>
      </c>
      <c r="F377" s="31" t="s">
        <v>0</v>
      </c>
      <c r="G377" s="73" t="str">
        <f>IF(csv!M367="","",csv!M367)</f>
        <v/>
      </c>
      <c r="H377" s="73" t="str">
        <f>IF(csv!N367="","",csv!N367)</f>
        <v/>
      </c>
      <c r="I377" s="31" t="s">
        <v>0</v>
      </c>
      <c r="J377" s="31" t="str">
        <f>IF(csv!P367="","",csv!P367)</f>
        <v/>
      </c>
      <c r="K377" s="31" t="str">
        <f>IF(csv!Q367="","",csv!Q367)</f>
        <v/>
      </c>
      <c r="L377" s="31" t="s">
        <v>0</v>
      </c>
      <c r="M377" s="66" t="str">
        <f>IF(csv!R367="","",csv!R367)</f>
        <v/>
      </c>
      <c r="N377" s="47" t="s">
        <v>0</v>
      </c>
      <c r="O377" s="243" t="str">
        <f t="shared" si="319"/>
        <v/>
      </c>
      <c r="P377" s="47"/>
      <c r="Q377" s="52" t="str">
        <f t="shared" si="320"/>
        <v/>
      </c>
      <c r="R377" s="73" t="str">
        <f>IF(Q377="","",IF(COUNTIF(Q$12:Q376,Q377)=0,R376+1,R376))</f>
        <v/>
      </c>
      <c r="S377" s="73" t="str">
        <f t="shared" si="321"/>
        <v/>
      </c>
      <c r="T377" s="73" t="str">
        <f t="shared" si="297"/>
        <v/>
      </c>
      <c r="U377" s="66" t="str">
        <f t="shared" si="298"/>
        <v/>
      </c>
      <c r="V377" s="47" t="s">
        <v>0</v>
      </c>
      <c r="W377" s="222" t="str">
        <f t="shared" si="299"/>
        <v/>
      </c>
      <c r="X377" s="223" t="str">
        <f t="shared" si="300"/>
        <v/>
      </c>
      <c r="Y377" s="47" t="s">
        <v>0</v>
      </c>
      <c r="Z377" s="52" t="str">
        <f t="shared" si="322"/>
        <v/>
      </c>
      <c r="AA377" s="73" t="str">
        <f t="shared" si="301"/>
        <v/>
      </c>
      <c r="AB377" s="31" t="str">
        <f t="shared" si="323"/>
        <v/>
      </c>
      <c r="AC377" s="66" t="str">
        <f>IF(AB377="","",MAX(AC$12:AC376)+1)</f>
        <v/>
      </c>
      <c r="AD377" s="47" t="s">
        <v>0</v>
      </c>
      <c r="AE377" s="125"/>
      <c r="AF377" s="47" t="s">
        <v>0</v>
      </c>
      <c r="AG377" s="19" t="str">
        <f t="shared" si="324"/>
        <v/>
      </c>
      <c r="AH377" s="47" t="s">
        <v>0</v>
      </c>
      <c r="AI377" s="143" t="str">
        <f t="shared" si="325"/>
        <v/>
      </c>
      <c r="AJ377" s="47"/>
      <c r="AK377" s="52" t="str">
        <f t="shared" si="326"/>
        <v/>
      </c>
      <c r="AL377" s="31" t="str">
        <f t="shared" si="327"/>
        <v/>
      </c>
      <c r="AM377" s="73" t="str">
        <f t="shared" si="328"/>
        <v/>
      </c>
      <c r="AN377" s="73" t="str">
        <f t="shared" si="329"/>
        <v/>
      </c>
      <c r="AO377" s="31" t="str">
        <f t="shared" si="302"/>
        <v/>
      </c>
      <c r="AP377" s="66" t="str">
        <f t="shared" si="303"/>
        <v/>
      </c>
      <c r="AQ377" s="47" t="s">
        <v>0</v>
      </c>
      <c r="AR377" s="82" t="str">
        <f t="shared" si="330"/>
        <v/>
      </c>
      <c r="AS377" s="47" t="s">
        <v>0</v>
      </c>
      <c r="AT377" s="19" t="str">
        <f t="shared" si="331"/>
        <v/>
      </c>
      <c r="AU377" s="47" t="s">
        <v>0</v>
      </c>
      <c r="AV377" s="103"/>
      <c r="AW377" s="105"/>
      <c r="AX377" s="47" t="s">
        <v>0</v>
      </c>
      <c r="AY377" s="256" t="str">
        <f t="shared" si="349"/>
        <v/>
      </c>
      <c r="AZ377" s="47" t="s">
        <v>0</v>
      </c>
      <c r="BA377" s="52" t="str">
        <f t="shared" si="296"/>
        <v/>
      </c>
      <c r="BB377" s="73" t="str">
        <f>IF(AV377&amp;AW377="","",MAX(BB$12:BB376)+1)</f>
        <v/>
      </c>
      <c r="BC377" s="268" t="str">
        <f t="shared" si="304"/>
        <v/>
      </c>
      <c r="BD377" s="53" t="str">
        <f>IF(AND(AM377="NEMA",AN377="NEMA",OR(AV377&amp;AW377="",BC377="NEMA")),MAX(BD$12:BD376)+1,"")</f>
        <v/>
      </c>
      <c r="BE377" s="47" t="s">
        <v>0</v>
      </c>
      <c r="BF377" s="52" t="str">
        <f t="shared" si="305"/>
        <v/>
      </c>
      <c r="BG377" s="31" t="str">
        <f t="shared" si="306"/>
        <v/>
      </c>
      <c r="BH377" s="73" t="str">
        <f t="shared" si="332"/>
        <v/>
      </c>
      <c r="BI377" s="53" t="str">
        <f t="shared" si="333"/>
        <v/>
      </c>
      <c r="BJ377" s="47" t="s">
        <v>0</v>
      </c>
      <c r="BK377" s="52" t="str">
        <f t="shared" si="307"/>
        <v/>
      </c>
      <c r="BL377" s="31" t="str">
        <f t="shared" si="308"/>
        <v/>
      </c>
      <c r="BM377" s="73" t="str">
        <f t="shared" si="309"/>
        <v/>
      </c>
      <c r="BN377" s="73" t="str">
        <f t="shared" si="310"/>
        <v/>
      </c>
      <c r="BO377" s="31" t="str" cm="1">
        <f t="array" ref="BO377">IF(BN377="",""&amp;BL377,IF(BN377="NEMA",BL377,INDEX(regKlub_naziv,MATCH(INDEX(regKlub_alias_klubId,BN377),regKlub_id,0))))</f>
        <v/>
      </c>
      <c r="BP377" s="31" t="str" cm="1">
        <f t="array" ref="BP377">IFERROR(""&amp;INDEX(regNatjecatelj_klub,DY377),"")</f>
        <v/>
      </c>
      <c r="BQ377" s="88" t="str">
        <f t="shared" si="334"/>
        <v/>
      </c>
      <c r="BR377" s="66" t="str">
        <f t="shared" si="335"/>
        <v/>
      </c>
      <c r="BS377" s="47" t="s">
        <v>0</v>
      </c>
      <c r="BT377" s="82" t="str">
        <f>IF(BN377&lt;&gt;"NEMA","",IF(IFERROR(MATCH(BL377,BL$12:BL376,0),0)&lt;&gt;0,"",BL377))</f>
        <v/>
      </c>
      <c r="BU377" s="47" t="s">
        <v>0</v>
      </c>
      <c r="BV377" s="125"/>
      <c r="BW377" s="47" t="s">
        <v>0</v>
      </c>
      <c r="BX377" s="58" t="str">
        <f t="shared" si="336"/>
        <v/>
      </c>
      <c r="BY377" s="31" t="str">
        <f t="shared" si="337"/>
        <v/>
      </c>
      <c r="BZ377" s="31" t="str">
        <f>IF(BY377="","",MAX(BZ$12:BZ376)+1)</f>
        <v/>
      </c>
      <c r="CA377" s="31" t="str">
        <f>IF(BY377="","",IF(AA377="","",IF(AA377="NEMA",AC377,AA377)))</f>
        <v/>
      </c>
      <c r="CB377" s="31" t="str">
        <f t="shared" si="338"/>
        <v/>
      </c>
      <c r="CC377" s="31" t="str">
        <f>IF(BV377="","",MAX(CC$12:CC376)+1)</f>
        <v/>
      </c>
      <c r="CD377" s="31" t="str">
        <f t="shared" si="339"/>
        <v/>
      </c>
      <c r="CE377" s="66" t="str">
        <f t="shared" si="340"/>
        <v/>
      </c>
      <c r="CF377" s="47" t="s">
        <v>0</v>
      </c>
      <c r="CG377" s="73" t="str">
        <f>IF(BN377="","",IF(BN377&lt;&gt;"NEMA","",IFERROR(INDEX(nat_klubAliasId,MATCH(BL377,nat_noviKluboviAliasi,0)),"")))</f>
        <v/>
      </c>
      <c r="CH377" s="47"/>
      <c r="CI377" s="19" t="str">
        <f t="shared" si="341"/>
        <v/>
      </c>
      <c r="CJ377" s="47" t="s">
        <v>0</v>
      </c>
      <c r="CK377" s="52" t="str">
        <f>IF(X377&lt;&gt;"NEMA","",IF(IFERROR(MATCH(W377,W$12:W376,0),0)&lt;&gt;0,"",W377))</f>
        <v/>
      </c>
      <c r="CL377" s="73" t="str">
        <f>IF(CK377="","",IFERROR(INDEX(regKlub_alias_id,MATCH(CK377,regKlub_alias_alias,0)),"NEMA"))</f>
        <v/>
      </c>
      <c r="CM377" s="31" t="str">
        <f>IF(OR(CL377="",CL377&lt;&gt;"NEMA"),"",MAX(CM$12:CM376)+1)</f>
        <v/>
      </c>
      <c r="CN377" s="66" t="str">
        <f>IF(OR(CL377="",CL377&lt;&gt;"NEMA"),"",INDEX(regKlub_id,MATCH(CK377,regKlub_naziv,0)))</f>
        <v/>
      </c>
      <c r="CO377" s="47" t="s">
        <v>0</v>
      </c>
      <c r="CP377" s="19" t="str">
        <f>IF(OR(CL377="",CL377&lt;&gt;"NEMA"),"","INSERT INTO klub_alias(id,alias,klub_id) VALUES ("&amp;CM377&amp;",'"&amp;CK377&amp;"',"&amp;CN377&amp;");")</f>
        <v/>
      </c>
      <c r="CQ377" s="47" t="s">
        <v>0</v>
      </c>
      <c r="CR377" s="143" t="str">
        <f>IF(BR377="","",IF(BV377="",IF(IFERROR(MATCH(BR377,nat_noviKluboviAliasi,0),0)&gt;0,INDEX(nat_kluboviAliasi,MATCH(BR377,nat_noviKluboviAliasi,0)),BR377),BV377))</f>
        <v/>
      </c>
      <c r="CS377" s="47" t="s">
        <v>0</v>
      </c>
      <c r="CT377" s="58" t="str">
        <f>IF(G377="","",G377)</f>
        <v/>
      </c>
      <c r="CU377" s="73" t="str">
        <f>IF(H377="","",H377)</f>
        <v/>
      </c>
      <c r="CV377" s="229" t="str">
        <f>IF(CT377="",IF(OR(AL377="",CU377&lt;&gt;"0"),"","GREŠKA"),IF(AND(65535&gt;=VALUE(LEFT(CT377,SEARCH(":",CT377)-1))*60+VALUE(RIGHT(CT377,2)),OR(CU377="0",CU377="1",CU377="2",CU377="3",CU377="4")),"","GREŠKA"))</f>
        <v/>
      </c>
      <c r="CW377" s="230" t="str">
        <f t="shared" si="295"/>
        <v/>
      </c>
      <c r="CX377" s="163" t="str">
        <f t="shared" si="311"/>
        <v/>
      </c>
      <c r="CY377" s="47" t="s">
        <v>0</v>
      </c>
      <c r="CZ377" s="222" t="str">
        <f>IF(CV377&lt;&gt;"GREŠKA","",AK377&amp;" "&amp;AL377&amp;" – Molim u OEventu provjeriti i ispraviti rezultat – vrijeme ("&amp;IF(CT377="","nije upisano",CT377)&amp;") i classifier ("&amp;CU377&amp;").")&amp;IF(OR(CV377&lt;&gt;"GREŠKA",CX377&lt;&gt;5),"
","")&amp;IF(CX377&lt;&gt;5,"",AK377&amp;" "&amp;AL377&amp;" – Molim u provjeriti je li natjecatelj zaista diskvalificiran. Ako je koje je obrazloženje, ako nije molim u OEventu ispraviti rezultat")</f>
        <v xml:space="preserve">
</v>
      </c>
      <c r="DA377" s="223" t="str">
        <f t="shared" si="342"/>
        <v/>
      </c>
      <c r="DB377" s="47" t="s">
        <v>0</v>
      </c>
      <c r="DC377" s="47"/>
      <c r="DD377" s="47"/>
      <c r="DE377" s="47"/>
      <c r="DF377" s="47" t="s">
        <v>0</v>
      </c>
      <c r="DG377" s="53" t="str">
        <f>IF(BD377="","",IF(DI377="O",1,""))</f>
        <v/>
      </c>
      <c r="DH377" t="s">
        <v>0</v>
      </c>
      <c r="DI377" s="128" t="str">
        <f>IF(Q377="","",LEFT(INDEX(regKategorija_oznaka,MATCH(S377,regKategorija_id,0)),1))</f>
        <v/>
      </c>
      <c r="DJ377" t="s">
        <v>0</v>
      </c>
      <c r="DK377" s="52" t="str">
        <f>IF(BD377="","",IF(M377&lt;&gt;"CRO","","INSERT INTO osoba (id,reg_broj,oib,spol_id,dat_rodjenja) VALUES ("&amp;BD377&amp;",(SELECT max(os.reg_broj)+1 FROM osoba AS os),Null,'"&amp;DI377&amp;"',Null); INSERT INTO osoba_log (id,reg_broj,oib,spol_id,dat_rodjenja,dnevnik_id) SELECT id,reg_broj,oib,spol_id,dat_rodjenja,"&amp;data_dnevnik_id&amp;" FROM osoba WHERE id = "&amp;BD377&amp;";"))</f>
        <v/>
      </c>
      <c r="DL377" s="66" t="str">
        <f>IF(BD377="","","INSERT INTO imeprezime (id,osoba_id,rbr,ime,prezime,klub_id,identitet_id,sintaksa_id,info,aktivno,dnevnik_id) VALUES ("&amp;BD377&amp;","&amp;IF(DK377="","Null",BD377)&amp;",1,'"&amp;IF(AV377&lt;&gt;"",AV377,AK377)&amp;"','"&amp;IF(AW377&lt;&gt;"",AW377,AL377)&amp;"',(SELECT id FROM klub WHERE naziv = '"&amp;CR377&amp;"'),Null,1,'',1,"&amp;data_dnevnik_id&amp;");")</f>
        <v/>
      </c>
      <c r="DM377" t="s">
        <v>0</v>
      </c>
      <c r="DN377" s="19" t="str">
        <f t="shared" si="350"/>
        <v/>
      </c>
      <c r="DO377" s="47" t="s">
        <v>0</v>
      </c>
      <c r="DP377" s="19" t="str">
        <f>IF(BA377="","","INSERT INTO imeprezime_alias(id,alias,imeprezime_id) VALUES ("&amp;BB377&amp;",'"&amp;BA377&amp;"',"&amp;IF(BC377="NEMA",BD377,BC377)&amp;");")</f>
        <v/>
      </c>
      <c r="DQ377" s="47" t="s">
        <v>0</v>
      </c>
      <c r="DR377" s="52" t="str">
        <f>IF(AL377="","",DU377 &amp; IF(Q377="",""," – " &amp; Q377))</f>
        <v/>
      </c>
      <c r="DS377" s="53" t="str">
        <f t="shared" si="312"/>
        <v/>
      </c>
      <c r="DT377" s="47" t="s">
        <v>0</v>
      </c>
      <c r="DU377" s="52" t="str">
        <f>IF(AL377="","",DX377 &amp; IF(CR377="",""," – " &amp; CR377))</f>
        <v/>
      </c>
      <c r="DV377" s="53" t="str">
        <f t="shared" si="313"/>
        <v/>
      </c>
      <c r="DW377" s="47" t="s">
        <v>0</v>
      </c>
      <c r="DX377" s="52" t="str">
        <f>IF(BG377="","",BF377&amp;" – "&amp;BG377)</f>
        <v/>
      </c>
      <c r="DY377" s="53" t="str">
        <f t="shared" si="314"/>
        <v/>
      </c>
      <c r="DZ377" s="47" t="s">
        <v>0</v>
      </c>
      <c r="EA377" s="58" t="str">
        <f t="shared" si="343"/>
        <v/>
      </c>
      <c r="EB377" s="53" t="str" cm="1">
        <f t="array" ref="EB377">IF(EA377&lt;&gt;"",INDEX(regNatjecatelj_id,EA377,0),IF(BD377&lt;&gt;"",BD377,""))</f>
        <v/>
      </c>
      <c r="EC377" s="47" t="s">
        <v>0</v>
      </c>
      <c r="ED377" s="58" t="str">
        <f>IF(AL377="","",IF(BD377&lt;&gt;"","novo",IF(AN377="","imepre","imepre(ali)")))</f>
        <v/>
      </c>
      <c r="EE377" s="73" t="str">
        <f>IF(AL377="","",IF(BL377="",IF(IFERROR(INDEX(regNatjecatelj_klub,MATCH(EB377,regNatjecatelj_id,0)),"NEMA")="","klu",""),IF(OR(AND(BN377&lt;&gt;"",BN377&lt;&gt;"NEMA"),CD377&lt;&gt;""),"klu(ali)",IF(AND(BP377&lt;&gt;"",BP377&lt;&gt;BO377),"(raz-klu)","klu"))))</f>
        <v/>
      </c>
      <c r="EF377" s="73" t="str">
        <f>IF(AL377="","","kat"&amp;IF(AND(W377&lt;&gt;Q377,Q377&lt;&gt;"Open"),"(ali)",""))</f>
        <v/>
      </c>
      <c r="EG377" s="73" t="str">
        <f t="shared" si="315"/>
        <v/>
      </c>
      <c r="EH377" s="66" t="str">
        <f>IF(AL377="","",ED377&amp;IF(ED377="novo","","-"&amp;EE377&amp;"-"&amp;EF377)&amp;IF(EG377="","","-"&amp;EG377))</f>
        <v/>
      </c>
      <c r="EI377" s="47" t="s">
        <v>0</v>
      </c>
      <c r="EJ377" s="58" t="str">
        <f>IF(AL377="","",MAX(EJ$12:EJ376)+1)</f>
        <v/>
      </c>
      <c r="EK377" s="73" t="str">
        <f>IF(AO377="","",X377)</f>
        <v/>
      </c>
      <c r="EL377" s="73" t="str">
        <f t="shared" si="344"/>
        <v/>
      </c>
      <c r="EM377" s="73" t="str">
        <f t="shared" si="316"/>
        <v/>
      </c>
      <c r="EN377" s="73" t="str">
        <f t="shared" si="317"/>
        <v/>
      </c>
      <c r="EO377" s="73" t="str">
        <f t="shared" si="345"/>
        <v/>
      </c>
      <c r="EP377" s="73" t="str">
        <f t="shared" si="346"/>
        <v/>
      </c>
      <c r="EQ377" s="73" t="str">
        <f t="shared" si="318"/>
        <v/>
      </c>
      <c r="ER377" s="73" t="str">
        <f>IF(OR(AN377="",AN377="NEMA"),BB377,AN377)</f>
        <v/>
      </c>
      <c r="ES377" s="73" t="str">
        <f>IF(AND(BN377&lt;&gt;"",BN377&lt;&gt;"NEMA"),BN377,IF(CG377&lt;&gt;"",CG377,IF(AND(CL377&lt;&gt;"",CL377&lt;&gt;"NEMA"),CL377,IF(CM377&lt;&gt;"",CM377,""))))</f>
        <v/>
      </c>
      <c r="ET377" s="53" t="str">
        <f>IF(INDEX(natKategorija_alias_Id,MATCH(S377,natKategorija_katRegId,0))="","",INDEX(natKategorija_alias_Id,MATCH(S377,natKategorija_katRegId,0)))</f>
        <v/>
      </c>
      <c r="EU377" s="47" t="s">
        <v>0</v>
      </c>
      <c r="EV377" s="19" t="str">
        <f t="shared" si="347"/>
        <v/>
      </c>
      <c r="EW377" s="47" t="s">
        <v>0</v>
      </c>
      <c r="EX377" s="19" t="str">
        <f t="shared" si="348"/>
        <v/>
      </c>
      <c r="EY377" s="47" t="s">
        <v>0</v>
      </c>
      <c r="EZ377" s="180" t="str">
        <f>AG377&amp;IF(CP377="","","
")&amp;CP377&amp;IF(CI377="","","
")&amp;CI377&amp;IF(DN377="","","
")&amp;DN377&amp;IF(DP377="","","
")&amp;DP377&amp;IF(EV377="","","
")&amp;EV377&amp;IF(EX377="","","
")&amp;EX377</f>
        <v/>
      </c>
      <c r="FA377" s="47" t="s">
        <v>0</v>
      </c>
    </row>
    <row r="378" spans="1:157" x14ac:dyDescent="0.25">
      <c r="A378" t="s">
        <v>0</v>
      </c>
      <c r="B378" s="52" t="str">
        <f>IF(csv!F368="","",csv!T368)</f>
        <v/>
      </c>
      <c r="C378" s="31" t="s">
        <v>0</v>
      </c>
      <c r="D378" s="31" t="str">
        <f>IF(csv!F368="","",csv!F368)</f>
        <v/>
      </c>
      <c r="E378" s="31" t="str">
        <f>IF(csv!E368="","",csv!E368)</f>
        <v/>
      </c>
      <c r="F378" s="31" t="s">
        <v>0</v>
      </c>
      <c r="G378" s="73" t="str">
        <f>IF(csv!M368="","",csv!M368)</f>
        <v/>
      </c>
      <c r="H378" s="73" t="str">
        <f>IF(csv!N368="","",csv!N368)</f>
        <v/>
      </c>
      <c r="I378" s="31" t="s">
        <v>0</v>
      </c>
      <c r="J378" s="31" t="str">
        <f>IF(csv!P368="","",csv!P368)</f>
        <v/>
      </c>
      <c r="K378" s="31" t="str">
        <f>IF(csv!Q368="","",csv!Q368)</f>
        <v/>
      </c>
      <c r="L378" s="31" t="s">
        <v>0</v>
      </c>
      <c r="M378" s="66" t="str">
        <f>IF(csv!R368="","",csv!R368)</f>
        <v/>
      </c>
      <c r="N378" s="47" t="s">
        <v>0</v>
      </c>
      <c r="O378" s="243" t="str">
        <f t="shared" si="319"/>
        <v/>
      </c>
      <c r="P378" s="47"/>
      <c r="Q378" s="52" t="str">
        <f t="shared" si="320"/>
        <v/>
      </c>
      <c r="R378" s="73" t="str">
        <f>IF(Q378="","",IF(COUNTIF(Q$12:Q377,Q378)=0,R377+1,R377))</f>
        <v/>
      </c>
      <c r="S378" s="73" t="str">
        <f t="shared" si="321"/>
        <v/>
      </c>
      <c r="T378" s="73" t="str">
        <f t="shared" si="297"/>
        <v/>
      </c>
      <c r="U378" s="66" t="str">
        <f t="shared" si="298"/>
        <v/>
      </c>
      <c r="V378" s="47" t="s">
        <v>0</v>
      </c>
      <c r="W378" s="222" t="str">
        <f t="shared" si="299"/>
        <v/>
      </c>
      <c r="X378" s="223" t="str">
        <f t="shared" si="300"/>
        <v/>
      </c>
      <c r="Y378" s="47" t="s">
        <v>0</v>
      </c>
      <c r="Z378" s="52" t="str">
        <f t="shared" si="322"/>
        <v/>
      </c>
      <c r="AA378" s="73" t="str">
        <f t="shared" si="301"/>
        <v/>
      </c>
      <c r="AB378" s="31" t="str">
        <f t="shared" si="323"/>
        <v/>
      </c>
      <c r="AC378" s="66" t="str">
        <f>IF(AB378="","",MAX(AC$12:AC377)+1)</f>
        <v/>
      </c>
      <c r="AD378" s="47" t="s">
        <v>0</v>
      </c>
      <c r="AE378" s="125"/>
      <c r="AF378" s="47" t="s">
        <v>0</v>
      </c>
      <c r="AG378" s="19" t="str">
        <f t="shared" si="324"/>
        <v/>
      </c>
      <c r="AH378" s="47" t="s">
        <v>0</v>
      </c>
      <c r="AI378" s="143" t="str">
        <f t="shared" si="325"/>
        <v/>
      </c>
      <c r="AJ378" s="47"/>
      <c r="AK378" s="52" t="str">
        <f t="shared" si="326"/>
        <v/>
      </c>
      <c r="AL378" s="31" t="str">
        <f t="shared" si="327"/>
        <v/>
      </c>
      <c r="AM378" s="73" t="str">
        <f t="shared" si="328"/>
        <v/>
      </c>
      <c r="AN378" s="73" t="str">
        <f t="shared" si="329"/>
        <v/>
      </c>
      <c r="AO378" s="31" t="str">
        <f t="shared" si="302"/>
        <v/>
      </c>
      <c r="AP378" s="66" t="str">
        <f t="shared" si="303"/>
        <v/>
      </c>
      <c r="AQ378" s="47" t="s">
        <v>0</v>
      </c>
      <c r="AR378" s="82" t="str">
        <f t="shared" si="330"/>
        <v/>
      </c>
      <c r="AS378" s="47" t="s">
        <v>0</v>
      </c>
      <c r="AT378" s="19" t="str">
        <f t="shared" si="331"/>
        <v/>
      </c>
      <c r="AU378" s="47" t="s">
        <v>0</v>
      </c>
      <c r="AV378" s="103"/>
      <c r="AW378" s="105"/>
      <c r="AX378" s="47" t="s">
        <v>0</v>
      </c>
      <c r="AY378" s="256" t="str">
        <f t="shared" si="349"/>
        <v/>
      </c>
      <c r="AZ378" s="47" t="s">
        <v>0</v>
      </c>
      <c r="BA378" s="52" t="str">
        <f t="shared" si="296"/>
        <v/>
      </c>
      <c r="BB378" s="73" t="str">
        <f>IF(AV378&amp;AW378="","",MAX(BB$12:BB377)+1)</f>
        <v/>
      </c>
      <c r="BC378" s="268" t="str">
        <f t="shared" si="304"/>
        <v/>
      </c>
      <c r="BD378" s="53" t="str">
        <f>IF(AND(AM378="NEMA",AN378="NEMA",OR(AV378&amp;AW378="",BC378="NEMA")),MAX(BD$12:BD377)+1,"")</f>
        <v/>
      </c>
      <c r="BE378" s="47" t="s">
        <v>0</v>
      </c>
      <c r="BF378" s="52" t="str">
        <f t="shared" si="305"/>
        <v/>
      </c>
      <c r="BG378" s="31" t="str">
        <f t="shared" si="306"/>
        <v/>
      </c>
      <c r="BH378" s="73" t="str">
        <f t="shared" si="332"/>
        <v/>
      </c>
      <c r="BI378" s="53" t="str">
        <f t="shared" si="333"/>
        <v/>
      </c>
      <c r="BJ378" s="47" t="s">
        <v>0</v>
      </c>
      <c r="BK378" s="52" t="str">
        <f t="shared" si="307"/>
        <v/>
      </c>
      <c r="BL378" s="31" t="str">
        <f t="shared" si="308"/>
        <v/>
      </c>
      <c r="BM378" s="73" t="str">
        <f t="shared" si="309"/>
        <v/>
      </c>
      <c r="BN378" s="73" t="str">
        <f t="shared" si="310"/>
        <v/>
      </c>
      <c r="BO378" s="31" t="str" cm="1">
        <f t="array" ref="BO378">IF(BN378="",""&amp;BL378,IF(BN378="NEMA",BL378,INDEX(regKlub_naziv,MATCH(INDEX(regKlub_alias_klubId,BN378),regKlub_id,0))))</f>
        <v/>
      </c>
      <c r="BP378" s="31" t="str" cm="1">
        <f t="array" ref="BP378">IFERROR(""&amp;INDEX(regNatjecatelj_klub,DY378),"")</f>
        <v/>
      </c>
      <c r="BQ378" s="88" t="str">
        <f t="shared" si="334"/>
        <v/>
      </c>
      <c r="BR378" s="66" t="str">
        <f t="shared" si="335"/>
        <v/>
      </c>
      <c r="BS378" s="47" t="s">
        <v>0</v>
      </c>
      <c r="BT378" s="82" t="str">
        <f>IF(BN378&lt;&gt;"NEMA","",IF(IFERROR(MATCH(BL378,BL$12:BL377,0),0)&lt;&gt;0,"",BL378))</f>
        <v/>
      </c>
      <c r="BU378" s="47" t="s">
        <v>0</v>
      </c>
      <c r="BV378" s="125"/>
      <c r="BW378" s="47" t="s">
        <v>0</v>
      </c>
      <c r="BX378" s="58" t="str">
        <f t="shared" si="336"/>
        <v/>
      </c>
      <c r="BY378" s="31" t="str">
        <f t="shared" si="337"/>
        <v/>
      </c>
      <c r="BZ378" s="31" t="str">
        <f>IF(BY378="","",MAX(BZ$12:BZ377)+1)</f>
        <v/>
      </c>
      <c r="CA378" s="31" t="str">
        <f>IF(BY378="","",IF(AA378="","",IF(AA378="NEMA",AC378,AA378)))</f>
        <v/>
      </c>
      <c r="CB378" s="31" t="str">
        <f t="shared" si="338"/>
        <v/>
      </c>
      <c r="CC378" s="31" t="str">
        <f>IF(BV378="","",MAX(CC$12:CC377)+1)</f>
        <v/>
      </c>
      <c r="CD378" s="31" t="str">
        <f t="shared" si="339"/>
        <v/>
      </c>
      <c r="CE378" s="66" t="str">
        <f t="shared" si="340"/>
        <v/>
      </c>
      <c r="CF378" s="47" t="s">
        <v>0</v>
      </c>
      <c r="CG378" s="73" t="str">
        <f>IF(BN378="","",IF(BN378&lt;&gt;"NEMA","",IFERROR(INDEX(nat_klubAliasId,MATCH(BL378,nat_noviKluboviAliasi,0)),"")))</f>
        <v/>
      </c>
      <c r="CH378" s="47"/>
      <c r="CI378" s="19" t="str">
        <f t="shared" si="341"/>
        <v/>
      </c>
      <c r="CJ378" s="47" t="s">
        <v>0</v>
      </c>
      <c r="CK378" s="52" t="str">
        <f>IF(X378&lt;&gt;"NEMA","",IF(IFERROR(MATCH(W378,W$12:W377,0),0)&lt;&gt;0,"",W378))</f>
        <v/>
      </c>
      <c r="CL378" s="73" t="str">
        <f>IF(CK378="","",IFERROR(INDEX(regKlub_alias_id,MATCH(CK378,regKlub_alias_alias,0)),"NEMA"))</f>
        <v/>
      </c>
      <c r="CM378" s="31" t="str">
        <f>IF(OR(CL378="",CL378&lt;&gt;"NEMA"),"",MAX(CM$12:CM377)+1)</f>
        <v/>
      </c>
      <c r="CN378" s="66" t="str">
        <f>IF(OR(CL378="",CL378&lt;&gt;"NEMA"),"",INDEX(regKlub_id,MATCH(CK378,regKlub_naziv,0)))</f>
        <v/>
      </c>
      <c r="CO378" s="47" t="s">
        <v>0</v>
      </c>
      <c r="CP378" s="19" t="str">
        <f>IF(OR(CL378="",CL378&lt;&gt;"NEMA"),"","INSERT INTO klub_alias(id,alias,klub_id) VALUES ("&amp;CM378&amp;",'"&amp;CK378&amp;"',"&amp;CN378&amp;");")</f>
        <v/>
      </c>
      <c r="CQ378" s="47" t="s">
        <v>0</v>
      </c>
      <c r="CR378" s="143" t="str">
        <f>IF(BR378="","",IF(BV378="",IF(IFERROR(MATCH(BR378,nat_noviKluboviAliasi,0),0)&gt;0,INDEX(nat_kluboviAliasi,MATCH(BR378,nat_noviKluboviAliasi,0)),BR378),BV378))</f>
        <v/>
      </c>
      <c r="CS378" s="47" t="s">
        <v>0</v>
      </c>
      <c r="CT378" s="58" t="str">
        <f>IF(G378="","",G378)</f>
        <v/>
      </c>
      <c r="CU378" s="73" t="str">
        <f>IF(H378="","",H378)</f>
        <v/>
      </c>
      <c r="CV378" s="229" t="str">
        <f>IF(CT378="",IF(OR(AL378="",CU378&lt;&gt;"0"),"","GREŠKA"),IF(AND(65535&gt;=VALUE(LEFT(CT378,SEARCH(":",CT378)-1))*60+VALUE(RIGHT(CT378,2)),OR(CU378="0",CU378="1",CU378="2",CU378="3",CU378="4")),"","GREŠKA"))</f>
        <v/>
      </c>
      <c r="CW378" s="230" t="str">
        <f t="shared" si="295"/>
        <v/>
      </c>
      <c r="CX378" s="163" t="str">
        <f t="shared" si="311"/>
        <v/>
      </c>
      <c r="CY378" s="47" t="s">
        <v>0</v>
      </c>
      <c r="CZ378" s="222" t="str">
        <f>IF(CV378&lt;&gt;"GREŠKA","",AK378&amp;" "&amp;AL378&amp;" – Molim u OEventu provjeriti i ispraviti rezultat – vrijeme ("&amp;IF(CT378="","nije upisano",CT378)&amp;") i classifier ("&amp;CU378&amp;").")&amp;IF(OR(CV378&lt;&gt;"GREŠKA",CX378&lt;&gt;5),"
","")&amp;IF(CX378&lt;&gt;5,"",AK378&amp;" "&amp;AL378&amp;" – Molim u provjeriti je li natjecatelj zaista diskvalificiran. Ako je koje je obrazloženje, ako nije molim u OEventu ispraviti rezultat")</f>
        <v xml:space="preserve">
</v>
      </c>
      <c r="DA378" s="223" t="str">
        <f t="shared" si="342"/>
        <v/>
      </c>
      <c r="DB378" s="47" t="s">
        <v>0</v>
      </c>
      <c r="DC378" s="47"/>
      <c r="DD378" s="47"/>
      <c r="DE378" s="47"/>
      <c r="DF378" s="47" t="s">
        <v>0</v>
      </c>
      <c r="DG378" s="53" t="str">
        <f>IF(BD378="","",IF(DI378="O",1,""))</f>
        <v/>
      </c>
      <c r="DH378" t="s">
        <v>0</v>
      </c>
      <c r="DI378" s="128" t="str">
        <f>IF(Q378="","",LEFT(INDEX(regKategorija_oznaka,MATCH(S378,regKategorija_id,0)),1))</f>
        <v/>
      </c>
      <c r="DJ378" t="s">
        <v>0</v>
      </c>
      <c r="DK378" s="52" t="str">
        <f>IF(BD378="","",IF(M378&lt;&gt;"CRO","","INSERT INTO osoba (id,reg_broj,oib,spol_id,dat_rodjenja) VALUES ("&amp;BD378&amp;",(SELECT max(os.reg_broj)+1 FROM osoba AS os),Null,'"&amp;DI378&amp;"',Null); INSERT INTO osoba_log (id,reg_broj,oib,spol_id,dat_rodjenja,dnevnik_id) SELECT id,reg_broj,oib,spol_id,dat_rodjenja,"&amp;data_dnevnik_id&amp;" FROM osoba WHERE id = "&amp;BD378&amp;";"))</f>
        <v/>
      </c>
      <c r="DL378" s="66" t="str">
        <f>IF(BD378="","","INSERT INTO imeprezime (id,osoba_id,rbr,ime,prezime,klub_id,identitet_id,sintaksa_id,info,aktivno,dnevnik_id) VALUES ("&amp;BD378&amp;","&amp;IF(DK378="","Null",BD378)&amp;",1,'"&amp;IF(AV378&lt;&gt;"",AV378,AK378)&amp;"','"&amp;IF(AW378&lt;&gt;"",AW378,AL378)&amp;"',(SELECT id FROM klub WHERE naziv = '"&amp;CR378&amp;"'),Null,1,'',1,"&amp;data_dnevnik_id&amp;");")</f>
        <v/>
      </c>
      <c r="DM378" t="s">
        <v>0</v>
      </c>
      <c r="DN378" s="19" t="str">
        <f t="shared" si="350"/>
        <v/>
      </c>
      <c r="DO378" s="47" t="s">
        <v>0</v>
      </c>
      <c r="DP378" s="19" t="str">
        <f>IF(BA378="","","INSERT INTO imeprezime_alias(id,alias,imeprezime_id) VALUES ("&amp;BB378&amp;",'"&amp;BA378&amp;"',"&amp;IF(BC378="NEMA",BD378,BC378)&amp;");")</f>
        <v/>
      </c>
      <c r="DQ378" s="47" t="s">
        <v>0</v>
      </c>
      <c r="DR378" s="52" t="str">
        <f>IF(AL378="","",DU378 &amp; IF(Q378="",""," – " &amp; Q378))</f>
        <v/>
      </c>
      <c r="DS378" s="53" t="str">
        <f t="shared" si="312"/>
        <v/>
      </c>
      <c r="DT378" s="47" t="s">
        <v>0</v>
      </c>
      <c r="DU378" s="52" t="str">
        <f>IF(AL378="","",DX378 &amp; IF(CR378="",""," – " &amp; CR378))</f>
        <v/>
      </c>
      <c r="DV378" s="53" t="str">
        <f t="shared" si="313"/>
        <v/>
      </c>
      <c r="DW378" s="47" t="s">
        <v>0</v>
      </c>
      <c r="DX378" s="52" t="str">
        <f>IF(BG378="","",BF378&amp;" – "&amp;BG378)</f>
        <v/>
      </c>
      <c r="DY378" s="53" t="str">
        <f t="shared" si="314"/>
        <v/>
      </c>
      <c r="DZ378" s="47" t="s">
        <v>0</v>
      </c>
      <c r="EA378" s="58" t="str">
        <f t="shared" si="343"/>
        <v/>
      </c>
      <c r="EB378" s="53" t="str" cm="1">
        <f t="array" ref="EB378">IF(EA378&lt;&gt;"",INDEX(regNatjecatelj_id,EA378,0),IF(BD378&lt;&gt;"",BD378,""))</f>
        <v/>
      </c>
      <c r="EC378" s="47" t="s">
        <v>0</v>
      </c>
      <c r="ED378" s="58" t="str">
        <f>IF(AL378="","",IF(BD378&lt;&gt;"","novo",IF(AN378="","imepre","imepre(ali)")))</f>
        <v/>
      </c>
      <c r="EE378" s="73" t="str">
        <f>IF(AL378="","",IF(BL378="",IF(IFERROR(INDEX(regNatjecatelj_klub,MATCH(EB378,regNatjecatelj_id,0)),"NEMA")="","klu",""),IF(OR(AND(BN378&lt;&gt;"",BN378&lt;&gt;"NEMA"),CD378&lt;&gt;""),"klu(ali)",IF(AND(BP378&lt;&gt;"",BP378&lt;&gt;BO378),"(raz-klu)","klu"))))</f>
        <v/>
      </c>
      <c r="EF378" s="73" t="str">
        <f>IF(AL378="","","kat"&amp;IF(AND(W378&lt;&gt;Q378,Q378&lt;&gt;"Open"),"(ali)",""))</f>
        <v/>
      </c>
      <c r="EG378" s="73" t="str">
        <f t="shared" si="315"/>
        <v/>
      </c>
      <c r="EH378" s="66" t="str">
        <f>IF(AL378="","",ED378&amp;IF(ED378="novo","","-"&amp;EE378&amp;"-"&amp;EF378)&amp;IF(EG378="","","-"&amp;EG378))</f>
        <v/>
      </c>
      <c r="EI378" s="47" t="s">
        <v>0</v>
      </c>
      <c r="EJ378" s="58" t="str">
        <f>IF(AL378="","",MAX(EJ$12:EJ377)+1)</f>
        <v/>
      </c>
      <c r="EK378" s="73" t="str">
        <f>IF(AO378="","",X378)</f>
        <v/>
      </c>
      <c r="EL378" s="73" t="str">
        <f t="shared" si="344"/>
        <v/>
      </c>
      <c r="EM378" s="73" t="str">
        <f t="shared" si="316"/>
        <v/>
      </c>
      <c r="EN378" s="73" t="str">
        <f t="shared" si="317"/>
        <v/>
      </c>
      <c r="EO378" s="73" t="str">
        <f t="shared" si="345"/>
        <v/>
      </c>
      <c r="EP378" s="73" t="str">
        <f t="shared" si="346"/>
        <v/>
      </c>
      <c r="EQ378" s="73" t="str">
        <f t="shared" si="318"/>
        <v/>
      </c>
      <c r="ER378" s="73" t="str">
        <f>IF(OR(AN378="",AN378="NEMA"),BB378,AN378)</f>
        <v/>
      </c>
      <c r="ES378" s="73" t="str">
        <f>IF(AND(BN378&lt;&gt;"",BN378&lt;&gt;"NEMA"),BN378,IF(CG378&lt;&gt;"",CG378,IF(AND(CL378&lt;&gt;"",CL378&lt;&gt;"NEMA"),CL378,IF(CM378&lt;&gt;"",CM378,""))))</f>
        <v/>
      </c>
      <c r="ET378" s="53" t="str">
        <f>IF(INDEX(natKategorija_alias_Id,MATCH(S378,natKategorija_katRegId,0))="","",INDEX(natKategorija_alias_Id,MATCH(S378,natKategorija_katRegId,0)))</f>
        <v/>
      </c>
      <c r="EU378" s="47" t="s">
        <v>0</v>
      </c>
      <c r="EV378" s="19" t="str">
        <f t="shared" si="347"/>
        <v/>
      </c>
      <c r="EW378" s="47" t="s">
        <v>0</v>
      </c>
      <c r="EX378" s="19" t="str">
        <f t="shared" si="348"/>
        <v/>
      </c>
      <c r="EY378" s="47" t="s">
        <v>0</v>
      </c>
      <c r="EZ378" s="180" t="str">
        <f>AG378&amp;IF(CP378="","","
")&amp;CP378&amp;IF(CI378="","","
")&amp;CI378&amp;IF(DN378="","","
")&amp;DN378&amp;IF(DP378="","","
")&amp;DP378&amp;IF(EV378="","","
")&amp;EV378&amp;IF(EX378="","","
")&amp;EX378</f>
        <v/>
      </c>
      <c r="FA378" s="47" t="s">
        <v>0</v>
      </c>
    </row>
    <row r="379" spans="1:157" x14ac:dyDescent="0.25">
      <c r="A379" t="s">
        <v>0</v>
      </c>
      <c r="B379" s="52" t="str">
        <f>IF(csv!F369="","",csv!T369)</f>
        <v/>
      </c>
      <c r="C379" s="31" t="s">
        <v>0</v>
      </c>
      <c r="D379" s="31" t="str">
        <f>IF(csv!F369="","",csv!F369)</f>
        <v/>
      </c>
      <c r="E379" s="31" t="str">
        <f>IF(csv!E369="","",csv!E369)</f>
        <v/>
      </c>
      <c r="F379" s="31" t="s">
        <v>0</v>
      </c>
      <c r="G379" s="73" t="str">
        <f>IF(csv!M369="","",csv!M369)</f>
        <v/>
      </c>
      <c r="H379" s="73" t="str">
        <f>IF(csv!N369="","",csv!N369)</f>
        <v/>
      </c>
      <c r="I379" s="31" t="s">
        <v>0</v>
      </c>
      <c r="J379" s="31" t="str">
        <f>IF(csv!P369="","",csv!P369)</f>
        <v/>
      </c>
      <c r="K379" s="31" t="str">
        <f>IF(csv!Q369="","",csv!Q369)</f>
        <v/>
      </c>
      <c r="L379" s="31" t="s">
        <v>0</v>
      </c>
      <c r="M379" s="66" t="str">
        <f>IF(csv!R369="","",csv!R369)</f>
        <v/>
      </c>
      <c r="N379" s="47" t="s">
        <v>0</v>
      </c>
      <c r="O379" s="243" t="str">
        <f t="shared" si="319"/>
        <v/>
      </c>
      <c r="P379" s="47"/>
      <c r="Q379" s="52" t="str">
        <f t="shared" si="320"/>
        <v/>
      </c>
      <c r="R379" s="73" t="str">
        <f>IF(Q379="","",IF(COUNTIF(Q$12:Q378,Q379)=0,R378+1,R378))</f>
        <v/>
      </c>
      <c r="S379" s="73" t="str">
        <f t="shared" si="321"/>
        <v/>
      </c>
      <c r="T379" s="73" t="str">
        <f t="shared" si="297"/>
        <v/>
      </c>
      <c r="U379" s="66" t="str">
        <f t="shared" si="298"/>
        <v/>
      </c>
      <c r="V379" s="47" t="s">
        <v>0</v>
      </c>
      <c r="W379" s="222" t="str">
        <f t="shared" si="299"/>
        <v/>
      </c>
      <c r="X379" s="223" t="str">
        <f t="shared" si="300"/>
        <v/>
      </c>
      <c r="Y379" s="47" t="s">
        <v>0</v>
      </c>
      <c r="Z379" s="52" t="str">
        <f t="shared" si="322"/>
        <v/>
      </c>
      <c r="AA379" s="73" t="str">
        <f t="shared" si="301"/>
        <v/>
      </c>
      <c r="AB379" s="31" t="str">
        <f t="shared" si="323"/>
        <v/>
      </c>
      <c r="AC379" s="66" t="str">
        <f>IF(AB379="","",MAX(AC$12:AC378)+1)</f>
        <v/>
      </c>
      <c r="AD379" s="47" t="s">
        <v>0</v>
      </c>
      <c r="AE379" s="125"/>
      <c r="AF379" s="47" t="s">
        <v>0</v>
      </c>
      <c r="AG379" s="19" t="str">
        <f t="shared" si="324"/>
        <v/>
      </c>
      <c r="AH379" s="47" t="s">
        <v>0</v>
      </c>
      <c r="AI379" s="143" t="str">
        <f t="shared" si="325"/>
        <v/>
      </c>
      <c r="AJ379" s="47"/>
      <c r="AK379" s="52" t="str">
        <f t="shared" si="326"/>
        <v/>
      </c>
      <c r="AL379" s="31" t="str">
        <f t="shared" si="327"/>
        <v/>
      </c>
      <c r="AM379" s="73" t="str">
        <f t="shared" si="328"/>
        <v/>
      </c>
      <c r="AN379" s="73" t="str">
        <f t="shared" si="329"/>
        <v/>
      </c>
      <c r="AO379" s="31" t="str">
        <f t="shared" si="302"/>
        <v/>
      </c>
      <c r="AP379" s="66" t="str">
        <f t="shared" si="303"/>
        <v/>
      </c>
      <c r="AQ379" s="47" t="s">
        <v>0</v>
      </c>
      <c r="AR379" s="82" t="str">
        <f t="shared" si="330"/>
        <v/>
      </c>
      <c r="AS379" s="47" t="s">
        <v>0</v>
      </c>
      <c r="AT379" s="19" t="str">
        <f t="shared" si="331"/>
        <v/>
      </c>
      <c r="AU379" s="47" t="s">
        <v>0</v>
      </c>
      <c r="AV379" s="103"/>
      <c r="AW379" s="105"/>
      <c r="AX379" s="47" t="s">
        <v>0</v>
      </c>
      <c r="AY379" s="256" t="str">
        <f t="shared" si="349"/>
        <v/>
      </c>
      <c r="AZ379" s="47" t="s">
        <v>0</v>
      </c>
      <c r="BA379" s="52" t="str">
        <f t="shared" si="296"/>
        <v/>
      </c>
      <c r="BB379" s="73" t="str">
        <f>IF(AV379&amp;AW379="","",MAX(BB$12:BB378)+1)</f>
        <v/>
      </c>
      <c r="BC379" s="268" t="str">
        <f t="shared" si="304"/>
        <v/>
      </c>
      <c r="BD379" s="53" t="str">
        <f>IF(AND(AM379="NEMA",AN379="NEMA",OR(AV379&amp;AW379="",BC379="NEMA")),MAX(BD$12:BD378)+1,"")</f>
        <v/>
      </c>
      <c r="BE379" s="47" t="s">
        <v>0</v>
      </c>
      <c r="BF379" s="52" t="str">
        <f t="shared" si="305"/>
        <v/>
      </c>
      <c r="BG379" s="31" t="str">
        <f t="shared" si="306"/>
        <v/>
      </c>
      <c r="BH379" s="73" t="str">
        <f t="shared" si="332"/>
        <v/>
      </c>
      <c r="BI379" s="53" t="str">
        <f t="shared" si="333"/>
        <v/>
      </c>
      <c r="BJ379" s="47" t="s">
        <v>0</v>
      </c>
      <c r="BK379" s="52" t="str">
        <f t="shared" si="307"/>
        <v/>
      </c>
      <c r="BL379" s="31" t="str">
        <f t="shared" si="308"/>
        <v/>
      </c>
      <c r="BM379" s="73" t="str">
        <f t="shared" si="309"/>
        <v/>
      </c>
      <c r="BN379" s="73" t="str">
        <f t="shared" si="310"/>
        <v/>
      </c>
      <c r="BO379" s="31" t="str" cm="1">
        <f t="array" ref="BO379">IF(BN379="",""&amp;BL379,IF(BN379="NEMA",BL379,INDEX(regKlub_naziv,MATCH(INDEX(regKlub_alias_klubId,BN379),regKlub_id,0))))</f>
        <v/>
      </c>
      <c r="BP379" s="31" t="str" cm="1">
        <f t="array" ref="BP379">IFERROR(""&amp;INDEX(regNatjecatelj_klub,DY379),"")</f>
        <v/>
      </c>
      <c r="BQ379" s="88" t="str">
        <f t="shared" si="334"/>
        <v/>
      </c>
      <c r="BR379" s="66" t="str">
        <f t="shared" si="335"/>
        <v/>
      </c>
      <c r="BS379" s="47" t="s">
        <v>0</v>
      </c>
      <c r="BT379" s="82" t="str">
        <f>IF(BN379&lt;&gt;"NEMA","",IF(IFERROR(MATCH(BL379,BL$12:BL378,0),0)&lt;&gt;0,"",BL379))</f>
        <v/>
      </c>
      <c r="BU379" s="47" t="s">
        <v>0</v>
      </c>
      <c r="BV379" s="125"/>
      <c r="BW379" s="47" t="s">
        <v>0</v>
      </c>
      <c r="BX379" s="58" t="str">
        <f t="shared" si="336"/>
        <v/>
      </c>
      <c r="BY379" s="31" t="str">
        <f t="shared" si="337"/>
        <v/>
      </c>
      <c r="BZ379" s="31" t="str">
        <f>IF(BY379="","",MAX(BZ$12:BZ378)+1)</f>
        <v/>
      </c>
      <c r="CA379" s="31" t="str">
        <f>IF(BY379="","",IF(AA379="","",IF(AA379="NEMA",AC379,AA379)))</f>
        <v/>
      </c>
      <c r="CB379" s="31" t="str">
        <f t="shared" si="338"/>
        <v/>
      </c>
      <c r="CC379" s="31" t="str">
        <f>IF(BV379="","",MAX(CC$12:CC378)+1)</f>
        <v/>
      </c>
      <c r="CD379" s="31" t="str">
        <f t="shared" si="339"/>
        <v/>
      </c>
      <c r="CE379" s="66" t="str">
        <f t="shared" si="340"/>
        <v/>
      </c>
      <c r="CF379" s="47" t="s">
        <v>0</v>
      </c>
      <c r="CG379" s="73" t="str">
        <f>IF(BN379="","",IF(BN379&lt;&gt;"NEMA","",IFERROR(INDEX(nat_klubAliasId,MATCH(BL379,nat_noviKluboviAliasi,0)),"")))</f>
        <v/>
      </c>
      <c r="CH379" s="47"/>
      <c r="CI379" s="19" t="str">
        <f t="shared" si="341"/>
        <v/>
      </c>
      <c r="CJ379" s="47" t="s">
        <v>0</v>
      </c>
      <c r="CK379" s="52" t="str">
        <f>IF(X379&lt;&gt;"NEMA","",IF(IFERROR(MATCH(W379,W$12:W378,0),0)&lt;&gt;0,"",W379))</f>
        <v/>
      </c>
      <c r="CL379" s="73" t="str">
        <f>IF(CK379="","",IFERROR(INDEX(regKlub_alias_id,MATCH(CK379,regKlub_alias_alias,0)),"NEMA"))</f>
        <v/>
      </c>
      <c r="CM379" s="31" t="str">
        <f>IF(OR(CL379="",CL379&lt;&gt;"NEMA"),"",MAX(CM$12:CM378)+1)</f>
        <v/>
      </c>
      <c r="CN379" s="66" t="str">
        <f>IF(OR(CL379="",CL379&lt;&gt;"NEMA"),"",INDEX(regKlub_id,MATCH(CK379,regKlub_naziv,0)))</f>
        <v/>
      </c>
      <c r="CO379" s="47" t="s">
        <v>0</v>
      </c>
      <c r="CP379" s="19" t="str">
        <f>IF(OR(CL379="",CL379&lt;&gt;"NEMA"),"","INSERT INTO klub_alias(id,alias,klub_id) VALUES ("&amp;CM379&amp;",'"&amp;CK379&amp;"',"&amp;CN379&amp;");")</f>
        <v/>
      </c>
      <c r="CQ379" s="47" t="s">
        <v>0</v>
      </c>
      <c r="CR379" s="143" t="str">
        <f>IF(BR379="","",IF(BV379="",IF(IFERROR(MATCH(BR379,nat_noviKluboviAliasi,0),0)&gt;0,INDEX(nat_kluboviAliasi,MATCH(BR379,nat_noviKluboviAliasi,0)),BR379),BV379))</f>
        <v/>
      </c>
      <c r="CS379" s="47" t="s">
        <v>0</v>
      </c>
      <c r="CT379" s="58" t="str">
        <f>IF(G379="","",G379)</f>
        <v/>
      </c>
      <c r="CU379" s="73" t="str">
        <f>IF(H379="","",H379)</f>
        <v/>
      </c>
      <c r="CV379" s="229" t="str">
        <f>IF(CT379="",IF(OR(AL379="",CU379&lt;&gt;"0"),"","GREŠKA"),IF(AND(65535&gt;=VALUE(LEFT(CT379,SEARCH(":",CT379)-1))*60+VALUE(RIGHT(CT379,2)),OR(CU379="0",CU379="1",CU379="2",CU379="3",CU379="4")),"","GREŠKA"))</f>
        <v/>
      </c>
      <c r="CW379" s="230" t="str">
        <f t="shared" si="295"/>
        <v/>
      </c>
      <c r="CX379" s="163" t="str">
        <f t="shared" si="311"/>
        <v/>
      </c>
      <c r="CY379" s="47" t="s">
        <v>0</v>
      </c>
      <c r="CZ379" s="222" t="str">
        <f>IF(CV379&lt;&gt;"GREŠKA","",AK379&amp;" "&amp;AL379&amp;" – Molim u OEventu provjeriti i ispraviti rezultat – vrijeme ("&amp;IF(CT379="","nije upisano",CT379)&amp;") i classifier ("&amp;CU379&amp;").")&amp;IF(OR(CV379&lt;&gt;"GREŠKA",CX379&lt;&gt;5),"
","")&amp;IF(CX379&lt;&gt;5,"",AK379&amp;" "&amp;AL379&amp;" – Molim u provjeriti je li natjecatelj zaista diskvalificiran. Ako je koje je obrazloženje, ako nije molim u OEventu ispraviti rezultat")</f>
        <v xml:space="preserve">
</v>
      </c>
      <c r="DA379" s="223" t="str">
        <f t="shared" si="342"/>
        <v/>
      </c>
      <c r="DB379" s="47" t="s">
        <v>0</v>
      </c>
      <c r="DC379" s="47"/>
      <c r="DD379" s="47"/>
      <c r="DE379" s="47"/>
      <c r="DF379" s="47" t="s">
        <v>0</v>
      </c>
      <c r="DG379" s="53" t="str">
        <f>IF(BD379="","",IF(DI379="O",1,""))</f>
        <v/>
      </c>
      <c r="DH379" t="s">
        <v>0</v>
      </c>
      <c r="DI379" s="128" t="str">
        <f>IF(Q379="","",LEFT(INDEX(regKategorija_oznaka,MATCH(S379,regKategorija_id,0)),1))</f>
        <v/>
      </c>
      <c r="DJ379" t="s">
        <v>0</v>
      </c>
      <c r="DK379" s="52" t="str">
        <f>IF(BD379="","",IF(M379&lt;&gt;"CRO","","INSERT INTO osoba (id,reg_broj,oib,spol_id,dat_rodjenja) VALUES ("&amp;BD379&amp;",(SELECT max(os.reg_broj)+1 FROM osoba AS os),Null,'"&amp;DI379&amp;"',Null); INSERT INTO osoba_log (id,reg_broj,oib,spol_id,dat_rodjenja,dnevnik_id) SELECT id,reg_broj,oib,spol_id,dat_rodjenja,"&amp;data_dnevnik_id&amp;" FROM osoba WHERE id = "&amp;BD379&amp;";"))</f>
        <v/>
      </c>
      <c r="DL379" s="66" t="str">
        <f>IF(BD379="","","INSERT INTO imeprezime (id,osoba_id,rbr,ime,prezime,klub_id,identitet_id,sintaksa_id,info,aktivno,dnevnik_id) VALUES ("&amp;BD379&amp;","&amp;IF(DK379="","Null",BD379)&amp;",1,'"&amp;IF(AV379&lt;&gt;"",AV379,AK379)&amp;"','"&amp;IF(AW379&lt;&gt;"",AW379,AL379)&amp;"',(SELECT id FROM klub WHERE naziv = '"&amp;CR379&amp;"'),Null,1,'',1,"&amp;data_dnevnik_id&amp;");")</f>
        <v/>
      </c>
      <c r="DM379" t="s">
        <v>0</v>
      </c>
      <c r="DN379" s="19" t="str">
        <f t="shared" si="350"/>
        <v/>
      </c>
      <c r="DO379" s="47" t="s">
        <v>0</v>
      </c>
      <c r="DP379" s="19" t="str">
        <f>IF(BA379="","","INSERT INTO imeprezime_alias(id,alias,imeprezime_id) VALUES ("&amp;BB379&amp;",'"&amp;BA379&amp;"',"&amp;IF(BC379="NEMA",BD379,BC379)&amp;");")</f>
        <v/>
      </c>
      <c r="DQ379" s="47" t="s">
        <v>0</v>
      </c>
      <c r="DR379" s="52" t="str">
        <f>IF(AL379="","",DU379 &amp; IF(Q379="",""," – " &amp; Q379))</f>
        <v/>
      </c>
      <c r="DS379" s="53" t="str">
        <f t="shared" si="312"/>
        <v/>
      </c>
      <c r="DT379" s="47" t="s">
        <v>0</v>
      </c>
      <c r="DU379" s="52" t="str">
        <f>IF(AL379="","",DX379 &amp; IF(CR379="",""," – " &amp; CR379))</f>
        <v/>
      </c>
      <c r="DV379" s="53" t="str">
        <f t="shared" si="313"/>
        <v/>
      </c>
      <c r="DW379" s="47" t="s">
        <v>0</v>
      </c>
      <c r="DX379" s="52" t="str">
        <f>IF(BG379="","",BF379&amp;" – "&amp;BG379)</f>
        <v/>
      </c>
      <c r="DY379" s="53" t="str">
        <f t="shared" si="314"/>
        <v/>
      </c>
      <c r="DZ379" s="47" t="s">
        <v>0</v>
      </c>
      <c r="EA379" s="58" t="str">
        <f t="shared" si="343"/>
        <v/>
      </c>
      <c r="EB379" s="53" t="str" cm="1">
        <f t="array" ref="EB379">IF(EA379&lt;&gt;"",INDEX(regNatjecatelj_id,EA379,0),IF(BD379&lt;&gt;"",BD379,""))</f>
        <v/>
      </c>
      <c r="EC379" s="47" t="s">
        <v>0</v>
      </c>
      <c r="ED379" s="58" t="str">
        <f>IF(AL379="","",IF(BD379&lt;&gt;"","novo",IF(AN379="","imepre","imepre(ali)")))</f>
        <v/>
      </c>
      <c r="EE379" s="73" t="str">
        <f>IF(AL379="","",IF(BL379="",IF(IFERROR(INDEX(regNatjecatelj_klub,MATCH(EB379,regNatjecatelj_id,0)),"NEMA")="","klu",""),IF(OR(AND(BN379&lt;&gt;"",BN379&lt;&gt;"NEMA"),CD379&lt;&gt;""),"klu(ali)",IF(AND(BP379&lt;&gt;"",BP379&lt;&gt;BO379),"(raz-klu)","klu"))))</f>
        <v/>
      </c>
      <c r="EF379" s="73" t="str">
        <f>IF(AL379="","","kat"&amp;IF(AND(W379&lt;&gt;Q379,Q379&lt;&gt;"Open"),"(ali)",""))</f>
        <v/>
      </c>
      <c r="EG379" s="73" t="str">
        <f t="shared" si="315"/>
        <v/>
      </c>
      <c r="EH379" s="66" t="str">
        <f>IF(AL379="","",ED379&amp;IF(ED379="novo","","-"&amp;EE379&amp;"-"&amp;EF379)&amp;IF(EG379="","","-"&amp;EG379))</f>
        <v/>
      </c>
      <c r="EI379" s="47" t="s">
        <v>0</v>
      </c>
      <c r="EJ379" s="58" t="str">
        <f>IF(AL379="","",MAX(EJ$12:EJ378)+1)</f>
        <v/>
      </c>
      <c r="EK379" s="73" t="str">
        <f>IF(AO379="","",X379)</f>
        <v/>
      </c>
      <c r="EL379" s="73" t="str">
        <f t="shared" si="344"/>
        <v/>
      </c>
      <c r="EM379" s="73" t="str">
        <f t="shared" si="316"/>
        <v/>
      </c>
      <c r="EN379" s="73" t="str">
        <f t="shared" si="317"/>
        <v/>
      </c>
      <c r="EO379" s="73" t="str">
        <f t="shared" si="345"/>
        <v/>
      </c>
      <c r="EP379" s="73" t="str">
        <f t="shared" si="346"/>
        <v/>
      </c>
      <c r="EQ379" s="73" t="str">
        <f t="shared" si="318"/>
        <v/>
      </c>
      <c r="ER379" s="73" t="str">
        <f>IF(OR(AN379="",AN379="NEMA"),BB379,AN379)</f>
        <v/>
      </c>
      <c r="ES379" s="73" t="str">
        <f>IF(AND(BN379&lt;&gt;"",BN379&lt;&gt;"NEMA"),BN379,IF(CG379&lt;&gt;"",CG379,IF(AND(CL379&lt;&gt;"",CL379&lt;&gt;"NEMA"),CL379,IF(CM379&lt;&gt;"",CM379,""))))</f>
        <v/>
      </c>
      <c r="ET379" s="53" t="str">
        <f>IF(INDEX(natKategorija_alias_Id,MATCH(S379,natKategorija_katRegId,0))="","",INDEX(natKategorija_alias_Id,MATCH(S379,natKategorija_katRegId,0)))</f>
        <v/>
      </c>
      <c r="EU379" s="47" t="s">
        <v>0</v>
      </c>
      <c r="EV379" s="19" t="str">
        <f t="shared" si="347"/>
        <v/>
      </c>
      <c r="EW379" s="47" t="s">
        <v>0</v>
      </c>
      <c r="EX379" s="19" t="str">
        <f t="shared" si="348"/>
        <v/>
      </c>
      <c r="EY379" s="47" t="s">
        <v>0</v>
      </c>
      <c r="EZ379" s="180" t="str">
        <f>AG379&amp;IF(CP379="","","
")&amp;CP379&amp;IF(CI379="","","
")&amp;CI379&amp;IF(DN379="","","
")&amp;DN379&amp;IF(DP379="","","
")&amp;DP379&amp;IF(EV379="","","
")&amp;EV379&amp;IF(EX379="","","
")&amp;EX379</f>
        <v/>
      </c>
      <c r="FA379" s="47" t="s">
        <v>0</v>
      </c>
    </row>
    <row r="380" spans="1:157" x14ac:dyDescent="0.25">
      <c r="A380" t="s">
        <v>0</v>
      </c>
      <c r="B380" s="52" t="str">
        <f>IF(csv!F370="","",csv!T370)</f>
        <v/>
      </c>
      <c r="C380" s="31" t="s">
        <v>0</v>
      </c>
      <c r="D380" s="31" t="str">
        <f>IF(csv!F370="","",csv!F370)</f>
        <v/>
      </c>
      <c r="E380" s="31" t="str">
        <f>IF(csv!E370="","",csv!E370)</f>
        <v/>
      </c>
      <c r="F380" s="31" t="s">
        <v>0</v>
      </c>
      <c r="G380" s="73" t="str">
        <f>IF(csv!M370="","",csv!M370)</f>
        <v/>
      </c>
      <c r="H380" s="73" t="str">
        <f>IF(csv!N370="","",csv!N370)</f>
        <v/>
      </c>
      <c r="I380" s="31" t="s">
        <v>0</v>
      </c>
      <c r="J380" s="31" t="str">
        <f>IF(csv!P370="","",csv!P370)</f>
        <v/>
      </c>
      <c r="K380" s="31" t="str">
        <f>IF(csv!Q370="","",csv!Q370)</f>
        <v/>
      </c>
      <c r="L380" s="31" t="s">
        <v>0</v>
      </c>
      <c r="M380" s="66" t="str">
        <f>IF(csv!R370="","",csv!R370)</f>
        <v/>
      </c>
      <c r="N380" s="47" t="s">
        <v>0</v>
      </c>
      <c r="O380" s="243" t="str">
        <f t="shared" si="319"/>
        <v/>
      </c>
      <c r="P380" s="47"/>
      <c r="Q380" s="52" t="str">
        <f t="shared" si="320"/>
        <v/>
      </c>
      <c r="R380" s="73" t="str">
        <f>IF(Q380="","",IF(COUNTIF(Q$12:Q379,Q380)=0,R379+1,R379))</f>
        <v/>
      </c>
      <c r="S380" s="73" t="str">
        <f t="shared" si="321"/>
        <v/>
      </c>
      <c r="T380" s="73" t="str">
        <f t="shared" si="297"/>
        <v/>
      </c>
      <c r="U380" s="66" t="str">
        <f t="shared" si="298"/>
        <v/>
      </c>
      <c r="V380" s="47" t="s">
        <v>0</v>
      </c>
      <c r="W380" s="222" t="str">
        <f t="shared" si="299"/>
        <v/>
      </c>
      <c r="X380" s="223" t="str">
        <f t="shared" si="300"/>
        <v/>
      </c>
      <c r="Y380" s="47" t="s">
        <v>0</v>
      </c>
      <c r="Z380" s="52" t="str">
        <f t="shared" si="322"/>
        <v/>
      </c>
      <c r="AA380" s="73" t="str">
        <f t="shared" si="301"/>
        <v/>
      </c>
      <c r="AB380" s="31" t="str">
        <f t="shared" si="323"/>
        <v/>
      </c>
      <c r="AC380" s="66" t="str">
        <f>IF(AB380="","",MAX(AC$12:AC379)+1)</f>
        <v/>
      </c>
      <c r="AD380" s="47" t="s">
        <v>0</v>
      </c>
      <c r="AE380" s="125"/>
      <c r="AF380" s="47" t="s">
        <v>0</v>
      </c>
      <c r="AG380" s="19" t="str">
        <f t="shared" si="324"/>
        <v/>
      </c>
      <c r="AH380" s="47" t="s">
        <v>0</v>
      </c>
      <c r="AI380" s="143" t="str">
        <f t="shared" si="325"/>
        <v/>
      </c>
      <c r="AJ380" s="47"/>
      <c r="AK380" s="52" t="str">
        <f t="shared" si="326"/>
        <v/>
      </c>
      <c r="AL380" s="31" t="str">
        <f t="shared" si="327"/>
        <v/>
      </c>
      <c r="AM380" s="73" t="str">
        <f t="shared" si="328"/>
        <v/>
      </c>
      <c r="AN380" s="73" t="str">
        <f t="shared" si="329"/>
        <v/>
      </c>
      <c r="AO380" s="31" t="str">
        <f t="shared" si="302"/>
        <v/>
      </c>
      <c r="AP380" s="66" t="str">
        <f t="shared" si="303"/>
        <v/>
      </c>
      <c r="AQ380" s="47" t="s">
        <v>0</v>
      </c>
      <c r="AR380" s="82" t="str">
        <f t="shared" si="330"/>
        <v/>
      </c>
      <c r="AS380" s="47" t="s">
        <v>0</v>
      </c>
      <c r="AT380" s="19" t="str">
        <f t="shared" si="331"/>
        <v/>
      </c>
      <c r="AU380" s="47" t="s">
        <v>0</v>
      </c>
      <c r="AV380" s="103"/>
      <c r="AW380" s="105"/>
      <c r="AX380" s="47" t="s">
        <v>0</v>
      </c>
      <c r="AY380" s="256" t="str">
        <f t="shared" si="349"/>
        <v/>
      </c>
      <c r="AZ380" s="47" t="s">
        <v>0</v>
      </c>
      <c r="BA380" s="52" t="str">
        <f t="shared" si="296"/>
        <v/>
      </c>
      <c r="BB380" s="73" t="str">
        <f>IF(AV380&amp;AW380="","",MAX(BB$12:BB379)+1)</f>
        <v/>
      </c>
      <c r="BC380" s="268" t="str">
        <f t="shared" si="304"/>
        <v/>
      </c>
      <c r="BD380" s="53" t="str">
        <f>IF(AND(AM380="NEMA",AN380="NEMA",OR(AV380&amp;AW380="",BC380="NEMA")),MAX(BD$12:BD379)+1,"")</f>
        <v/>
      </c>
      <c r="BE380" s="47" t="s">
        <v>0</v>
      </c>
      <c r="BF380" s="52" t="str">
        <f t="shared" si="305"/>
        <v/>
      </c>
      <c r="BG380" s="31" t="str">
        <f t="shared" si="306"/>
        <v/>
      </c>
      <c r="BH380" s="73" t="str">
        <f t="shared" si="332"/>
        <v/>
      </c>
      <c r="BI380" s="53" t="str">
        <f t="shared" si="333"/>
        <v/>
      </c>
      <c r="BJ380" s="47" t="s">
        <v>0</v>
      </c>
      <c r="BK380" s="52" t="str">
        <f t="shared" si="307"/>
        <v/>
      </c>
      <c r="BL380" s="31" t="str">
        <f t="shared" si="308"/>
        <v/>
      </c>
      <c r="BM380" s="73" t="str">
        <f t="shared" si="309"/>
        <v/>
      </c>
      <c r="BN380" s="73" t="str">
        <f t="shared" si="310"/>
        <v/>
      </c>
      <c r="BO380" s="31" t="str" cm="1">
        <f t="array" ref="BO380">IF(BN380="",""&amp;BL380,IF(BN380="NEMA",BL380,INDEX(regKlub_naziv,MATCH(INDEX(regKlub_alias_klubId,BN380),regKlub_id,0))))</f>
        <v/>
      </c>
      <c r="BP380" s="31" t="str" cm="1">
        <f t="array" ref="BP380">IFERROR(""&amp;INDEX(regNatjecatelj_klub,DY380),"")</f>
        <v/>
      </c>
      <c r="BQ380" s="88" t="str">
        <f t="shared" si="334"/>
        <v/>
      </c>
      <c r="BR380" s="66" t="str">
        <f t="shared" si="335"/>
        <v/>
      </c>
      <c r="BS380" s="47" t="s">
        <v>0</v>
      </c>
      <c r="BT380" s="82" t="str">
        <f>IF(BN380&lt;&gt;"NEMA","",IF(IFERROR(MATCH(BL380,BL$12:BL379,0),0)&lt;&gt;0,"",BL380))</f>
        <v/>
      </c>
      <c r="BU380" s="47" t="s">
        <v>0</v>
      </c>
      <c r="BV380" s="125"/>
      <c r="BW380" s="47" t="s">
        <v>0</v>
      </c>
      <c r="BX380" s="58" t="str">
        <f t="shared" si="336"/>
        <v/>
      </c>
      <c r="BY380" s="31" t="str">
        <f t="shared" si="337"/>
        <v/>
      </c>
      <c r="BZ380" s="31" t="str">
        <f>IF(BY380="","",MAX(BZ$12:BZ379)+1)</f>
        <v/>
      </c>
      <c r="CA380" s="31" t="str">
        <f>IF(BY380="","",IF(AA380="","",IF(AA380="NEMA",AC380,AA380)))</f>
        <v/>
      </c>
      <c r="CB380" s="31" t="str">
        <f t="shared" si="338"/>
        <v/>
      </c>
      <c r="CC380" s="31" t="str">
        <f>IF(BV380="","",MAX(CC$12:CC379)+1)</f>
        <v/>
      </c>
      <c r="CD380" s="31" t="str">
        <f t="shared" si="339"/>
        <v/>
      </c>
      <c r="CE380" s="66" t="str">
        <f t="shared" si="340"/>
        <v/>
      </c>
      <c r="CF380" s="47" t="s">
        <v>0</v>
      </c>
      <c r="CG380" s="73" t="str">
        <f>IF(BN380="","",IF(BN380&lt;&gt;"NEMA","",IFERROR(INDEX(nat_klubAliasId,MATCH(BL380,nat_noviKluboviAliasi,0)),"")))</f>
        <v/>
      </c>
      <c r="CH380" s="47"/>
      <c r="CI380" s="19" t="str">
        <f t="shared" si="341"/>
        <v/>
      </c>
      <c r="CJ380" s="47" t="s">
        <v>0</v>
      </c>
      <c r="CK380" s="52" t="str">
        <f>IF(X380&lt;&gt;"NEMA","",IF(IFERROR(MATCH(W380,W$12:W379,0),0)&lt;&gt;0,"",W380))</f>
        <v/>
      </c>
      <c r="CL380" s="73" t="str">
        <f>IF(CK380="","",IFERROR(INDEX(regKlub_alias_id,MATCH(CK380,regKlub_alias_alias,0)),"NEMA"))</f>
        <v/>
      </c>
      <c r="CM380" s="31" t="str">
        <f>IF(OR(CL380="",CL380&lt;&gt;"NEMA"),"",MAX(CM$12:CM379)+1)</f>
        <v/>
      </c>
      <c r="CN380" s="66" t="str">
        <f>IF(OR(CL380="",CL380&lt;&gt;"NEMA"),"",INDEX(regKlub_id,MATCH(CK380,regKlub_naziv,0)))</f>
        <v/>
      </c>
      <c r="CO380" s="47" t="s">
        <v>0</v>
      </c>
      <c r="CP380" s="19" t="str">
        <f>IF(OR(CL380="",CL380&lt;&gt;"NEMA"),"","INSERT INTO klub_alias(id,alias,klub_id) VALUES ("&amp;CM380&amp;",'"&amp;CK380&amp;"',"&amp;CN380&amp;");")</f>
        <v/>
      </c>
      <c r="CQ380" s="47" t="s">
        <v>0</v>
      </c>
      <c r="CR380" s="143" t="str">
        <f>IF(BR380="","",IF(BV380="",IF(IFERROR(MATCH(BR380,nat_noviKluboviAliasi,0),0)&gt;0,INDEX(nat_kluboviAliasi,MATCH(BR380,nat_noviKluboviAliasi,0)),BR380),BV380))</f>
        <v/>
      </c>
      <c r="CS380" s="47" t="s">
        <v>0</v>
      </c>
      <c r="CT380" s="58" t="str">
        <f>IF(G380="","",G380)</f>
        <v/>
      </c>
      <c r="CU380" s="73" t="str">
        <f>IF(H380="","",H380)</f>
        <v/>
      </c>
      <c r="CV380" s="229" t="str">
        <f>IF(CT380="",IF(OR(AL380="",CU380&lt;&gt;"0"),"","GREŠKA"),IF(AND(65535&gt;=VALUE(LEFT(CT380,SEARCH(":",CT380)-1))*60+VALUE(RIGHT(CT380,2)),OR(CU380="0",CU380="1",CU380="2",CU380="3",CU380="4")),"","GREŠKA"))</f>
        <v/>
      </c>
      <c r="CW380" s="230" t="str">
        <f t="shared" si="295"/>
        <v/>
      </c>
      <c r="CX380" s="163" t="str">
        <f t="shared" si="311"/>
        <v/>
      </c>
      <c r="CY380" s="47" t="s">
        <v>0</v>
      </c>
      <c r="CZ380" s="222" t="str">
        <f>IF(CV380&lt;&gt;"GREŠKA","",AK380&amp;" "&amp;AL380&amp;" – Molim u OEventu provjeriti i ispraviti rezultat – vrijeme ("&amp;IF(CT380="","nije upisano",CT380)&amp;") i classifier ("&amp;CU380&amp;").")&amp;IF(OR(CV380&lt;&gt;"GREŠKA",CX380&lt;&gt;5),"
","")&amp;IF(CX380&lt;&gt;5,"",AK380&amp;" "&amp;AL380&amp;" – Molim u provjeriti je li natjecatelj zaista diskvalificiran. Ako je koje je obrazloženje, ako nije molim u OEventu ispraviti rezultat")</f>
        <v xml:space="preserve">
</v>
      </c>
      <c r="DA380" s="223" t="str">
        <f t="shared" si="342"/>
        <v/>
      </c>
      <c r="DB380" s="47" t="s">
        <v>0</v>
      </c>
      <c r="DC380" s="47"/>
      <c r="DD380" s="47"/>
      <c r="DE380" s="47"/>
      <c r="DF380" s="47" t="s">
        <v>0</v>
      </c>
      <c r="DG380" s="53" t="str">
        <f>IF(BD380="","",IF(DI380="O",1,""))</f>
        <v/>
      </c>
      <c r="DH380" t="s">
        <v>0</v>
      </c>
      <c r="DI380" s="128" t="str">
        <f>IF(Q380="","",LEFT(INDEX(regKategorija_oznaka,MATCH(S380,regKategorija_id,0)),1))</f>
        <v/>
      </c>
      <c r="DJ380" t="s">
        <v>0</v>
      </c>
      <c r="DK380" s="52" t="str">
        <f>IF(BD380="","",IF(M380&lt;&gt;"CRO","","INSERT INTO osoba (id,reg_broj,oib,spol_id,dat_rodjenja) VALUES ("&amp;BD380&amp;",(SELECT max(os.reg_broj)+1 FROM osoba AS os),Null,'"&amp;DI380&amp;"',Null); INSERT INTO osoba_log (id,reg_broj,oib,spol_id,dat_rodjenja,dnevnik_id) SELECT id,reg_broj,oib,spol_id,dat_rodjenja,"&amp;data_dnevnik_id&amp;" FROM osoba WHERE id = "&amp;BD380&amp;";"))</f>
        <v/>
      </c>
      <c r="DL380" s="66" t="str">
        <f>IF(BD380="","","INSERT INTO imeprezime (id,osoba_id,rbr,ime,prezime,klub_id,identitet_id,sintaksa_id,info,aktivno,dnevnik_id) VALUES ("&amp;BD380&amp;","&amp;IF(DK380="","Null",BD380)&amp;",1,'"&amp;IF(AV380&lt;&gt;"",AV380,AK380)&amp;"','"&amp;IF(AW380&lt;&gt;"",AW380,AL380)&amp;"',(SELECT id FROM klub WHERE naziv = '"&amp;CR380&amp;"'),Null,1,'',1,"&amp;data_dnevnik_id&amp;");")</f>
        <v/>
      </c>
      <c r="DM380" t="s">
        <v>0</v>
      </c>
      <c r="DN380" s="19" t="str">
        <f t="shared" si="350"/>
        <v/>
      </c>
      <c r="DO380" s="47" t="s">
        <v>0</v>
      </c>
      <c r="DP380" s="19" t="str">
        <f>IF(BA380="","","INSERT INTO imeprezime_alias(id,alias,imeprezime_id) VALUES ("&amp;BB380&amp;",'"&amp;BA380&amp;"',"&amp;IF(BC380="NEMA",BD380,BC380)&amp;");")</f>
        <v/>
      </c>
      <c r="DQ380" s="47" t="s">
        <v>0</v>
      </c>
      <c r="DR380" s="52" t="str">
        <f>IF(AL380="","",DU380 &amp; IF(Q380="",""," – " &amp; Q380))</f>
        <v/>
      </c>
      <c r="DS380" s="53" t="str">
        <f t="shared" si="312"/>
        <v/>
      </c>
      <c r="DT380" s="47" t="s">
        <v>0</v>
      </c>
      <c r="DU380" s="52" t="str">
        <f>IF(AL380="","",DX380 &amp; IF(CR380="",""," – " &amp; CR380))</f>
        <v/>
      </c>
      <c r="DV380" s="53" t="str">
        <f t="shared" si="313"/>
        <v/>
      </c>
      <c r="DW380" s="47" t="s">
        <v>0</v>
      </c>
      <c r="DX380" s="52" t="str">
        <f>IF(BG380="","",BF380&amp;" – "&amp;BG380)</f>
        <v/>
      </c>
      <c r="DY380" s="53" t="str">
        <f t="shared" si="314"/>
        <v/>
      </c>
      <c r="DZ380" s="47" t="s">
        <v>0</v>
      </c>
      <c r="EA380" s="58" t="str">
        <f t="shared" si="343"/>
        <v/>
      </c>
      <c r="EB380" s="53" t="str" cm="1">
        <f t="array" ref="EB380">IF(EA380&lt;&gt;"",INDEX(regNatjecatelj_id,EA380,0),IF(BD380&lt;&gt;"",BD380,""))</f>
        <v/>
      </c>
      <c r="EC380" s="47" t="s">
        <v>0</v>
      </c>
      <c r="ED380" s="58" t="str">
        <f>IF(AL380="","",IF(BD380&lt;&gt;"","novo",IF(AN380="","imepre","imepre(ali)")))</f>
        <v/>
      </c>
      <c r="EE380" s="73" t="str">
        <f>IF(AL380="","",IF(BL380="",IF(IFERROR(INDEX(regNatjecatelj_klub,MATCH(EB380,regNatjecatelj_id,0)),"NEMA")="","klu",""),IF(OR(AND(BN380&lt;&gt;"",BN380&lt;&gt;"NEMA"),CD380&lt;&gt;""),"klu(ali)",IF(AND(BP380&lt;&gt;"",BP380&lt;&gt;BO380),"(raz-klu)","klu"))))</f>
        <v/>
      </c>
      <c r="EF380" s="73" t="str">
        <f>IF(AL380="","","kat"&amp;IF(AND(W380&lt;&gt;Q380,Q380&lt;&gt;"Open"),"(ali)",""))</f>
        <v/>
      </c>
      <c r="EG380" s="73" t="str">
        <f t="shared" si="315"/>
        <v/>
      </c>
      <c r="EH380" s="66" t="str">
        <f>IF(AL380="","",ED380&amp;IF(ED380="novo","","-"&amp;EE380&amp;"-"&amp;EF380)&amp;IF(EG380="","","-"&amp;EG380))</f>
        <v/>
      </c>
      <c r="EI380" s="47" t="s">
        <v>0</v>
      </c>
      <c r="EJ380" s="58" t="str">
        <f>IF(AL380="","",MAX(EJ$12:EJ379)+1)</f>
        <v/>
      </c>
      <c r="EK380" s="73" t="str">
        <f>IF(AO380="","",X380)</f>
        <v/>
      </c>
      <c r="EL380" s="73" t="str">
        <f t="shared" si="344"/>
        <v/>
      </c>
      <c r="EM380" s="73" t="str">
        <f t="shared" si="316"/>
        <v/>
      </c>
      <c r="EN380" s="73" t="str">
        <f t="shared" si="317"/>
        <v/>
      </c>
      <c r="EO380" s="73" t="str">
        <f t="shared" si="345"/>
        <v/>
      </c>
      <c r="EP380" s="73" t="str">
        <f t="shared" si="346"/>
        <v/>
      </c>
      <c r="EQ380" s="73" t="str">
        <f t="shared" si="318"/>
        <v/>
      </c>
      <c r="ER380" s="73" t="str">
        <f>IF(OR(AN380="",AN380="NEMA"),BB380,AN380)</f>
        <v/>
      </c>
      <c r="ES380" s="73" t="str">
        <f>IF(AND(BN380&lt;&gt;"",BN380&lt;&gt;"NEMA"),BN380,IF(CG380&lt;&gt;"",CG380,IF(AND(CL380&lt;&gt;"",CL380&lt;&gt;"NEMA"),CL380,IF(CM380&lt;&gt;"",CM380,""))))</f>
        <v/>
      </c>
      <c r="ET380" s="53" t="str">
        <f>IF(INDEX(natKategorija_alias_Id,MATCH(S380,natKategorija_katRegId,0))="","",INDEX(natKategorija_alias_Id,MATCH(S380,natKategorija_katRegId,0)))</f>
        <v/>
      </c>
      <c r="EU380" s="47" t="s">
        <v>0</v>
      </c>
      <c r="EV380" s="19" t="str">
        <f t="shared" si="347"/>
        <v/>
      </c>
      <c r="EW380" s="47" t="s">
        <v>0</v>
      </c>
      <c r="EX380" s="19" t="str">
        <f t="shared" si="348"/>
        <v/>
      </c>
      <c r="EY380" s="47" t="s">
        <v>0</v>
      </c>
      <c r="EZ380" s="180" t="str">
        <f>AG380&amp;IF(CP380="","","
")&amp;CP380&amp;IF(CI380="","","
")&amp;CI380&amp;IF(DN380="","","
")&amp;DN380&amp;IF(DP380="","","
")&amp;DP380&amp;IF(EV380="","","
")&amp;EV380&amp;IF(EX380="","","
")&amp;EX380</f>
        <v/>
      </c>
      <c r="FA380" s="47" t="s">
        <v>0</v>
      </c>
    </row>
    <row r="381" spans="1:157" x14ac:dyDescent="0.25">
      <c r="A381" t="s">
        <v>0</v>
      </c>
      <c r="B381" s="52" t="str">
        <f>IF(csv!F371="","",csv!T371)</f>
        <v/>
      </c>
      <c r="C381" s="31" t="s">
        <v>0</v>
      </c>
      <c r="D381" s="31" t="str">
        <f>IF(csv!F371="","",csv!F371)</f>
        <v/>
      </c>
      <c r="E381" s="31" t="str">
        <f>IF(csv!E371="","",csv!E371)</f>
        <v/>
      </c>
      <c r="F381" s="31" t="s">
        <v>0</v>
      </c>
      <c r="G381" s="73" t="str">
        <f>IF(csv!M371="","",csv!M371)</f>
        <v/>
      </c>
      <c r="H381" s="73" t="str">
        <f>IF(csv!N371="","",csv!N371)</f>
        <v/>
      </c>
      <c r="I381" s="31" t="s">
        <v>0</v>
      </c>
      <c r="J381" s="31" t="str">
        <f>IF(csv!P371="","",csv!P371)</f>
        <v/>
      </c>
      <c r="K381" s="31" t="str">
        <f>IF(csv!Q371="","",csv!Q371)</f>
        <v/>
      </c>
      <c r="L381" s="31" t="s">
        <v>0</v>
      </c>
      <c r="M381" s="66" t="str">
        <f>IF(csv!R371="","",csv!R371)</f>
        <v/>
      </c>
      <c r="N381" s="47" t="s">
        <v>0</v>
      </c>
      <c r="O381" s="243" t="str">
        <f t="shared" si="319"/>
        <v/>
      </c>
      <c r="P381" s="47"/>
      <c r="Q381" s="52" t="str">
        <f t="shared" si="320"/>
        <v/>
      </c>
      <c r="R381" s="73" t="str">
        <f>IF(Q381="","",IF(COUNTIF(Q$12:Q380,Q381)=0,R380+1,R380))</f>
        <v/>
      </c>
      <c r="S381" s="73" t="str">
        <f t="shared" si="321"/>
        <v/>
      </c>
      <c r="T381" s="73" t="str">
        <f t="shared" si="297"/>
        <v/>
      </c>
      <c r="U381" s="66" t="str">
        <f t="shared" si="298"/>
        <v/>
      </c>
      <c r="V381" s="47" t="s">
        <v>0</v>
      </c>
      <c r="W381" s="222" t="str">
        <f t="shared" si="299"/>
        <v/>
      </c>
      <c r="X381" s="223" t="str">
        <f t="shared" si="300"/>
        <v/>
      </c>
      <c r="Y381" s="47" t="s">
        <v>0</v>
      </c>
      <c r="Z381" s="52" t="str">
        <f t="shared" si="322"/>
        <v/>
      </c>
      <c r="AA381" s="73" t="str">
        <f t="shared" si="301"/>
        <v/>
      </c>
      <c r="AB381" s="31" t="str">
        <f t="shared" si="323"/>
        <v/>
      </c>
      <c r="AC381" s="66" t="str">
        <f>IF(AB381="","",MAX(AC$12:AC380)+1)</f>
        <v/>
      </c>
      <c r="AD381" s="47" t="s">
        <v>0</v>
      </c>
      <c r="AE381" s="125"/>
      <c r="AF381" s="47" t="s">
        <v>0</v>
      </c>
      <c r="AG381" s="19" t="str">
        <f t="shared" si="324"/>
        <v/>
      </c>
      <c r="AH381" s="47" t="s">
        <v>0</v>
      </c>
      <c r="AI381" s="143" t="str">
        <f t="shared" si="325"/>
        <v/>
      </c>
      <c r="AJ381" s="47"/>
      <c r="AK381" s="52" t="str">
        <f t="shared" si="326"/>
        <v/>
      </c>
      <c r="AL381" s="31" t="str">
        <f t="shared" si="327"/>
        <v/>
      </c>
      <c r="AM381" s="73" t="str">
        <f t="shared" si="328"/>
        <v/>
      </c>
      <c r="AN381" s="73" t="str">
        <f t="shared" si="329"/>
        <v/>
      </c>
      <c r="AO381" s="31" t="str">
        <f t="shared" si="302"/>
        <v/>
      </c>
      <c r="AP381" s="66" t="str">
        <f t="shared" si="303"/>
        <v/>
      </c>
      <c r="AQ381" s="47" t="s">
        <v>0</v>
      </c>
      <c r="AR381" s="82" t="str">
        <f t="shared" si="330"/>
        <v/>
      </c>
      <c r="AS381" s="47" t="s">
        <v>0</v>
      </c>
      <c r="AT381" s="19" t="str">
        <f t="shared" si="331"/>
        <v/>
      </c>
      <c r="AU381" s="47" t="s">
        <v>0</v>
      </c>
      <c r="AV381" s="103"/>
      <c r="AW381" s="105"/>
      <c r="AX381" s="47" t="s">
        <v>0</v>
      </c>
      <c r="AY381" s="256" t="str">
        <f t="shared" si="349"/>
        <v/>
      </c>
      <c r="AZ381" s="47" t="s">
        <v>0</v>
      </c>
      <c r="BA381" s="52" t="str">
        <f t="shared" si="296"/>
        <v/>
      </c>
      <c r="BB381" s="73" t="str">
        <f>IF(AV381&amp;AW381="","",MAX(BB$12:BB380)+1)</f>
        <v/>
      </c>
      <c r="BC381" s="268" t="str">
        <f t="shared" si="304"/>
        <v/>
      </c>
      <c r="BD381" s="53" t="str">
        <f>IF(AND(AM381="NEMA",AN381="NEMA",OR(AV381&amp;AW381="",BC381="NEMA")),MAX(BD$12:BD380)+1,"")</f>
        <v/>
      </c>
      <c r="BE381" s="47" t="s">
        <v>0</v>
      </c>
      <c r="BF381" s="52" t="str">
        <f t="shared" si="305"/>
        <v/>
      </c>
      <c r="BG381" s="31" t="str">
        <f t="shared" si="306"/>
        <v/>
      </c>
      <c r="BH381" s="73" t="str">
        <f t="shared" si="332"/>
        <v/>
      </c>
      <c r="BI381" s="53" t="str">
        <f t="shared" si="333"/>
        <v/>
      </c>
      <c r="BJ381" s="47" t="s">
        <v>0</v>
      </c>
      <c r="BK381" s="52" t="str">
        <f t="shared" si="307"/>
        <v/>
      </c>
      <c r="BL381" s="31" t="str">
        <f t="shared" si="308"/>
        <v/>
      </c>
      <c r="BM381" s="73" t="str">
        <f t="shared" si="309"/>
        <v/>
      </c>
      <c r="BN381" s="73" t="str">
        <f t="shared" si="310"/>
        <v/>
      </c>
      <c r="BO381" s="31" t="str" cm="1">
        <f t="array" ref="BO381">IF(BN381="",""&amp;BL381,IF(BN381="NEMA",BL381,INDEX(regKlub_naziv,MATCH(INDEX(regKlub_alias_klubId,BN381),regKlub_id,0))))</f>
        <v/>
      </c>
      <c r="BP381" s="31" t="str" cm="1">
        <f t="array" ref="BP381">IFERROR(""&amp;INDEX(regNatjecatelj_klub,DY381),"")</f>
        <v/>
      </c>
      <c r="BQ381" s="88" t="str">
        <f t="shared" si="334"/>
        <v/>
      </c>
      <c r="BR381" s="66" t="str">
        <f t="shared" si="335"/>
        <v/>
      </c>
      <c r="BS381" s="47" t="s">
        <v>0</v>
      </c>
      <c r="BT381" s="82" t="str">
        <f>IF(BN381&lt;&gt;"NEMA","",IF(IFERROR(MATCH(BL381,BL$12:BL380,0),0)&lt;&gt;0,"",BL381))</f>
        <v/>
      </c>
      <c r="BU381" s="47" t="s">
        <v>0</v>
      </c>
      <c r="BV381" s="125"/>
      <c r="BW381" s="47" t="s">
        <v>0</v>
      </c>
      <c r="BX381" s="58" t="str">
        <f t="shared" si="336"/>
        <v/>
      </c>
      <c r="BY381" s="31" t="str">
        <f t="shared" si="337"/>
        <v/>
      </c>
      <c r="BZ381" s="31" t="str">
        <f>IF(BY381="","",MAX(BZ$12:BZ380)+1)</f>
        <v/>
      </c>
      <c r="CA381" s="31" t="str">
        <f>IF(BY381="","",IF(AA381="","",IF(AA381="NEMA",AC381,AA381)))</f>
        <v/>
      </c>
      <c r="CB381" s="31" t="str">
        <f t="shared" si="338"/>
        <v/>
      </c>
      <c r="CC381" s="31" t="str">
        <f>IF(BV381="","",MAX(CC$12:CC380)+1)</f>
        <v/>
      </c>
      <c r="CD381" s="31" t="str">
        <f t="shared" si="339"/>
        <v/>
      </c>
      <c r="CE381" s="66" t="str">
        <f t="shared" si="340"/>
        <v/>
      </c>
      <c r="CF381" s="47" t="s">
        <v>0</v>
      </c>
      <c r="CG381" s="73" t="str">
        <f>IF(BN381="","",IF(BN381&lt;&gt;"NEMA","",IFERROR(INDEX(nat_klubAliasId,MATCH(BL381,nat_noviKluboviAliasi,0)),"")))</f>
        <v/>
      </c>
      <c r="CH381" s="47"/>
      <c r="CI381" s="19" t="str">
        <f t="shared" si="341"/>
        <v/>
      </c>
      <c r="CJ381" s="47" t="s">
        <v>0</v>
      </c>
      <c r="CK381" s="52" t="str">
        <f>IF(X381&lt;&gt;"NEMA","",IF(IFERROR(MATCH(W381,W$12:W380,0),0)&lt;&gt;0,"",W381))</f>
        <v/>
      </c>
      <c r="CL381" s="73" t="str">
        <f>IF(CK381="","",IFERROR(INDEX(regKlub_alias_id,MATCH(CK381,regKlub_alias_alias,0)),"NEMA"))</f>
        <v/>
      </c>
      <c r="CM381" s="31" t="str">
        <f>IF(OR(CL381="",CL381&lt;&gt;"NEMA"),"",MAX(CM$12:CM380)+1)</f>
        <v/>
      </c>
      <c r="CN381" s="66" t="str">
        <f>IF(OR(CL381="",CL381&lt;&gt;"NEMA"),"",INDEX(regKlub_id,MATCH(CK381,regKlub_naziv,0)))</f>
        <v/>
      </c>
      <c r="CO381" s="47" t="s">
        <v>0</v>
      </c>
      <c r="CP381" s="19" t="str">
        <f>IF(OR(CL381="",CL381&lt;&gt;"NEMA"),"","INSERT INTO klub_alias(id,alias,klub_id) VALUES ("&amp;CM381&amp;",'"&amp;CK381&amp;"',"&amp;CN381&amp;");")</f>
        <v/>
      </c>
      <c r="CQ381" s="47" t="s">
        <v>0</v>
      </c>
      <c r="CR381" s="143" t="str">
        <f>IF(BR381="","",IF(BV381="",IF(IFERROR(MATCH(BR381,nat_noviKluboviAliasi,0),0)&gt;0,INDEX(nat_kluboviAliasi,MATCH(BR381,nat_noviKluboviAliasi,0)),BR381),BV381))</f>
        <v/>
      </c>
      <c r="CS381" s="47" t="s">
        <v>0</v>
      </c>
      <c r="CT381" s="58" t="str">
        <f>IF(G381="","",G381)</f>
        <v/>
      </c>
      <c r="CU381" s="73" t="str">
        <f>IF(H381="","",H381)</f>
        <v/>
      </c>
      <c r="CV381" s="229" t="str">
        <f>IF(CT381="",IF(OR(AL381="",CU381&lt;&gt;"0"),"","GREŠKA"),IF(AND(65535&gt;=VALUE(LEFT(CT381,SEARCH(":",CT381)-1))*60+VALUE(RIGHT(CT381,2)),OR(CU381="0",CU381="1",CU381="2",CU381="3",CU381="4")),"","GREŠKA"))</f>
        <v/>
      </c>
      <c r="CW381" s="230" t="str">
        <f t="shared" ref="CW381:CW412" si="351">IF(CT381="","",VALUE(LEFT(CT381,SEARCH(":",CT381)-1))*60+VALUE(RIGHT(CT381,2)))</f>
        <v/>
      </c>
      <c r="CX381" s="163" t="str">
        <f t="shared" si="311"/>
        <v/>
      </c>
      <c r="CY381" s="47" t="s">
        <v>0</v>
      </c>
      <c r="CZ381" s="222" t="str">
        <f>IF(CV381&lt;&gt;"GREŠKA","",AK381&amp;" "&amp;AL381&amp;" – Molim u OEventu provjeriti i ispraviti rezultat – vrijeme ("&amp;IF(CT381="","nije upisano",CT381)&amp;") i classifier ("&amp;CU381&amp;").")&amp;IF(OR(CV381&lt;&gt;"GREŠKA",CX381&lt;&gt;5),"
","")&amp;IF(CX381&lt;&gt;5,"",AK381&amp;" "&amp;AL381&amp;" – Molim u provjeriti je li natjecatelj zaista diskvalificiran. Ako je koje je obrazloženje, ako nije molim u OEventu ispraviti rezultat")</f>
        <v xml:space="preserve">
</v>
      </c>
      <c r="DA381" s="223" t="str">
        <f t="shared" si="342"/>
        <v/>
      </c>
      <c r="DB381" s="47" t="s">
        <v>0</v>
      </c>
      <c r="DC381" s="47"/>
      <c r="DD381" s="47"/>
      <c r="DE381" s="47"/>
      <c r="DF381" s="47" t="s">
        <v>0</v>
      </c>
      <c r="DG381" s="53" t="str">
        <f>IF(BD381="","",IF(DI381="O",1,""))</f>
        <v/>
      </c>
      <c r="DH381" t="s">
        <v>0</v>
      </c>
      <c r="DI381" s="128" t="str">
        <f>IF(Q381="","",LEFT(INDEX(regKategorija_oznaka,MATCH(S381,regKategorija_id,0)),1))</f>
        <v/>
      </c>
      <c r="DJ381" t="s">
        <v>0</v>
      </c>
      <c r="DK381" s="52" t="str">
        <f>IF(BD381="","",IF(M381&lt;&gt;"CRO","","INSERT INTO osoba (id,reg_broj,oib,spol_id,dat_rodjenja) VALUES ("&amp;BD381&amp;",(SELECT max(os.reg_broj)+1 FROM osoba AS os),Null,'"&amp;DI381&amp;"',Null); INSERT INTO osoba_log (id,reg_broj,oib,spol_id,dat_rodjenja,dnevnik_id) SELECT id,reg_broj,oib,spol_id,dat_rodjenja,"&amp;data_dnevnik_id&amp;" FROM osoba WHERE id = "&amp;BD381&amp;";"))</f>
        <v/>
      </c>
      <c r="DL381" s="66" t="str">
        <f>IF(BD381="","","INSERT INTO imeprezime (id,osoba_id,rbr,ime,prezime,klub_id,identitet_id,sintaksa_id,info,aktivno,dnevnik_id) VALUES ("&amp;BD381&amp;","&amp;IF(DK381="","Null",BD381)&amp;",1,'"&amp;IF(AV381&lt;&gt;"",AV381,AK381)&amp;"','"&amp;IF(AW381&lt;&gt;"",AW381,AL381)&amp;"',(SELECT id FROM klub WHERE naziv = '"&amp;CR381&amp;"'),Null,1,'',1,"&amp;data_dnevnik_id&amp;");")</f>
        <v/>
      </c>
      <c r="DM381" t="s">
        <v>0</v>
      </c>
      <c r="DN381" s="19" t="str">
        <f t="shared" si="350"/>
        <v/>
      </c>
      <c r="DO381" s="47" t="s">
        <v>0</v>
      </c>
      <c r="DP381" s="19" t="str">
        <f>IF(BA381="","","INSERT INTO imeprezime_alias(id,alias,imeprezime_id) VALUES ("&amp;BB381&amp;",'"&amp;BA381&amp;"',"&amp;IF(BC381="NEMA",BD381,BC381)&amp;");")</f>
        <v/>
      </c>
      <c r="DQ381" s="47" t="s">
        <v>0</v>
      </c>
      <c r="DR381" s="52" t="str">
        <f>IF(AL381="","",DU381 &amp; IF(Q381="",""," – " &amp; Q381))</f>
        <v/>
      </c>
      <c r="DS381" s="53" t="str">
        <f t="shared" si="312"/>
        <v/>
      </c>
      <c r="DT381" s="47" t="s">
        <v>0</v>
      </c>
      <c r="DU381" s="52" t="str">
        <f>IF(AL381="","",DX381 &amp; IF(CR381="",""," – " &amp; CR381))</f>
        <v/>
      </c>
      <c r="DV381" s="53" t="str">
        <f t="shared" si="313"/>
        <v/>
      </c>
      <c r="DW381" s="47" t="s">
        <v>0</v>
      </c>
      <c r="DX381" s="52" t="str">
        <f>IF(BG381="","",BF381&amp;" – "&amp;BG381)</f>
        <v/>
      </c>
      <c r="DY381" s="53" t="str">
        <f t="shared" si="314"/>
        <v/>
      </c>
      <c r="DZ381" s="47" t="s">
        <v>0</v>
      </c>
      <c r="EA381" s="58" t="str">
        <f t="shared" si="343"/>
        <v/>
      </c>
      <c r="EB381" s="53" t="str" cm="1">
        <f t="array" ref="EB381">IF(EA381&lt;&gt;"",INDEX(regNatjecatelj_id,EA381,0),IF(BD381&lt;&gt;"",BD381,""))</f>
        <v/>
      </c>
      <c r="EC381" s="47" t="s">
        <v>0</v>
      </c>
      <c r="ED381" s="58" t="str">
        <f>IF(AL381="","",IF(BD381&lt;&gt;"","novo",IF(AN381="","imepre","imepre(ali)")))</f>
        <v/>
      </c>
      <c r="EE381" s="73" t="str">
        <f>IF(AL381="","",IF(BL381="",IF(IFERROR(INDEX(regNatjecatelj_klub,MATCH(EB381,regNatjecatelj_id,0)),"NEMA")="","klu",""),IF(OR(AND(BN381&lt;&gt;"",BN381&lt;&gt;"NEMA"),CD381&lt;&gt;""),"klu(ali)",IF(AND(BP381&lt;&gt;"",BP381&lt;&gt;BO381),"(raz-klu)","klu"))))</f>
        <v/>
      </c>
      <c r="EF381" s="73" t="str">
        <f>IF(AL381="","","kat"&amp;IF(AND(W381&lt;&gt;Q381,Q381&lt;&gt;"Open"),"(ali)",""))</f>
        <v/>
      </c>
      <c r="EG381" s="73" t="str">
        <f t="shared" si="315"/>
        <v/>
      </c>
      <c r="EH381" s="66" t="str">
        <f>IF(AL381="","",ED381&amp;IF(ED381="novo","","-"&amp;EE381&amp;"-"&amp;EF381)&amp;IF(EG381="","","-"&amp;EG381))</f>
        <v/>
      </c>
      <c r="EI381" s="47" t="s">
        <v>0</v>
      </c>
      <c r="EJ381" s="58" t="str">
        <f>IF(AL381="","",MAX(EJ$12:EJ380)+1)</f>
        <v/>
      </c>
      <c r="EK381" s="73" t="str">
        <f>IF(AO381="","",X381)</f>
        <v/>
      </c>
      <c r="EL381" s="73" t="str">
        <f t="shared" si="344"/>
        <v/>
      </c>
      <c r="EM381" s="73" t="str">
        <f t="shared" si="316"/>
        <v/>
      </c>
      <c r="EN381" s="73" t="str">
        <f t="shared" si="317"/>
        <v/>
      </c>
      <c r="EO381" s="73" t="str">
        <f t="shared" si="345"/>
        <v/>
      </c>
      <c r="EP381" s="73" t="str">
        <f t="shared" si="346"/>
        <v/>
      </c>
      <c r="EQ381" s="73" t="str">
        <f t="shared" si="318"/>
        <v/>
      </c>
      <c r="ER381" s="73" t="str">
        <f>IF(OR(AN381="",AN381="NEMA"),BB381,AN381)</f>
        <v/>
      </c>
      <c r="ES381" s="73" t="str">
        <f>IF(AND(BN381&lt;&gt;"",BN381&lt;&gt;"NEMA"),BN381,IF(CG381&lt;&gt;"",CG381,IF(AND(CL381&lt;&gt;"",CL381&lt;&gt;"NEMA"),CL381,IF(CM381&lt;&gt;"",CM381,""))))</f>
        <v/>
      </c>
      <c r="ET381" s="53" t="str">
        <f>IF(INDEX(natKategorija_alias_Id,MATCH(S381,natKategorija_katRegId,0))="","",INDEX(natKategorija_alias_Id,MATCH(S381,natKategorija_katRegId,0)))</f>
        <v/>
      </c>
      <c r="EU381" s="47" t="s">
        <v>0</v>
      </c>
      <c r="EV381" s="19" t="str">
        <f t="shared" si="347"/>
        <v/>
      </c>
      <c r="EW381" s="47" t="s">
        <v>0</v>
      </c>
      <c r="EX381" s="19" t="str">
        <f t="shared" si="348"/>
        <v/>
      </c>
      <c r="EY381" s="47" t="s">
        <v>0</v>
      </c>
      <c r="EZ381" s="180" t="str">
        <f>AG381&amp;IF(CP381="","","
")&amp;CP381&amp;IF(CI381="","","
")&amp;CI381&amp;IF(DN381="","","
")&amp;DN381&amp;IF(DP381="","","
")&amp;DP381&amp;IF(EV381="","","
")&amp;EV381&amp;IF(EX381="","","
")&amp;EX381</f>
        <v/>
      </c>
      <c r="FA381" s="47" t="s">
        <v>0</v>
      </c>
    </row>
    <row r="382" spans="1:157" x14ac:dyDescent="0.25">
      <c r="A382" t="s">
        <v>0</v>
      </c>
      <c r="B382" s="52" t="str">
        <f>IF(csv!F372="","",csv!T372)</f>
        <v/>
      </c>
      <c r="C382" s="31" t="s">
        <v>0</v>
      </c>
      <c r="D382" s="31" t="str">
        <f>IF(csv!F372="","",csv!F372)</f>
        <v/>
      </c>
      <c r="E382" s="31" t="str">
        <f>IF(csv!E372="","",csv!E372)</f>
        <v/>
      </c>
      <c r="F382" s="31" t="s">
        <v>0</v>
      </c>
      <c r="G382" s="73" t="str">
        <f>IF(csv!M372="","",csv!M372)</f>
        <v/>
      </c>
      <c r="H382" s="73" t="str">
        <f>IF(csv!N372="","",csv!N372)</f>
        <v/>
      </c>
      <c r="I382" s="31" t="s">
        <v>0</v>
      </c>
      <c r="J382" s="31" t="str">
        <f>IF(csv!P372="","",csv!P372)</f>
        <v/>
      </c>
      <c r="K382" s="31" t="str">
        <f>IF(csv!Q372="","",csv!Q372)</f>
        <v/>
      </c>
      <c r="L382" s="31" t="s">
        <v>0</v>
      </c>
      <c r="M382" s="66" t="str">
        <f>IF(csv!R372="","",csv!R372)</f>
        <v/>
      </c>
      <c r="N382" s="47" t="s">
        <v>0</v>
      </c>
      <c r="O382" s="243" t="str">
        <f t="shared" si="319"/>
        <v/>
      </c>
      <c r="P382" s="47"/>
      <c r="Q382" s="52" t="str">
        <f t="shared" si="320"/>
        <v/>
      </c>
      <c r="R382" s="73" t="str">
        <f>IF(Q382="","",IF(COUNTIF(Q$12:Q381,Q382)=0,R381+1,R381))</f>
        <v/>
      </c>
      <c r="S382" s="73" t="str">
        <f t="shared" si="321"/>
        <v/>
      </c>
      <c r="T382" s="73" t="str">
        <f t="shared" si="297"/>
        <v/>
      </c>
      <c r="U382" s="66" t="str">
        <f t="shared" si="298"/>
        <v/>
      </c>
      <c r="V382" s="47" t="s">
        <v>0</v>
      </c>
      <c r="W382" s="222" t="str">
        <f t="shared" si="299"/>
        <v/>
      </c>
      <c r="X382" s="223" t="str">
        <f t="shared" si="300"/>
        <v/>
      </c>
      <c r="Y382" s="47" t="s">
        <v>0</v>
      </c>
      <c r="Z382" s="52" t="str">
        <f t="shared" si="322"/>
        <v/>
      </c>
      <c r="AA382" s="73" t="str">
        <f t="shared" si="301"/>
        <v/>
      </c>
      <c r="AB382" s="31" t="str">
        <f t="shared" si="323"/>
        <v/>
      </c>
      <c r="AC382" s="66" t="str">
        <f>IF(AB382="","",MAX(AC$12:AC381)+1)</f>
        <v/>
      </c>
      <c r="AD382" s="47" t="s">
        <v>0</v>
      </c>
      <c r="AE382" s="125"/>
      <c r="AF382" s="47" t="s">
        <v>0</v>
      </c>
      <c r="AG382" s="19" t="str">
        <f t="shared" si="324"/>
        <v/>
      </c>
      <c r="AH382" s="47" t="s">
        <v>0</v>
      </c>
      <c r="AI382" s="143" t="str">
        <f t="shared" si="325"/>
        <v/>
      </c>
      <c r="AJ382" s="47"/>
      <c r="AK382" s="52" t="str">
        <f t="shared" si="326"/>
        <v/>
      </c>
      <c r="AL382" s="31" t="str">
        <f t="shared" si="327"/>
        <v/>
      </c>
      <c r="AM382" s="73" t="str">
        <f t="shared" si="328"/>
        <v/>
      </c>
      <c r="AN382" s="73" t="str">
        <f t="shared" si="329"/>
        <v/>
      </c>
      <c r="AO382" s="31" t="str">
        <f t="shared" si="302"/>
        <v/>
      </c>
      <c r="AP382" s="66" t="str">
        <f t="shared" si="303"/>
        <v/>
      </c>
      <c r="AQ382" s="47" t="s">
        <v>0</v>
      </c>
      <c r="AR382" s="82" t="str">
        <f t="shared" si="330"/>
        <v/>
      </c>
      <c r="AS382" s="47" t="s">
        <v>0</v>
      </c>
      <c r="AT382" s="19" t="str">
        <f t="shared" si="331"/>
        <v/>
      </c>
      <c r="AU382" s="47" t="s">
        <v>0</v>
      </c>
      <c r="AV382" s="103"/>
      <c r="AW382" s="105"/>
      <c r="AX382" s="47" t="s">
        <v>0</v>
      </c>
      <c r="AY382" s="256" t="str">
        <f t="shared" si="349"/>
        <v/>
      </c>
      <c r="AZ382" s="47" t="s">
        <v>0</v>
      </c>
      <c r="BA382" s="52" t="str">
        <f t="shared" si="296"/>
        <v/>
      </c>
      <c r="BB382" s="73" t="str">
        <f>IF(AV382&amp;AW382="","",MAX(BB$12:BB381)+1)</f>
        <v/>
      </c>
      <c r="BC382" s="268" t="str">
        <f t="shared" si="304"/>
        <v/>
      </c>
      <c r="BD382" s="53" t="str">
        <f>IF(AND(AM382="NEMA",AN382="NEMA",OR(AV382&amp;AW382="",BC382="NEMA")),MAX(BD$12:BD381)+1,"")</f>
        <v/>
      </c>
      <c r="BE382" s="47" t="s">
        <v>0</v>
      </c>
      <c r="BF382" s="52" t="str">
        <f t="shared" si="305"/>
        <v/>
      </c>
      <c r="BG382" s="31" t="str">
        <f t="shared" si="306"/>
        <v/>
      </c>
      <c r="BH382" s="73" t="str">
        <f t="shared" si="332"/>
        <v/>
      </c>
      <c r="BI382" s="53" t="str">
        <f t="shared" si="333"/>
        <v/>
      </c>
      <c r="BJ382" s="47" t="s">
        <v>0</v>
      </c>
      <c r="BK382" s="52" t="str">
        <f t="shared" si="307"/>
        <v/>
      </c>
      <c r="BL382" s="31" t="str">
        <f t="shared" si="308"/>
        <v/>
      </c>
      <c r="BM382" s="73" t="str">
        <f t="shared" si="309"/>
        <v/>
      </c>
      <c r="BN382" s="73" t="str">
        <f t="shared" si="310"/>
        <v/>
      </c>
      <c r="BO382" s="31" t="str" cm="1">
        <f t="array" ref="BO382">IF(BN382="",""&amp;BL382,IF(BN382="NEMA",BL382,INDEX(regKlub_naziv,MATCH(INDEX(regKlub_alias_klubId,BN382),regKlub_id,0))))</f>
        <v/>
      </c>
      <c r="BP382" s="31" t="str" cm="1">
        <f t="array" ref="BP382">IFERROR(""&amp;INDEX(regNatjecatelj_klub,DY382),"")</f>
        <v/>
      </c>
      <c r="BQ382" s="88" t="str">
        <f t="shared" si="334"/>
        <v/>
      </c>
      <c r="BR382" s="66" t="str">
        <f t="shared" si="335"/>
        <v/>
      </c>
      <c r="BS382" s="47" t="s">
        <v>0</v>
      </c>
      <c r="BT382" s="82" t="str">
        <f>IF(BN382&lt;&gt;"NEMA","",IF(IFERROR(MATCH(BL382,BL$12:BL381,0),0)&lt;&gt;0,"",BL382))</f>
        <v/>
      </c>
      <c r="BU382" s="47" t="s">
        <v>0</v>
      </c>
      <c r="BV382" s="125"/>
      <c r="BW382" s="47" t="s">
        <v>0</v>
      </c>
      <c r="BX382" s="58" t="str">
        <f t="shared" si="336"/>
        <v/>
      </c>
      <c r="BY382" s="31" t="str">
        <f t="shared" si="337"/>
        <v/>
      </c>
      <c r="BZ382" s="31" t="str">
        <f>IF(BY382="","",MAX(BZ$12:BZ381)+1)</f>
        <v/>
      </c>
      <c r="CA382" s="31" t="str">
        <f>IF(BY382="","",IF(AA382="","",IF(AA382="NEMA",AC382,AA382)))</f>
        <v/>
      </c>
      <c r="CB382" s="31" t="str">
        <f t="shared" si="338"/>
        <v/>
      </c>
      <c r="CC382" s="31" t="str">
        <f>IF(BV382="","",MAX(CC$12:CC381)+1)</f>
        <v/>
      </c>
      <c r="CD382" s="31" t="str">
        <f t="shared" si="339"/>
        <v/>
      </c>
      <c r="CE382" s="66" t="str">
        <f t="shared" si="340"/>
        <v/>
      </c>
      <c r="CF382" s="47" t="s">
        <v>0</v>
      </c>
      <c r="CG382" s="73" t="str">
        <f>IF(BN382="","",IF(BN382&lt;&gt;"NEMA","",IFERROR(INDEX(nat_klubAliasId,MATCH(BL382,nat_noviKluboviAliasi,0)),"")))</f>
        <v/>
      </c>
      <c r="CH382" s="47"/>
      <c r="CI382" s="19" t="str">
        <f t="shared" si="341"/>
        <v/>
      </c>
      <c r="CJ382" s="47" t="s">
        <v>0</v>
      </c>
      <c r="CK382" s="52" t="str">
        <f>IF(X382&lt;&gt;"NEMA","",IF(IFERROR(MATCH(W382,W$12:W381,0),0)&lt;&gt;0,"",W382))</f>
        <v/>
      </c>
      <c r="CL382" s="73" t="str">
        <f>IF(CK382="","",IFERROR(INDEX(regKlub_alias_id,MATCH(CK382,regKlub_alias_alias,0)),"NEMA"))</f>
        <v/>
      </c>
      <c r="CM382" s="31" t="str">
        <f>IF(OR(CL382="",CL382&lt;&gt;"NEMA"),"",MAX(CM$12:CM381)+1)</f>
        <v/>
      </c>
      <c r="CN382" s="66" t="str">
        <f>IF(OR(CL382="",CL382&lt;&gt;"NEMA"),"",INDEX(regKlub_id,MATCH(CK382,regKlub_naziv,0)))</f>
        <v/>
      </c>
      <c r="CO382" s="47" t="s">
        <v>0</v>
      </c>
      <c r="CP382" s="19" t="str">
        <f>IF(OR(CL382="",CL382&lt;&gt;"NEMA"),"","INSERT INTO klub_alias(id,alias,klub_id) VALUES ("&amp;CM382&amp;",'"&amp;CK382&amp;"',"&amp;CN382&amp;");")</f>
        <v/>
      </c>
      <c r="CQ382" s="47" t="s">
        <v>0</v>
      </c>
      <c r="CR382" s="143" t="str">
        <f>IF(BR382="","",IF(BV382="",IF(IFERROR(MATCH(BR382,nat_noviKluboviAliasi,0),0)&gt;0,INDEX(nat_kluboviAliasi,MATCH(BR382,nat_noviKluboviAliasi,0)),BR382),BV382))</f>
        <v/>
      </c>
      <c r="CS382" s="47" t="s">
        <v>0</v>
      </c>
      <c r="CT382" s="58" t="str">
        <f>IF(G382="","",G382)</f>
        <v/>
      </c>
      <c r="CU382" s="73" t="str">
        <f>IF(H382="","",H382)</f>
        <v/>
      </c>
      <c r="CV382" s="229" t="str">
        <f>IF(CT382="",IF(OR(AL382="",CU382&lt;&gt;"0"),"","GREŠKA"),IF(AND(65535&gt;=VALUE(LEFT(CT382,SEARCH(":",CT382)-1))*60+VALUE(RIGHT(CT382,2)),OR(CU382="0",CU382="1",CU382="2",CU382="3",CU382="4")),"","GREŠKA"))</f>
        <v/>
      </c>
      <c r="CW382" s="230" t="str">
        <f t="shared" si="351"/>
        <v/>
      </c>
      <c r="CX382" s="163" t="str">
        <f t="shared" si="311"/>
        <v/>
      </c>
      <c r="CY382" s="47" t="s">
        <v>0</v>
      </c>
      <c r="CZ382" s="222" t="str">
        <f>IF(CV382&lt;&gt;"GREŠKA","",AK382&amp;" "&amp;AL382&amp;" – Molim u OEventu provjeriti i ispraviti rezultat – vrijeme ("&amp;IF(CT382="","nije upisano",CT382)&amp;") i classifier ("&amp;CU382&amp;").")&amp;IF(OR(CV382&lt;&gt;"GREŠKA",CX382&lt;&gt;5),"
","")&amp;IF(CX382&lt;&gt;5,"",AK382&amp;" "&amp;AL382&amp;" – Molim u provjeriti je li natjecatelj zaista diskvalificiran. Ako je koje je obrazloženje, ako nije molim u OEventu ispraviti rezultat")</f>
        <v xml:space="preserve">
</v>
      </c>
      <c r="DA382" s="223" t="str">
        <f t="shared" si="342"/>
        <v/>
      </c>
      <c r="DB382" s="47" t="s">
        <v>0</v>
      </c>
      <c r="DC382" s="47"/>
      <c r="DD382" s="47"/>
      <c r="DE382" s="47"/>
      <c r="DF382" s="47" t="s">
        <v>0</v>
      </c>
      <c r="DG382" s="53" t="str">
        <f>IF(BD382="","",IF(DI382="O",1,""))</f>
        <v/>
      </c>
      <c r="DH382" t="s">
        <v>0</v>
      </c>
      <c r="DI382" s="128" t="str">
        <f>IF(Q382="","",LEFT(INDEX(regKategorija_oznaka,MATCH(S382,regKategorija_id,0)),1))</f>
        <v/>
      </c>
      <c r="DJ382" t="s">
        <v>0</v>
      </c>
      <c r="DK382" s="52" t="str">
        <f>IF(BD382="","",IF(M382&lt;&gt;"CRO","","INSERT INTO osoba (id,reg_broj,oib,spol_id,dat_rodjenja) VALUES ("&amp;BD382&amp;",(SELECT max(os.reg_broj)+1 FROM osoba AS os),Null,'"&amp;DI382&amp;"',Null); INSERT INTO osoba_log (id,reg_broj,oib,spol_id,dat_rodjenja,dnevnik_id) SELECT id,reg_broj,oib,spol_id,dat_rodjenja,"&amp;data_dnevnik_id&amp;" FROM osoba WHERE id = "&amp;BD382&amp;";"))</f>
        <v/>
      </c>
      <c r="DL382" s="66" t="str">
        <f>IF(BD382="","","INSERT INTO imeprezime (id,osoba_id,rbr,ime,prezime,klub_id,identitet_id,sintaksa_id,info,aktivno,dnevnik_id) VALUES ("&amp;BD382&amp;","&amp;IF(DK382="","Null",BD382)&amp;",1,'"&amp;IF(AV382&lt;&gt;"",AV382,AK382)&amp;"','"&amp;IF(AW382&lt;&gt;"",AW382,AL382)&amp;"',(SELECT id FROM klub WHERE naziv = '"&amp;CR382&amp;"'),Null,1,'',1,"&amp;data_dnevnik_id&amp;");")</f>
        <v/>
      </c>
      <c r="DM382" t="s">
        <v>0</v>
      </c>
      <c r="DN382" s="19" t="str">
        <f t="shared" si="350"/>
        <v/>
      </c>
      <c r="DO382" s="47" t="s">
        <v>0</v>
      </c>
      <c r="DP382" s="19" t="str">
        <f>IF(BA382="","","INSERT INTO imeprezime_alias(id,alias,imeprezime_id) VALUES ("&amp;BB382&amp;",'"&amp;BA382&amp;"',"&amp;IF(BC382="NEMA",BD382,BC382)&amp;");")</f>
        <v/>
      </c>
      <c r="DQ382" s="47" t="s">
        <v>0</v>
      </c>
      <c r="DR382" s="52" t="str">
        <f>IF(AL382="","",DU382 &amp; IF(Q382="",""," – " &amp; Q382))</f>
        <v/>
      </c>
      <c r="DS382" s="53" t="str">
        <f t="shared" si="312"/>
        <v/>
      </c>
      <c r="DT382" s="47" t="s">
        <v>0</v>
      </c>
      <c r="DU382" s="52" t="str">
        <f>IF(AL382="","",DX382 &amp; IF(CR382="",""," – " &amp; CR382))</f>
        <v/>
      </c>
      <c r="DV382" s="53" t="str">
        <f t="shared" si="313"/>
        <v/>
      </c>
      <c r="DW382" s="47" t="s">
        <v>0</v>
      </c>
      <c r="DX382" s="52" t="str">
        <f>IF(BG382="","",BF382&amp;" – "&amp;BG382)</f>
        <v/>
      </c>
      <c r="DY382" s="53" t="str">
        <f t="shared" si="314"/>
        <v/>
      </c>
      <c r="DZ382" s="47" t="s">
        <v>0</v>
      </c>
      <c r="EA382" s="58" t="str">
        <f t="shared" si="343"/>
        <v/>
      </c>
      <c r="EB382" s="53" t="str" cm="1">
        <f t="array" ref="EB382">IF(EA382&lt;&gt;"",INDEX(regNatjecatelj_id,EA382,0),IF(BD382&lt;&gt;"",BD382,""))</f>
        <v/>
      </c>
      <c r="EC382" s="47" t="s">
        <v>0</v>
      </c>
      <c r="ED382" s="58" t="str">
        <f>IF(AL382="","",IF(BD382&lt;&gt;"","novo",IF(AN382="","imepre","imepre(ali)")))</f>
        <v/>
      </c>
      <c r="EE382" s="73" t="str">
        <f>IF(AL382="","",IF(BL382="",IF(IFERROR(INDEX(regNatjecatelj_klub,MATCH(EB382,regNatjecatelj_id,0)),"NEMA")="","klu",""),IF(OR(AND(BN382&lt;&gt;"",BN382&lt;&gt;"NEMA"),CD382&lt;&gt;""),"klu(ali)",IF(AND(BP382&lt;&gt;"",BP382&lt;&gt;BO382),"(raz-klu)","klu"))))</f>
        <v/>
      </c>
      <c r="EF382" s="73" t="str">
        <f>IF(AL382="","","kat"&amp;IF(AND(W382&lt;&gt;Q382,Q382&lt;&gt;"Open"),"(ali)",""))</f>
        <v/>
      </c>
      <c r="EG382" s="73" t="str">
        <f t="shared" si="315"/>
        <v/>
      </c>
      <c r="EH382" s="66" t="str">
        <f>IF(AL382="","",ED382&amp;IF(ED382="novo","","-"&amp;EE382&amp;"-"&amp;EF382)&amp;IF(EG382="","","-"&amp;EG382))</f>
        <v/>
      </c>
      <c r="EI382" s="47" t="s">
        <v>0</v>
      </c>
      <c r="EJ382" s="58" t="str">
        <f>IF(AL382="","",MAX(EJ$12:EJ381)+1)</f>
        <v/>
      </c>
      <c r="EK382" s="73" t="str">
        <f>IF(AO382="","",X382)</f>
        <v/>
      </c>
      <c r="EL382" s="73" t="str">
        <f t="shared" si="344"/>
        <v/>
      </c>
      <c r="EM382" s="73" t="str">
        <f t="shared" si="316"/>
        <v/>
      </c>
      <c r="EN382" s="73" t="str">
        <f t="shared" si="317"/>
        <v/>
      </c>
      <c r="EO382" s="73" t="str">
        <f t="shared" si="345"/>
        <v/>
      </c>
      <c r="EP382" s="73" t="str">
        <f t="shared" si="346"/>
        <v/>
      </c>
      <c r="EQ382" s="73" t="str">
        <f t="shared" si="318"/>
        <v/>
      </c>
      <c r="ER382" s="73" t="str">
        <f>IF(OR(AN382="",AN382="NEMA"),BB382,AN382)</f>
        <v/>
      </c>
      <c r="ES382" s="73" t="str">
        <f>IF(AND(BN382&lt;&gt;"",BN382&lt;&gt;"NEMA"),BN382,IF(CG382&lt;&gt;"",CG382,IF(AND(CL382&lt;&gt;"",CL382&lt;&gt;"NEMA"),CL382,IF(CM382&lt;&gt;"",CM382,""))))</f>
        <v/>
      </c>
      <c r="ET382" s="53" t="str">
        <f>IF(INDEX(natKategorija_alias_Id,MATCH(S382,natKategorija_katRegId,0))="","",INDEX(natKategorija_alias_Id,MATCH(S382,natKategorija_katRegId,0)))</f>
        <v/>
      </c>
      <c r="EU382" s="47" t="s">
        <v>0</v>
      </c>
      <c r="EV382" s="19" t="str">
        <f t="shared" si="347"/>
        <v/>
      </c>
      <c r="EW382" s="47" t="s">
        <v>0</v>
      </c>
      <c r="EX382" s="19" t="str">
        <f t="shared" si="348"/>
        <v/>
      </c>
      <c r="EY382" s="47" t="s">
        <v>0</v>
      </c>
      <c r="EZ382" s="180" t="str">
        <f>AG382&amp;IF(CP382="","","
")&amp;CP382&amp;IF(CI382="","","
")&amp;CI382&amp;IF(DN382="","","
")&amp;DN382&amp;IF(DP382="","","
")&amp;DP382&amp;IF(EV382="","","
")&amp;EV382&amp;IF(EX382="","","
")&amp;EX382</f>
        <v/>
      </c>
      <c r="FA382" s="47" t="s">
        <v>0</v>
      </c>
    </row>
    <row r="383" spans="1:157" x14ac:dyDescent="0.25">
      <c r="A383" t="s">
        <v>0</v>
      </c>
      <c r="B383" s="52" t="str">
        <f>IF(csv!F373="","",csv!T373)</f>
        <v/>
      </c>
      <c r="C383" s="31" t="s">
        <v>0</v>
      </c>
      <c r="D383" s="31" t="str">
        <f>IF(csv!F373="","",csv!F373)</f>
        <v/>
      </c>
      <c r="E383" s="31" t="str">
        <f>IF(csv!E373="","",csv!E373)</f>
        <v/>
      </c>
      <c r="F383" s="31" t="s">
        <v>0</v>
      </c>
      <c r="G383" s="73" t="str">
        <f>IF(csv!M373="","",csv!M373)</f>
        <v/>
      </c>
      <c r="H383" s="73" t="str">
        <f>IF(csv!N373="","",csv!N373)</f>
        <v/>
      </c>
      <c r="I383" s="31" t="s">
        <v>0</v>
      </c>
      <c r="J383" s="31" t="str">
        <f>IF(csv!P373="","",csv!P373)</f>
        <v/>
      </c>
      <c r="K383" s="31" t="str">
        <f>IF(csv!Q373="","",csv!Q373)</f>
        <v/>
      </c>
      <c r="L383" s="31" t="s">
        <v>0</v>
      </c>
      <c r="M383" s="66" t="str">
        <f>IF(csv!R373="","",csv!R373)</f>
        <v/>
      </c>
      <c r="N383" s="47" t="s">
        <v>0</v>
      </c>
      <c r="O383" s="243" t="str">
        <f t="shared" si="319"/>
        <v/>
      </c>
      <c r="P383" s="47"/>
      <c r="Q383" s="52" t="str">
        <f t="shared" si="320"/>
        <v/>
      </c>
      <c r="R383" s="73" t="str">
        <f>IF(Q383="","",IF(COUNTIF(Q$12:Q382,Q383)=0,R382+1,R382))</f>
        <v/>
      </c>
      <c r="S383" s="73" t="str">
        <f t="shared" si="321"/>
        <v/>
      </c>
      <c r="T383" s="73" t="str">
        <f t="shared" si="297"/>
        <v/>
      </c>
      <c r="U383" s="66" t="str">
        <f t="shared" si="298"/>
        <v/>
      </c>
      <c r="V383" s="47" t="s">
        <v>0</v>
      </c>
      <c r="W383" s="222" t="str">
        <f t="shared" si="299"/>
        <v/>
      </c>
      <c r="X383" s="223" t="str">
        <f t="shared" si="300"/>
        <v/>
      </c>
      <c r="Y383" s="47" t="s">
        <v>0</v>
      </c>
      <c r="Z383" s="52" t="str">
        <f t="shared" si="322"/>
        <v/>
      </c>
      <c r="AA383" s="73" t="str">
        <f t="shared" si="301"/>
        <v/>
      </c>
      <c r="AB383" s="31" t="str">
        <f t="shared" si="323"/>
        <v/>
      </c>
      <c r="AC383" s="66" t="str">
        <f>IF(AB383="","",MAX(AC$12:AC382)+1)</f>
        <v/>
      </c>
      <c r="AD383" s="47" t="s">
        <v>0</v>
      </c>
      <c r="AE383" s="125"/>
      <c r="AF383" s="47" t="s">
        <v>0</v>
      </c>
      <c r="AG383" s="19" t="str">
        <f t="shared" si="324"/>
        <v/>
      </c>
      <c r="AH383" s="47" t="s">
        <v>0</v>
      </c>
      <c r="AI383" s="143" t="str">
        <f t="shared" si="325"/>
        <v/>
      </c>
      <c r="AJ383" s="47"/>
      <c r="AK383" s="52" t="str">
        <f t="shared" si="326"/>
        <v/>
      </c>
      <c r="AL383" s="31" t="str">
        <f t="shared" si="327"/>
        <v/>
      </c>
      <c r="AM383" s="73" t="str">
        <f t="shared" si="328"/>
        <v/>
      </c>
      <c r="AN383" s="73" t="str">
        <f t="shared" si="329"/>
        <v/>
      </c>
      <c r="AO383" s="31" t="str">
        <f t="shared" si="302"/>
        <v/>
      </c>
      <c r="AP383" s="66" t="str">
        <f t="shared" si="303"/>
        <v/>
      </c>
      <c r="AQ383" s="47" t="s">
        <v>0</v>
      </c>
      <c r="AR383" s="82" t="str">
        <f t="shared" si="330"/>
        <v/>
      </c>
      <c r="AS383" s="47" t="s">
        <v>0</v>
      </c>
      <c r="AT383" s="19" t="str">
        <f t="shared" si="331"/>
        <v/>
      </c>
      <c r="AU383" s="47" t="s">
        <v>0</v>
      </c>
      <c r="AV383" s="103"/>
      <c r="AW383" s="105"/>
      <c r="AX383" s="47" t="s">
        <v>0</v>
      </c>
      <c r="AY383" s="256" t="str">
        <f t="shared" si="349"/>
        <v/>
      </c>
      <c r="AZ383" s="47" t="s">
        <v>0</v>
      </c>
      <c r="BA383" s="52" t="str">
        <f t="shared" si="296"/>
        <v/>
      </c>
      <c r="BB383" s="73" t="str">
        <f>IF(AV383&amp;AW383="","",MAX(BB$12:BB382)+1)</f>
        <v/>
      </c>
      <c r="BC383" s="268" t="str">
        <f t="shared" si="304"/>
        <v/>
      </c>
      <c r="BD383" s="53" t="str">
        <f>IF(AND(AM383="NEMA",AN383="NEMA",OR(AV383&amp;AW383="",BC383="NEMA")),MAX(BD$12:BD382)+1,"")</f>
        <v/>
      </c>
      <c r="BE383" s="47" t="s">
        <v>0</v>
      </c>
      <c r="BF383" s="52" t="str">
        <f t="shared" si="305"/>
        <v/>
      </c>
      <c r="BG383" s="31" t="str">
        <f t="shared" si="306"/>
        <v/>
      </c>
      <c r="BH383" s="73" t="str">
        <f t="shared" si="332"/>
        <v/>
      </c>
      <c r="BI383" s="53" t="str">
        <f t="shared" si="333"/>
        <v/>
      </c>
      <c r="BJ383" s="47" t="s">
        <v>0</v>
      </c>
      <c r="BK383" s="52" t="str">
        <f t="shared" si="307"/>
        <v/>
      </c>
      <c r="BL383" s="31" t="str">
        <f t="shared" si="308"/>
        <v/>
      </c>
      <c r="BM383" s="73" t="str">
        <f t="shared" si="309"/>
        <v/>
      </c>
      <c r="BN383" s="73" t="str">
        <f t="shared" si="310"/>
        <v/>
      </c>
      <c r="BO383" s="31" t="str" cm="1">
        <f t="array" ref="BO383">IF(BN383="",""&amp;BL383,IF(BN383="NEMA",BL383,INDEX(regKlub_naziv,MATCH(INDEX(regKlub_alias_klubId,BN383),regKlub_id,0))))</f>
        <v/>
      </c>
      <c r="BP383" s="31" t="str" cm="1">
        <f t="array" ref="BP383">IFERROR(""&amp;INDEX(regNatjecatelj_klub,DY383),"")</f>
        <v/>
      </c>
      <c r="BQ383" s="88" t="str">
        <f t="shared" si="334"/>
        <v/>
      </c>
      <c r="BR383" s="66" t="str">
        <f t="shared" si="335"/>
        <v/>
      </c>
      <c r="BS383" s="47" t="s">
        <v>0</v>
      </c>
      <c r="BT383" s="82" t="str">
        <f>IF(BN383&lt;&gt;"NEMA","",IF(IFERROR(MATCH(BL383,BL$12:BL382,0),0)&lt;&gt;0,"",BL383))</f>
        <v/>
      </c>
      <c r="BU383" s="47" t="s">
        <v>0</v>
      </c>
      <c r="BV383" s="125"/>
      <c r="BW383" s="47" t="s">
        <v>0</v>
      </c>
      <c r="BX383" s="58" t="str">
        <f t="shared" si="336"/>
        <v/>
      </c>
      <c r="BY383" s="31" t="str">
        <f t="shared" si="337"/>
        <v/>
      </c>
      <c r="BZ383" s="31" t="str">
        <f>IF(BY383="","",MAX(BZ$12:BZ382)+1)</f>
        <v/>
      </c>
      <c r="CA383" s="31" t="str">
        <f>IF(BY383="","",IF(AA383="","",IF(AA383="NEMA",AC383,AA383)))</f>
        <v/>
      </c>
      <c r="CB383" s="31" t="str">
        <f t="shared" si="338"/>
        <v/>
      </c>
      <c r="CC383" s="31" t="str">
        <f>IF(BV383="","",MAX(CC$12:CC382)+1)</f>
        <v/>
      </c>
      <c r="CD383" s="31" t="str">
        <f t="shared" si="339"/>
        <v/>
      </c>
      <c r="CE383" s="66" t="str">
        <f t="shared" si="340"/>
        <v/>
      </c>
      <c r="CF383" s="47" t="s">
        <v>0</v>
      </c>
      <c r="CG383" s="73" t="str">
        <f>IF(BN383="","",IF(BN383&lt;&gt;"NEMA","",IFERROR(INDEX(nat_klubAliasId,MATCH(BL383,nat_noviKluboviAliasi,0)),"")))</f>
        <v/>
      </c>
      <c r="CH383" s="47"/>
      <c r="CI383" s="19" t="str">
        <f t="shared" si="341"/>
        <v/>
      </c>
      <c r="CJ383" s="47" t="s">
        <v>0</v>
      </c>
      <c r="CK383" s="52" t="str">
        <f>IF(X383&lt;&gt;"NEMA","",IF(IFERROR(MATCH(W383,W$12:W382,0),0)&lt;&gt;0,"",W383))</f>
        <v/>
      </c>
      <c r="CL383" s="73" t="str">
        <f>IF(CK383="","",IFERROR(INDEX(regKlub_alias_id,MATCH(CK383,regKlub_alias_alias,0)),"NEMA"))</f>
        <v/>
      </c>
      <c r="CM383" s="31" t="str">
        <f>IF(OR(CL383="",CL383&lt;&gt;"NEMA"),"",MAX(CM$12:CM382)+1)</f>
        <v/>
      </c>
      <c r="CN383" s="66" t="str">
        <f>IF(OR(CL383="",CL383&lt;&gt;"NEMA"),"",INDEX(regKlub_id,MATCH(CK383,regKlub_naziv,0)))</f>
        <v/>
      </c>
      <c r="CO383" s="47" t="s">
        <v>0</v>
      </c>
      <c r="CP383" s="19" t="str">
        <f>IF(OR(CL383="",CL383&lt;&gt;"NEMA"),"","INSERT INTO klub_alias(id,alias,klub_id) VALUES ("&amp;CM383&amp;",'"&amp;CK383&amp;"',"&amp;CN383&amp;");")</f>
        <v/>
      </c>
      <c r="CQ383" s="47" t="s">
        <v>0</v>
      </c>
      <c r="CR383" s="143" t="str">
        <f>IF(BR383="","",IF(BV383="",IF(IFERROR(MATCH(BR383,nat_noviKluboviAliasi,0),0)&gt;0,INDEX(nat_kluboviAliasi,MATCH(BR383,nat_noviKluboviAliasi,0)),BR383),BV383))</f>
        <v/>
      </c>
      <c r="CS383" s="47" t="s">
        <v>0</v>
      </c>
      <c r="CT383" s="58" t="str">
        <f>IF(G383="","",G383)</f>
        <v/>
      </c>
      <c r="CU383" s="73" t="str">
        <f>IF(H383="","",H383)</f>
        <v/>
      </c>
      <c r="CV383" s="229" t="str">
        <f>IF(CT383="",IF(OR(AL383="",CU383&lt;&gt;"0"),"","GREŠKA"),IF(AND(65535&gt;=VALUE(LEFT(CT383,SEARCH(":",CT383)-1))*60+VALUE(RIGHT(CT383,2)),OR(CU383="0",CU383="1",CU383="2",CU383="3",CU383="4")),"","GREŠKA"))</f>
        <v/>
      </c>
      <c r="CW383" s="230" t="str">
        <f t="shared" si="351"/>
        <v/>
      </c>
      <c r="CX383" s="163" t="str">
        <f t="shared" si="311"/>
        <v/>
      </c>
      <c r="CY383" s="47" t="s">
        <v>0</v>
      </c>
      <c r="CZ383" s="222" t="str">
        <f>IF(CV383&lt;&gt;"GREŠKA","",AK383&amp;" "&amp;AL383&amp;" – Molim u OEventu provjeriti i ispraviti rezultat – vrijeme ("&amp;IF(CT383="","nije upisano",CT383)&amp;") i classifier ("&amp;CU383&amp;").")&amp;IF(OR(CV383&lt;&gt;"GREŠKA",CX383&lt;&gt;5),"
","")&amp;IF(CX383&lt;&gt;5,"",AK383&amp;" "&amp;AL383&amp;" – Molim u provjeriti je li natjecatelj zaista diskvalificiran. Ako je koje je obrazloženje, ako nije molim u OEventu ispraviti rezultat")</f>
        <v xml:space="preserve">
</v>
      </c>
      <c r="DA383" s="223" t="str">
        <f t="shared" si="342"/>
        <v/>
      </c>
      <c r="DB383" s="47" t="s">
        <v>0</v>
      </c>
      <c r="DC383" s="47"/>
      <c r="DD383" s="47"/>
      <c r="DE383" s="47"/>
      <c r="DF383" s="47" t="s">
        <v>0</v>
      </c>
      <c r="DG383" s="53" t="str">
        <f>IF(BD383="","",IF(DI383="O",1,""))</f>
        <v/>
      </c>
      <c r="DH383" t="s">
        <v>0</v>
      </c>
      <c r="DI383" s="128" t="str">
        <f>IF(Q383="","",LEFT(INDEX(regKategorija_oznaka,MATCH(S383,regKategorija_id,0)),1))</f>
        <v/>
      </c>
      <c r="DJ383" t="s">
        <v>0</v>
      </c>
      <c r="DK383" s="52" t="str">
        <f>IF(BD383="","",IF(M383&lt;&gt;"CRO","","INSERT INTO osoba (id,reg_broj,oib,spol_id,dat_rodjenja) VALUES ("&amp;BD383&amp;",(SELECT max(os.reg_broj)+1 FROM osoba AS os),Null,'"&amp;DI383&amp;"',Null); INSERT INTO osoba_log (id,reg_broj,oib,spol_id,dat_rodjenja,dnevnik_id) SELECT id,reg_broj,oib,spol_id,dat_rodjenja,"&amp;data_dnevnik_id&amp;" FROM osoba WHERE id = "&amp;BD383&amp;";"))</f>
        <v/>
      </c>
      <c r="DL383" s="66" t="str">
        <f>IF(BD383="","","INSERT INTO imeprezime (id,osoba_id,rbr,ime,prezime,klub_id,identitet_id,sintaksa_id,info,aktivno,dnevnik_id) VALUES ("&amp;BD383&amp;","&amp;IF(DK383="","Null",BD383)&amp;",1,'"&amp;IF(AV383&lt;&gt;"",AV383,AK383)&amp;"','"&amp;IF(AW383&lt;&gt;"",AW383,AL383)&amp;"',(SELECT id FROM klub WHERE naziv = '"&amp;CR383&amp;"'),Null,1,'',1,"&amp;data_dnevnik_id&amp;");")</f>
        <v/>
      </c>
      <c r="DM383" t="s">
        <v>0</v>
      </c>
      <c r="DN383" s="19" t="str">
        <f t="shared" si="350"/>
        <v/>
      </c>
      <c r="DO383" s="47" t="s">
        <v>0</v>
      </c>
      <c r="DP383" s="19" t="str">
        <f>IF(BA383="","","INSERT INTO imeprezime_alias(id,alias,imeprezime_id) VALUES ("&amp;BB383&amp;",'"&amp;BA383&amp;"',"&amp;IF(BC383="NEMA",BD383,BC383)&amp;");")</f>
        <v/>
      </c>
      <c r="DQ383" s="47" t="s">
        <v>0</v>
      </c>
      <c r="DR383" s="52" t="str">
        <f>IF(AL383="","",DU383 &amp; IF(Q383="",""," – " &amp; Q383))</f>
        <v/>
      </c>
      <c r="DS383" s="53" t="str">
        <f t="shared" si="312"/>
        <v/>
      </c>
      <c r="DT383" s="47" t="s">
        <v>0</v>
      </c>
      <c r="DU383" s="52" t="str">
        <f>IF(AL383="","",DX383 &amp; IF(CR383="",""," – " &amp; CR383))</f>
        <v/>
      </c>
      <c r="DV383" s="53" t="str">
        <f t="shared" si="313"/>
        <v/>
      </c>
      <c r="DW383" s="47" t="s">
        <v>0</v>
      </c>
      <c r="DX383" s="52" t="str">
        <f>IF(BG383="","",BF383&amp;" – "&amp;BG383)</f>
        <v/>
      </c>
      <c r="DY383" s="53" t="str">
        <f t="shared" si="314"/>
        <v/>
      </c>
      <c r="DZ383" s="47" t="s">
        <v>0</v>
      </c>
      <c r="EA383" s="58" t="str">
        <f t="shared" si="343"/>
        <v/>
      </c>
      <c r="EB383" s="53" t="str" cm="1">
        <f t="array" ref="EB383">IF(EA383&lt;&gt;"",INDEX(regNatjecatelj_id,EA383,0),IF(BD383&lt;&gt;"",BD383,""))</f>
        <v/>
      </c>
      <c r="EC383" s="47" t="s">
        <v>0</v>
      </c>
      <c r="ED383" s="58" t="str">
        <f>IF(AL383="","",IF(BD383&lt;&gt;"","novo",IF(AN383="","imepre","imepre(ali)")))</f>
        <v/>
      </c>
      <c r="EE383" s="73" t="str">
        <f>IF(AL383="","",IF(BL383="",IF(IFERROR(INDEX(regNatjecatelj_klub,MATCH(EB383,regNatjecatelj_id,0)),"NEMA")="","klu",""),IF(OR(AND(BN383&lt;&gt;"",BN383&lt;&gt;"NEMA"),CD383&lt;&gt;""),"klu(ali)",IF(AND(BP383&lt;&gt;"",BP383&lt;&gt;BO383),"(raz-klu)","klu"))))</f>
        <v/>
      </c>
      <c r="EF383" s="73" t="str">
        <f>IF(AL383="","","kat"&amp;IF(AND(W383&lt;&gt;Q383,Q383&lt;&gt;"Open"),"(ali)",""))</f>
        <v/>
      </c>
      <c r="EG383" s="73" t="str">
        <f t="shared" si="315"/>
        <v/>
      </c>
      <c r="EH383" s="66" t="str">
        <f>IF(AL383="","",ED383&amp;IF(ED383="novo","","-"&amp;EE383&amp;"-"&amp;EF383)&amp;IF(EG383="","","-"&amp;EG383))</f>
        <v/>
      </c>
      <c r="EI383" s="47" t="s">
        <v>0</v>
      </c>
      <c r="EJ383" s="58" t="str">
        <f>IF(AL383="","",MAX(EJ$12:EJ382)+1)</f>
        <v/>
      </c>
      <c r="EK383" s="73" t="str">
        <f>IF(AO383="","",X383)</f>
        <v/>
      </c>
      <c r="EL383" s="73" t="str">
        <f t="shared" si="344"/>
        <v/>
      </c>
      <c r="EM383" s="73" t="str">
        <f t="shared" si="316"/>
        <v/>
      </c>
      <c r="EN383" s="73" t="str">
        <f t="shared" si="317"/>
        <v/>
      </c>
      <c r="EO383" s="73" t="str">
        <f t="shared" si="345"/>
        <v/>
      </c>
      <c r="EP383" s="73" t="str">
        <f t="shared" si="346"/>
        <v/>
      </c>
      <c r="EQ383" s="73" t="str">
        <f t="shared" si="318"/>
        <v/>
      </c>
      <c r="ER383" s="73" t="str">
        <f>IF(OR(AN383="",AN383="NEMA"),BB383,AN383)</f>
        <v/>
      </c>
      <c r="ES383" s="73" t="str">
        <f>IF(AND(BN383&lt;&gt;"",BN383&lt;&gt;"NEMA"),BN383,IF(CG383&lt;&gt;"",CG383,IF(AND(CL383&lt;&gt;"",CL383&lt;&gt;"NEMA"),CL383,IF(CM383&lt;&gt;"",CM383,""))))</f>
        <v/>
      </c>
      <c r="ET383" s="53" t="str">
        <f>IF(INDEX(natKategorija_alias_Id,MATCH(S383,natKategorija_katRegId,0))="","",INDEX(natKategorija_alias_Id,MATCH(S383,natKategorija_katRegId,0)))</f>
        <v/>
      </c>
      <c r="EU383" s="47" t="s">
        <v>0</v>
      </c>
      <c r="EV383" s="19" t="str">
        <f t="shared" si="347"/>
        <v/>
      </c>
      <c r="EW383" s="47" t="s">
        <v>0</v>
      </c>
      <c r="EX383" s="19" t="str">
        <f t="shared" si="348"/>
        <v/>
      </c>
      <c r="EY383" s="47" t="s">
        <v>0</v>
      </c>
      <c r="EZ383" s="180" t="str">
        <f>AG383&amp;IF(CP383="","","
")&amp;CP383&amp;IF(CI383="","","
")&amp;CI383&amp;IF(DN383="","","
")&amp;DN383&amp;IF(DP383="","","
")&amp;DP383&amp;IF(EV383="","","
")&amp;EV383&amp;IF(EX383="","","
")&amp;EX383</f>
        <v/>
      </c>
      <c r="FA383" s="47" t="s">
        <v>0</v>
      </c>
    </row>
    <row r="384" spans="1:157" x14ac:dyDescent="0.25">
      <c r="A384" t="s">
        <v>0</v>
      </c>
      <c r="B384" s="52" t="str">
        <f>IF(csv!F374="","",csv!T374)</f>
        <v/>
      </c>
      <c r="C384" s="31" t="s">
        <v>0</v>
      </c>
      <c r="D384" s="31" t="str">
        <f>IF(csv!F374="","",csv!F374)</f>
        <v/>
      </c>
      <c r="E384" s="31" t="str">
        <f>IF(csv!E374="","",csv!E374)</f>
        <v/>
      </c>
      <c r="F384" s="31" t="s">
        <v>0</v>
      </c>
      <c r="G384" s="73" t="str">
        <f>IF(csv!M374="","",csv!M374)</f>
        <v/>
      </c>
      <c r="H384" s="73" t="str">
        <f>IF(csv!N374="","",csv!N374)</f>
        <v/>
      </c>
      <c r="I384" s="31" t="s">
        <v>0</v>
      </c>
      <c r="J384" s="31" t="str">
        <f>IF(csv!P374="","",csv!P374)</f>
        <v/>
      </c>
      <c r="K384" s="31" t="str">
        <f>IF(csv!Q374="","",csv!Q374)</f>
        <v/>
      </c>
      <c r="L384" s="31" t="s">
        <v>0</v>
      </c>
      <c r="M384" s="66" t="str">
        <f>IF(csv!R374="","",csv!R374)</f>
        <v/>
      </c>
      <c r="N384" s="47" t="s">
        <v>0</v>
      </c>
      <c r="O384" s="243" t="str">
        <f t="shared" si="319"/>
        <v/>
      </c>
      <c r="P384" s="47"/>
      <c r="Q384" s="52" t="str">
        <f t="shared" si="320"/>
        <v/>
      </c>
      <c r="R384" s="73" t="str">
        <f>IF(Q384="","",IF(COUNTIF(Q$12:Q383,Q384)=0,R383+1,R383))</f>
        <v/>
      </c>
      <c r="S384" s="73" t="str">
        <f t="shared" si="321"/>
        <v/>
      </c>
      <c r="T384" s="73" t="str">
        <f t="shared" si="297"/>
        <v/>
      </c>
      <c r="U384" s="66" t="str">
        <f t="shared" si="298"/>
        <v/>
      </c>
      <c r="V384" s="47" t="s">
        <v>0</v>
      </c>
      <c r="W384" s="222" t="str">
        <f t="shared" si="299"/>
        <v/>
      </c>
      <c r="X384" s="223" t="str">
        <f t="shared" si="300"/>
        <v/>
      </c>
      <c r="Y384" s="47" t="s">
        <v>0</v>
      </c>
      <c r="Z384" s="52" t="str">
        <f t="shared" si="322"/>
        <v/>
      </c>
      <c r="AA384" s="73" t="str">
        <f t="shared" si="301"/>
        <v/>
      </c>
      <c r="AB384" s="31" t="str">
        <f t="shared" si="323"/>
        <v/>
      </c>
      <c r="AC384" s="66" t="str">
        <f>IF(AB384="","",MAX(AC$12:AC383)+1)</f>
        <v/>
      </c>
      <c r="AD384" s="47" t="s">
        <v>0</v>
      </c>
      <c r="AE384" s="125"/>
      <c r="AF384" s="47" t="s">
        <v>0</v>
      </c>
      <c r="AG384" s="19" t="str">
        <f t="shared" si="324"/>
        <v/>
      </c>
      <c r="AH384" s="47" t="s">
        <v>0</v>
      </c>
      <c r="AI384" s="143" t="str">
        <f t="shared" si="325"/>
        <v/>
      </c>
      <c r="AJ384" s="47"/>
      <c r="AK384" s="52" t="str">
        <f t="shared" si="326"/>
        <v/>
      </c>
      <c r="AL384" s="31" t="str">
        <f t="shared" si="327"/>
        <v/>
      </c>
      <c r="AM384" s="73" t="str">
        <f t="shared" si="328"/>
        <v/>
      </c>
      <c r="AN384" s="73" t="str">
        <f t="shared" si="329"/>
        <v/>
      </c>
      <c r="AO384" s="31" t="str">
        <f t="shared" si="302"/>
        <v/>
      </c>
      <c r="AP384" s="66" t="str">
        <f t="shared" si="303"/>
        <v/>
      </c>
      <c r="AQ384" s="47" t="s">
        <v>0</v>
      </c>
      <c r="AR384" s="82" t="str">
        <f t="shared" si="330"/>
        <v/>
      </c>
      <c r="AS384" s="47" t="s">
        <v>0</v>
      </c>
      <c r="AT384" s="19" t="str">
        <f t="shared" si="331"/>
        <v/>
      </c>
      <c r="AU384" s="47" t="s">
        <v>0</v>
      </c>
      <c r="AV384" s="103"/>
      <c r="AW384" s="105"/>
      <c r="AX384" s="47" t="s">
        <v>0</v>
      </c>
      <c r="AY384" s="256" t="str">
        <f t="shared" si="349"/>
        <v/>
      </c>
      <c r="AZ384" s="47" t="s">
        <v>0</v>
      </c>
      <c r="BA384" s="52" t="str">
        <f t="shared" si="296"/>
        <v/>
      </c>
      <c r="BB384" s="73" t="str">
        <f>IF(AV384&amp;AW384="","",MAX(BB$12:BB383)+1)</f>
        <v/>
      </c>
      <c r="BC384" s="268" t="str">
        <f t="shared" si="304"/>
        <v/>
      </c>
      <c r="BD384" s="53" t="str">
        <f>IF(AND(AM384="NEMA",AN384="NEMA",OR(AV384&amp;AW384="",BC384="NEMA")),MAX(BD$12:BD383)+1,"")</f>
        <v/>
      </c>
      <c r="BE384" s="47" t="s">
        <v>0</v>
      </c>
      <c r="BF384" s="52" t="str">
        <f t="shared" si="305"/>
        <v/>
      </c>
      <c r="BG384" s="31" t="str">
        <f t="shared" si="306"/>
        <v/>
      </c>
      <c r="BH384" s="73" t="str">
        <f t="shared" si="332"/>
        <v/>
      </c>
      <c r="BI384" s="53" t="str">
        <f t="shared" si="333"/>
        <v/>
      </c>
      <c r="BJ384" s="47" t="s">
        <v>0</v>
      </c>
      <c r="BK384" s="52" t="str">
        <f t="shared" si="307"/>
        <v/>
      </c>
      <c r="BL384" s="31" t="str">
        <f t="shared" si="308"/>
        <v/>
      </c>
      <c r="BM384" s="73" t="str">
        <f t="shared" si="309"/>
        <v/>
      </c>
      <c r="BN384" s="73" t="str">
        <f t="shared" si="310"/>
        <v/>
      </c>
      <c r="BO384" s="31" t="str" cm="1">
        <f t="array" ref="BO384">IF(BN384="",""&amp;BL384,IF(BN384="NEMA",BL384,INDEX(regKlub_naziv,MATCH(INDEX(regKlub_alias_klubId,BN384),regKlub_id,0))))</f>
        <v/>
      </c>
      <c r="BP384" s="31" t="str" cm="1">
        <f t="array" ref="BP384">IFERROR(""&amp;INDEX(regNatjecatelj_klub,DY384),"")</f>
        <v/>
      </c>
      <c r="BQ384" s="88" t="str">
        <f t="shared" si="334"/>
        <v/>
      </c>
      <c r="BR384" s="66" t="str">
        <f t="shared" si="335"/>
        <v/>
      </c>
      <c r="BS384" s="47" t="s">
        <v>0</v>
      </c>
      <c r="BT384" s="82" t="str">
        <f>IF(BN384&lt;&gt;"NEMA","",IF(IFERROR(MATCH(BL384,BL$12:BL383,0),0)&lt;&gt;0,"",BL384))</f>
        <v/>
      </c>
      <c r="BU384" s="47" t="s">
        <v>0</v>
      </c>
      <c r="BV384" s="125"/>
      <c r="BW384" s="47" t="s">
        <v>0</v>
      </c>
      <c r="BX384" s="58" t="str">
        <f t="shared" si="336"/>
        <v/>
      </c>
      <c r="BY384" s="31" t="str">
        <f t="shared" si="337"/>
        <v/>
      </c>
      <c r="BZ384" s="31" t="str">
        <f>IF(BY384="","",MAX(BZ$12:BZ383)+1)</f>
        <v/>
      </c>
      <c r="CA384" s="31" t="str">
        <f>IF(BY384="","",IF(AA384="","",IF(AA384="NEMA",AC384,AA384)))</f>
        <v/>
      </c>
      <c r="CB384" s="31" t="str">
        <f t="shared" si="338"/>
        <v/>
      </c>
      <c r="CC384" s="31" t="str">
        <f>IF(BV384="","",MAX(CC$12:CC383)+1)</f>
        <v/>
      </c>
      <c r="CD384" s="31" t="str">
        <f t="shared" si="339"/>
        <v/>
      </c>
      <c r="CE384" s="66" t="str">
        <f t="shared" si="340"/>
        <v/>
      </c>
      <c r="CF384" s="47" t="s">
        <v>0</v>
      </c>
      <c r="CG384" s="73" t="str">
        <f>IF(BN384="","",IF(BN384&lt;&gt;"NEMA","",IFERROR(INDEX(nat_klubAliasId,MATCH(BL384,nat_noviKluboviAliasi,0)),"")))</f>
        <v/>
      </c>
      <c r="CH384" s="47"/>
      <c r="CI384" s="19" t="str">
        <f t="shared" si="341"/>
        <v/>
      </c>
      <c r="CJ384" s="47" t="s">
        <v>0</v>
      </c>
      <c r="CK384" s="52" t="str">
        <f>IF(X384&lt;&gt;"NEMA","",IF(IFERROR(MATCH(W384,W$12:W383,0),0)&lt;&gt;0,"",W384))</f>
        <v/>
      </c>
      <c r="CL384" s="73" t="str">
        <f>IF(CK384="","",IFERROR(INDEX(regKlub_alias_id,MATCH(CK384,regKlub_alias_alias,0)),"NEMA"))</f>
        <v/>
      </c>
      <c r="CM384" s="31" t="str">
        <f>IF(OR(CL384="",CL384&lt;&gt;"NEMA"),"",MAX(CM$12:CM383)+1)</f>
        <v/>
      </c>
      <c r="CN384" s="66" t="str">
        <f>IF(OR(CL384="",CL384&lt;&gt;"NEMA"),"",INDEX(regKlub_id,MATCH(CK384,regKlub_naziv,0)))</f>
        <v/>
      </c>
      <c r="CO384" s="47" t="s">
        <v>0</v>
      </c>
      <c r="CP384" s="19" t="str">
        <f>IF(OR(CL384="",CL384&lt;&gt;"NEMA"),"","INSERT INTO klub_alias(id,alias,klub_id) VALUES ("&amp;CM384&amp;",'"&amp;CK384&amp;"',"&amp;CN384&amp;");")</f>
        <v/>
      </c>
      <c r="CQ384" s="47" t="s">
        <v>0</v>
      </c>
      <c r="CR384" s="143" t="str">
        <f>IF(BR384="","",IF(BV384="",IF(IFERROR(MATCH(BR384,nat_noviKluboviAliasi,0),0)&gt;0,INDEX(nat_kluboviAliasi,MATCH(BR384,nat_noviKluboviAliasi,0)),BR384),BV384))</f>
        <v/>
      </c>
      <c r="CS384" s="47" t="s">
        <v>0</v>
      </c>
      <c r="CT384" s="58" t="str">
        <f>IF(G384="","",G384)</f>
        <v/>
      </c>
      <c r="CU384" s="73" t="str">
        <f>IF(H384="","",H384)</f>
        <v/>
      </c>
      <c r="CV384" s="229" t="str">
        <f>IF(CT384="",IF(OR(AL384="",CU384&lt;&gt;"0"),"","GREŠKA"),IF(AND(65535&gt;=VALUE(LEFT(CT384,SEARCH(":",CT384)-1))*60+VALUE(RIGHT(CT384,2)),OR(CU384="0",CU384="1",CU384="2",CU384="3",CU384="4")),"","GREŠKA"))</f>
        <v/>
      </c>
      <c r="CW384" s="230" t="str">
        <f t="shared" si="351"/>
        <v/>
      </c>
      <c r="CX384" s="163" t="str">
        <f t="shared" si="311"/>
        <v/>
      </c>
      <c r="CY384" s="47" t="s">
        <v>0</v>
      </c>
      <c r="CZ384" s="222" t="str">
        <f>IF(CV384&lt;&gt;"GREŠKA","",AK384&amp;" "&amp;AL384&amp;" – Molim u OEventu provjeriti i ispraviti rezultat – vrijeme ("&amp;IF(CT384="","nije upisano",CT384)&amp;") i classifier ("&amp;CU384&amp;").")&amp;IF(OR(CV384&lt;&gt;"GREŠKA",CX384&lt;&gt;5),"
","")&amp;IF(CX384&lt;&gt;5,"",AK384&amp;" "&amp;AL384&amp;" – Molim u provjeriti je li natjecatelj zaista diskvalificiran. Ako je koje je obrazloženje, ako nije molim u OEventu ispraviti rezultat")</f>
        <v xml:space="preserve">
</v>
      </c>
      <c r="DA384" s="223" t="str">
        <f t="shared" si="342"/>
        <v/>
      </c>
      <c r="DB384" s="47" t="s">
        <v>0</v>
      </c>
      <c r="DC384" s="47"/>
      <c r="DD384" s="47"/>
      <c r="DE384" s="47"/>
      <c r="DF384" s="47" t="s">
        <v>0</v>
      </c>
      <c r="DG384" s="53" t="str">
        <f>IF(BD384="","",IF(DI384="O",1,""))</f>
        <v/>
      </c>
      <c r="DH384" t="s">
        <v>0</v>
      </c>
      <c r="DI384" s="128" t="str">
        <f>IF(Q384="","",LEFT(INDEX(regKategorija_oznaka,MATCH(S384,regKategorija_id,0)),1))</f>
        <v/>
      </c>
      <c r="DJ384" t="s">
        <v>0</v>
      </c>
      <c r="DK384" s="52" t="str">
        <f>IF(BD384="","",IF(M384&lt;&gt;"CRO","","INSERT INTO osoba (id,reg_broj,oib,spol_id,dat_rodjenja) VALUES ("&amp;BD384&amp;",(SELECT max(os.reg_broj)+1 FROM osoba AS os),Null,'"&amp;DI384&amp;"',Null); INSERT INTO osoba_log (id,reg_broj,oib,spol_id,dat_rodjenja,dnevnik_id) SELECT id,reg_broj,oib,spol_id,dat_rodjenja,"&amp;data_dnevnik_id&amp;" FROM osoba WHERE id = "&amp;BD384&amp;";"))</f>
        <v/>
      </c>
      <c r="DL384" s="66" t="str">
        <f>IF(BD384="","","INSERT INTO imeprezime (id,osoba_id,rbr,ime,prezime,klub_id,identitet_id,sintaksa_id,info,aktivno,dnevnik_id) VALUES ("&amp;BD384&amp;","&amp;IF(DK384="","Null",BD384)&amp;",1,'"&amp;IF(AV384&lt;&gt;"",AV384,AK384)&amp;"','"&amp;IF(AW384&lt;&gt;"",AW384,AL384)&amp;"',(SELECT id FROM klub WHERE naziv = '"&amp;CR384&amp;"'),Null,1,'',1,"&amp;data_dnevnik_id&amp;");")</f>
        <v/>
      </c>
      <c r="DM384" t="s">
        <v>0</v>
      </c>
      <c r="DN384" s="19" t="str">
        <f t="shared" si="350"/>
        <v/>
      </c>
      <c r="DO384" s="47" t="s">
        <v>0</v>
      </c>
      <c r="DP384" s="19" t="str">
        <f>IF(BA384="","","INSERT INTO imeprezime_alias(id,alias,imeprezime_id) VALUES ("&amp;BB384&amp;",'"&amp;BA384&amp;"',"&amp;IF(BC384="NEMA",BD384,BC384)&amp;");")</f>
        <v/>
      </c>
      <c r="DQ384" s="47" t="s">
        <v>0</v>
      </c>
      <c r="DR384" s="52" t="str">
        <f>IF(AL384="","",DU384 &amp; IF(Q384="",""," – " &amp; Q384))</f>
        <v/>
      </c>
      <c r="DS384" s="53" t="str">
        <f t="shared" si="312"/>
        <v/>
      </c>
      <c r="DT384" s="47" t="s">
        <v>0</v>
      </c>
      <c r="DU384" s="52" t="str">
        <f>IF(AL384="","",DX384 &amp; IF(CR384="",""," – " &amp; CR384))</f>
        <v/>
      </c>
      <c r="DV384" s="53" t="str">
        <f t="shared" si="313"/>
        <v/>
      </c>
      <c r="DW384" s="47" t="s">
        <v>0</v>
      </c>
      <c r="DX384" s="52" t="str">
        <f>IF(BG384="","",BF384&amp;" – "&amp;BG384)</f>
        <v/>
      </c>
      <c r="DY384" s="53" t="str">
        <f t="shared" si="314"/>
        <v/>
      </c>
      <c r="DZ384" s="47" t="s">
        <v>0</v>
      </c>
      <c r="EA384" s="58" t="str">
        <f t="shared" si="343"/>
        <v/>
      </c>
      <c r="EB384" s="53" t="str" cm="1">
        <f t="array" ref="EB384">IF(EA384&lt;&gt;"",INDEX(regNatjecatelj_id,EA384,0),IF(BD384&lt;&gt;"",BD384,""))</f>
        <v/>
      </c>
      <c r="EC384" s="47" t="s">
        <v>0</v>
      </c>
      <c r="ED384" s="58" t="str">
        <f>IF(AL384="","",IF(BD384&lt;&gt;"","novo",IF(AN384="","imepre","imepre(ali)")))</f>
        <v/>
      </c>
      <c r="EE384" s="73" t="str">
        <f>IF(AL384="","",IF(BL384="",IF(IFERROR(INDEX(regNatjecatelj_klub,MATCH(EB384,regNatjecatelj_id,0)),"NEMA")="","klu",""),IF(OR(AND(BN384&lt;&gt;"",BN384&lt;&gt;"NEMA"),CD384&lt;&gt;""),"klu(ali)",IF(AND(BP384&lt;&gt;"",BP384&lt;&gt;BO384),"(raz-klu)","klu"))))</f>
        <v/>
      </c>
      <c r="EF384" s="73" t="str">
        <f>IF(AL384="","","kat"&amp;IF(AND(W384&lt;&gt;Q384,Q384&lt;&gt;"Open"),"(ali)",""))</f>
        <v/>
      </c>
      <c r="EG384" s="73" t="str">
        <f t="shared" si="315"/>
        <v/>
      </c>
      <c r="EH384" s="66" t="str">
        <f>IF(AL384="","",ED384&amp;IF(ED384="novo","","-"&amp;EE384&amp;"-"&amp;EF384)&amp;IF(EG384="","","-"&amp;EG384))</f>
        <v/>
      </c>
      <c r="EI384" s="47" t="s">
        <v>0</v>
      </c>
      <c r="EJ384" s="58" t="str">
        <f>IF(AL384="","",MAX(EJ$12:EJ383)+1)</f>
        <v/>
      </c>
      <c r="EK384" s="73" t="str">
        <f>IF(AO384="","",X384)</f>
        <v/>
      </c>
      <c r="EL384" s="73" t="str">
        <f t="shared" si="344"/>
        <v/>
      </c>
      <c r="EM384" s="73" t="str">
        <f t="shared" si="316"/>
        <v/>
      </c>
      <c r="EN384" s="73" t="str">
        <f t="shared" si="317"/>
        <v/>
      </c>
      <c r="EO384" s="73" t="str">
        <f t="shared" si="345"/>
        <v/>
      </c>
      <c r="EP384" s="73" t="str">
        <f t="shared" si="346"/>
        <v/>
      </c>
      <c r="EQ384" s="73" t="str">
        <f t="shared" si="318"/>
        <v/>
      </c>
      <c r="ER384" s="73" t="str">
        <f>IF(OR(AN384="",AN384="NEMA"),BB384,AN384)</f>
        <v/>
      </c>
      <c r="ES384" s="73" t="str">
        <f>IF(AND(BN384&lt;&gt;"",BN384&lt;&gt;"NEMA"),BN384,IF(CG384&lt;&gt;"",CG384,IF(AND(CL384&lt;&gt;"",CL384&lt;&gt;"NEMA"),CL384,IF(CM384&lt;&gt;"",CM384,""))))</f>
        <v/>
      </c>
      <c r="ET384" s="53" t="str">
        <f>IF(INDEX(natKategorija_alias_Id,MATCH(S384,natKategorija_katRegId,0))="","",INDEX(natKategorija_alias_Id,MATCH(S384,natKategorija_katRegId,0)))</f>
        <v/>
      </c>
      <c r="EU384" s="47" t="s">
        <v>0</v>
      </c>
      <c r="EV384" s="19" t="str">
        <f t="shared" si="347"/>
        <v/>
      </c>
      <c r="EW384" s="47" t="s">
        <v>0</v>
      </c>
      <c r="EX384" s="19" t="str">
        <f t="shared" si="348"/>
        <v/>
      </c>
      <c r="EY384" s="47" t="s">
        <v>0</v>
      </c>
      <c r="EZ384" s="180" t="str">
        <f>AG384&amp;IF(CP384="","","
")&amp;CP384&amp;IF(CI384="","","
")&amp;CI384&amp;IF(DN384="","","
")&amp;DN384&amp;IF(DP384="","","
")&amp;DP384&amp;IF(EV384="","","
")&amp;EV384&amp;IF(EX384="","","
")&amp;EX384</f>
        <v/>
      </c>
      <c r="FA384" s="47" t="s">
        <v>0</v>
      </c>
    </row>
    <row r="385" spans="1:157" x14ac:dyDescent="0.25">
      <c r="A385" t="s">
        <v>0</v>
      </c>
      <c r="B385" s="52" t="str">
        <f>IF(csv!F375="","",csv!T375)</f>
        <v/>
      </c>
      <c r="C385" s="31" t="s">
        <v>0</v>
      </c>
      <c r="D385" s="31" t="str">
        <f>IF(csv!F375="","",csv!F375)</f>
        <v/>
      </c>
      <c r="E385" s="31" t="str">
        <f>IF(csv!E375="","",csv!E375)</f>
        <v/>
      </c>
      <c r="F385" s="31" t="s">
        <v>0</v>
      </c>
      <c r="G385" s="73" t="str">
        <f>IF(csv!M375="","",csv!M375)</f>
        <v/>
      </c>
      <c r="H385" s="73" t="str">
        <f>IF(csv!N375="","",csv!N375)</f>
        <v/>
      </c>
      <c r="I385" s="31" t="s">
        <v>0</v>
      </c>
      <c r="J385" s="31" t="str">
        <f>IF(csv!P375="","",csv!P375)</f>
        <v/>
      </c>
      <c r="K385" s="31" t="str">
        <f>IF(csv!Q375="","",csv!Q375)</f>
        <v/>
      </c>
      <c r="L385" s="31" t="s">
        <v>0</v>
      </c>
      <c r="M385" s="66" t="str">
        <f>IF(csv!R375="","",csv!R375)</f>
        <v/>
      </c>
      <c r="N385" s="47" t="s">
        <v>0</v>
      </c>
      <c r="O385" s="243" t="str">
        <f t="shared" si="319"/>
        <v/>
      </c>
      <c r="P385" s="47"/>
      <c r="Q385" s="52" t="str">
        <f t="shared" si="320"/>
        <v/>
      </c>
      <c r="R385" s="73" t="str">
        <f>IF(Q385="","",IF(COUNTIF(Q$12:Q384,Q385)=0,R384+1,R384))</f>
        <v/>
      </c>
      <c r="S385" s="73" t="str">
        <f t="shared" si="321"/>
        <v/>
      </c>
      <c r="T385" s="73" t="str">
        <f t="shared" si="297"/>
        <v/>
      </c>
      <c r="U385" s="66" t="str">
        <f t="shared" si="298"/>
        <v/>
      </c>
      <c r="V385" s="47" t="s">
        <v>0</v>
      </c>
      <c r="W385" s="222" t="str">
        <f t="shared" si="299"/>
        <v/>
      </c>
      <c r="X385" s="223" t="str">
        <f t="shared" si="300"/>
        <v/>
      </c>
      <c r="Y385" s="47" t="s">
        <v>0</v>
      </c>
      <c r="Z385" s="52" t="str">
        <f t="shared" si="322"/>
        <v/>
      </c>
      <c r="AA385" s="73" t="str">
        <f t="shared" si="301"/>
        <v/>
      </c>
      <c r="AB385" s="31" t="str">
        <f t="shared" si="323"/>
        <v/>
      </c>
      <c r="AC385" s="66" t="str">
        <f>IF(AB385="","",MAX(AC$12:AC384)+1)</f>
        <v/>
      </c>
      <c r="AD385" s="47" t="s">
        <v>0</v>
      </c>
      <c r="AE385" s="125"/>
      <c r="AF385" s="47" t="s">
        <v>0</v>
      </c>
      <c r="AG385" s="19" t="str">
        <f t="shared" si="324"/>
        <v/>
      </c>
      <c r="AH385" s="47" t="s">
        <v>0</v>
      </c>
      <c r="AI385" s="143" t="str">
        <f t="shared" si="325"/>
        <v/>
      </c>
      <c r="AJ385" s="47"/>
      <c r="AK385" s="52" t="str">
        <f t="shared" si="326"/>
        <v/>
      </c>
      <c r="AL385" s="31" t="str">
        <f t="shared" si="327"/>
        <v/>
      </c>
      <c r="AM385" s="73" t="str">
        <f t="shared" si="328"/>
        <v/>
      </c>
      <c r="AN385" s="73" t="str">
        <f t="shared" si="329"/>
        <v/>
      </c>
      <c r="AO385" s="31" t="str">
        <f t="shared" si="302"/>
        <v/>
      </c>
      <c r="AP385" s="66" t="str">
        <f t="shared" si="303"/>
        <v/>
      </c>
      <c r="AQ385" s="47" t="s">
        <v>0</v>
      </c>
      <c r="AR385" s="82" t="str">
        <f t="shared" si="330"/>
        <v/>
      </c>
      <c r="AS385" s="47" t="s">
        <v>0</v>
      </c>
      <c r="AT385" s="19" t="str">
        <f t="shared" si="331"/>
        <v/>
      </c>
      <c r="AU385" s="47" t="s">
        <v>0</v>
      </c>
      <c r="AV385" s="103"/>
      <c r="AW385" s="105"/>
      <c r="AX385" s="47" t="s">
        <v>0</v>
      </c>
      <c r="AY385" s="256" t="str">
        <f t="shared" si="349"/>
        <v/>
      </c>
      <c r="AZ385" s="47" t="s">
        <v>0</v>
      </c>
      <c r="BA385" s="52" t="str">
        <f t="shared" si="296"/>
        <v/>
      </c>
      <c r="BB385" s="73" t="str">
        <f>IF(AV385&amp;AW385="","",MAX(BB$12:BB384)+1)</f>
        <v/>
      </c>
      <c r="BC385" s="268" t="str">
        <f t="shared" si="304"/>
        <v/>
      </c>
      <c r="BD385" s="53" t="str">
        <f>IF(AND(AM385="NEMA",AN385="NEMA",OR(AV385&amp;AW385="",BC385="NEMA")),MAX(BD$12:BD384)+1,"")</f>
        <v/>
      </c>
      <c r="BE385" s="47" t="s">
        <v>0</v>
      </c>
      <c r="BF385" s="52" t="str">
        <f t="shared" si="305"/>
        <v/>
      </c>
      <c r="BG385" s="31" t="str">
        <f t="shared" si="306"/>
        <v/>
      </c>
      <c r="BH385" s="73" t="str">
        <f t="shared" si="332"/>
        <v/>
      </c>
      <c r="BI385" s="53" t="str">
        <f t="shared" si="333"/>
        <v/>
      </c>
      <c r="BJ385" s="47" t="s">
        <v>0</v>
      </c>
      <c r="BK385" s="52" t="str">
        <f t="shared" si="307"/>
        <v/>
      </c>
      <c r="BL385" s="31" t="str">
        <f t="shared" si="308"/>
        <v/>
      </c>
      <c r="BM385" s="73" t="str">
        <f t="shared" si="309"/>
        <v/>
      </c>
      <c r="BN385" s="73" t="str">
        <f t="shared" si="310"/>
        <v/>
      </c>
      <c r="BO385" s="31" t="str" cm="1">
        <f t="array" ref="BO385">IF(BN385="",""&amp;BL385,IF(BN385="NEMA",BL385,INDEX(regKlub_naziv,MATCH(INDEX(regKlub_alias_klubId,BN385),regKlub_id,0))))</f>
        <v/>
      </c>
      <c r="BP385" s="31" t="str" cm="1">
        <f t="array" ref="BP385">IFERROR(""&amp;INDEX(regNatjecatelj_klub,DY385),"")</f>
        <v/>
      </c>
      <c r="BQ385" s="88" t="str">
        <f t="shared" si="334"/>
        <v/>
      </c>
      <c r="BR385" s="66" t="str">
        <f t="shared" si="335"/>
        <v/>
      </c>
      <c r="BS385" s="47" t="s">
        <v>0</v>
      </c>
      <c r="BT385" s="82" t="str">
        <f>IF(BN385&lt;&gt;"NEMA","",IF(IFERROR(MATCH(BL385,BL$12:BL384,0),0)&lt;&gt;0,"",BL385))</f>
        <v/>
      </c>
      <c r="BU385" s="47" t="s">
        <v>0</v>
      </c>
      <c r="BV385" s="125"/>
      <c r="BW385" s="47" t="s">
        <v>0</v>
      </c>
      <c r="BX385" s="58" t="str">
        <f t="shared" si="336"/>
        <v/>
      </c>
      <c r="BY385" s="31" t="str">
        <f t="shared" si="337"/>
        <v/>
      </c>
      <c r="BZ385" s="31" t="str">
        <f>IF(BY385="","",MAX(BZ$12:BZ384)+1)</f>
        <v/>
      </c>
      <c r="CA385" s="31" t="str">
        <f>IF(BY385="","",IF(AA385="","",IF(AA385="NEMA",AC385,AA385)))</f>
        <v/>
      </c>
      <c r="CB385" s="31" t="str">
        <f t="shared" si="338"/>
        <v/>
      </c>
      <c r="CC385" s="31" t="str">
        <f>IF(BV385="","",MAX(CC$12:CC384)+1)</f>
        <v/>
      </c>
      <c r="CD385" s="31" t="str">
        <f t="shared" si="339"/>
        <v/>
      </c>
      <c r="CE385" s="66" t="str">
        <f t="shared" si="340"/>
        <v/>
      </c>
      <c r="CF385" s="47" t="s">
        <v>0</v>
      </c>
      <c r="CG385" s="73" t="str">
        <f>IF(BN385="","",IF(BN385&lt;&gt;"NEMA","",IFERROR(INDEX(nat_klubAliasId,MATCH(BL385,nat_noviKluboviAliasi,0)),"")))</f>
        <v/>
      </c>
      <c r="CH385" s="47"/>
      <c r="CI385" s="19" t="str">
        <f t="shared" si="341"/>
        <v/>
      </c>
      <c r="CJ385" s="47" t="s">
        <v>0</v>
      </c>
      <c r="CK385" s="52" t="str">
        <f>IF(X385&lt;&gt;"NEMA","",IF(IFERROR(MATCH(W385,W$12:W384,0),0)&lt;&gt;0,"",W385))</f>
        <v/>
      </c>
      <c r="CL385" s="73" t="str">
        <f>IF(CK385="","",IFERROR(INDEX(regKlub_alias_id,MATCH(CK385,regKlub_alias_alias,0)),"NEMA"))</f>
        <v/>
      </c>
      <c r="CM385" s="31" t="str">
        <f>IF(OR(CL385="",CL385&lt;&gt;"NEMA"),"",MAX(CM$12:CM384)+1)</f>
        <v/>
      </c>
      <c r="CN385" s="66" t="str">
        <f>IF(OR(CL385="",CL385&lt;&gt;"NEMA"),"",INDEX(regKlub_id,MATCH(CK385,regKlub_naziv,0)))</f>
        <v/>
      </c>
      <c r="CO385" s="47" t="s">
        <v>0</v>
      </c>
      <c r="CP385" s="19" t="str">
        <f>IF(OR(CL385="",CL385&lt;&gt;"NEMA"),"","INSERT INTO klub_alias(id,alias,klub_id) VALUES ("&amp;CM385&amp;",'"&amp;CK385&amp;"',"&amp;CN385&amp;");")</f>
        <v/>
      </c>
      <c r="CQ385" s="47" t="s">
        <v>0</v>
      </c>
      <c r="CR385" s="143" t="str">
        <f>IF(BR385="","",IF(BV385="",IF(IFERROR(MATCH(BR385,nat_noviKluboviAliasi,0),0)&gt;0,INDEX(nat_kluboviAliasi,MATCH(BR385,nat_noviKluboviAliasi,0)),BR385),BV385))</f>
        <v/>
      </c>
      <c r="CS385" s="47" t="s">
        <v>0</v>
      </c>
      <c r="CT385" s="58" t="str">
        <f>IF(G385="","",G385)</f>
        <v/>
      </c>
      <c r="CU385" s="73" t="str">
        <f>IF(H385="","",H385)</f>
        <v/>
      </c>
      <c r="CV385" s="229" t="str">
        <f>IF(CT385="",IF(OR(AL385="",CU385&lt;&gt;"0"),"","GREŠKA"),IF(AND(65535&gt;=VALUE(LEFT(CT385,SEARCH(":",CT385)-1))*60+VALUE(RIGHT(CT385,2)),OR(CU385="0",CU385="1",CU385="2",CU385="3",CU385="4")),"","GREŠKA"))</f>
        <v/>
      </c>
      <c r="CW385" s="230" t="str">
        <f t="shared" si="351"/>
        <v/>
      </c>
      <c r="CX385" s="163" t="str">
        <f t="shared" si="311"/>
        <v/>
      </c>
      <c r="CY385" s="47" t="s">
        <v>0</v>
      </c>
      <c r="CZ385" s="222" t="str">
        <f>IF(CV385&lt;&gt;"GREŠKA","",AK385&amp;" "&amp;AL385&amp;" – Molim u OEventu provjeriti i ispraviti rezultat – vrijeme ("&amp;IF(CT385="","nije upisano",CT385)&amp;") i classifier ("&amp;CU385&amp;").")&amp;IF(OR(CV385&lt;&gt;"GREŠKA",CX385&lt;&gt;5),"
","")&amp;IF(CX385&lt;&gt;5,"",AK385&amp;" "&amp;AL385&amp;" – Molim u provjeriti je li natjecatelj zaista diskvalificiran. Ako je koje je obrazloženje, ako nije molim u OEventu ispraviti rezultat")</f>
        <v xml:space="preserve">
</v>
      </c>
      <c r="DA385" s="223" t="str">
        <f t="shared" si="342"/>
        <v/>
      </c>
      <c r="DB385" s="47" t="s">
        <v>0</v>
      </c>
      <c r="DC385" s="47"/>
      <c r="DD385" s="47"/>
      <c r="DE385" s="47"/>
      <c r="DF385" s="47" t="s">
        <v>0</v>
      </c>
      <c r="DG385" s="53" t="str">
        <f>IF(BD385="","",IF(DI385="O",1,""))</f>
        <v/>
      </c>
      <c r="DH385" t="s">
        <v>0</v>
      </c>
      <c r="DI385" s="128" t="str">
        <f>IF(Q385="","",LEFT(INDEX(regKategorija_oznaka,MATCH(S385,regKategorija_id,0)),1))</f>
        <v/>
      </c>
      <c r="DJ385" t="s">
        <v>0</v>
      </c>
      <c r="DK385" s="52" t="str">
        <f>IF(BD385="","",IF(M385&lt;&gt;"CRO","","INSERT INTO osoba (id,reg_broj,oib,spol_id,dat_rodjenja) VALUES ("&amp;BD385&amp;",(SELECT max(os.reg_broj)+1 FROM osoba AS os),Null,'"&amp;DI385&amp;"',Null); INSERT INTO osoba_log (id,reg_broj,oib,spol_id,dat_rodjenja,dnevnik_id) SELECT id,reg_broj,oib,spol_id,dat_rodjenja,"&amp;data_dnevnik_id&amp;" FROM osoba WHERE id = "&amp;BD385&amp;";"))</f>
        <v/>
      </c>
      <c r="DL385" s="66" t="str">
        <f>IF(BD385="","","INSERT INTO imeprezime (id,osoba_id,rbr,ime,prezime,klub_id,identitet_id,sintaksa_id,info,aktivno,dnevnik_id) VALUES ("&amp;BD385&amp;","&amp;IF(DK385="","Null",BD385)&amp;",1,'"&amp;IF(AV385&lt;&gt;"",AV385,AK385)&amp;"','"&amp;IF(AW385&lt;&gt;"",AW385,AL385)&amp;"',(SELECT id FROM klub WHERE naziv = '"&amp;CR385&amp;"'),Null,1,'',1,"&amp;data_dnevnik_id&amp;");")</f>
        <v/>
      </c>
      <c r="DM385" t="s">
        <v>0</v>
      </c>
      <c r="DN385" s="19" t="str">
        <f t="shared" si="350"/>
        <v/>
      </c>
      <c r="DO385" s="47" t="s">
        <v>0</v>
      </c>
      <c r="DP385" s="19" t="str">
        <f>IF(BA385="","","INSERT INTO imeprezime_alias(id,alias,imeprezime_id) VALUES ("&amp;BB385&amp;",'"&amp;BA385&amp;"',"&amp;IF(BC385="NEMA",BD385,BC385)&amp;");")</f>
        <v/>
      </c>
      <c r="DQ385" s="47" t="s">
        <v>0</v>
      </c>
      <c r="DR385" s="52" t="str">
        <f>IF(AL385="","",DU385 &amp; IF(Q385="",""," – " &amp; Q385))</f>
        <v/>
      </c>
      <c r="DS385" s="53" t="str">
        <f t="shared" si="312"/>
        <v/>
      </c>
      <c r="DT385" s="47" t="s">
        <v>0</v>
      </c>
      <c r="DU385" s="52" t="str">
        <f>IF(AL385="","",DX385 &amp; IF(CR385="",""," – " &amp; CR385))</f>
        <v/>
      </c>
      <c r="DV385" s="53" t="str">
        <f t="shared" si="313"/>
        <v/>
      </c>
      <c r="DW385" s="47" t="s">
        <v>0</v>
      </c>
      <c r="DX385" s="52" t="str">
        <f>IF(BG385="","",BF385&amp;" – "&amp;BG385)</f>
        <v/>
      </c>
      <c r="DY385" s="53" t="str">
        <f t="shared" si="314"/>
        <v/>
      </c>
      <c r="DZ385" s="47" t="s">
        <v>0</v>
      </c>
      <c r="EA385" s="58" t="str">
        <f t="shared" si="343"/>
        <v/>
      </c>
      <c r="EB385" s="53" t="str" cm="1">
        <f t="array" ref="EB385">IF(EA385&lt;&gt;"",INDEX(regNatjecatelj_id,EA385,0),IF(BD385&lt;&gt;"",BD385,""))</f>
        <v/>
      </c>
      <c r="EC385" s="47" t="s">
        <v>0</v>
      </c>
      <c r="ED385" s="58" t="str">
        <f>IF(AL385="","",IF(BD385&lt;&gt;"","novo",IF(AN385="","imepre","imepre(ali)")))</f>
        <v/>
      </c>
      <c r="EE385" s="73" t="str">
        <f>IF(AL385="","",IF(BL385="",IF(IFERROR(INDEX(regNatjecatelj_klub,MATCH(EB385,regNatjecatelj_id,0)),"NEMA")="","klu",""),IF(OR(AND(BN385&lt;&gt;"",BN385&lt;&gt;"NEMA"),CD385&lt;&gt;""),"klu(ali)",IF(AND(BP385&lt;&gt;"",BP385&lt;&gt;BO385),"(raz-klu)","klu"))))</f>
        <v/>
      </c>
      <c r="EF385" s="73" t="str">
        <f>IF(AL385="","","kat"&amp;IF(AND(W385&lt;&gt;Q385,Q385&lt;&gt;"Open"),"(ali)",""))</f>
        <v/>
      </c>
      <c r="EG385" s="73" t="str">
        <f t="shared" si="315"/>
        <v/>
      </c>
      <c r="EH385" s="66" t="str">
        <f>IF(AL385="","",ED385&amp;IF(ED385="novo","","-"&amp;EE385&amp;"-"&amp;EF385)&amp;IF(EG385="","","-"&amp;EG385))</f>
        <v/>
      </c>
      <c r="EI385" s="47" t="s">
        <v>0</v>
      </c>
      <c r="EJ385" s="58" t="str">
        <f>IF(AL385="","",MAX(EJ$12:EJ384)+1)</f>
        <v/>
      </c>
      <c r="EK385" s="73" t="str">
        <f>IF(AO385="","",X385)</f>
        <v/>
      </c>
      <c r="EL385" s="73" t="str">
        <f t="shared" si="344"/>
        <v/>
      </c>
      <c r="EM385" s="73" t="str">
        <f t="shared" si="316"/>
        <v/>
      </c>
      <c r="EN385" s="73" t="str">
        <f t="shared" si="317"/>
        <v/>
      </c>
      <c r="EO385" s="73" t="str">
        <f t="shared" si="345"/>
        <v/>
      </c>
      <c r="EP385" s="73" t="str">
        <f t="shared" si="346"/>
        <v/>
      </c>
      <c r="EQ385" s="73" t="str">
        <f t="shared" si="318"/>
        <v/>
      </c>
      <c r="ER385" s="73" t="str">
        <f>IF(OR(AN385="",AN385="NEMA"),BB385,AN385)</f>
        <v/>
      </c>
      <c r="ES385" s="73" t="str">
        <f>IF(AND(BN385&lt;&gt;"",BN385&lt;&gt;"NEMA"),BN385,IF(CG385&lt;&gt;"",CG385,IF(AND(CL385&lt;&gt;"",CL385&lt;&gt;"NEMA"),CL385,IF(CM385&lt;&gt;"",CM385,""))))</f>
        <v/>
      </c>
      <c r="ET385" s="53" t="str">
        <f>IF(INDEX(natKategorija_alias_Id,MATCH(S385,natKategorija_katRegId,0))="","",INDEX(natKategorija_alias_Id,MATCH(S385,natKategorija_katRegId,0)))</f>
        <v/>
      </c>
      <c r="EU385" s="47" t="s">
        <v>0</v>
      </c>
      <c r="EV385" s="19" t="str">
        <f t="shared" si="347"/>
        <v/>
      </c>
      <c r="EW385" s="47" t="s">
        <v>0</v>
      </c>
      <c r="EX385" s="19" t="str">
        <f t="shared" si="348"/>
        <v/>
      </c>
      <c r="EY385" s="47" t="s">
        <v>0</v>
      </c>
      <c r="EZ385" s="180" t="str">
        <f>AG385&amp;IF(CP385="","","
")&amp;CP385&amp;IF(CI385="","","
")&amp;CI385&amp;IF(DN385="","","
")&amp;DN385&amp;IF(DP385="","","
")&amp;DP385&amp;IF(EV385="","","
")&amp;EV385&amp;IF(EX385="","","
")&amp;EX385</f>
        <v/>
      </c>
      <c r="FA385" s="47" t="s">
        <v>0</v>
      </c>
    </row>
    <row r="386" spans="1:157" x14ac:dyDescent="0.25">
      <c r="A386" t="s">
        <v>0</v>
      </c>
      <c r="B386" s="52" t="str">
        <f>IF(csv!F376="","",csv!T376)</f>
        <v/>
      </c>
      <c r="C386" s="31" t="s">
        <v>0</v>
      </c>
      <c r="D386" s="31" t="str">
        <f>IF(csv!F376="","",csv!F376)</f>
        <v/>
      </c>
      <c r="E386" s="31" t="str">
        <f>IF(csv!E376="","",csv!E376)</f>
        <v/>
      </c>
      <c r="F386" s="31" t="s">
        <v>0</v>
      </c>
      <c r="G386" s="73" t="str">
        <f>IF(csv!M376="","",csv!M376)</f>
        <v/>
      </c>
      <c r="H386" s="73" t="str">
        <f>IF(csv!N376="","",csv!N376)</f>
        <v/>
      </c>
      <c r="I386" s="31" t="s">
        <v>0</v>
      </c>
      <c r="J386" s="31" t="str">
        <f>IF(csv!P376="","",csv!P376)</f>
        <v/>
      </c>
      <c r="K386" s="31" t="str">
        <f>IF(csv!Q376="","",csv!Q376)</f>
        <v/>
      </c>
      <c r="L386" s="31" t="s">
        <v>0</v>
      </c>
      <c r="M386" s="66" t="str">
        <f>IF(csv!R376="","",csv!R376)</f>
        <v/>
      </c>
      <c r="N386" s="47" t="s">
        <v>0</v>
      </c>
      <c r="O386" s="243" t="str">
        <f t="shared" si="319"/>
        <v/>
      </c>
      <c r="P386" s="47"/>
      <c r="Q386" s="52" t="str">
        <f t="shared" si="320"/>
        <v/>
      </c>
      <c r="R386" s="73" t="str">
        <f>IF(Q386="","",IF(COUNTIF(Q$12:Q385,Q386)=0,R385+1,R385))</f>
        <v/>
      </c>
      <c r="S386" s="73" t="str">
        <f t="shared" si="321"/>
        <v/>
      </c>
      <c r="T386" s="73" t="str">
        <f t="shared" si="297"/>
        <v/>
      </c>
      <c r="U386" s="66" t="str">
        <f t="shared" si="298"/>
        <v/>
      </c>
      <c r="V386" s="47" t="s">
        <v>0</v>
      </c>
      <c r="W386" s="222" t="str">
        <f t="shared" si="299"/>
        <v/>
      </c>
      <c r="X386" s="223" t="str">
        <f t="shared" si="300"/>
        <v/>
      </c>
      <c r="Y386" s="47" t="s">
        <v>0</v>
      </c>
      <c r="Z386" s="52" t="str">
        <f t="shared" si="322"/>
        <v/>
      </c>
      <c r="AA386" s="73" t="str">
        <f t="shared" si="301"/>
        <v/>
      </c>
      <c r="AB386" s="31" t="str">
        <f t="shared" si="323"/>
        <v/>
      </c>
      <c r="AC386" s="66" t="str">
        <f>IF(AB386="","",MAX(AC$12:AC385)+1)</f>
        <v/>
      </c>
      <c r="AD386" s="47" t="s">
        <v>0</v>
      </c>
      <c r="AE386" s="125"/>
      <c r="AF386" s="47" t="s">
        <v>0</v>
      </c>
      <c r="AG386" s="19" t="str">
        <f t="shared" si="324"/>
        <v/>
      </c>
      <c r="AH386" s="47" t="s">
        <v>0</v>
      </c>
      <c r="AI386" s="143" t="str">
        <f t="shared" si="325"/>
        <v/>
      </c>
      <c r="AJ386" s="47"/>
      <c r="AK386" s="52" t="str">
        <f t="shared" si="326"/>
        <v/>
      </c>
      <c r="AL386" s="31" t="str">
        <f t="shared" si="327"/>
        <v/>
      </c>
      <c r="AM386" s="73" t="str">
        <f t="shared" si="328"/>
        <v/>
      </c>
      <c r="AN386" s="73" t="str">
        <f t="shared" si="329"/>
        <v/>
      </c>
      <c r="AO386" s="31" t="str">
        <f t="shared" si="302"/>
        <v/>
      </c>
      <c r="AP386" s="66" t="str">
        <f t="shared" si="303"/>
        <v/>
      </c>
      <c r="AQ386" s="47" t="s">
        <v>0</v>
      </c>
      <c r="AR386" s="82" t="str">
        <f t="shared" si="330"/>
        <v/>
      </c>
      <c r="AS386" s="47" t="s">
        <v>0</v>
      </c>
      <c r="AT386" s="19" t="str">
        <f t="shared" si="331"/>
        <v/>
      </c>
      <c r="AU386" s="47" t="s">
        <v>0</v>
      </c>
      <c r="AV386" s="103"/>
      <c r="AW386" s="105"/>
      <c r="AX386" s="47" t="s">
        <v>0</v>
      </c>
      <c r="AY386" s="256" t="str">
        <f t="shared" si="349"/>
        <v/>
      </c>
      <c r="AZ386" s="47" t="s">
        <v>0</v>
      </c>
      <c r="BA386" s="52" t="str">
        <f t="shared" si="296"/>
        <v/>
      </c>
      <c r="BB386" s="73" t="str">
        <f>IF(AV386&amp;AW386="","",MAX(BB$12:BB385)+1)</f>
        <v/>
      </c>
      <c r="BC386" s="268" t="str">
        <f t="shared" si="304"/>
        <v/>
      </c>
      <c r="BD386" s="53" t="str">
        <f>IF(AND(AM386="NEMA",AN386="NEMA",OR(AV386&amp;AW386="",BC386="NEMA")),MAX(BD$12:BD385)+1,"")</f>
        <v/>
      </c>
      <c r="BE386" s="47" t="s">
        <v>0</v>
      </c>
      <c r="BF386" s="52" t="str">
        <f t="shared" si="305"/>
        <v/>
      </c>
      <c r="BG386" s="31" t="str">
        <f t="shared" si="306"/>
        <v/>
      </c>
      <c r="BH386" s="73" t="str">
        <f t="shared" si="332"/>
        <v/>
      </c>
      <c r="BI386" s="53" t="str">
        <f t="shared" si="333"/>
        <v/>
      </c>
      <c r="BJ386" s="47" t="s">
        <v>0</v>
      </c>
      <c r="BK386" s="52" t="str">
        <f t="shared" si="307"/>
        <v/>
      </c>
      <c r="BL386" s="31" t="str">
        <f t="shared" si="308"/>
        <v/>
      </c>
      <c r="BM386" s="73" t="str">
        <f t="shared" si="309"/>
        <v/>
      </c>
      <c r="BN386" s="73" t="str">
        <f t="shared" si="310"/>
        <v/>
      </c>
      <c r="BO386" s="31" t="str" cm="1">
        <f t="array" ref="BO386">IF(BN386="",""&amp;BL386,IF(BN386="NEMA",BL386,INDEX(regKlub_naziv,MATCH(INDEX(regKlub_alias_klubId,BN386),regKlub_id,0))))</f>
        <v/>
      </c>
      <c r="BP386" s="31" t="str" cm="1">
        <f t="array" ref="BP386">IFERROR(""&amp;INDEX(regNatjecatelj_klub,DY386),"")</f>
        <v/>
      </c>
      <c r="BQ386" s="88" t="str">
        <f t="shared" si="334"/>
        <v/>
      </c>
      <c r="BR386" s="66" t="str">
        <f t="shared" si="335"/>
        <v/>
      </c>
      <c r="BS386" s="47" t="s">
        <v>0</v>
      </c>
      <c r="BT386" s="82" t="str">
        <f>IF(BN386&lt;&gt;"NEMA","",IF(IFERROR(MATCH(BL386,BL$12:BL385,0),0)&lt;&gt;0,"",BL386))</f>
        <v/>
      </c>
      <c r="BU386" s="47" t="s">
        <v>0</v>
      </c>
      <c r="BV386" s="125"/>
      <c r="BW386" s="47" t="s">
        <v>0</v>
      </c>
      <c r="BX386" s="58" t="str">
        <f t="shared" si="336"/>
        <v/>
      </c>
      <c r="BY386" s="31" t="str">
        <f t="shared" si="337"/>
        <v/>
      </c>
      <c r="BZ386" s="31" t="str">
        <f>IF(BY386="","",MAX(BZ$12:BZ385)+1)</f>
        <v/>
      </c>
      <c r="CA386" s="31" t="str">
        <f>IF(BY386="","",IF(AA386="","",IF(AA386="NEMA",AC386,AA386)))</f>
        <v/>
      </c>
      <c r="CB386" s="31" t="str">
        <f t="shared" si="338"/>
        <v/>
      </c>
      <c r="CC386" s="31" t="str">
        <f>IF(BV386="","",MAX(CC$12:CC385)+1)</f>
        <v/>
      </c>
      <c r="CD386" s="31" t="str">
        <f t="shared" si="339"/>
        <v/>
      </c>
      <c r="CE386" s="66" t="str">
        <f t="shared" si="340"/>
        <v/>
      </c>
      <c r="CF386" s="47" t="s">
        <v>0</v>
      </c>
      <c r="CG386" s="73" t="str">
        <f>IF(BN386="","",IF(BN386&lt;&gt;"NEMA","",IFERROR(INDEX(nat_klubAliasId,MATCH(BL386,nat_noviKluboviAliasi,0)),"")))</f>
        <v/>
      </c>
      <c r="CH386" s="47"/>
      <c r="CI386" s="19" t="str">
        <f t="shared" si="341"/>
        <v/>
      </c>
      <c r="CJ386" s="47" t="s">
        <v>0</v>
      </c>
      <c r="CK386" s="52" t="str">
        <f>IF(X386&lt;&gt;"NEMA","",IF(IFERROR(MATCH(W386,W$12:W385,0),0)&lt;&gt;0,"",W386))</f>
        <v/>
      </c>
      <c r="CL386" s="73" t="str">
        <f>IF(CK386="","",IFERROR(INDEX(regKlub_alias_id,MATCH(CK386,regKlub_alias_alias,0)),"NEMA"))</f>
        <v/>
      </c>
      <c r="CM386" s="31" t="str">
        <f>IF(OR(CL386="",CL386&lt;&gt;"NEMA"),"",MAX(CM$12:CM385)+1)</f>
        <v/>
      </c>
      <c r="CN386" s="66" t="str">
        <f>IF(OR(CL386="",CL386&lt;&gt;"NEMA"),"",INDEX(regKlub_id,MATCH(CK386,regKlub_naziv,0)))</f>
        <v/>
      </c>
      <c r="CO386" s="47" t="s">
        <v>0</v>
      </c>
      <c r="CP386" s="19" t="str">
        <f>IF(OR(CL386="",CL386&lt;&gt;"NEMA"),"","INSERT INTO klub_alias(id,alias,klub_id) VALUES ("&amp;CM386&amp;",'"&amp;CK386&amp;"',"&amp;CN386&amp;");")</f>
        <v/>
      </c>
      <c r="CQ386" s="47" t="s">
        <v>0</v>
      </c>
      <c r="CR386" s="143" t="str">
        <f>IF(BR386="","",IF(BV386="",IF(IFERROR(MATCH(BR386,nat_noviKluboviAliasi,0),0)&gt;0,INDEX(nat_kluboviAliasi,MATCH(BR386,nat_noviKluboviAliasi,0)),BR386),BV386))</f>
        <v/>
      </c>
      <c r="CS386" s="47" t="s">
        <v>0</v>
      </c>
      <c r="CT386" s="58" t="str">
        <f>IF(G386="","",G386)</f>
        <v/>
      </c>
      <c r="CU386" s="73" t="str">
        <f>IF(H386="","",H386)</f>
        <v/>
      </c>
      <c r="CV386" s="229" t="str">
        <f>IF(CT386="",IF(OR(AL386="",CU386&lt;&gt;"0"),"","GREŠKA"),IF(AND(65535&gt;=VALUE(LEFT(CT386,SEARCH(":",CT386)-1))*60+VALUE(RIGHT(CT386,2)),OR(CU386="0",CU386="1",CU386="2",CU386="3",CU386="4")),"","GREŠKA"))</f>
        <v/>
      </c>
      <c r="CW386" s="230" t="str">
        <f t="shared" si="351"/>
        <v/>
      </c>
      <c r="CX386" s="163" t="str">
        <f t="shared" si="311"/>
        <v/>
      </c>
      <c r="CY386" s="47" t="s">
        <v>0</v>
      </c>
      <c r="CZ386" s="222" t="str">
        <f>IF(CV386&lt;&gt;"GREŠKA","",AK386&amp;" "&amp;AL386&amp;" – Molim u OEventu provjeriti i ispraviti rezultat – vrijeme ("&amp;IF(CT386="","nije upisano",CT386)&amp;") i classifier ("&amp;CU386&amp;").")&amp;IF(OR(CV386&lt;&gt;"GREŠKA",CX386&lt;&gt;5),"
","")&amp;IF(CX386&lt;&gt;5,"",AK386&amp;" "&amp;AL386&amp;" – Molim u provjeriti je li natjecatelj zaista diskvalificiran. Ako je koje je obrazloženje, ako nije molim u OEventu ispraviti rezultat")</f>
        <v xml:space="preserve">
</v>
      </c>
      <c r="DA386" s="223" t="str">
        <f t="shared" si="342"/>
        <v/>
      </c>
      <c r="DB386" s="47" t="s">
        <v>0</v>
      </c>
      <c r="DC386" s="47"/>
      <c r="DD386" s="47"/>
      <c r="DE386" s="47"/>
      <c r="DF386" s="47" t="s">
        <v>0</v>
      </c>
      <c r="DG386" s="53" t="str">
        <f>IF(BD386="","",IF(DI386="O",1,""))</f>
        <v/>
      </c>
      <c r="DH386" t="s">
        <v>0</v>
      </c>
      <c r="DI386" s="128" t="str">
        <f>IF(Q386="","",LEFT(INDEX(regKategorija_oznaka,MATCH(S386,regKategorija_id,0)),1))</f>
        <v/>
      </c>
      <c r="DJ386" t="s">
        <v>0</v>
      </c>
      <c r="DK386" s="52" t="str">
        <f>IF(BD386="","",IF(M386&lt;&gt;"CRO","","INSERT INTO osoba (id,reg_broj,oib,spol_id,dat_rodjenja) VALUES ("&amp;BD386&amp;",(SELECT max(os.reg_broj)+1 FROM osoba AS os),Null,'"&amp;DI386&amp;"',Null); INSERT INTO osoba_log (id,reg_broj,oib,spol_id,dat_rodjenja,dnevnik_id) SELECT id,reg_broj,oib,spol_id,dat_rodjenja,"&amp;data_dnevnik_id&amp;" FROM osoba WHERE id = "&amp;BD386&amp;";"))</f>
        <v/>
      </c>
      <c r="DL386" s="66" t="str">
        <f>IF(BD386="","","INSERT INTO imeprezime (id,osoba_id,rbr,ime,prezime,klub_id,identitet_id,sintaksa_id,info,aktivno,dnevnik_id) VALUES ("&amp;BD386&amp;","&amp;IF(DK386="","Null",BD386)&amp;",1,'"&amp;IF(AV386&lt;&gt;"",AV386,AK386)&amp;"','"&amp;IF(AW386&lt;&gt;"",AW386,AL386)&amp;"',(SELECT id FROM klub WHERE naziv = '"&amp;CR386&amp;"'),Null,1,'',1,"&amp;data_dnevnik_id&amp;");")</f>
        <v/>
      </c>
      <c r="DM386" t="s">
        <v>0</v>
      </c>
      <c r="DN386" s="19" t="str">
        <f t="shared" si="350"/>
        <v/>
      </c>
      <c r="DO386" s="47" t="s">
        <v>0</v>
      </c>
      <c r="DP386" s="19" t="str">
        <f>IF(BA386="","","INSERT INTO imeprezime_alias(id,alias,imeprezime_id) VALUES ("&amp;BB386&amp;",'"&amp;BA386&amp;"',"&amp;IF(BC386="NEMA",BD386,BC386)&amp;");")</f>
        <v/>
      </c>
      <c r="DQ386" s="47" t="s">
        <v>0</v>
      </c>
      <c r="DR386" s="52" t="str">
        <f>IF(AL386="","",DU386 &amp; IF(Q386="",""," – " &amp; Q386))</f>
        <v/>
      </c>
      <c r="DS386" s="53" t="str">
        <f t="shared" si="312"/>
        <v/>
      </c>
      <c r="DT386" s="47" t="s">
        <v>0</v>
      </c>
      <c r="DU386" s="52" t="str">
        <f>IF(AL386="","",DX386 &amp; IF(CR386="",""," – " &amp; CR386))</f>
        <v/>
      </c>
      <c r="DV386" s="53" t="str">
        <f t="shared" si="313"/>
        <v/>
      </c>
      <c r="DW386" s="47" t="s">
        <v>0</v>
      </c>
      <c r="DX386" s="52" t="str">
        <f>IF(BG386="","",BF386&amp;" – "&amp;BG386)</f>
        <v/>
      </c>
      <c r="DY386" s="53" t="str">
        <f t="shared" si="314"/>
        <v/>
      </c>
      <c r="DZ386" s="47" t="s">
        <v>0</v>
      </c>
      <c r="EA386" s="58" t="str">
        <f t="shared" si="343"/>
        <v/>
      </c>
      <c r="EB386" s="53" t="str" cm="1">
        <f t="array" ref="EB386">IF(EA386&lt;&gt;"",INDEX(regNatjecatelj_id,EA386,0),IF(BD386&lt;&gt;"",BD386,""))</f>
        <v/>
      </c>
      <c r="EC386" s="47" t="s">
        <v>0</v>
      </c>
      <c r="ED386" s="58" t="str">
        <f>IF(AL386="","",IF(BD386&lt;&gt;"","novo",IF(AN386="","imepre","imepre(ali)")))</f>
        <v/>
      </c>
      <c r="EE386" s="73" t="str">
        <f>IF(AL386="","",IF(BL386="",IF(IFERROR(INDEX(regNatjecatelj_klub,MATCH(EB386,regNatjecatelj_id,0)),"NEMA")="","klu",""),IF(OR(AND(BN386&lt;&gt;"",BN386&lt;&gt;"NEMA"),CD386&lt;&gt;""),"klu(ali)",IF(AND(BP386&lt;&gt;"",BP386&lt;&gt;BO386),"(raz-klu)","klu"))))</f>
        <v/>
      </c>
      <c r="EF386" s="73" t="str">
        <f>IF(AL386="","","kat"&amp;IF(AND(W386&lt;&gt;Q386,Q386&lt;&gt;"Open"),"(ali)",""))</f>
        <v/>
      </c>
      <c r="EG386" s="73" t="str">
        <f t="shared" si="315"/>
        <v/>
      </c>
      <c r="EH386" s="66" t="str">
        <f>IF(AL386="","",ED386&amp;IF(ED386="novo","","-"&amp;EE386&amp;"-"&amp;EF386)&amp;IF(EG386="","","-"&amp;EG386))</f>
        <v/>
      </c>
      <c r="EI386" s="47" t="s">
        <v>0</v>
      </c>
      <c r="EJ386" s="58" t="str">
        <f>IF(AL386="","",MAX(EJ$12:EJ385)+1)</f>
        <v/>
      </c>
      <c r="EK386" s="73" t="str">
        <f>IF(AO386="","",X386)</f>
        <v/>
      </c>
      <c r="EL386" s="73" t="str">
        <f t="shared" si="344"/>
        <v/>
      </c>
      <c r="EM386" s="73" t="str">
        <f t="shared" si="316"/>
        <v/>
      </c>
      <c r="EN386" s="73" t="str">
        <f t="shared" si="317"/>
        <v/>
      </c>
      <c r="EO386" s="73" t="str">
        <f t="shared" si="345"/>
        <v/>
      </c>
      <c r="EP386" s="73" t="str">
        <f t="shared" si="346"/>
        <v/>
      </c>
      <c r="EQ386" s="73" t="str">
        <f t="shared" si="318"/>
        <v/>
      </c>
      <c r="ER386" s="73" t="str">
        <f>IF(OR(AN386="",AN386="NEMA"),BB386,AN386)</f>
        <v/>
      </c>
      <c r="ES386" s="73" t="str">
        <f>IF(AND(BN386&lt;&gt;"",BN386&lt;&gt;"NEMA"),BN386,IF(CG386&lt;&gt;"",CG386,IF(AND(CL386&lt;&gt;"",CL386&lt;&gt;"NEMA"),CL386,IF(CM386&lt;&gt;"",CM386,""))))</f>
        <v/>
      </c>
      <c r="ET386" s="53" t="str">
        <f>IF(INDEX(natKategorija_alias_Id,MATCH(S386,natKategorija_katRegId,0))="","",INDEX(natKategorija_alias_Id,MATCH(S386,natKategorija_katRegId,0)))</f>
        <v/>
      </c>
      <c r="EU386" s="47" t="s">
        <v>0</v>
      </c>
      <c r="EV386" s="19" t="str">
        <f t="shared" si="347"/>
        <v/>
      </c>
      <c r="EW386" s="47" t="s">
        <v>0</v>
      </c>
      <c r="EX386" s="19" t="str">
        <f t="shared" si="348"/>
        <v/>
      </c>
      <c r="EY386" s="47" t="s">
        <v>0</v>
      </c>
      <c r="EZ386" s="180" t="str">
        <f>AG386&amp;IF(CP386="","","
")&amp;CP386&amp;IF(CI386="","","
")&amp;CI386&amp;IF(DN386="","","
")&amp;DN386&amp;IF(DP386="","","
")&amp;DP386&amp;IF(EV386="","","
")&amp;EV386&amp;IF(EX386="","","
")&amp;EX386</f>
        <v/>
      </c>
      <c r="FA386" s="47" t="s">
        <v>0</v>
      </c>
    </row>
    <row r="387" spans="1:157" x14ac:dyDescent="0.25">
      <c r="A387" t="s">
        <v>0</v>
      </c>
      <c r="B387" s="52" t="str">
        <f>IF(csv!F377="","",csv!T377)</f>
        <v/>
      </c>
      <c r="C387" s="31" t="s">
        <v>0</v>
      </c>
      <c r="D387" s="31" t="str">
        <f>IF(csv!F377="","",csv!F377)</f>
        <v/>
      </c>
      <c r="E387" s="31" t="str">
        <f>IF(csv!E377="","",csv!E377)</f>
        <v/>
      </c>
      <c r="F387" s="31" t="s">
        <v>0</v>
      </c>
      <c r="G387" s="73" t="str">
        <f>IF(csv!M377="","",csv!M377)</f>
        <v/>
      </c>
      <c r="H387" s="73" t="str">
        <f>IF(csv!N377="","",csv!N377)</f>
        <v/>
      </c>
      <c r="I387" s="31" t="s">
        <v>0</v>
      </c>
      <c r="J387" s="31" t="str">
        <f>IF(csv!P377="","",csv!P377)</f>
        <v/>
      </c>
      <c r="K387" s="31" t="str">
        <f>IF(csv!Q377="","",csv!Q377)</f>
        <v/>
      </c>
      <c r="L387" s="31" t="s">
        <v>0</v>
      </c>
      <c r="M387" s="66" t="str">
        <f>IF(csv!R377="","",csv!R377)</f>
        <v/>
      </c>
      <c r="N387" s="47" t="s">
        <v>0</v>
      </c>
      <c r="O387" s="243" t="str">
        <f t="shared" si="319"/>
        <v/>
      </c>
      <c r="P387" s="47"/>
      <c r="Q387" s="52" t="str">
        <f t="shared" si="320"/>
        <v/>
      </c>
      <c r="R387" s="73" t="str">
        <f>IF(Q387="","",IF(COUNTIF(Q$12:Q386,Q387)=0,R386+1,R386))</f>
        <v/>
      </c>
      <c r="S387" s="73" t="str">
        <f t="shared" si="321"/>
        <v/>
      </c>
      <c r="T387" s="73" t="str">
        <f t="shared" si="297"/>
        <v/>
      </c>
      <c r="U387" s="66" t="str">
        <f t="shared" si="298"/>
        <v/>
      </c>
      <c r="V387" s="47" t="s">
        <v>0</v>
      </c>
      <c r="W387" s="222" t="str">
        <f t="shared" si="299"/>
        <v/>
      </c>
      <c r="X387" s="223" t="str">
        <f t="shared" si="300"/>
        <v/>
      </c>
      <c r="Y387" s="47" t="s">
        <v>0</v>
      </c>
      <c r="Z387" s="52" t="str">
        <f t="shared" si="322"/>
        <v/>
      </c>
      <c r="AA387" s="73" t="str">
        <f t="shared" si="301"/>
        <v/>
      </c>
      <c r="AB387" s="31" t="str">
        <f t="shared" si="323"/>
        <v/>
      </c>
      <c r="AC387" s="66" t="str">
        <f>IF(AB387="","",MAX(AC$12:AC386)+1)</f>
        <v/>
      </c>
      <c r="AD387" s="47" t="s">
        <v>0</v>
      </c>
      <c r="AE387" s="125"/>
      <c r="AF387" s="47" t="s">
        <v>0</v>
      </c>
      <c r="AG387" s="19" t="str">
        <f t="shared" si="324"/>
        <v/>
      </c>
      <c r="AH387" s="47" t="s">
        <v>0</v>
      </c>
      <c r="AI387" s="143" t="str">
        <f t="shared" si="325"/>
        <v/>
      </c>
      <c r="AJ387" s="47"/>
      <c r="AK387" s="52" t="str">
        <f t="shared" si="326"/>
        <v/>
      </c>
      <c r="AL387" s="31" t="str">
        <f t="shared" si="327"/>
        <v/>
      </c>
      <c r="AM387" s="73" t="str">
        <f t="shared" si="328"/>
        <v/>
      </c>
      <c r="AN387" s="73" t="str">
        <f t="shared" si="329"/>
        <v/>
      </c>
      <c r="AO387" s="31" t="str">
        <f t="shared" si="302"/>
        <v/>
      </c>
      <c r="AP387" s="66" t="str">
        <f t="shared" si="303"/>
        <v/>
      </c>
      <c r="AQ387" s="47" t="s">
        <v>0</v>
      </c>
      <c r="AR387" s="82" t="str">
        <f t="shared" si="330"/>
        <v/>
      </c>
      <c r="AS387" s="47" t="s">
        <v>0</v>
      </c>
      <c r="AT387" s="19" t="str">
        <f t="shared" si="331"/>
        <v/>
      </c>
      <c r="AU387" s="47" t="s">
        <v>0</v>
      </c>
      <c r="AV387" s="103"/>
      <c r="AW387" s="105"/>
      <c r="AX387" s="47" t="s">
        <v>0</v>
      </c>
      <c r="AY387" s="256" t="str">
        <f t="shared" si="349"/>
        <v/>
      </c>
      <c r="AZ387" s="47" t="s">
        <v>0</v>
      </c>
      <c r="BA387" s="52" t="str">
        <f t="shared" si="296"/>
        <v/>
      </c>
      <c r="BB387" s="73" t="str">
        <f>IF(AV387&amp;AW387="","",MAX(BB$12:BB386)+1)</f>
        <v/>
      </c>
      <c r="BC387" s="268" t="str">
        <f t="shared" si="304"/>
        <v/>
      </c>
      <c r="BD387" s="53" t="str">
        <f>IF(AND(AM387="NEMA",AN387="NEMA",OR(AV387&amp;AW387="",BC387="NEMA")),MAX(BD$12:BD386)+1,"")</f>
        <v/>
      </c>
      <c r="BE387" s="47" t="s">
        <v>0</v>
      </c>
      <c r="BF387" s="52" t="str">
        <f t="shared" si="305"/>
        <v/>
      </c>
      <c r="BG387" s="31" t="str">
        <f t="shared" si="306"/>
        <v/>
      </c>
      <c r="BH387" s="73" t="str">
        <f t="shared" si="332"/>
        <v/>
      </c>
      <c r="BI387" s="53" t="str">
        <f t="shared" si="333"/>
        <v/>
      </c>
      <c r="BJ387" s="47" t="s">
        <v>0</v>
      </c>
      <c r="BK387" s="52" t="str">
        <f t="shared" si="307"/>
        <v/>
      </c>
      <c r="BL387" s="31" t="str">
        <f t="shared" si="308"/>
        <v/>
      </c>
      <c r="BM387" s="73" t="str">
        <f t="shared" si="309"/>
        <v/>
      </c>
      <c r="BN387" s="73" t="str">
        <f t="shared" si="310"/>
        <v/>
      </c>
      <c r="BO387" s="31" t="str" cm="1">
        <f t="array" ref="BO387">IF(BN387="",""&amp;BL387,IF(BN387="NEMA",BL387,INDEX(regKlub_naziv,MATCH(INDEX(regKlub_alias_klubId,BN387),regKlub_id,0))))</f>
        <v/>
      </c>
      <c r="BP387" s="31" t="str" cm="1">
        <f t="array" ref="BP387">IFERROR(""&amp;INDEX(regNatjecatelj_klub,DY387),"")</f>
        <v/>
      </c>
      <c r="BQ387" s="88" t="str">
        <f t="shared" si="334"/>
        <v/>
      </c>
      <c r="BR387" s="66" t="str">
        <f t="shared" si="335"/>
        <v/>
      </c>
      <c r="BS387" s="47" t="s">
        <v>0</v>
      </c>
      <c r="BT387" s="82" t="str">
        <f>IF(BN387&lt;&gt;"NEMA","",IF(IFERROR(MATCH(BL387,BL$12:BL386,0),0)&lt;&gt;0,"",BL387))</f>
        <v/>
      </c>
      <c r="BU387" s="47" t="s">
        <v>0</v>
      </c>
      <c r="BV387" s="125"/>
      <c r="BW387" s="47" t="s">
        <v>0</v>
      </c>
      <c r="BX387" s="58" t="str">
        <f t="shared" si="336"/>
        <v/>
      </c>
      <c r="BY387" s="31" t="str">
        <f t="shared" si="337"/>
        <v/>
      </c>
      <c r="BZ387" s="31" t="str">
        <f>IF(BY387="","",MAX(BZ$12:BZ386)+1)</f>
        <v/>
      </c>
      <c r="CA387" s="31" t="str">
        <f>IF(BY387="","",IF(AA387="","",IF(AA387="NEMA",AC387,AA387)))</f>
        <v/>
      </c>
      <c r="CB387" s="31" t="str">
        <f t="shared" si="338"/>
        <v/>
      </c>
      <c r="CC387" s="31" t="str">
        <f>IF(BV387="","",MAX(CC$12:CC386)+1)</f>
        <v/>
      </c>
      <c r="CD387" s="31" t="str">
        <f t="shared" si="339"/>
        <v/>
      </c>
      <c r="CE387" s="66" t="str">
        <f t="shared" si="340"/>
        <v/>
      </c>
      <c r="CF387" s="47" t="s">
        <v>0</v>
      </c>
      <c r="CG387" s="73" t="str">
        <f>IF(BN387="","",IF(BN387&lt;&gt;"NEMA","",IFERROR(INDEX(nat_klubAliasId,MATCH(BL387,nat_noviKluboviAliasi,0)),"")))</f>
        <v/>
      </c>
      <c r="CH387" s="47"/>
      <c r="CI387" s="19" t="str">
        <f t="shared" si="341"/>
        <v/>
      </c>
      <c r="CJ387" s="47" t="s">
        <v>0</v>
      </c>
      <c r="CK387" s="52" t="str">
        <f>IF(X387&lt;&gt;"NEMA","",IF(IFERROR(MATCH(W387,W$12:W386,0),0)&lt;&gt;0,"",W387))</f>
        <v/>
      </c>
      <c r="CL387" s="73" t="str">
        <f>IF(CK387="","",IFERROR(INDEX(regKlub_alias_id,MATCH(CK387,regKlub_alias_alias,0)),"NEMA"))</f>
        <v/>
      </c>
      <c r="CM387" s="31" t="str">
        <f>IF(OR(CL387="",CL387&lt;&gt;"NEMA"),"",MAX(CM$12:CM386)+1)</f>
        <v/>
      </c>
      <c r="CN387" s="66" t="str">
        <f>IF(OR(CL387="",CL387&lt;&gt;"NEMA"),"",INDEX(regKlub_id,MATCH(CK387,regKlub_naziv,0)))</f>
        <v/>
      </c>
      <c r="CO387" s="47" t="s">
        <v>0</v>
      </c>
      <c r="CP387" s="19" t="str">
        <f>IF(OR(CL387="",CL387&lt;&gt;"NEMA"),"","INSERT INTO klub_alias(id,alias,klub_id) VALUES ("&amp;CM387&amp;",'"&amp;CK387&amp;"',"&amp;CN387&amp;");")</f>
        <v/>
      </c>
      <c r="CQ387" s="47" t="s">
        <v>0</v>
      </c>
      <c r="CR387" s="143" t="str">
        <f>IF(BR387="","",IF(BV387="",IF(IFERROR(MATCH(BR387,nat_noviKluboviAliasi,0),0)&gt;0,INDEX(nat_kluboviAliasi,MATCH(BR387,nat_noviKluboviAliasi,0)),BR387),BV387))</f>
        <v/>
      </c>
      <c r="CS387" s="47" t="s">
        <v>0</v>
      </c>
      <c r="CT387" s="58" t="str">
        <f>IF(G387="","",G387)</f>
        <v/>
      </c>
      <c r="CU387" s="73" t="str">
        <f>IF(H387="","",H387)</f>
        <v/>
      </c>
      <c r="CV387" s="229" t="str">
        <f>IF(CT387="",IF(OR(AL387="",CU387&lt;&gt;"0"),"","GREŠKA"),IF(AND(65535&gt;=VALUE(LEFT(CT387,SEARCH(":",CT387)-1))*60+VALUE(RIGHT(CT387,2)),OR(CU387="0",CU387="1",CU387="2",CU387="3",CU387="4")),"","GREŠKA"))</f>
        <v/>
      </c>
      <c r="CW387" s="230" t="str">
        <f t="shared" si="351"/>
        <v/>
      </c>
      <c r="CX387" s="163" t="str">
        <f t="shared" si="311"/>
        <v/>
      </c>
      <c r="CY387" s="47" t="s">
        <v>0</v>
      </c>
      <c r="CZ387" s="222" t="str">
        <f>IF(CV387&lt;&gt;"GREŠKA","",AK387&amp;" "&amp;AL387&amp;" – Molim u OEventu provjeriti i ispraviti rezultat – vrijeme ("&amp;IF(CT387="","nije upisano",CT387)&amp;") i classifier ("&amp;CU387&amp;").")&amp;IF(OR(CV387&lt;&gt;"GREŠKA",CX387&lt;&gt;5),"
","")&amp;IF(CX387&lt;&gt;5,"",AK387&amp;" "&amp;AL387&amp;" – Molim u provjeriti je li natjecatelj zaista diskvalificiran. Ako je koje je obrazloženje, ako nije molim u OEventu ispraviti rezultat")</f>
        <v xml:space="preserve">
</v>
      </c>
      <c r="DA387" s="223" t="str">
        <f t="shared" si="342"/>
        <v/>
      </c>
      <c r="DB387" s="47" t="s">
        <v>0</v>
      </c>
      <c r="DC387" s="47"/>
      <c r="DD387" s="47"/>
      <c r="DE387" s="47"/>
      <c r="DF387" s="47" t="s">
        <v>0</v>
      </c>
      <c r="DG387" s="53" t="str">
        <f>IF(BD387="","",IF(DI387="O",1,""))</f>
        <v/>
      </c>
      <c r="DH387" t="s">
        <v>0</v>
      </c>
      <c r="DI387" s="128" t="str">
        <f>IF(Q387="","",LEFT(INDEX(regKategorija_oznaka,MATCH(S387,regKategorija_id,0)),1))</f>
        <v/>
      </c>
      <c r="DJ387" t="s">
        <v>0</v>
      </c>
      <c r="DK387" s="52" t="str">
        <f>IF(BD387="","",IF(M387&lt;&gt;"CRO","","INSERT INTO osoba (id,reg_broj,oib,spol_id,dat_rodjenja) VALUES ("&amp;BD387&amp;",(SELECT max(os.reg_broj)+1 FROM osoba AS os),Null,'"&amp;DI387&amp;"',Null); INSERT INTO osoba_log (id,reg_broj,oib,spol_id,dat_rodjenja,dnevnik_id) SELECT id,reg_broj,oib,spol_id,dat_rodjenja,"&amp;data_dnevnik_id&amp;" FROM osoba WHERE id = "&amp;BD387&amp;";"))</f>
        <v/>
      </c>
      <c r="DL387" s="66" t="str">
        <f>IF(BD387="","","INSERT INTO imeprezime (id,osoba_id,rbr,ime,prezime,klub_id,identitet_id,sintaksa_id,info,aktivno,dnevnik_id) VALUES ("&amp;BD387&amp;","&amp;IF(DK387="","Null",BD387)&amp;",1,'"&amp;IF(AV387&lt;&gt;"",AV387,AK387)&amp;"','"&amp;IF(AW387&lt;&gt;"",AW387,AL387)&amp;"',(SELECT id FROM klub WHERE naziv = '"&amp;CR387&amp;"'),Null,1,'',1,"&amp;data_dnevnik_id&amp;");")</f>
        <v/>
      </c>
      <c r="DM387" t="s">
        <v>0</v>
      </c>
      <c r="DN387" s="19" t="str">
        <f t="shared" si="350"/>
        <v/>
      </c>
      <c r="DO387" s="47" t="s">
        <v>0</v>
      </c>
      <c r="DP387" s="19" t="str">
        <f>IF(BA387="","","INSERT INTO imeprezime_alias(id,alias,imeprezime_id) VALUES ("&amp;BB387&amp;",'"&amp;BA387&amp;"',"&amp;IF(BC387="NEMA",BD387,BC387)&amp;");")</f>
        <v/>
      </c>
      <c r="DQ387" s="47" t="s">
        <v>0</v>
      </c>
      <c r="DR387" s="52" t="str">
        <f>IF(AL387="","",DU387 &amp; IF(Q387="",""," – " &amp; Q387))</f>
        <v/>
      </c>
      <c r="DS387" s="53" t="str">
        <f t="shared" si="312"/>
        <v/>
      </c>
      <c r="DT387" s="47" t="s">
        <v>0</v>
      </c>
      <c r="DU387" s="52" t="str">
        <f>IF(AL387="","",DX387 &amp; IF(CR387="",""," – " &amp; CR387))</f>
        <v/>
      </c>
      <c r="DV387" s="53" t="str">
        <f t="shared" si="313"/>
        <v/>
      </c>
      <c r="DW387" s="47" t="s">
        <v>0</v>
      </c>
      <c r="DX387" s="52" t="str">
        <f>IF(BG387="","",BF387&amp;" – "&amp;BG387)</f>
        <v/>
      </c>
      <c r="DY387" s="53" t="str">
        <f t="shared" si="314"/>
        <v/>
      </c>
      <c r="DZ387" s="47" t="s">
        <v>0</v>
      </c>
      <c r="EA387" s="58" t="str">
        <f t="shared" si="343"/>
        <v/>
      </c>
      <c r="EB387" s="53" t="str" cm="1">
        <f t="array" ref="EB387">IF(EA387&lt;&gt;"",INDEX(regNatjecatelj_id,EA387,0),IF(BD387&lt;&gt;"",BD387,""))</f>
        <v/>
      </c>
      <c r="EC387" s="47" t="s">
        <v>0</v>
      </c>
      <c r="ED387" s="58" t="str">
        <f>IF(AL387="","",IF(BD387&lt;&gt;"","novo",IF(AN387="","imepre","imepre(ali)")))</f>
        <v/>
      </c>
      <c r="EE387" s="73" t="str">
        <f>IF(AL387="","",IF(BL387="",IF(IFERROR(INDEX(regNatjecatelj_klub,MATCH(EB387,regNatjecatelj_id,0)),"NEMA")="","klu",""),IF(OR(AND(BN387&lt;&gt;"",BN387&lt;&gt;"NEMA"),CD387&lt;&gt;""),"klu(ali)",IF(AND(BP387&lt;&gt;"",BP387&lt;&gt;BO387),"(raz-klu)","klu"))))</f>
        <v/>
      </c>
      <c r="EF387" s="73" t="str">
        <f>IF(AL387="","","kat"&amp;IF(AND(W387&lt;&gt;Q387,Q387&lt;&gt;"Open"),"(ali)",""))</f>
        <v/>
      </c>
      <c r="EG387" s="73" t="str">
        <f t="shared" si="315"/>
        <v/>
      </c>
      <c r="EH387" s="66" t="str">
        <f>IF(AL387="","",ED387&amp;IF(ED387="novo","","-"&amp;EE387&amp;"-"&amp;EF387)&amp;IF(EG387="","","-"&amp;EG387))</f>
        <v/>
      </c>
      <c r="EI387" s="47" t="s">
        <v>0</v>
      </c>
      <c r="EJ387" s="58" t="str">
        <f>IF(AL387="","",MAX(EJ$12:EJ386)+1)</f>
        <v/>
      </c>
      <c r="EK387" s="73" t="str">
        <f>IF(AO387="","",X387)</f>
        <v/>
      </c>
      <c r="EL387" s="73" t="str">
        <f t="shared" si="344"/>
        <v/>
      </c>
      <c r="EM387" s="73" t="str">
        <f t="shared" si="316"/>
        <v/>
      </c>
      <c r="EN387" s="73" t="str">
        <f t="shared" si="317"/>
        <v/>
      </c>
      <c r="EO387" s="73" t="str">
        <f t="shared" si="345"/>
        <v/>
      </c>
      <c r="EP387" s="73" t="str">
        <f t="shared" si="346"/>
        <v/>
      </c>
      <c r="EQ387" s="73" t="str">
        <f t="shared" si="318"/>
        <v/>
      </c>
      <c r="ER387" s="73" t="str">
        <f>IF(OR(AN387="",AN387="NEMA"),BB387,AN387)</f>
        <v/>
      </c>
      <c r="ES387" s="73" t="str">
        <f>IF(AND(BN387&lt;&gt;"",BN387&lt;&gt;"NEMA"),BN387,IF(CG387&lt;&gt;"",CG387,IF(AND(CL387&lt;&gt;"",CL387&lt;&gt;"NEMA"),CL387,IF(CM387&lt;&gt;"",CM387,""))))</f>
        <v/>
      </c>
      <c r="ET387" s="53" t="str">
        <f>IF(INDEX(natKategorija_alias_Id,MATCH(S387,natKategorija_katRegId,0))="","",INDEX(natKategorija_alias_Id,MATCH(S387,natKategorija_katRegId,0)))</f>
        <v/>
      </c>
      <c r="EU387" s="47" t="s">
        <v>0</v>
      </c>
      <c r="EV387" s="19" t="str">
        <f t="shared" si="347"/>
        <v/>
      </c>
      <c r="EW387" s="47" t="s">
        <v>0</v>
      </c>
      <c r="EX387" s="19" t="str">
        <f t="shared" si="348"/>
        <v/>
      </c>
      <c r="EY387" s="47" t="s">
        <v>0</v>
      </c>
      <c r="EZ387" s="180" t="str">
        <f>AG387&amp;IF(CP387="","","
")&amp;CP387&amp;IF(CI387="","","
")&amp;CI387&amp;IF(DN387="","","
")&amp;DN387&amp;IF(DP387="","","
")&amp;DP387&amp;IF(EV387="","","
")&amp;EV387&amp;IF(EX387="","","
")&amp;EX387</f>
        <v/>
      </c>
      <c r="FA387" s="47" t="s">
        <v>0</v>
      </c>
    </row>
    <row r="388" spans="1:157" x14ac:dyDescent="0.25">
      <c r="A388" t="s">
        <v>0</v>
      </c>
      <c r="B388" s="52" t="str">
        <f>IF(csv!F378="","",csv!T378)</f>
        <v/>
      </c>
      <c r="C388" s="31" t="s">
        <v>0</v>
      </c>
      <c r="D388" s="31" t="str">
        <f>IF(csv!F378="","",csv!F378)</f>
        <v/>
      </c>
      <c r="E388" s="31" t="str">
        <f>IF(csv!E378="","",csv!E378)</f>
        <v/>
      </c>
      <c r="F388" s="31" t="s">
        <v>0</v>
      </c>
      <c r="G388" s="73" t="str">
        <f>IF(csv!M378="","",csv!M378)</f>
        <v/>
      </c>
      <c r="H388" s="73" t="str">
        <f>IF(csv!N378="","",csv!N378)</f>
        <v/>
      </c>
      <c r="I388" s="31" t="s">
        <v>0</v>
      </c>
      <c r="J388" s="31" t="str">
        <f>IF(csv!P378="","",csv!P378)</f>
        <v/>
      </c>
      <c r="K388" s="31" t="str">
        <f>IF(csv!Q378="","",csv!Q378)</f>
        <v/>
      </c>
      <c r="L388" s="31" t="s">
        <v>0</v>
      </c>
      <c r="M388" s="66" t="str">
        <f>IF(csv!R378="","",csv!R378)</f>
        <v/>
      </c>
      <c r="N388" s="47" t="s">
        <v>0</v>
      </c>
      <c r="O388" s="243" t="str">
        <f t="shared" si="319"/>
        <v/>
      </c>
      <c r="P388" s="47"/>
      <c r="Q388" s="52" t="str">
        <f t="shared" si="320"/>
        <v/>
      </c>
      <c r="R388" s="73" t="str">
        <f>IF(Q388="","",IF(COUNTIF(Q$12:Q387,Q388)=0,R387+1,R387))</f>
        <v/>
      </c>
      <c r="S388" s="73" t="str">
        <f t="shared" si="321"/>
        <v/>
      </c>
      <c r="T388" s="73" t="str">
        <f t="shared" si="297"/>
        <v/>
      </c>
      <c r="U388" s="66" t="str">
        <f t="shared" si="298"/>
        <v/>
      </c>
      <c r="V388" s="47" t="s">
        <v>0</v>
      </c>
      <c r="W388" s="222" t="str">
        <f t="shared" si="299"/>
        <v/>
      </c>
      <c r="X388" s="223" t="str">
        <f t="shared" si="300"/>
        <v/>
      </c>
      <c r="Y388" s="47" t="s">
        <v>0</v>
      </c>
      <c r="Z388" s="52" t="str">
        <f t="shared" si="322"/>
        <v/>
      </c>
      <c r="AA388" s="73" t="str">
        <f t="shared" si="301"/>
        <v/>
      </c>
      <c r="AB388" s="31" t="str">
        <f t="shared" si="323"/>
        <v/>
      </c>
      <c r="AC388" s="66" t="str">
        <f>IF(AB388="","",MAX(AC$12:AC387)+1)</f>
        <v/>
      </c>
      <c r="AD388" s="47" t="s">
        <v>0</v>
      </c>
      <c r="AE388" s="125"/>
      <c r="AF388" s="47" t="s">
        <v>0</v>
      </c>
      <c r="AG388" s="19" t="str">
        <f t="shared" si="324"/>
        <v/>
      </c>
      <c r="AH388" s="47" t="s">
        <v>0</v>
      </c>
      <c r="AI388" s="143" t="str">
        <f t="shared" si="325"/>
        <v/>
      </c>
      <c r="AJ388" s="47"/>
      <c r="AK388" s="52" t="str">
        <f t="shared" si="326"/>
        <v/>
      </c>
      <c r="AL388" s="31" t="str">
        <f t="shared" si="327"/>
        <v/>
      </c>
      <c r="AM388" s="73" t="str">
        <f t="shared" si="328"/>
        <v/>
      </c>
      <c r="AN388" s="73" t="str">
        <f t="shared" si="329"/>
        <v/>
      </c>
      <c r="AO388" s="31" t="str">
        <f t="shared" si="302"/>
        <v/>
      </c>
      <c r="AP388" s="66" t="str">
        <f t="shared" si="303"/>
        <v/>
      </c>
      <c r="AQ388" s="47" t="s">
        <v>0</v>
      </c>
      <c r="AR388" s="82" t="str">
        <f t="shared" si="330"/>
        <v/>
      </c>
      <c r="AS388" s="47" t="s">
        <v>0</v>
      </c>
      <c r="AT388" s="19" t="str">
        <f t="shared" si="331"/>
        <v/>
      </c>
      <c r="AU388" s="47" t="s">
        <v>0</v>
      </c>
      <c r="AV388" s="103"/>
      <c r="AW388" s="105"/>
      <c r="AX388" s="47" t="s">
        <v>0</v>
      </c>
      <c r="AY388" s="256" t="str">
        <f t="shared" si="349"/>
        <v/>
      </c>
      <c r="AZ388" s="47" t="s">
        <v>0</v>
      </c>
      <c r="BA388" s="52" t="str">
        <f t="shared" si="296"/>
        <v/>
      </c>
      <c r="BB388" s="73" t="str">
        <f>IF(AV388&amp;AW388="","",MAX(BB$12:BB387)+1)</f>
        <v/>
      </c>
      <c r="BC388" s="268" t="str">
        <f t="shared" si="304"/>
        <v/>
      </c>
      <c r="BD388" s="53" t="str">
        <f>IF(AND(AM388="NEMA",AN388="NEMA",OR(AV388&amp;AW388="",BC388="NEMA")),MAX(BD$12:BD387)+1,"")</f>
        <v/>
      </c>
      <c r="BE388" s="47" t="s">
        <v>0</v>
      </c>
      <c r="BF388" s="52" t="str">
        <f t="shared" si="305"/>
        <v/>
      </c>
      <c r="BG388" s="31" t="str">
        <f t="shared" si="306"/>
        <v/>
      </c>
      <c r="BH388" s="73" t="str">
        <f t="shared" si="332"/>
        <v/>
      </c>
      <c r="BI388" s="53" t="str">
        <f t="shared" si="333"/>
        <v/>
      </c>
      <c r="BJ388" s="47" t="s">
        <v>0</v>
      </c>
      <c r="BK388" s="52" t="str">
        <f t="shared" si="307"/>
        <v/>
      </c>
      <c r="BL388" s="31" t="str">
        <f t="shared" si="308"/>
        <v/>
      </c>
      <c r="BM388" s="73" t="str">
        <f t="shared" si="309"/>
        <v/>
      </c>
      <c r="BN388" s="73" t="str">
        <f t="shared" si="310"/>
        <v/>
      </c>
      <c r="BO388" s="31" t="str" cm="1">
        <f t="array" ref="BO388">IF(BN388="",""&amp;BL388,IF(BN388="NEMA",BL388,INDEX(regKlub_naziv,MATCH(INDEX(regKlub_alias_klubId,BN388),regKlub_id,0))))</f>
        <v/>
      </c>
      <c r="BP388" s="31" t="str" cm="1">
        <f t="array" ref="BP388">IFERROR(""&amp;INDEX(regNatjecatelj_klub,DY388),"")</f>
        <v/>
      </c>
      <c r="BQ388" s="88" t="str">
        <f t="shared" si="334"/>
        <v/>
      </c>
      <c r="BR388" s="66" t="str">
        <f t="shared" si="335"/>
        <v/>
      </c>
      <c r="BS388" s="47" t="s">
        <v>0</v>
      </c>
      <c r="BT388" s="82" t="str">
        <f>IF(BN388&lt;&gt;"NEMA","",IF(IFERROR(MATCH(BL388,BL$12:BL387,0),0)&lt;&gt;0,"",BL388))</f>
        <v/>
      </c>
      <c r="BU388" s="47" t="s">
        <v>0</v>
      </c>
      <c r="BV388" s="125"/>
      <c r="BW388" s="47" t="s">
        <v>0</v>
      </c>
      <c r="BX388" s="58" t="str">
        <f t="shared" si="336"/>
        <v/>
      </c>
      <c r="BY388" s="31" t="str">
        <f t="shared" si="337"/>
        <v/>
      </c>
      <c r="BZ388" s="31" t="str">
        <f>IF(BY388="","",MAX(BZ$12:BZ387)+1)</f>
        <v/>
      </c>
      <c r="CA388" s="31" t="str">
        <f>IF(BY388="","",IF(AA388="","",IF(AA388="NEMA",AC388,AA388)))</f>
        <v/>
      </c>
      <c r="CB388" s="31" t="str">
        <f t="shared" si="338"/>
        <v/>
      </c>
      <c r="CC388" s="31" t="str">
        <f>IF(BV388="","",MAX(CC$12:CC387)+1)</f>
        <v/>
      </c>
      <c r="CD388" s="31" t="str">
        <f t="shared" si="339"/>
        <v/>
      </c>
      <c r="CE388" s="66" t="str">
        <f t="shared" si="340"/>
        <v/>
      </c>
      <c r="CF388" s="47" t="s">
        <v>0</v>
      </c>
      <c r="CG388" s="73" t="str">
        <f>IF(BN388="","",IF(BN388&lt;&gt;"NEMA","",IFERROR(INDEX(nat_klubAliasId,MATCH(BL388,nat_noviKluboviAliasi,0)),"")))</f>
        <v/>
      </c>
      <c r="CH388" s="47"/>
      <c r="CI388" s="19" t="str">
        <f t="shared" si="341"/>
        <v/>
      </c>
      <c r="CJ388" s="47" t="s">
        <v>0</v>
      </c>
      <c r="CK388" s="52" t="str">
        <f>IF(X388&lt;&gt;"NEMA","",IF(IFERROR(MATCH(W388,W$12:W387,0),0)&lt;&gt;0,"",W388))</f>
        <v/>
      </c>
      <c r="CL388" s="73" t="str">
        <f>IF(CK388="","",IFERROR(INDEX(regKlub_alias_id,MATCH(CK388,regKlub_alias_alias,0)),"NEMA"))</f>
        <v/>
      </c>
      <c r="CM388" s="31" t="str">
        <f>IF(OR(CL388="",CL388&lt;&gt;"NEMA"),"",MAX(CM$12:CM387)+1)</f>
        <v/>
      </c>
      <c r="CN388" s="66" t="str">
        <f>IF(OR(CL388="",CL388&lt;&gt;"NEMA"),"",INDEX(regKlub_id,MATCH(CK388,regKlub_naziv,0)))</f>
        <v/>
      </c>
      <c r="CO388" s="47" t="s">
        <v>0</v>
      </c>
      <c r="CP388" s="19" t="str">
        <f>IF(OR(CL388="",CL388&lt;&gt;"NEMA"),"","INSERT INTO klub_alias(id,alias,klub_id) VALUES ("&amp;CM388&amp;",'"&amp;CK388&amp;"',"&amp;CN388&amp;");")</f>
        <v/>
      </c>
      <c r="CQ388" s="47" t="s">
        <v>0</v>
      </c>
      <c r="CR388" s="143" t="str">
        <f>IF(BR388="","",IF(BV388="",IF(IFERROR(MATCH(BR388,nat_noviKluboviAliasi,0),0)&gt;0,INDEX(nat_kluboviAliasi,MATCH(BR388,nat_noviKluboviAliasi,0)),BR388),BV388))</f>
        <v/>
      </c>
      <c r="CS388" s="47" t="s">
        <v>0</v>
      </c>
      <c r="CT388" s="58" t="str">
        <f>IF(G388="","",G388)</f>
        <v/>
      </c>
      <c r="CU388" s="73" t="str">
        <f>IF(H388="","",H388)</f>
        <v/>
      </c>
      <c r="CV388" s="229" t="str">
        <f>IF(CT388="",IF(OR(AL388="",CU388&lt;&gt;"0"),"","GREŠKA"),IF(AND(65535&gt;=VALUE(LEFT(CT388,SEARCH(":",CT388)-1))*60+VALUE(RIGHT(CT388,2)),OR(CU388="0",CU388="1",CU388="2",CU388="3",CU388="4")),"","GREŠKA"))</f>
        <v/>
      </c>
      <c r="CW388" s="230" t="str">
        <f t="shared" si="351"/>
        <v/>
      </c>
      <c r="CX388" s="163" t="str">
        <f t="shared" si="311"/>
        <v/>
      </c>
      <c r="CY388" s="47" t="s">
        <v>0</v>
      </c>
      <c r="CZ388" s="222" t="str">
        <f>IF(CV388&lt;&gt;"GREŠKA","",AK388&amp;" "&amp;AL388&amp;" – Molim u OEventu provjeriti i ispraviti rezultat – vrijeme ("&amp;IF(CT388="","nije upisano",CT388)&amp;") i classifier ("&amp;CU388&amp;").")&amp;IF(OR(CV388&lt;&gt;"GREŠKA",CX388&lt;&gt;5),"
","")&amp;IF(CX388&lt;&gt;5,"",AK388&amp;" "&amp;AL388&amp;" – Molim u provjeriti je li natjecatelj zaista diskvalificiran. Ako je koje je obrazloženje, ako nije molim u OEventu ispraviti rezultat")</f>
        <v xml:space="preserve">
</v>
      </c>
      <c r="DA388" s="223" t="str">
        <f t="shared" si="342"/>
        <v/>
      </c>
      <c r="DB388" s="47" t="s">
        <v>0</v>
      </c>
      <c r="DC388" s="47"/>
      <c r="DD388" s="47"/>
      <c r="DE388" s="47"/>
      <c r="DF388" s="47" t="s">
        <v>0</v>
      </c>
      <c r="DG388" s="53" t="str">
        <f>IF(BD388="","",IF(DI388="O",1,""))</f>
        <v/>
      </c>
      <c r="DH388" t="s">
        <v>0</v>
      </c>
      <c r="DI388" s="128" t="str">
        <f>IF(Q388="","",LEFT(INDEX(regKategorija_oznaka,MATCH(S388,regKategorija_id,0)),1))</f>
        <v/>
      </c>
      <c r="DJ388" t="s">
        <v>0</v>
      </c>
      <c r="DK388" s="52" t="str">
        <f>IF(BD388="","",IF(M388&lt;&gt;"CRO","","INSERT INTO osoba (id,reg_broj,oib,spol_id,dat_rodjenja) VALUES ("&amp;BD388&amp;",(SELECT max(os.reg_broj)+1 FROM osoba AS os),Null,'"&amp;DI388&amp;"',Null); INSERT INTO osoba_log (id,reg_broj,oib,spol_id,dat_rodjenja,dnevnik_id) SELECT id,reg_broj,oib,spol_id,dat_rodjenja,"&amp;data_dnevnik_id&amp;" FROM osoba WHERE id = "&amp;BD388&amp;";"))</f>
        <v/>
      </c>
      <c r="DL388" s="66" t="str">
        <f>IF(BD388="","","INSERT INTO imeprezime (id,osoba_id,rbr,ime,prezime,klub_id,identitet_id,sintaksa_id,info,aktivno,dnevnik_id) VALUES ("&amp;BD388&amp;","&amp;IF(DK388="","Null",BD388)&amp;",1,'"&amp;IF(AV388&lt;&gt;"",AV388,AK388)&amp;"','"&amp;IF(AW388&lt;&gt;"",AW388,AL388)&amp;"',(SELECT id FROM klub WHERE naziv = '"&amp;CR388&amp;"'),Null,1,'',1,"&amp;data_dnevnik_id&amp;");")</f>
        <v/>
      </c>
      <c r="DM388" t="s">
        <v>0</v>
      </c>
      <c r="DN388" s="19" t="str">
        <f t="shared" si="350"/>
        <v/>
      </c>
      <c r="DO388" s="47" t="s">
        <v>0</v>
      </c>
      <c r="DP388" s="19" t="str">
        <f>IF(BA388="","","INSERT INTO imeprezime_alias(id,alias,imeprezime_id) VALUES ("&amp;BB388&amp;",'"&amp;BA388&amp;"',"&amp;IF(BC388="NEMA",BD388,BC388)&amp;");")</f>
        <v/>
      </c>
      <c r="DQ388" s="47" t="s">
        <v>0</v>
      </c>
      <c r="DR388" s="52" t="str">
        <f>IF(AL388="","",DU388 &amp; IF(Q388="",""," – " &amp; Q388))</f>
        <v/>
      </c>
      <c r="DS388" s="53" t="str">
        <f t="shared" si="312"/>
        <v/>
      </c>
      <c r="DT388" s="47" t="s">
        <v>0</v>
      </c>
      <c r="DU388" s="52" t="str">
        <f>IF(AL388="","",DX388 &amp; IF(CR388="",""," – " &amp; CR388))</f>
        <v/>
      </c>
      <c r="DV388" s="53" t="str">
        <f t="shared" si="313"/>
        <v/>
      </c>
      <c r="DW388" s="47" t="s">
        <v>0</v>
      </c>
      <c r="DX388" s="52" t="str">
        <f>IF(BG388="","",BF388&amp;" – "&amp;BG388)</f>
        <v/>
      </c>
      <c r="DY388" s="53" t="str">
        <f t="shared" si="314"/>
        <v/>
      </c>
      <c r="DZ388" s="47" t="s">
        <v>0</v>
      </c>
      <c r="EA388" s="58" t="str">
        <f t="shared" si="343"/>
        <v/>
      </c>
      <c r="EB388" s="53" t="str" cm="1">
        <f t="array" ref="EB388">IF(EA388&lt;&gt;"",INDEX(regNatjecatelj_id,EA388,0),IF(BD388&lt;&gt;"",BD388,""))</f>
        <v/>
      </c>
      <c r="EC388" s="47" t="s">
        <v>0</v>
      </c>
      <c r="ED388" s="58" t="str">
        <f>IF(AL388="","",IF(BD388&lt;&gt;"","novo",IF(AN388="","imepre","imepre(ali)")))</f>
        <v/>
      </c>
      <c r="EE388" s="73" t="str">
        <f>IF(AL388="","",IF(BL388="",IF(IFERROR(INDEX(regNatjecatelj_klub,MATCH(EB388,regNatjecatelj_id,0)),"NEMA")="","klu",""),IF(OR(AND(BN388&lt;&gt;"",BN388&lt;&gt;"NEMA"),CD388&lt;&gt;""),"klu(ali)",IF(AND(BP388&lt;&gt;"",BP388&lt;&gt;BO388),"(raz-klu)","klu"))))</f>
        <v/>
      </c>
      <c r="EF388" s="73" t="str">
        <f>IF(AL388="","","kat"&amp;IF(AND(W388&lt;&gt;Q388,Q388&lt;&gt;"Open"),"(ali)",""))</f>
        <v/>
      </c>
      <c r="EG388" s="73" t="str">
        <f t="shared" si="315"/>
        <v/>
      </c>
      <c r="EH388" s="66" t="str">
        <f>IF(AL388="","",ED388&amp;IF(ED388="novo","","-"&amp;EE388&amp;"-"&amp;EF388)&amp;IF(EG388="","","-"&amp;EG388))</f>
        <v/>
      </c>
      <c r="EI388" s="47" t="s">
        <v>0</v>
      </c>
      <c r="EJ388" s="58" t="str">
        <f>IF(AL388="","",MAX(EJ$12:EJ387)+1)</f>
        <v/>
      </c>
      <c r="EK388" s="73" t="str">
        <f>IF(AO388="","",X388)</f>
        <v/>
      </c>
      <c r="EL388" s="73" t="str">
        <f t="shared" si="344"/>
        <v/>
      </c>
      <c r="EM388" s="73" t="str">
        <f t="shared" si="316"/>
        <v/>
      </c>
      <c r="EN388" s="73" t="str">
        <f t="shared" si="317"/>
        <v/>
      </c>
      <c r="EO388" s="73" t="str">
        <f t="shared" si="345"/>
        <v/>
      </c>
      <c r="EP388" s="73" t="str">
        <f t="shared" si="346"/>
        <v/>
      </c>
      <c r="EQ388" s="73" t="str">
        <f t="shared" si="318"/>
        <v/>
      </c>
      <c r="ER388" s="73" t="str">
        <f>IF(OR(AN388="",AN388="NEMA"),BB388,AN388)</f>
        <v/>
      </c>
      <c r="ES388" s="73" t="str">
        <f>IF(AND(BN388&lt;&gt;"",BN388&lt;&gt;"NEMA"),BN388,IF(CG388&lt;&gt;"",CG388,IF(AND(CL388&lt;&gt;"",CL388&lt;&gt;"NEMA"),CL388,IF(CM388&lt;&gt;"",CM388,""))))</f>
        <v/>
      </c>
      <c r="ET388" s="53" t="str">
        <f>IF(INDEX(natKategorija_alias_Id,MATCH(S388,natKategorija_katRegId,0))="","",INDEX(natKategorija_alias_Id,MATCH(S388,natKategorija_katRegId,0)))</f>
        <v/>
      </c>
      <c r="EU388" s="47" t="s">
        <v>0</v>
      </c>
      <c r="EV388" s="19" t="str">
        <f t="shared" si="347"/>
        <v/>
      </c>
      <c r="EW388" s="47" t="s">
        <v>0</v>
      </c>
      <c r="EX388" s="19" t="str">
        <f t="shared" si="348"/>
        <v/>
      </c>
      <c r="EY388" s="47" t="s">
        <v>0</v>
      </c>
      <c r="EZ388" s="180" t="str">
        <f>AG388&amp;IF(CP388="","","
")&amp;CP388&amp;IF(CI388="","","
")&amp;CI388&amp;IF(DN388="","","
")&amp;DN388&amp;IF(DP388="","","
")&amp;DP388&amp;IF(EV388="","","
")&amp;EV388&amp;IF(EX388="","","
")&amp;EX388</f>
        <v/>
      </c>
      <c r="FA388" s="47" t="s">
        <v>0</v>
      </c>
    </row>
    <row r="389" spans="1:157" x14ac:dyDescent="0.25">
      <c r="A389" t="s">
        <v>0</v>
      </c>
      <c r="B389" s="52" t="str">
        <f>IF(csv!F379="","",csv!T379)</f>
        <v/>
      </c>
      <c r="C389" s="31" t="s">
        <v>0</v>
      </c>
      <c r="D389" s="31" t="str">
        <f>IF(csv!F379="","",csv!F379)</f>
        <v/>
      </c>
      <c r="E389" s="31" t="str">
        <f>IF(csv!E379="","",csv!E379)</f>
        <v/>
      </c>
      <c r="F389" s="31" t="s">
        <v>0</v>
      </c>
      <c r="G389" s="73" t="str">
        <f>IF(csv!M379="","",csv!M379)</f>
        <v/>
      </c>
      <c r="H389" s="73" t="str">
        <f>IF(csv!N379="","",csv!N379)</f>
        <v/>
      </c>
      <c r="I389" s="31" t="s">
        <v>0</v>
      </c>
      <c r="J389" s="31" t="str">
        <f>IF(csv!P379="","",csv!P379)</f>
        <v/>
      </c>
      <c r="K389" s="31" t="str">
        <f>IF(csv!Q379="","",csv!Q379)</f>
        <v/>
      </c>
      <c r="L389" s="31" t="s">
        <v>0</v>
      </c>
      <c r="M389" s="66" t="str">
        <f>IF(csv!R379="","",csv!R379)</f>
        <v/>
      </c>
      <c r="N389" s="47" t="s">
        <v>0</v>
      </c>
      <c r="O389" s="243" t="str">
        <f t="shared" si="319"/>
        <v/>
      </c>
      <c r="P389" s="47"/>
      <c r="Q389" s="52" t="str">
        <f t="shared" si="320"/>
        <v/>
      </c>
      <c r="R389" s="73" t="str">
        <f>IF(Q389="","",IF(COUNTIF(Q$12:Q388,Q389)=0,R388+1,R388))</f>
        <v/>
      </c>
      <c r="S389" s="73" t="str">
        <f t="shared" si="321"/>
        <v/>
      </c>
      <c r="T389" s="73" t="str">
        <f t="shared" si="297"/>
        <v/>
      </c>
      <c r="U389" s="66" t="str">
        <f t="shared" si="298"/>
        <v/>
      </c>
      <c r="V389" s="47" t="s">
        <v>0</v>
      </c>
      <c r="W389" s="222" t="str">
        <f t="shared" si="299"/>
        <v/>
      </c>
      <c r="X389" s="223" t="str">
        <f t="shared" si="300"/>
        <v/>
      </c>
      <c r="Y389" s="47" t="s">
        <v>0</v>
      </c>
      <c r="Z389" s="52" t="str">
        <f t="shared" si="322"/>
        <v/>
      </c>
      <c r="AA389" s="73" t="str">
        <f t="shared" si="301"/>
        <v/>
      </c>
      <c r="AB389" s="31" t="str">
        <f t="shared" si="323"/>
        <v/>
      </c>
      <c r="AC389" s="66" t="str">
        <f>IF(AB389="","",MAX(AC$12:AC388)+1)</f>
        <v/>
      </c>
      <c r="AD389" s="47" t="s">
        <v>0</v>
      </c>
      <c r="AE389" s="125"/>
      <c r="AF389" s="47" t="s">
        <v>0</v>
      </c>
      <c r="AG389" s="19" t="str">
        <f t="shared" si="324"/>
        <v/>
      </c>
      <c r="AH389" s="47" t="s">
        <v>0</v>
      </c>
      <c r="AI389" s="143" t="str">
        <f t="shared" si="325"/>
        <v/>
      </c>
      <c r="AJ389" s="47"/>
      <c r="AK389" s="52" t="str">
        <f t="shared" si="326"/>
        <v/>
      </c>
      <c r="AL389" s="31" t="str">
        <f t="shared" si="327"/>
        <v/>
      </c>
      <c r="AM389" s="73" t="str">
        <f t="shared" si="328"/>
        <v/>
      </c>
      <c r="AN389" s="73" t="str">
        <f t="shared" si="329"/>
        <v/>
      </c>
      <c r="AO389" s="31" t="str">
        <f t="shared" si="302"/>
        <v/>
      </c>
      <c r="AP389" s="66" t="str">
        <f t="shared" si="303"/>
        <v/>
      </c>
      <c r="AQ389" s="47" t="s">
        <v>0</v>
      </c>
      <c r="AR389" s="82" t="str">
        <f t="shared" si="330"/>
        <v/>
      </c>
      <c r="AS389" s="47" t="s">
        <v>0</v>
      </c>
      <c r="AT389" s="19" t="str">
        <f t="shared" si="331"/>
        <v/>
      </c>
      <c r="AU389" s="47" t="s">
        <v>0</v>
      </c>
      <c r="AV389" s="103"/>
      <c r="AW389" s="105"/>
      <c r="AX389" s="47" t="s">
        <v>0</v>
      </c>
      <c r="AY389" s="256" t="str">
        <f t="shared" si="349"/>
        <v/>
      </c>
      <c r="AZ389" s="47" t="s">
        <v>0</v>
      </c>
      <c r="BA389" s="52" t="str">
        <f t="shared" si="296"/>
        <v/>
      </c>
      <c r="BB389" s="73" t="str">
        <f>IF(AV389&amp;AW389="","",MAX(BB$12:BB388)+1)</f>
        <v/>
      </c>
      <c r="BC389" s="268" t="str">
        <f t="shared" si="304"/>
        <v/>
      </c>
      <c r="BD389" s="53" t="str">
        <f>IF(AND(AM389="NEMA",AN389="NEMA",OR(AV389&amp;AW389="",BC389="NEMA")),MAX(BD$12:BD388)+1,"")</f>
        <v/>
      </c>
      <c r="BE389" s="47" t="s">
        <v>0</v>
      </c>
      <c r="BF389" s="52" t="str">
        <f t="shared" si="305"/>
        <v/>
      </c>
      <c r="BG389" s="31" t="str">
        <f t="shared" si="306"/>
        <v/>
      </c>
      <c r="BH389" s="73" t="str">
        <f t="shared" si="332"/>
        <v/>
      </c>
      <c r="BI389" s="53" t="str">
        <f t="shared" si="333"/>
        <v/>
      </c>
      <c r="BJ389" s="47" t="s">
        <v>0</v>
      </c>
      <c r="BK389" s="52" t="str">
        <f t="shared" si="307"/>
        <v/>
      </c>
      <c r="BL389" s="31" t="str">
        <f t="shared" si="308"/>
        <v/>
      </c>
      <c r="BM389" s="73" t="str">
        <f t="shared" si="309"/>
        <v/>
      </c>
      <c r="BN389" s="73" t="str">
        <f t="shared" si="310"/>
        <v/>
      </c>
      <c r="BO389" s="31" t="str" cm="1">
        <f t="array" ref="BO389">IF(BN389="",""&amp;BL389,IF(BN389="NEMA",BL389,INDEX(regKlub_naziv,MATCH(INDEX(regKlub_alias_klubId,BN389),regKlub_id,0))))</f>
        <v/>
      </c>
      <c r="BP389" s="31" t="str" cm="1">
        <f t="array" ref="BP389">IFERROR(""&amp;INDEX(regNatjecatelj_klub,DY389),"")</f>
        <v/>
      </c>
      <c r="BQ389" s="88" t="str">
        <f t="shared" si="334"/>
        <v/>
      </c>
      <c r="BR389" s="66" t="str">
        <f t="shared" si="335"/>
        <v/>
      </c>
      <c r="BS389" s="47" t="s">
        <v>0</v>
      </c>
      <c r="BT389" s="82" t="str">
        <f>IF(BN389&lt;&gt;"NEMA","",IF(IFERROR(MATCH(BL389,BL$12:BL388,0),0)&lt;&gt;0,"",BL389))</f>
        <v/>
      </c>
      <c r="BU389" s="47" t="s">
        <v>0</v>
      </c>
      <c r="BV389" s="125"/>
      <c r="BW389" s="47" t="s">
        <v>0</v>
      </c>
      <c r="BX389" s="58" t="str">
        <f t="shared" si="336"/>
        <v/>
      </c>
      <c r="BY389" s="31" t="str">
        <f t="shared" si="337"/>
        <v/>
      </c>
      <c r="BZ389" s="31" t="str">
        <f>IF(BY389="","",MAX(BZ$12:BZ388)+1)</f>
        <v/>
      </c>
      <c r="CA389" s="31" t="str">
        <f>IF(BY389="","",IF(AA389="","",IF(AA389="NEMA",AC389,AA389)))</f>
        <v/>
      </c>
      <c r="CB389" s="31" t="str">
        <f t="shared" si="338"/>
        <v/>
      </c>
      <c r="CC389" s="31" t="str">
        <f>IF(BV389="","",MAX(CC$12:CC388)+1)</f>
        <v/>
      </c>
      <c r="CD389" s="31" t="str">
        <f t="shared" si="339"/>
        <v/>
      </c>
      <c r="CE389" s="66" t="str">
        <f t="shared" si="340"/>
        <v/>
      </c>
      <c r="CF389" s="47" t="s">
        <v>0</v>
      </c>
      <c r="CG389" s="73" t="str">
        <f>IF(BN389="","",IF(BN389&lt;&gt;"NEMA","",IFERROR(INDEX(nat_klubAliasId,MATCH(BL389,nat_noviKluboviAliasi,0)),"")))</f>
        <v/>
      </c>
      <c r="CH389" s="47"/>
      <c r="CI389" s="19" t="str">
        <f t="shared" si="341"/>
        <v/>
      </c>
      <c r="CJ389" s="47" t="s">
        <v>0</v>
      </c>
      <c r="CK389" s="52" t="str">
        <f>IF(X389&lt;&gt;"NEMA","",IF(IFERROR(MATCH(W389,W$12:W388,0),0)&lt;&gt;0,"",W389))</f>
        <v/>
      </c>
      <c r="CL389" s="73" t="str">
        <f>IF(CK389="","",IFERROR(INDEX(regKlub_alias_id,MATCH(CK389,regKlub_alias_alias,0)),"NEMA"))</f>
        <v/>
      </c>
      <c r="CM389" s="31" t="str">
        <f>IF(OR(CL389="",CL389&lt;&gt;"NEMA"),"",MAX(CM$12:CM388)+1)</f>
        <v/>
      </c>
      <c r="CN389" s="66" t="str">
        <f>IF(OR(CL389="",CL389&lt;&gt;"NEMA"),"",INDEX(regKlub_id,MATCH(CK389,regKlub_naziv,0)))</f>
        <v/>
      </c>
      <c r="CO389" s="47" t="s">
        <v>0</v>
      </c>
      <c r="CP389" s="19" t="str">
        <f>IF(OR(CL389="",CL389&lt;&gt;"NEMA"),"","INSERT INTO klub_alias(id,alias,klub_id) VALUES ("&amp;CM389&amp;",'"&amp;CK389&amp;"',"&amp;CN389&amp;");")</f>
        <v/>
      </c>
      <c r="CQ389" s="47" t="s">
        <v>0</v>
      </c>
      <c r="CR389" s="143" t="str">
        <f>IF(BR389="","",IF(BV389="",IF(IFERROR(MATCH(BR389,nat_noviKluboviAliasi,0),0)&gt;0,INDEX(nat_kluboviAliasi,MATCH(BR389,nat_noviKluboviAliasi,0)),BR389),BV389))</f>
        <v/>
      </c>
      <c r="CS389" s="47" t="s">
        <v>0</v>
      </c>
      <c r="CT389" s="58" t="str">
        <f>IF(G389="","",G389)</f>
        <v/>
      </c>
      <c r="CU389" s="73" t="str">
        <f>IF(H389="","",H389)</f>
        <v/>
      </c>
      <c r="CV389" s="229" t="str">
        <f>IF(CT389="",IF(OR(AL389="",CU389&lt;&gt;"0"),"","GREŠKA"),IF(AND(65535&gt;=VALUE(LEFT(CT389,SEARCH(":",CT389)-1))*60+VALUE(RIGHT(CT389,2)),OR(CU389="0",CU389="1",CU389="2",CU389="3",CU389="4")),"","GREŠKA"))</f>
        <v/>
      </c>
      <c r="CW389" s="230" t="str">
        <f t="shared" si="351"/>
        <v/>
      </c>
      <c r="CX389" s="163" t="str">
        <f t="shared" si="311"/>
        <v/>
      </c>
      <c r="CY389" s="47" t="s">
        <v>0</v>
      </c>
      <c r="CZ389" s="222" t="str">
        <f>IF(CV389&lt;&gt;"GREŠKA","",AK389&amp;" "&amp;AL389&amp;" – Molim u OEventu provjeriti i ispraviti rezultat – vrijeme ("&amp;IF(CT389="","nije upisano",CT389)&amp;") i classifier ("&amp;CU389&amp;").")&amp;IF(OR(CV389&lt;&gt;"GREŠKA",CX389&lt;&gt;5),"
","")&amp;IF(CX389&lt;&gt;5,"",AK389&amp;" "&amp;AL389&amp;" – Molim u provjeriti je li natjecatelj zaista diskvalificiran. Ako je koje je obrazloženje, ako nije molim u OEventu ispraviti rezultat")</f>
        <v xml:space="preserve">
</v>
      </c>
      <c r="DA389" s="223" t="str">
        <f t="shared" si="342"/>
        <v/>
      </c>
      <c r="DB389" s="47" t="s">
        <v>0</v>
      </c>
      <c r="DC389" s="47"/>
      <c r="DD389" s="47"/>
      <c r="DE389" s="47"/>
      <c r="DF389" s="47" t="s">
        <v>0</v>
      </c>
      <c r="DG389" s="53" t="str">
        <f>IF(BD389="","",IF(DI389="O",1,""))</f>
        <v/>
      </c>
      <c r="DH389" t="s">
        <v>0</v>
      </c>
      <c r="DI389" s="128" t="str">
        <f>IF(Q389="","",LEFT(INDEX(regKategorija_oznaka,MATCH(S389,regKategorija_id,0)),1))</f>
        <v/>
      </c>
      <c r="DJ389" t="s">
        <v>0</v>
      </c>
      <c r="DK389" s="52" t="str">
        <f>IF(BD389="","",IF(M389&lt;&gt;"CRO","","INSERT INTO osoba (id,reg_broj,oib,spol_id,dat_rodjenja) VALUES ("&amp;BD389&amp;",(SELECT max(os.reg_broj)+1 FROM osoba AS os),Null,'"&amp;DI389&amp;"',Null); INSERT INTO osoba_log (id,reg_broj,oib,spol_id,dat_rodjenja,dnevnik_id) SELECT id,reg_broj,oib,spol_id,dat_rodjenja,"&amp;data_dnevnik_id&amp;" FROM osoba WHERE id = "&amp;BD389&amp;";"))</f>
        <v/>
      </c>
      <c r="DL389" s="66" t="str">
        <f>IF(BD389="","","INSERT INTO imeprezime (id,osoba_id,rbr,ime,prezime,klub_id,identitet_id,sintaksa_id,info,aktivno,dnevnik_id) VALUES ("&amp;BD389&amp;","&amp;IF(DK389="","Null",BD389)&amp;",1,'"&amp;IF(AV389&lt;&gt;"",AV389,AK389)&amp;"','"&amp;IF(AW389&lt;&gt;"",AW389,AL389)&amp;"',(SELECT id FROM klub WHERE naziv = '"&amp;CR389&amp;"'),Null,1,'',1,"&amp;data_dnevnik_id&amp;");")</f>
        <v/>
      </c>
      <c r="DM389" t="s">
        <v>0</v>
      </c>
      <c r="DN389" s="19" t="str">
        <f t="shared" si="350"/>
        <v/>
      </c>
      <c r="DO389" s="47" t="s">
        <v>0</v>
      </c>
      <c r="DP389" s="19" t="str">
        <f>IF(BA389="","","INSERT INTO imeprezime_alias(id,alias,imeprezime_id) VALUES ("&amp;BB389&amp;",'"&amp;BA389&amp;"',"&amp;IF(BC389="NEMA",BD389,BC389)&amp;");")</f>
        <v/>
      </c>
      <c r="DQ389" s="47" t="s">
        <v>0</v>
      </c>
      <c r="DR389" s="52" t="str">
        <f>IF(AL389="","",DU389 &amp; IF(Q389="",""," – " &amp; Q389))</f>
        <v/>
      </c>
      <c r="DS389" s="53" t="str">
        <f t="shared" si="312"/>
        <v/>
      </c>
      <c r="DT389" s="47" t="s">
        <v>0</v>
      </c>
      <c r="DU389" s="52" t="str">
        <f>IF(AL389="","",DX389 &amp; IF(CR389="",""," – " &amp; CR389))</f>
        <v/>
      </c>
      <c r="DV389" s="53" t="str">
        <f t="shared" si="313"/>
        <v/>
      </c>
      <c r="DW389" s="47" t="s">
        <v>0</v>
      </c>
      <c r="DX389" s="52" t="str">
        <f>IF(BG389="","",BF389&amp;" – "&amp;BG389)</f>
        <v/>
      </c>
      <c r="DY389" s="53" t="str">
        <f t="shared" si="314"/>
        <v/>
      </c>
      <c r="DZ389" s="47" t="s">
        <v>0</v>
      </c>
      <c r="EA389" s="58" t="str">
        <f t="shared" si="343"/>
        <v/>
      </c>
      <c r="EB389" s="53" t="str" cm="1">
        <f t="array" ref="EB389">IF(EA389&lt;&gt;"",INDEX(regNatjecatelj_id,EA389,0),IF(BD389&lt;&gt;"",BD389,""))</f>
        <v/>
      </c>
      <c r="EC389" s="47" t="s">
        <v>0</v>
      </c>
      <c r="ED389" s="58" t="str">
        <f>IF(AL389="","",IF(BD389&lt;&gt;"","novo",IF(AN389="","imepre","imepre(ali)")))</f>
        <v/>
      </c>
      <c r="EE389" s="73" t="str">
        <f>IF(AL389="","",IF(BL389="",IF(IFERROR(INDEX(regNatjecatelj_klub,MATCH(EB389,regNatjecatelj_id,0)),"NEMA")="","klu",""),IF(OR(AND(BN389&lt;&gt;"",BN389&lt;&gt;"NEMA"),CD389&lt;&gt;""),"klu(ali)",IF(AND(BP389&lt;&gt;"",BP389&lt;&gt;BO389),"(raz-klu)","klu"))))</f>
        <v/>
      </c>
      <c r="EF389" s="73" t="str">
        <f>IF(AL389="","","kat"&amp;IF(AND(W389&lt;&gt;Q389,Q389&lt;&gt;"Open"),"(ali)",""))</f>
        <v/>
      </c>
      <c r="EG389" s="73" t="str">
        <f t="shared" si="315"/>
        <v/>
      </c>
      <c r="EH389" s="66" t="str">
        <f>IF(AL389="","",ED389&amp;IF(ED389="novo","","-"&amp;EE389&amp;"-"&amp;EF389)&amp;IF(EG389="","","-"&amp;EG389))</f>
        <v/>
      </c>
      <c r="EI389" s="47" t="s">
        <v>0</v>
      </c>
      <c r="EJ389" s="58" t="str">
        <f>IF(AL389="","",MAX(EJ$12:EJ388)+1)</f>
        <v/>
      </c>
      <c r="EK389" s="73" t="str">
        <f>IF(AO389="","",X389)</f>
        <v/>
      </c>
      <c r="EL389" s="73" t="str">
        <f t="shared" si="344"/>
        <v/>
      </c>
      <c r="EM389" s="73" t="str">
        <f t="shared" si="316"/>
        <v/>
      </c>
      <c r="EN389" s="73" t="str">
        <f t="shared" si="317"/>
        <v/>
      </c>
      <c r="EO389" s="73" t="str">
        <f t="shared" si="345"/>
        <v/>
      </c>
      <c r="EP389" s="73" t="str">
        <f t="shared" si="346"/>
        <v/>
      </c>
      <c r="EQ389" s="73" t="str">
        <f t="shared" si="318"/>
        <v/>
      </c>
      <c r="ER389" s="73" t="str">
        <f>IF(OR(AN389="",AN389="NEMA"),BB389,AN389)</f>
        <v/>
      </c>
      <c r="ES389" s="73" t="str">
        <f>IF(AND(BN389&lt;&gt;"",BN389&lt;&gt;"NEMA"),BN389,IF(CG389&lt;&gt;"",CG389,IF(AND(CL389&lt;&gt;"",CL389&lt;&gt;"NEMA"),CL389,IF(CM389&lt;&gt;"",CM389,""))))</f>
        <v/>
      </c>
      <c r="ET389" s="53" t="str">
        <f>IF(INDEX(natKategorija_alias_Id,MATCH(S389,natKategorija_katRegId,0))="","",INDEX(natKategorija_alias_Id,MATCH(S389,natKategorija_katRegId,0)))</f>
        <v/>
      </c>
      <c r="EU389" s="47" t="s">
        <v>0</v>
      </c>
      <c r="EV389" s="19" t="str">
        <f t="shared" si="347"/>
        <v/>
      </c>
      <c r="EW389" s="47" t="s">
        <v>0</v>
      </c>
      <c r="EX389" s="19" t="str">
        <f t="shared" si="348"/>
        <v/>
      </c>
      <c r="EY389" s="47" t="s">
        <v>0</v>
      </c>
      <c r="EZ389" s="180" t="str">
        <f>AG389&amp;IF(CP389="","","
")&amp;CP389&amp;IF(CI389="","","
")&amp;CI389&amp;IF(DN389="","","
")&amp;DN389&amp;IF(DP389="","","
")&amp;DP389&amp;IF(EV389="","","
")&amp;EV389&amp;IF(EX389="","","
")&amp;EX389</f>
        <v/>
      </c>
      <c r="FA389" s="47" t="s">
        <v>0</v>
      </c>
    </row>
    <row r="390" spans="1:157" x14ac:dyDescent="0.25">
      <c r="A390" t="s">
        <v>0</v>
      </c>
      <c r="B390" s="52" t="str">
        <f>IF(csv!F380="","",csv!T380)</f>
        <v/>
      </c>
      <c r="C390" s="31" t="s">
        <v>0</v>
      </c>
      <c r="D390" s="31" t="str">
        <f>IF(csv!F380="","",csv!F380)</f>
        <v/>
      </c>
      <c r="E390" s="31" t="str">
        <f>IF(csv!E380="","",csv!E380)</f>
        <v/>
      </c>
      <c r="F390" s="31" t="s">
        <v>0</v>
      </c>
      <c r="G390" s="73" t="str">
        <f>IF(csv!M380="","",csv!M380)</f>
        <v/>
      </c>
      <c r="H390" s="73" t="str">
        <f>IF(csv!N380="","",csv!N380)</f>
        <v/>
      </c>
      <c r="I390" s="31" t="s">
        <v>0</v>
      </c>
      <c r="J390" s="31" t="str">
        <f>IF(csv!P380="","",csv!P380)</f>
        <v/>
      </c>
      <c r="K390" s="31" t="str">
        <f>IF(csv!Q380="","",csv!Q380)</f>
        <v/>
      </c>
      <c r="L390" s="31" t="s">
        <v>0</v>
      </c>
      <c r="M390" s="66" t="str">
        <f>IF(csv!R380="","",csv!R380)</f>
        <v/>
      </c>
      <c r="N390" s="47" t="s">
        <v>0</v>
      </c>
      <c r="O390" s="243" t="str">
        <f t="shared" si="319"/>
        <v/>
      </c>
      <c r="P390" s="47"/>
      <c r="Q390" s="52" t="str">
        <f t="shared" si="320"/>
        <v/>
      </c>
      <c r="R390" s="73" t="str">
        <f>IF(Q390="","",IF(COUNTIF(Q$12:Q389,Q390)=0,R389+1,R389))</f>
        <v/>
      </c>
      <c r="S390" s="73" t="str">
        <f t="shared" si="321"/>
        <v/>
      </c>
      <c r="T390" s="73" t="str">
        <f t="shared" si="297"/>
        <v/>
      </c>
      <c r="U390" s="66" t="str">
        <f t="shared" si="298"/>
        <v/>
      </c>
      <c r="V390" s="47" t="s">
        <v>0</v>
      </c>
      <c r="W390" s="222" t="str">
        <f t="shared" si="299"/>
        <v/>
      </c>
      <c r="X390" s="223" t="str">
        <f t="shared" si="300"/>
        <v/>
      </c>
      <c r="Y390" s="47" t="s">
        <v>0</v>
      </c>
      <c r="Z390" s="52" t="str">
        <f t="shared" si="322"/>
        <v/>
      </c>
      <c r="AA390" s="73" t="str">
        <f t="shared" si="301"/>
        <v/>
      </c>
      <c r="AB390" s="31" t="str">
        <f t="shared" si="323"/>
        <v/>
      </c>
      <c r="AC390" s="66" t="str">
        <f>IF(AB390="","",MAX(AC$12:AC389)+1)</f>
        <v/>
      </c>
      <c r="AD390" s="47" t="s">
        <v>0</v>
      </c>
      <c r="AE390" s="125"/>
      <c r="AF390" s="47" t="s">
        <v>0</v>
      </c>
      <c r="AG390" s="19" t="str">
        <f t="shared" si="324"/>
        <v/>
      </c>
      <c r="AH390" s="47" t="s">
        <v>0</v>
      </c>
      <c r="AI390" s="143" t="str">
        <f t="shared" si="325"/>
        <v/>
      </c>
      <c r="AJ390" s="47"/>
      <c r="AK390" s="52" t="str">
        <f t="shared" si="326"/>
        <v/>
      </c>
      <c r="AL390" s="31" t="str">
        <f t="shared" si="327"/>
        <v/>
      </c>
      <c r="AM390" s="73" t="str">
        <f t="shared" si="328"/>
        <v/>
      </c>
      <c r="AN390" s="73" t="str">
        <f t="shared" si="329"/>
        <v/>
      </c>
      <c r="AO390" s="31" t="str">
        <f t="shared" si="302"/>
        <v/>
      </c>
      <c r="AP390" s="66" t="str">
        <f t="shared" si="303"/>
        <v/>
      </c>
      <c r="AQ390" s="47" t="s">
        <v>0</v>
      </c>
      <c r="AR390" s="82" t="str">
        <f t="shared" si="330"/>
        <v/>
      </c>
      <c r="AS390" s="47" t="s">
        <v>0</v>
      </c>
      <c r="AT390" s="19" t="str">
        <f t="shared" si="331"/>
        <v/>
      </c>
      <c r="AU390" s="47" t="s">
        <v>0</v>
      </c>
      <c r="AV390" s="103"/>
      <c r="AW390" s="105"/>
      <c r="AX390" s="47" t="s">
        <v>0</v>
      </c>
      <c r="AY390" s="256" t="str">
        <f t="shared" si="349"/>
        <v/>
      </c>
      <c r="AZ390" s="47" t="s">
        <v>0</v>
      </c>
      <c r="BA390" s="52" t="str">
        <f t="shared" si="296"/>
        <v/>
      </c>
      <c r="BB390" s="73" t="str">
        <f>IF(AV390&amp;AW390="","",MAX(BB$12:BB389)+1)</f>
        <v/>
      </c>
      <c r="BC390" s="268" t="str">
        <f t="shared" si="304"/>
        <v/>
      </c>
      <c r="BD390" s="53" t="str">
        <f>IF(AND(AM390="NEMA",AN390="NEMA",OR(AV390&amp;AW390="",BC390="NEMA")),MAX(BD$12:BD389)+1,"")</f>
        <v/>
      </c>
      <c r="BE390" s="47" t="s">
        <v>0</v>
      </c>
      <c r="BF390" s="52" t="str">
        <f t="shared" si="305"/>
        <v/>
      </c>
      <c r="BG390" s="31" t="str">
        <f t="shared" si="306"/>
        <v/>
      </c>
      <c r="BH390" s="73" t="str">
        <f t="shared" si="332"/>
        <v/>
      </c>
      <c r="BI390" s="53" t="str">
        <f t="shared" si="333"/>
        <v/>
      </c>
      <c r="BJ390" s="47" t="s">
        <v>0</v>
      </c>
      <c r="BK390" s="52" t="str">
        <f t="shared" si="307"/>
        <v/>
      </c>
      <c r="BL390" s="31" t="str">
        <f t="shared" si="308"/>
        <v/>
      </c>
      <c r="BM390" s="73" t="str">
        <f t="shared" si="309"/>
        <v/>
      </c>
      <c r="BN390" s="73" t="str">
        <f t="shared" si="310"/>
        <v/>
      </c>
      <c r="BO390" s="31" t="str" cm="1">
        <f t="array" ref="BO390">IF(BN390="",""&amp;BL390,IF(BN390="NEMA",BL390,INDEX(regKlub_naziv,MATCH(INDEX(regKlub_alias_klubId,BN390),regKlub_id,0))))</f>
        <v/>
      </c>
      <c r="BP390" s="31" t="str" cm="1">
        <f t="array" ref="BP390">IFERROR(""&amp;INDEX(regNatjecatelj_klub,DY390),"")</f>
        <v/>
      </c>
      <c r="BQ390" s="88" t="str">
        <f t="shared" si="334"/>
        <v/>
      </c>
      <c r="BR390" s="66" t="str">
        <f t="shared" si="335"/>
        <v/>
      </c>
      <c r="BS390" s="47" t="s">
        <v>0</v>
      </c>
      <c r="BT390" s="82" t="str">
        <f>IF(BN390&lt;&gt;"NEMA","",IF(IFERROR(MATCH(BL390,BL$12:BL389,0),0)&lt;&gt;0,"",BL390))</f>
        <v/>
      </c>
      <c r="BU390" s="47" t="s">
        <v>0</v>
      </c>
      <c r="BV390" s="125"/>
      <c r="BW390" s="47" t="s">
        <v>0</v>
      </c>
      <c r="BX390" s="58" t="str">
        <f t="shared" si="336"/>
        <v/>
      </c>
      <c r="BY390" s="31" t="str">
        <f t="shared" si="337"/>
        <v/>
      </c>
      <c r="BZ390" s="31" t="str">
        <f>IF(BY390="","",MAX(BZ$12:BZ389)+1)</f>
        <v/>
      </c>
      <c r="CA390" s="31" t="str">
        <f>IF(BY390="","",IF(AA390="","",IF(AA390="NEMA",AC390,AA390)))</f>
        <v/>
      </c>
      <c r="CB390" s="31" t="str">
        <f t="shared" si="338"/>
        <v/>
      </c>
      <c r="CC390" s="31" t="str">
        <f>IF(BV390="","",MAX(CC$12:CC389)+1)</f>
        <v/>
      </c>
      <c r="CD390" s="31" t="str">
        <f t="shared" si="339"/>
        <v/>
      </c>
      <c r="CE390" s="66" t="str">
        <f t="shared" si="340"/>
        <v/>
      </c>
      <c r="CF390" s="47" t="s">
        <v>0</v>
      </c>
      <c r="CG390" s="73" t="str">
        <f>IF(BN390="","",IF(BN390&lt;&gt;"NEMA","",IFERROR(INDEX(nat_klubAliasId,MATCH(BL390,nat_noviKluboviAliasi,0)),"")))</f>
        <v/>
      </c>
      <c r="CH390" s="47"/>
      <c r="CI390" s="19" t="str">
        <f t="shared" si="341"/>
        <v/>
      </c>
      <c r="CJ390" s="47" t="s">
        <v>0</v>
      </c>
      <c r="CK390" s="52" t="str">
        <f>IF(X390&lt;&gt;"NEMA","",IF(IFERROR(MATCH(W390,W$12:W389,0),0)&lt;&gt;0,"",W390))</f>
        <v/>
      </c>
      <c r="CL390" s="73" t="str">
        <f>IF(CK390="","",IFERROR(INDEX(regKlub_alias_id,MATCH(CK390,regKlub_alias_alias,0)),"NEMA"))</f>
        <v/>
      </c>
      <c r="CM390" s="31" t="str">
        <f>IF(OR(CL390="",CL390&lt;&gt;"NEMA"),"",MAX(CM$12:CM389)+1)</f>
        <v/>
      </c>
      <c r="CN390" s="66" t="str">
        <f>IF(OR(CL390="",CL390&lt;&gt;"NEMA"),"",INDEX(regKlub_id,MATCH(CK390,regKlub_naziv,0)))</f>
        <v/>
      </c>
      <c r="CO390" s="47" t="s">
        <v>0</v>
      </c>
      <c r="CP390" s="19" t="str">
        <f>IF(OR(CL390="",CL390&lt;&gt;"NEMA"),"","INSERT INTO klub_alias(id,alias,klub_id) VALUES ("&amp;CM390&amp;",'"&amp;CK390&amp;"',"&amp;CN390&amp;");")</f>
        <v/>
      </c>
      <c r="CQ390" s="47" t="s">
        <v>0</v>
      </c>
      <c r="CR390" s="143" t="str">
        <f>IF(BR390="","",IF(BV390="",IF(IFERROR(MATCH(BR390,nat_noviKluboviAliasi,0),0)&gt;0,INDEX(nat_kluboviAliasi,MATCH(BR390,nat_noviKluboviAliasi,0)),BR390),BV390))</f>
        <v/>
      </c>
      <c r="CS390" s="47" t="s">
        <v>0</v>
      </c>
      <c r="CT390" s="58" t="str">
        <f>IF(G390="","",G390)</f>
        <v/>
      </c>
      <c r="CU390" s="73" t="str">
        <f>IF(H390="","",H390)</f>
        <v/>
      </c>
      <c r="CV390" s="229" t="str">
        <f>IF(CT390="",IF(OR(AL390="",CU390&lt;&gt;"0"),"","GREŠKA"),IF(AND(65535&gt;=VALUE(LEFT(CT390,SEARCH(":",CT390)-1))*60+VALUE(RIGHT(CT390,2)),OR(CU390="0",CU390="1",CU390="2",CU390="3",CU390="4")),"","GREŠKA"))</f>
        <v/>
      </c>
      <c r="CW390" s="230" t="str">
        <f t="shared" si="351"/>
        <v/>
      </c>
      <c r="CX390" s="163" t="str">
        <f t="shared" si="311"/>
        <v/>
      </c>
      <c r="CY390" s="47" t="s">
        <v>0</v>
      </c>
      <c r="CZ390" s="222" t="str">
        <f>IF(CV390&lt;&gt;"GREŠKA","",AK390&amp;" "&amp;AL390&amp;" – Molim u OEventu provjeriti i ispraviti rezultat – vrijeme ("&amp;IF(CT390="","nije upisano",CT390)&amp;") i classifier ("&amp;CU390&amp;").")&amp;IF(OR(CV390&lt;&gt;"GREŠKA",CX390&lt;&gt;5),"
","")&amp;IF(CX390&lt;&gt;5,"",AK390&amp;" "&amp;AL390&amp;" – Molim u provjeriti je li natjecatelj zaista diskvalificiran. Ako je koje je obrazloženje, ako nije molim u OEventu ispraviti rezultat")</f>
        <v xml:space="preserve">
</v>
      </c>
      <c r="DA390" s="223" t="str">
        <f t="shared" si="342"/>
        <v/>
      </c>
      <c r="DB390" s="47" t="s">
        <v>0</v>
      </c>
      <c r="DC390" s="47"/>
      <c r="DD390" s="47"/>
      <c r="DE390" s="47"/>
      <c r="DF390" s="47" t="s">
        <v>0</v>
      </c>
      <c r="DG390" s="53" t="str">
        <f>IF(BD390="","",IF(DI390="O",1,""))</f>
        <v/>
      </c>
      <c r="DH390" t="s">
        <v>0</v>
      </c>
      <c r="DI390" s="128" t="str">
        <f>IF(Q390="","",LEFT(INDEX(regKategorija_oznaka,MATCH(S390,regKategorija_id,0)),1))</f>
        <v/>
      </c>
      <c r="DJ390" t="s">
        <v>0</v>
      </c>
      <c r="DK390" s="52" t="str">
        <f>IF(BD390="","",IF(M390&lt;&gt;"CRO","","INSERT INTO osoba (id,reg_broj,oib,spol_id,dat_rodjenja) VALUES ("&amp;BD390&amp;",(SELECT max(os.reg_broj)+1 FROM osoba AS os),Null,'"&amp;DI390&amp;"',Null); INSERT INTO osoba_log (id,reg_broj,oib,spol_id,dat_rodjenja,dnevnik_id) SELECT id,reg_broj,oib,spol_id,dat_rodjenja,"&amp;data_dnevnik_id&amp;" FROM osoba WHERE id = "&amp;BD390&amp;";"))</f>
        <v/>
      </c>
      <c r="DL390" s="66" t="str">
        <f>IF(BD390="","","INSERT INTO imeprezime (id,osoba_id,rbr,ime,prezime,klub_id,identitet_id,sintaksa_id,info,aktivno,dnevnik_id) VALUES ("&amp;BD390&amp;","&amp;IF(DK390="","Null",BD390)&amp;",1,'"&amp;IF(AV390&lt;&gt;"",AV390,AK390)&amp;"','"&amp;IF(AW390&lt;&gt;"",AW390,AL390)&amp;"',(SELECT id FROM klub WHERE naziv = '"&amp;CR390&amp;"'),Null,1,'',1,"&amp;data_dnevnik_id&amp;");")</f>
        <v/>
      </c>
      <c r="DM390" t="s">
        <v>0</v>
      </c>
      <c r="DN390" s="19" t="str">
        <f t="shared" si="350"/>
        <v/>
      </c>
      <c r="DO390" s="47" t="s">
        <v>0</v>
      </c>
      <c r="DP390" s="19" t="str">
        <f>IF(BA390="","","INSERT INTO imeprezime_alias(id,alias,imeprezime_id) VALUES ("&amp;BB390&amp;",'"&amp;BA390&amp;"',"&amp;IF(BC390="NEMA",BD390,BC390)&amp;");")</f>
        <v/>
      </c>
      <c r="DQ390" s="47" t="s">
        <v>0</v>
      </c>
      <c r="DR390" s="52" t="str">
        <f>IF(AL390="","",DU390 &amp; IF(Q390="",""," – " &amp; Q390))</f>
        <v/>
      </c>
      <c r="DS390" s="53" t="str">
        <f t="shared" si="312"/>
        <v/>
      </c>
      <c r="DT390" s="47" t="s">
        <v>0</v>
      </c>
      <c r="DU390" s="52" t="str">
        <f>IF(AL390="","",DX390 &amp; IF(CR390="",""," – " &amp; CR390))</f>
        <v/>
      </c>
      <c r="DV390" s="53" t="str">
        <f t="shared" si="313"/>
        <v/>
      </c>
      <c r="DW390" s="47" t="s">
        <v>0</v>
      </c>
      <c r="DX390" s="52" t="str">
        <f>IF(BG390="","",BF390&amp;" – "&amp;BG390)</f>
        <v/>
      </c>
      <c r="DY390" s="53" t="str">
        <f t="shared" si="314"/>
        <v/>
      </c>
      <c r="DZ390" s="47" t="s">
        <v>0</v>
      </c>
      <c r="EA390" s="58" t="str">
        <f t="shared" si="343"/>
        <v/>
      </c>
      <c r="EB390" s="53" t="str" cm="1">
        <f t="array" ref="EB390">IF(EA390&lt;&gt;"",INDEX(regNatjecatelj_id,EA390,0),IF(BD390&lt;&gt;"",BD390,""))</f>
        <v/>
      </c>
      <c r="EC390" s="47" t="s">
        <v>0</v>
      </c>
      <c r="ED390" s="58" t="str">
        <f>IF(AL390="","",IF(BD390&lt;&gt;"","novo",IF(AN390="","imepre","imepre(ali)")))</f>
        <v/>
      </c>
      <c r="EE390" s="73" t="str">
        <f>IF(AL390="","",IF(BL390="",IF(IFERROR(INDEX(regNatjecatelj_klub,MATCH(EB390,regNatjecatelj_id,0)),"NEMA")="","klu",""),IF(OR(AND(BN390&lt;&gt;"",BN390&lt;&gt;"NEMA"),CD390&lt;&gt;""),"klu(ali)",IF(AND(BP390&lt;&gt;"",BP390&lt;&gt;BO390),"(raz-klu)","klu"))))</f>
        <v/>
      </c>
      <c r="EF390" s="73" t="str">
        <f>IF(AL390="","","kat"&amp;IF(AND(W390&lt;&gt;Q390,Q390&lt;&gt;"Open"),"(ali)",""))</f>
        <v/>
      </c>
      <c r="EG390" s="73" t="str">
        <f t="shared" si="315"/>
        <v/>
      </c>
      <c r="EH390" s="66" t="str">
        <f>IF(AL390="","",ED390&amp;IF(ED390="novo","","-"&amp;EE390&amp;"-"&amp;EF390)&amp;IF(EG390="","","-"&amp;EG390))</f>
        <v/>
      </c>
      <c r="EI390" s="47" t="s">
        <v>0</v>
      </c>
      <c r="EJ390" s="58" t="str">
        <f>IF(AL390="","",MAX(EJ$12:EJ389)+1)</f>
        <v/>
      </c>
      <c r="EK390" s="73" t="str">
        <f>IF(AO390="","",X390)</f>
        <v/>
      </c>
      <c r="EL390" s="73" t="str">
        <f t="shared" si="344"/>
        <v/>
      </c>
      <c r="EM390" s="73" t="str">
        <f t="shared" si="316"/>
        <v/>
      </c>
      <c r="EN390" s="73" t="str">
        <f t="shared" si="317"/>
        <v/>
      </c>
      <c r="EO390" s="73" t="str">
        <f t="shared" si="345"/>
        <v/>
      </c>
      <c r="EP390" s="73" t="str">
        <f t="shared" si="346"/>
        <v/>
      </c>
      <c r="EQ390" s="73" t="str">
        <f t="shared" si="318"/>
        <v/>
      </c>
      <c r="ER390" s="73" t="str">
        <f>IF(OR(AN390="",AN390="NEMA"),BB390,AN390)</f>
        <v/>
      </c>
      <c r="ES390" s="73" t="str">
        <f>IF(AND(BN390&lt;&gt;"",BN390&lt;&gt;"NEMA"),BN390,IF(CG390&lt;&gt;"",CG390,IF(AND(CL390&lt;&gt;"",CL390&lt;&gt;"NEMA"),CL390,IF(CM390&lt;&gt;"",CM390,""))))</f>
        <v/>
      </c>
      <c r="ET390" s="53" t="str">
        <f>IF(INDEX(natKategorija_alias_Id,MATCH(S390,natKategorija_katRegId,0))="","",INDEX(natKategorija_alias_Id,MATCH(S390,natKategorija_katRegId,0)))</f>
        <v/>
      </c>
      <c r="EU390" s="47" t="s">
        <v>0</v>
      </c>
      <c r="EV390" s="19" t="str">
        <f t="shared" si="347"/>
        <v/>
      </c>
      <c r="EW390" s="47" t="s">
        <v>0</v>
      </c>
      <c r="EX390" s="19" t="str">
        <f t="shared" si="348"/>
        <v/>
      </c>
      <c r="EY390" s="47" t="s">
        <v>0</v>
      </c>
      <c r="EZ390" s="180" t="str">
        <f>AG390&amp;IF(CP390="","","
")&amp;CP390&amp;IF(CI390="","","
")&amp;CI390&amp;IF(DN390="","","
")&amp;DN390&amp;IF(DP390="","","
")&amp;DP390&amp;IF(EV390="","","
")&amp;EV390&amp;IF(EX390="","","
")&amp;EX390</f>
        <v/>
      </c>
      <c r="FA390" s="47" t="s">
        <v>0</v>
      </c>
    </row>
    <row r="391" spans="1:157" x14ac:dyDescent="0.25">
      <c r="A391" t="s">
        <v>0</v>
      </c>
      <c r="B391" s="52" t="str">
        <f>IF(csv!F381="","",csv!T381)</f>
        <v/>
      </c>
      <c r="C391" s="31" t="s">
        <v>0</v>
      </c>
      <c r="D391" s="31" t="str">
        <f>IF(csv!F381="","",csv!F381)</f>
        <v/>
      </c>
      <c r="E391" s="31" t="str">
        <f>IF(csv!E381="","",csv!E381)</f>
        <v/>
      </c>
      <c r="F391" s="31" t="s">
        <v>0</v>
      </c>
      <c r="G391" s="73" t="str">
        <f>IF(csv!M381="","",csv!M381)</f>
        <v/>
      </c>
      <c r="H391" s="73" t="str">
        <f>IF(csv!N381="","",csv!N381)</f>
        <v/>
      </c>
      <c r="I391" s="31" t="s">
        <v>0</v>
      </c>
      <c r="J391" s="31" t="str">
        <f>IF(csv!P381="","",csv!P381)</f>
        <v/>
      </c>
      <c r="K391" s="31" t="str">
        <f>IF(csv!Q381="","",csv!Q381)</f>
        <v/>
      </c>
      <c r="L391" s="31" t="s">
        <v>0</v>
      </c>
      <c r="M391" s="66" t="str">
        <f>IF(csv!R381="","",csv!R381)</f>
        <v/>
      </c>
      <c r="N391" s="47" t="s">
        <v>0</v>
      </c>
      <c r="O391" s="243" t="str">
        <f t="shared" si="319"/>
        <v/>
      </c>
      <c r="P391" s="47"/>
      <c r="Q391" s="52" t="str">
        <f t="shared" si="320"/>
        <v/>
      </c>
      <c r="R391" s="73" t="str">
        <f>IF(Q391="","",IF(COUNTIF(Q$12:Q390,Q391)=0,R390+1,R390))</f>
        <v/>
      </c>
      <c r="S391" s="73" t="str">
        <f t="shared" si="321"/>
        <v/>
      </c>
      <c r="T391" s="73" t="str">
        <f t="shared" si="297"/>
        <v/>
      </c>
      <c r="U391" s="66" t="str">
        <f t="shared" si="298"/>
        <v/>
      </c>
      <c r="V391" s="47" t="s">
        <v>0</v>
      </c>
      <c r="W391" s="222" t="str">
        <f t="shared" si="299"/>
        <v/>
      </c>
      <c r="X391" s="223" t="str">
        <f t="shared" si="300"/>
        <v/>
      </c>
      <c r="Y391" s="47" t="s">
        <v>0</v>
      </c>
      <c r="Z391" s="52" t="str">
        <f t="shared" si="322"/>
        <v/>
      </c>
      <c r="AA391" s="73" t="str">
        <f t="shared" si="301"/>
        <v/>
      </c>
      <c r="AB391" s="31" t="str">
        <f t="shared" si="323"/>
        <v/>
      </c>
      <c r="AC391" s="66" t="str">
        <f>IF(AB391="","",MAX(AC$12:AC390)+1)</f>
        <v/>
      </c>
      <c r="AD391" s="47" t="s">
        <v>0</v>
      </c>
      <c r="AE391" s="125"/>
      <c r="AF391" s="47" t="s">
        <v>0</v>
      </c>
      <c r="AG391" s="19" t="str">
        <f t="shared" si="324"/>
        <v/>
      </c>
      <c r="AH391" s="47" t="s">
        <v>0</v>
      </c>
      <c r="AI391" s="143" t="str">
        <f t="shared" si="325"/>
        <v/>
      </c>
      <c r="AJ391" s="47"/>
      <c r="AK391" s="52" t="str">
        <f t="shared" si="326"/>
        <v/>
      </c>
      <c r="AL391" s="31" t="str">
        <f t="shared" si="327"/>
        <v/>
      </c>
      <c r="AM391" s="73" t="str">
        <f t="shared" si="328"/>
        <v/>
      </c>
      <c r="AN391" s="73" t="str">
        <f t="shared" si="329"/>
        <v/>
      </c>
      <c r="AO391" s="31" t="str">
        <f t="shared" si="302"/>
        <v/>
      </c>
      <c r="AP391" s="66" t="str">
        <f t="shared" si="303"/>
        <v/>
      </c>
      <c r="AQ391" s="47" t="s">
        <v>0</v>
      </c>
      <c r="AR391" s="82" t="str">
        <f t="shared" si="330"/>
        <v/>
      </c>
      <c r="AS391" s="47" t="s">
        <v>0</v>
      </c>
      <c r="AT391" s="19" t="str">
        <f t="shared" si="331"/>
        <v/>
      </c>
      <c r="AU391" s="47" t="s">
        <v>0</v>
      </c>
      <c r="AV391" s="103"/>
      <c r="AW391" s="105"/>
      <c r="AX391" s="47" t="s">
        <v>0</v>
      </c>
      <c r="AY391" s="256" t="str">
        <f t="shared" si="349"/>
        <v/>
      </c>
      <c r="AZ391" s="47" t="s">
        <v>0</v>
      </c>
      <c r="BA391" s="52" t="str">
        <f t="shared" si="296"/>
        <v/>
      </c>
      <c r="BB391" s="73" t="str">
        <f>IF(AV391&amp;AW391="","",MAX(BB$12:BB390)+1)</f>
        <v/>
      </c>
      <c r="BC391" s="268" t="str">
        <f t="shared" si="304"/>
        <v/>
      </c>
      <c r="BD391" s="53" t="str">
        <f>IF(AND(AM391="NEMA",AN391="NEMA",OR(AV391&amp;AW391="",BC391="NEMA")),MAX(BD$12:BD390)+1,"")</f>
        <v/>
      </c>
      <c r="BE391" s="47" t="s">
        <v>0</v>
      </c>
      <c r="BF391" s="52" t="str">
        <f t="shared" si="305"/>
        <v/>
      </c>
      <c r="BG391" s="31" t="str">
        <f t="shared" si="306"/>
        <v/>
      </c>
      <c r="BH391" s="73" t="str">
        <f t="shared" si="332"/>
        <v/>
      </c>
      <c r="BI391" s="53" t="str">
        <f t="shared" si="333"/>
        <v/>
      </c>
      <c r="BJ391" s="47" t="s">
        <v>0</v>
      </c>
      <c r="BK391" s="52" t="str">
        <f t="shared" si="307"/>
        <v/>
      </c>
      <c r="BL391" s="31" t="str">
        <f t="shared" si="308"/>
        <v/>
      </c>
      <c r="BM391" s="73" t="str">
        <f t="shared" si="309"/>
        <v/>
      </c>
      <c r="BN391" s="73" t="str">
        <f t="shared" si="310"/>
        <v/>
      </c>
      <c r="BO391" s="31" t="str" cm="1">
        <f t="array" ref="BO391">IF(BN391="",""&amp;BL391,IF(BN391="NEMA",BL391,INDEX(regKlub_naziv,MATCH(INDEX(regKlub_alias_klubId,BN391),regKlub_id,0))))</f>
        <v/>
      </c>
      <c r="BP391" s="31" t="str" cm="1">
        <f t="array" ref="BP391">IFERROR(""&amp;INDEX(regNatjecatelj_klub,DY391),"")</f>
        <v/>
      </c>
      <c r="BQ391" s="88" t="str">
        <f t="shared" si="334"/>
        <v/>
      </c>
      <c r="BR391" s="66" t="str">
        <f t="shared" si="335"/>
        <v/>
      </c>
      <c r="BS391" s="47" t="s">
        <v>0</v>
      </c>
      <c r="BT391" s="82" t="str">
        <f>IF(BN391&lt;&gt;"NEMA","",IF(IFERROR(MATCH(BL391,BL$12:BL390,0),0)&lt;&gt;0,"",BL391))</f>
        <v/>
      </c>
      <c r="BU391" s="47" t="s">
        <v>0</v>
      </c>
      <c r="BV391" s="125"/>
      <c r="BW391" s="47" t="s">
        <v>0</v>
      </c>
      <c r="BX391" s="58" t="str">
        <f t="shared" si="336"/>
        <v/>
      </c>
      <c r="BY391" s="31" t="str">
        <f t="shared" si="337"/>
        <v/>
      </c>
      <c r="BZ391" s="31" t="str">
        <f>IF(BY391="","",MAX(BZ$12:BZ390)+1)</f>
        <v/>
      </c>
      <c r="CA391" s="31" t="str">
        <f>IF(BY391="","",IF(AA391="","",IF(AA391="NEMA",AC391,AA391)))</f>
        <v/>
      </c>
      <c r="CB391" s="31" t="str">
        <f t="shared" si="338"/>
        <v/>
      </c>
      <c r="CC391" s="31" t="str">
        <f>IF(BV391="","",MAX(CC$12:CC390)+1)</f>
        <v/>
      </c>
      <c r="CD391" s="31" t="str">
        <f t="shared" si="339"/>
        <v/>
      </c>
      <c r="CE391" s="66" t="str">
        <f t="shared" si="340"/>
        <v/>
      </c>
      <c r="CF391" s="47" t="s">
        <v>0</v>
      </c>
      <c r="CG391" s="73" t="str">
        <f>IF(BN391="","",IF(BN391&lt;&gt;"NEMA","",IFERROR(INDEX(nat_klubAliasId,MATCH(BL391,nat_noviKluboviAliasi,0)),"")))</f>
        <v/>
      </c>
      <c r="CH391" s="47"/>
      <c r="CI391" s="19" t="str">
        <f t="shared" si="341"/>
        <v/>
      </c>
      <c r="CJ391" s="47" t="s">
        <v>0</v>
      </c>
      <c r="CK391" s="52" t="str">
        <f>IF(X391&lt;&gt;"NEMA","",IF(IFERROR(MATCH(W391,W$12:W390,0),0)&lt;&gt;0,"",W391))</f>
        <v/>
      </c>
      <c r="CL391" s="73" t="str">
        <f>IF(CK391="","",IFERROR(INDEX(regKlub_alias_id,MATCH(CK391,regKlub_alias_alias,0)),"NEMA"))</f>
        <v/>
      </c>
      <c r="CM391" s="31" t="str">
        <f>IF(OR(CL391="",CL391&lt;&gt;"NEMA"),"",MAX(CM$12:CM390)+1)</f>
        <v/>
      </c>
      <c r="CN391" s="66" t="str">
        <f>IF(OR(CL391="",CL391&lt;&gt;"NEMA"),"",INDEX(regKlub_id,MATCH(CK391,regKlub_naziv,0)))</f>
        <v/>
      </c>
      <c r="CO391" s="47" t="s">
        <v>0</v>
      </c>
      <c r="CP391" s="19" t="str">
        <f>IF(OR(CL391="",CL391&lt;&gt;"NEMA"),"","INSERT INTO klub_alias(id,alias,klub_id) VALUES ("&amp;CM391&amp;",'"&amp;CK391&amp;"',"&amp;CN391&amp;");")</f>
        <v/>
      </c>
      <c r="CQ391" s="47" t="s">
        <v>0</v>
      </c>
      <c r="CR391" s="143" t="str">
        <f>IF(BR391="","",IF(BV391="",IF(IFERROR(MATCH(BR391,nat_noviKluboviAliasi,0),0)&gt;0,INDEX(nat_kluboviAliasi,MATCH(BR391,nat_noviKluboviAliasi,0)),BR391),BV391))</f>
        <v/>
      </c>
      <c r="CS391" s="47" t="s">
        <v>0</v>
      </c>
      <c r="CT391" s="58" t="str">
        <f>IF(G391="","",G391)</f>
        <v/>
      </c>
      <c r="CU391" s="73" t="str">
        <f>IF(H391="","",H391)</f>
        <v/>
      </c>
      <c r="CV391" s="229" t="str">
        <f>IF(CT391="",IF(OR(AL391="",CU391&lt;&gt;"0"),"","GREŠKA"),IF(AND(65535&gt;=VALUE(LEFT(CT391,SEARCH(":",CT391)-1))*60+VALUE(RIGHT(CT391,2)),OR(CU391="0",CU391="1",CU391="2",CU391="3",CU391="4")),"","GREŠKA"))</f>
        <v/>
      </c>
      <c r="CW391" s="230" t="str">
        <f t="shared" si="351"/>
        <v/>
      </c>
      <c r="CX391" s="163" t="str">
        <f t="shared" si="311"/>
        <v/>
      </c>
      <c r="CY391" s="47" t="s">
        <v>0</v>
      </c>
      <c r="CZ391" s="222" t="str">
        <f>IF(CV391&lt;&gt;"GREŠKA","",AK391&amp;" "&amp;AL391&amp;" – Molim u OEventu provjeriti i ispraviti rezultat – vrijeme ("&amp;IF(CT391="","nije upisano",CT391)&amp;") i classifier ("&amp;CU391&amp;").")&amp;IF(OR(CV391&lt;&gt;"GREŠKA",CX391&lt;&gt;5),"
","")&amp;IF(CX391&lt;&gt;5,"",AK391&amp;" "&amp;AL391&amp;" – Molim u provjeriti je li natjecatelj zaista diskvalificiran. Ako je koje je obrazloženje, ako nije molim u OEventu ispraviti rezultat")</f>
        <v xml:space="preserve">
</v>
      </c>
      <c r="DA391" s="223" t="str">
        <f t="shared" si="342"/>
        <v/>
      </c>
      <c r="DB391" s="47" t="s">
        <v>0</v>
      </c>
      <c r="DC391" s="47"/>
      <c r="DD391" s="47"/>
      <c r="DE391" s="47"/>
      <c r="DF391" s="47" t="s">
        <v>0</v>
      </c>
      <c r="DG391" s="53" t="str">
        <f>IF(BD391="","",IF(DI391="O",1,""))</f>
        <v/>
      </c>
      <c r="DH391" t="s">
        <v>0</v>
      </c>
      <c r="DI391" s="128" t="str">
        <f>IF(Q391="","",LEFT(INDEX(regKategorija_oznaka,MATCH(S391,regKategorija_id,0)),1))</f>
        <v/>
      </c>
      <c r="DJ391" t="s">
        <v>0</v>
      </c>
      <c r="DK391" s="52" t="str">
        <f>IF(BD391="","",IF(M391&lt;&gt;"CRO","","INSERT INTO osoba (id,reg_broj,oib,spol_id,dat_rodjenja) VALUES ("&amp;BD391&amp;",(SELECT max(os.reg_broj)+1 FROM osoba AS os),Null,'"&amp;DI391&amp;"',Null); INSERT INTO osoba_log (id,reg_broj,oib,spol_id,dat_rodjenja,dnevnik_id) SELECT id,reg_broj,oib,spol_id,dat_rodjenja,"&amp;data_dnevnik_id&amp;" FROM osoba WHERE id = "&amp;BD391&amp;";"))</f>
        <v/>
      </c>
      <c r="DL391" s="66" t="str">
        <f>IF(BD391="","","INSERT INTO imeprezime (id,osoba_id,rbr,ime,prezime,klub_id,identitet_id,sintaksa_id,info,aktivno,dnevnik_id) VALUES ("&amp;BD391&amp;","&amp;IF(DK391="","Null",BD391)&amp;",1,'"&amp;IF(AV391&lt;&gt;"",AV391,AK391)&amp;"','"&amp;IF(AW391&lt;&gt;"",AW391,AL391)&amp;"',(SELECT id FROM klub WHERE naziv = '"&amp;CR391&amp;"'),Null,1,'',1,"&amp;data_dnevnik_id&amp;");")</f>
        <v/>
      </c>
      <c r="DM391" t="s">
        <v>0</v>
      </c>
      <c r="DN391" s="19" t="str">
        <f t="shared" si="350"/>
        <v/>
      </c>
      <c r="DO391" s="47" t="s">
        <v>0</v>
      </c>
      <c r="DP391" s="19" t="str">
        <f>IF(BA391="","","INSERT INTO imeprezime_alias(id,alias,imeprezime_id) VALUES ("&amp;BB391&amp;",'"&amp;BA391&amp;"',"&amp;IF(BC391="NEMA",BD391,BC391)&amp;");")</f>
        <v/>
      </c>
      <c r="DQ391" s="47" t="s">
        <v>0</v>
      </c>
      <c r="DR391" s="52" t="str">
        <f>IF(AL391="","",DU391 &amp; IF(Q391="",""," – " &amp; Q391))</f>
        <v/>
      </c>
      <c r="DS391" s="53" t="str">
        <f t="shared" si="312"/>
        <v/>
      </c>
      <c r="DT391" s="47" t="s">
        <v>0</v>
      </c>
      <c r="DU391" s="52" t="str">
        <f>IF(AL391="","",DX391 &amp; IF(CR391="",""," – " &amp; CR391))</f>
        <v/>
      </c>
      <c r="DV391" s="53" t="str">
        <f t="shared" si="313"/>
        <v/>
      </c>
      <c r="DW391" s="47" t="s">
        <v>0</v>
      </c>
      <c r="DX391" s="52" t="str">
        <f>IF(BG391="","",BF391&amp;" – "&amp;BG391)</f>
        <v/>
      </c>
      <c r="DY391" s="53" t="str">
        <f t="shared" si="314"/>
        <v/>
      </c>
      <c r="DZ391" s="47" t="s">
        <v>0</v>
      </c>
      <c r="EA391" s="58" t="str">
        <f t="shared" si="343"/>
        <v/>
      </c>
      <c r="EB391" s="53" t="str" cm="1">
        <f t="array" ref="EB391">IF(EA391&lt;&gt;"",INDEX(regNatjecatelj_id,EA391,0),IF(BD391&lt;&gt;"",BD391,""))</f>
        <v/>
      </c>
      <c r="EC391" s="47" t="s">
        <v>0</v>
      </c>
      <c r="ED391" s="58" t="str">
        <f>IF(AL391="","",IF(BD391&lt;&gt;"","novo",IF(AN391="","imepre","imepre(ali)")))</f>
        <v/>
      </c>
      <c r="EE391" s="73" t="str">
        <f>IF(AL391="","",IF(BL391="",IF(IFERROR(INDEX(regNatjecatelj_klub,MATCH(EB391,regNatjecatelj_id,0)),"NEMA")="","klu",""),IF(OR(AND(BN391&lt;&gt;"",BN391&lt;&gt;"NEMA"),CD391&lt;&gt;""),"klu(ali)",IF(AND(BP391&lt;&gt;"",BP391&lt;&gt;BO391),"(raz-klu)","klu"))))</f>
        <v/>
      </c>
      <c r="EF391" s="73" t="str">
        <f>IF(AL391="","","kat"&amp;IF(AND(W391&lt;&gt;Q391,Q391&lt;&gt;"Open"),"(ali)",""))</f>
        <v/>
      </c>
      <c r="EG391" s="73" t="str">
        <f t="shared" si="315"/>
        <v/>
      </c>
      <c r="EH391" s="66" t="str">
        <f>IF(AL391="","",ED391&amp;IF(ED391="novo","","-"&amp;EE391&amp;"-"&amp;EF391)&amp;IF(EG391="","","-"&amp;EG391))</f>
        <v/>
      </c>
      <c r="EI391" s="47" t="s">
        <v>0</v>
      </c>
      <c r="EJ391" s="58" t="str">
        <f>IF(AL391="","",MAX(EJ$12:EJ390)+1)</f>
        <v/>
      </c>
      <c r="EK391" s="73" t="str">
        <f>IF(AO391="","",X391)</f>
        <v/>
      </c>
      <c r="EL391" s="73" t="str">
        <f t="shared" si="344"/>
        <v/>
      </c>
      <c r="EM391" s="73" t="str">
        <f t="shared" si="316"/>
        <v/>
      </c>
      <c r="EN391" s="73" t="str">
        <f t="shared" si="317"/>
        <v/>
      </c>
      <c r="EO391" s="73" t="str">
        <f t="shared" si="345"/>
        <v/>
      </c>
      <c r="EP391" s="73" t="str">
        <f t="shared" si="346"/>
        <v/>
      </c>
      <c r="EQ391" s="73" t="str">
        <f t="shared" si="318"/>
        <v/>
      </c>
      <c r="ER391" s="73" t="str">
        <f>IF(OR(AN391="",AN391="NEMA"),BB391,AN391)</f>
        <v/>
      </c>
      <c r="ES391" s="73" t="str">
        <f>IF(AND(BN391&lt;&gt;"",BN391&lt;&gt;"NEMA"),BN391,IF(CG391&lt;&gt;"",CG391,IF(AND(CL391&lt;&gt;"",CL391&lt;&gt;"NEMA"),CL391,IF(CM391&lt;&gt;"",CM391,""))))</f>
        <v/>
      </c>
      <c r="ET391" s="53" t="str">
        <f>IF(INDEX(natKategorija_alias_Id,MATCH(S391,natKategorija_katRegId,0))="","",INDEX(natKategorija_alias_Id,MATCH(S391,natKategorija_katRegId,0)))</f>
        <v/>
      </c>
      <c r="EU391" s="47" t="s">
        <v>0</v>
      </c>
      <c r="EV391" s="19" t="str">
        <f t="shared" si="347"/>
        <v/>
      </c>
      <c r="EW391" s="47" t="s">
        <v>0</v>
      </c>
      <c r="EX391" s="19" t="str">
        <f t="shared" si="348"/>
        <v/>
      </c>
      <c r="EY391" s="47" t="s">
        <v>0</v>
      </c>
      <c r="EZ391" s="180" t="str">
        <f>AG391&amp;IF(CP391="","","
")&amp;CP391&amp;IF(CI391="","","
")&amp;CI391&amp;IF(DN391="","","
")&amp;DN391&amp;IF(DP391="","","
")&amp;DP391&amp;IF(EV391="","","
")&amp;EV391&amp;IF(EX391="","","
")&amp;EX391</f>
        <v/>
      </c>
      <c r="FA391" s="47" t="s">
        <v>0</v>
      </c>
    </row>
    <row r="392" spans="1:157" x14ac:dyDescent="0.25">
      <c r="A392" t="s">
        <v>0</v>
      </c>
      <c r="B392" s="52" t="str">
        <f>IF(csv!F382="","",csv!T382)</f>
        <v/>
      </c>
      <c r="C392" s="31" t="s">
        <v>0</v>
      </c>
      <c r="D392" s="31" t="str">
        <f>IF(csv!F382="","",csv!F382)</f>
        <v/>
      </c>
      <c r="E392" s="31" t="str">
        <f>IF(csv!E382="","",csv!E382)</f>
        <v/>
      </c>
      <c r="F392" s="31" t="s">
        <v>0</v>
      </c>
      <c r="G392" s="73" t="str">
        <f>IF(csv!M382="","",csv!M382)</f>
        <v/>
      </c>
      <c r="H392" s="73" t="str">
        <f>IF(csv!N382="","",csv!N382)</f>
        <v/>
      </c>
      <c r="I392" s="31" t="s">
        <v>0</v>
      </c>
      <c r="J392" s="31" t="str">
        <f>IF(csv!P382="","",csv!P382)</f>
        <v/>
      </c>
      <c r="K392" s="31" t="str">
        <f>IF(csv!Q382="","",csv!Q382)</f>
        <v/>
      </c>
      <c r="L392" s="31" t="s">
        <v>0</v>
      </c>
      <c r="M392" s="66" t="str">
        <f>IF(csv!R382="","",csv!R382)</f>
        <v/>
      </c>
      <c r="N392" s="47" t="s">
        <v>0</v>
      </c>
      <c r="O392" s="243" t="str">
        <f t="shared" si="319"/>
        <v/>
      </c>
      <c r="P392" s="47"/>
      <c r="Q392" s="52" t="str">
        <f t="shared" si="320"/>
        <v/>
      </c>
      <c r="R392" s="73" t="str">
        <f>IF(Q392="","",IF(COUNTIF(Q$12:Q391,Q392)=0,R391+1,R391))</f>
        <v/>
      </c>
      <c r="S392" s="73" t="str">
        <f t="shared" si="321"/>
        <v/>
      </c>
      <c r="T392" s="73" t="str">
        <f t="shared" si="297"/>
        <v/>
      </c>
      <c r="U392" s="66" t="str">
        <f t="shared" si="298"/>
        <v/>
      </c>
      <c r="V392" s="47" t="s">
        <v>0</v>
      </c>
      <c r="W392" s="222" t="str">
        <f t="shared" si="299"/>
        <v/>
      </c>
      <c r="X392" s="223" t="str">
        <f t="shared" si="300"/>
        <v/>
      </c>
      <c r="Y392" s="47" t="s">
        <v>0</v>
      </c>
      <c r="Z392" s="52" t="str">
        <f t="shared" si="322"/>
        <v/>
      </c>
      <c r="AA392" s="73" t="str">
        <f t="shared" si="301"/>
        <v/>
      </c>
      <c r="AB392" s="31" t="str">
        <f t="shared" si="323"/>
        <v/>
      </c>
      <c r="AC392" s="66" t="str">
        <f>IF(AB392="","",MAX(AC$12:AC391)+1)</f>
        <v/>
      </c>
      <c r="AD392" s="47" t="s">
        <v>0</v>
      </c>
      <c r="AE392" s="125"/>
      <c r="AF392" s="47" t="s">
        <v>0</v>
      </c>
      <c r="AG392" s="19" t="str">
        <f t="shared" si="324"/>
        <v/>
      </c>
      <c r="AH392" s="47" t="s">
        <v>0</v>
      </c>
      <c r="AI392" s="143" t="str">
        <f t="shared" si="325"/>
        <v/>
      </c>
      <c r="AJ392" s="47"/>
      <c r="AK392" s="52" t="str">
        <f t="shared" si="326"/>
        <v/>
      </c>
      <c r="AL392" s="31" t="str">
        <f t="shared" si="327"/>
        <v/>
      </c>
      <c r="AM392" s="73" t="str">
        <f t="shared" si="328"/>
        <v/>
      </c>
      <c r="AN392" s="73" t="str">
        <f t="shared" si="329"/>
        <v/>
      </c>
      <c r="AO392" s="31" t="str">
        <f t="shared" si="302"/>
        <v/>
      </c>
      <c r="AP392" s="66" t="str">
        <f t="shared" si="303"/>
        <v/>
      </c>
      <c r="AQ392" s="47" t="s">
        <v>0</v>
      </c>
      <c r="AR392" s="82" t="str">
        <f t="shared" si="330"/>
        <v/>
      </c>
      <c r="AS392" s="47" t="s">
        <v>0</v>
      </c>
      <c r="AT392" s="19" t="str">
        <f t="shared" si="331"/>
        <v/>
      </c>
      <c r="AU392" s="47" t="s">
        <v>0</v>
      </c>
      <c r="AV392" s="103"/>
      <c r="AW392" s="105"/>
      <c r="AX392" s="47" t="s">
        <v>0</v>
      </c>
      <c r="AY392" s="256" t="str">
        <f t="shared" si="349"/>
        <v/>
      </c>
      <c r="AZ392" s="47" t="s">
        <v>0</v>
      </c>
      <c r="BA392" s="52" t="str">
        <f t="shared" si="296"/>
        <v/>
      </c>
      <c r="BB392" s="73" t="str">
        <f>IF(AV392&amp;AW392="","",MAX(BB$12:BB391)+1)</f>
        <v/>
      </c>
      <c r="BC392" s="268" t="str">
        <f t="shared" si="304"/>
        <v/>
      </c>
      <c r="BD392" s="53" t="str">
        <f>IF(AND(AM392="NEMA",AN392="NEMA",OR(AV392&amp;AW392="",BC392="NEMA")),MAX(BD$12:BD391)+1,"")</f>
        <v/>
      </c>
      <c r="BE392" s="47" t="s">
        <v>0</v>
      </c>
      <c r="BF392" s="52" t="str">
        <f t="shared" si="305"/>
        <v/>
      </c>
      <c r="BG392" s="31" t="str">
        <f t="shared" si="306"/>
        <v/>
      </c>
      <c r="BH392" s="73" t="str">
        <f t="shared" si="332"/>
        <v/>
      </c>
      <c r="BI392" s="53" t="str">
        <f t="shared" si="333"/>
        <v/>
      </c>
      <c r="BJ392" s="47" t="s">
        <v>0</v>
      </c>
      <c r="BK392" s="52" t="str">
        <f t="shared" si="307"/>
        <v/>
      </c>
      <c r="BL392" s="31" t="str">
        <f t="shared" si="308"/>
        <v/>
      </c>
      <c r="BM392" s="73" t="str">
        <f t="shared" si="309"/>
        <v/>
      </c>
      <c r="BN392" s="73" t="str">
        <f t="shared" si="310"/>
        <v/>
      </c>
      <c r="BO392" s="31" t="str" cm="1">
        <f t="array" ref="BO392">IF(BN392="",""&amp;BL392,IF(BN392="NEMA",BL392,INDEX(regKlub_naziv,MATCH(INDEX(regKlub_alias_klubId,BN392),regKlub_id,0))))</f>
        <v/>
      </c>
      <c r="BP392" s="31" t="str" cm="1">
        <f t="array" ref="BP392">IFERROR(""&amp;INDEX(regNatjecatelj_klub,DY392),"")</f>
        <v/>
      </c>
      <c r="BQ392" s="88" t="str">
        <f t="shared" si="334"/>
        <v/>
      </c>
      <c r="BR392" s="66" t="str">
        <f t="shared" si="335"/>
        <v/>
      </c>
      <c r="BS392" s="47" t="s">
        <v>0</v>
      </c>
      <c r="BT392" s="82" t="str">
        <f>IF(BN392&lt;&gt;"NEMA","",IF(IFERROR(MATCH(BL392,BL$12:BL391,0),0)&lt;&gt;0,"",BL392))</f>
        <v/>
      </c>
      <c r="BU392" s="47" t="s">
        <v>0</v>
      </c>
      <c r="BV392" s="125"/>
      <c r="BW392" s="47" t="s">
        <v>0</v>
      </c>
      <c r="BX392" s="58" t="str">
        <f t="shared" si="336"/>
        <v/>
      </c>
      <c r="BY392" s="31" t="str">
        <f t="shared" si="337"/>
        <v/>
      </c>
      <c r="BZ392" s="31" t="str">
        <f>IF(BY392="","",MAX(BZ$12:BZ391)+1)</f>
        <v/>
      </c>
      <c r="CA392" s="31" t="str">
        <f>IF(BY392="","",IF(AA392="","",IF(AA392="NEMA",AC392,AA392)))</f>
        <v/>
      </c>
      <c r="CB392" s="31" t="str">
        <f t="shared" si="338"/>
        <v/>
      </c>
      <c r="CC392" s="31" t="str">
        <f>IF(BV392="","",MAX(CC$12:CC391)+1)</f>
        <v/>
      </c>
      <c r="CD392" s="31" t="str">
        <f t="shared" si="339"/>
        <v/>
      </c>
      <c r="CE392" s="66" t="str">
        <f t="shared" si="340"/>
        <v/>
      </c>
      <c r="CF392" s="47" t="s">
        <v>0</v>
      </c>
      <c r="CG392" s="73" t="str">
        <f>IF(BN392="","",IF(BN392&lt;&gt;"NEMA","",IFERROR(INDEX(nat_klubAliasId,MATCH(BL392,nat_noviKluboviAliasi,0)),"")))</f>
        <v/>
      </c>
      <c r="CH392" s="47"/>
      <c r="CI392" s="19" t="str">
        <f t="shared" si="341"/>
        <v/>
      </c>
      <c r="CJ392" s="47" t="s">
        <v>0</v>
      </c>
      <c r="CK392" s="52" t="str">
        <f>IF(X392&lt;&gt;"NEMA","",IF(IFERROR(MATCH(W392,W$12:W391,0),0)&lt;&gt;0,"",W392))</f>
        <v/>
      </c>
      <c r="CL392" s="73" t="str">
        <f>IF(CK392="","",IFERROR(INDEX(regKlub_alias_id,MATCH(CK392,regKlub_alias_alias,0)),"NEMA"))</f>
        <v/>
      </c>
      <c r="CM392" s="31" t="str">
        <f>IF(OR(CL392="",CL392&lt;&gt;"NEMA"),"",MAX(CM$12:CM391)+1)</f>
        <v/>
      </c>
      <c r="CN392" s="66" t="str">
        <f>IF(OR(CL392="",CL392&lt;&gt;"NEMA"),"",INDEX(regKlub_id,MATCH(CK392,regKlub_naziv,0)))</f>
        <v/>
      </c>
      <c r="CO392" s="47" t="s">
        <v>0</v>
      </c>
      <c r="CP392" s="19" t="str">
        <f>IF(OR(CL392="",CL392&lt;&gt;"NEMA"),"","INSERT INTO klub_alias(id,alias,klub_id) VALUES ("&amp;CM392&amp;",'"&amp;CK392&amp;"',"&amp;CN392&amp;");")</f>
        <v/>
      </c>
      <c r="CQ392" s="47" t="s">
        <v>0</v>
      </c>
      <c r="CR392" s="143" t="str">
        <f>IF(BR392="","",IF(BV392="",IF(IFERROR(MATCH(BR392,nat_noviKluboviAliasi,0),0)&gt;0,INDEX(nat_kluboviAliasi,MATCH(BR392,nat_noviKluboviAliasi,0)),BR392),BV392))</f>
        <v/>
      </c>
      <c r="CS392" s="47" t="s">
        <v>0</v>
      </c>
      <c r="CT392" s="58" t="str">
        <f>IF(G392="","",G392)</f>
        <v/>
      </c>
      <c r="CU392" s="73" t="str">
        <f>IF(H392="","",H392)</f>
        <v/>
      </c>
      <c r="CV392" s="229" t="str">
        <f>IF(CT392="",IF(OR(AL392="",CU392&lt;&gt;"0"),"","GREŠKA"),IF(AND(65535&gt;=VALUE(LEFT(CT392,SEARCH(":",CT392)-1))*60+VALUE(RIGHT(CT392,2)),OR(CU392="0",CU392="1",CU392="2",CU392="3",CU392="4")),"","GREŠKA"))</f>
        <v/>
      </c>
      <c r="CW392" s="230" t="str">
        <f t="shared" si="351"/>
        <v/>
      </c>
      <c r="CX392" s="163" t="str">
        <f t="shared" si="311"/>
        <v/>
      </c>
      <c r="CY392" s="47" t="s">
        <v>0</v>
      </c>
      <c r="CZ392" s="222" t="str">
        <f>IF(CV392&lt;&gt;"GREŠKA","",AK392&amp;" "&amp;AL392&amp;" – Molim u OEventu provjeriti i ispraviti rezultat – vrijeme ("&amp;IF(CT392="","nije upisano",CT392)&amp;") i classifier ("&amp;CU392&amp;").")&amp;IF(OR(CV392&lt;&gt;"GREŠKA",CX392&lt;&gt;5),"
","")&amp;IF(CX392&lt;&gt;5,"",AK392&amp;" "&amp;AL392&amp;" – Molim u provjeriti je li natjecatelj zaista diskvalificiran. Ako je koje je obrazloženje, ako nije molim u OEventu ispraviti rezultat")</f>
        <v xml:space="preserve">
</v>
      </c>
      <c r="DA392" s="223" t="str">
        <f t="shared" si="342"/>
        <v/>
      </c>
      <c r="DB392" s="47" t="s">
        <v>0</v>
      </c>
      <c r="DC392" s="47"/>
      <c r="DD392" s="47"/>
      <c r="DE392" s="47"/>
      <c r="DF392" s="47" t="s">
        <v>0</v>
      </c>
      <c r="DG392" s="53" t="str">
        <f>IF(BD392="","",IF(DI392="O",1,""))</f>
        <v/>
      </c>
      <c r="DH392" t="s">
        <v>0</v>
      </c>
      <c r="DI392" s="128" t="str">
        <f>IF(Q392="","",LEFT(INDEX(regKategorija_oznaka,MATCH(S392,regKategorija_id,0)),1))</f>
        <v/>
      </c>
      <c r="DJ392" t="s">
        <v>0</v>
      </c>
      <c r="DK392" s="52" t="str">
        <f>IF(BD392="","",IF(M392&lt;&gt;"CRO","","INSERT INTO osoba (id,reg_broj,oib,spol_id,dat_rodjenja) VALUES ("&amp;BD392&amp;",(SELECT max(os.reg_broj)+1 FROM osoba AS os),Null,'"&amp;DI392&amp;"',Null); INSERT INTO osoba_log (id,reg_broj,oib,spol_id,dat_rodjenja,dnevnik_id) SELECT id,reg_broj,oib,spol_id,dat_rodjenja,"&amp;data_dnevnik_id&amp;" FROM osoba WHERE id = "&amp;BD392&amp;";"))</f>
        <v/>
      </c>
      <c r="DL392" s="66" t="str">
        <f>IF(BD392="","","INSERT INTO imeprezime (id,osoba_id,rbr,ime,prezime,klub_id,identitet_id,sintaksa_id,info,aktivno,dnevnik_id) VALUES ("&amp;BD392&amp;","&amp;IF(DK392="","Null",BD392)&amp;",1,'"&amp;IF(AV392&lt;&gt;"",AV392,AK392)&amp;"','"&amp;IF(AW392&lt;&gt;"",AW392,AL392)&amp;"',(SELECT id FROM klub WHERE naziv = '"&amp;CR392&amp;"'),Null,1,'',1,"&amp;data_dnevnik_id&amp;");")</f>
        <v/>
      </c>
      <c r="DM392" t="s">
        <v>0</v>
      </c>
      <c r="DN392" s="19" t="str">
        <f t="shared" si="350"/>
        <v/>
      </c>
      <c r="DO392" s="47" t="s">
        <v>0</v>
      </c>
      <c r="DP392" s="19" t="str">
        <f>IF(BA392="","","INSERT INTO imeprezime_alias(id,alias,imeprezime_id) VALUES ("&amp;BB392&amp;",'"&amp;BA392&amp;"',"&amp;IF(BC392="NEMA",BD392,BC392)&amp;");")</f>
        <v/>
      </c>
      <c r="DQ392" s="47" t="s">
        <v>0</v>
      </c>
      <c r="DR392" s="52" t="str">
        <f>IF(AL392="","",DU392 &amp; IF(Q392="",""," – " &amp; Q392))</f>
        <v/>
      </c>
      <c r="DS392" s="53" t="str">
        <f t="shared" si="312"/>
        <v/>
      </c>
      <c r="DT392" s="47" t="s">
        <v>0</v>
      </c>
      <c r="DU392" s="52" t="str">
        <f>IF(AL392="","",DX392 &amp; IF(CR392="",""," – " &amp; CR392))</f>
        <v/>
      </c>
      <c r="DV392" s="53" t="str">
        <f t="shared" si="313"/>
        <v/>
      </c>
      <c r="DW392" s="47" t="s">
        <v>0</v>
      </c>
      <c r="DX392" s="52" t="str">
        <f>IF(BG392="","",BF392&amp;" – "&amp;BG392)</f>
        <v/>
      </c>
      <c r="DY392" s="53" t="str">
        <f t="shared" si="314"/>
        <v/>
      </c>
      <c r="DZ392" s="47" t="s">
        <v>0</v>
      </c>
      <c r="EA392" s="58" t="str">
        <f t="shared" si="343"/>
        <v/>
      </c>
      <c r="EB392" s="53" t="str" cm="1">
        <f t="array" ref="EB392">IF(EA392&lt;&gt;"",INDEX(regNatjecatelj_id,EA392,0),IF(BD392&lt;&gt;"",BD392,""))</f>
        <v/>
      </c>
      <c r="EC392" s="47" t="s">
        <v>0</v>
      </c>
      <c r="ED392" s="58" t="str">
        <f>IF(AL392="","",IF(BD392&lt;&gt;"","novo",IF(AN392="","imepre","imepre(ali)")))</f>
        <v/>
      </c>
      <c r="EE392" s="73" t="str">
        <f>IF(AL392="","",IF(BL392="",IF(IFERROR(INDEX(regNatjecatelj_klub,MATCH(EB392,regNatjecatelj_id,0)),"NEMA")="","klu",""),IF(OR(AND(BN392&lt;&gt;"",BN392&lt;&gt;"NEMA"),CD392&lt;&gt;""),"klu(ali)",IF(AND(BP392&lt;&gt;"",BP392&lt;&gt;BO392),"(raz-klu)","klu"))))</f>
        <v/>
      </c>
      <c r="EF392" s="73" t="str">
        <f>IF(AL392="","","kat"&amp;IF(AND(W392&lt;&gt;Q392,Q392&lt;&gt;"Open"),"(ali)",""))</f>
        <v/>
      </c>
      <c r="EG392" s="73" t="str">
        <f t="shared" si="315"/>
        <v/>
      </c>
      <c r="EH392" s="66" t="str">
        <f>IF(AL392="","",ED392&amp;IF(ED392="novo","","-"&amp;EE392&amp;"-"&amp;EF392)&amp;IF(EG392="","","-"&amp;EG392))</f>
        <v/>
      </c>
      <c r="EI392" s="47" t="s">
        <v>0</v>
      </c>
      <c r="EJ392" s="58" t="str">
        <f>IF(AL392="","",MAX(EJ$12:EJ391)+1)</f>
        <v/>
      </c>
      <c r="EK392" s="73" t="str">
        <f>IF(AO392="","",X392)</f>
        <v/>
      </c>
      <c r="EL392" s="73" t="str">
        <f t="shared" si="344"/>
        <v/>
      </c>
      <c r="EM392" s="73" t="str">
        <f t="shared" si="316"/>
        <v/>
      </c>
      <c r="EN392" s="73" t="str">
        <f t="shared" si="317"/>
        <v/>
      </c>
      <c r="EO392" s="73" t="str">
        <f t="shared" si="345"/>
        <v/>
      </c>
      <c r="EP392" s="73" t="str">
        <f t="shared" si="346"/>
        <v/>
      </c>
      <c r="EQ392" s="73" t="str">
        <f t="shared" si="318"/>
        <v/>
      </c>
      <c r="ER392" s="73" t="str">
        <f>IF(OR(AN392="",AN392="NEMA"),BB392,AN392)</f>
        <v/>
      </c>
      <c r="ES392" s="73" t="str">
        <f>IF(AND(BN392&lt;&gt;"",BN392&lt;&gt;"NEMA"),BN392,IF(CG392&lt;&gt;"",CG392,IF(AND(CL392&lt;&gt;"",CL392&lt;&gt;"NEMA"),CL392,IF(CM392&lt;&gt;"",CM392,""))))</f>
        <v/>
      </c>
      <c r="ET392" s="53" t="str">
        <f>IF(INDEX(natKategorija_alias_Id,MATCH(S392,natKategorija_katRegId,0))="","",INDEX(natKategorija_alias_Id,MATCH(S392,natKategorija_katRegId,0)))</f>
        <v/>
      </c>
      <c r="EU392" s="47" t="s">
        <v>0</v>
      </c>
      <c r="EV392" s="19" t="str">
        <f t="shared" si="347"/>
        <v/>
      </c>
      <c r="EW392" s="47" t="s">
        <v>0</v>
      </c>
      <c r="EX392" s="19" t="str">
        <f t="shared" si="348"/>
        <v/>
      </c>
      <c r="EY392" s="47" t="s">
        <v>0</v>
      </c>
      <c r="EZ392" s="180" t="str">
        <f>AG392&amp;IF(CP392="","","
")&amp;CP392&amp;IF(CI392="","","
")&amp;CI392&amp;IF(DN392="","","
")&amp;DN392&amp;IF(DP392="","","
")&amp;DP392&amp;IF(EV392="","","
")&amp;EV392&amp;IF(EX392="","","
")&amp;EX392</f>
        <v/>
      </c>
      <c r="FA392" s="47" t="s">
        <v>0</v>
      </c>
    </row>
    <row r="393" spans="1:157" x14ac:dyDescent="0.25">
      <c r="A393" t="s">
        <v>0</v>
      </c>
      <c r="B393" s="52" t="str">
        <f>IF(csv!F383="","",csv!T383)</f>
        <v/>
      </c>
      <c r="C393" s="31" t="s">
        <v>0</v>
      </c>
      <c r="D393" s="31" t="str">
        <f>IF(csv!F383="","",csv!F383)</f>
        <v/>
      </c>
      <c r="E393" s="31" t="str">
        <f>IF(csv!E383="","",csv!E383)</f>
        <v/>
      </c>
      <c r="F393" s="31" t="s">
        <v>0</v>
      </c>
      <c r="G393" s="73" t="str">
        <f>IF(csv!M383="","",csv!M383)</f>
        <v/>
      </c>
      <c r="H393" s="73" t="str">
        <f>IF(csv!N383="","",csv!N383)</f>
        <v/>
      </c>
      <c r="I393" s="31" t="s">
        <v>0</v>
      </c>
      <c r="J393" s="31" t="str">
        <f>IF(csv!P383="","",csv!P383)</f>
        <v/>
      </c>
      <c r="K393" s="31" t="str">
        <f>IF(csv!Q383="","",csv!Q383)</f>
        <v/>
      </c>
      <c r="L393" s="31" t="s">
        <v>0</v>
      </c>
      <c r="M393" s="66" t="str">
        <f>IF(csv!R383="","",csv!R383)</f>
        <v/>
      </c>
      <c r="N393" s="47" t="s">
        <v>0</v>
      </c>
      <c r="O393" s="243" t="str">
        <f t="shared" si="319"/>
        <v/>
      </c>
      <c r="P393" s="47"/>
      <c r="Q393" s="52" t="str">
        <f t="shared" si="320"/>
        <v/>
      </c>
      <c r="R393" s="73" t="str">
        <f>IF(Q393="","",IF(COUNTIF(Q$12:Q392,Q393)=0,R392+1,R392))</f>
        <v/>
      </c>
      <c r="S393" s="73" t="str">
        <f t="shared" si="321"/>
        <v/>
      </c>
      <c r="T393" s="73" t="str">
        <f t="shared" si="297"/>
        <v/>
      </c>
      <c r="U393" s="66" t="str">
        <f t="shared" si="298"/>
        <v/>
      </c>
      <c r="V393" s="47" t="s">
        <v>0</v>
      </c>
      <c r="W393" s="222" t="str">
        <f t="shared" si="299"/>
        <v/>
      </c>
      <c r="X393" s="223" t="str">
        <f t="shared" si="300"/>
        <v/>
      </c>
      <c r="Y393" s="47" t="s">
        <v>0</v>
      </c>
      <c r="Z393" s="52" t="str">
        <f t="shared" si="322"/>
        <v/>
      </c>
      <c r="AA393" s="73" t="str">
        <f t="shared" si="301"/>
        <v/>
      </c>
      <c r="AB393" s="31" t="str">
        <f t="shared" si="323"/>
        <v/>
      </c>
      <c r="AC393" s="66" t="str">
        <f>IF(AB393="","",MAX(AC$12:AC392)+1)</f>
        <v/>
      </c>
      <c r="AD393" s="47" t="s">
        <v>0</v>
      </c>
      <c r="AE393" s="125"/>
      <c r="AF393" s="47" t="s">
        <v>0</v>
      </c>
      <c r="AG393" s="19" t="str">
        <f t="shared" si="324"/>
        <v/>
      </c>
      <c r="AH393" s="47" t="s">
        <v>0</v>
      </c>
      <c r="AI393" s="143" t="str">
        <f t="shared" si="325"/>
        <v/>
      </c>
      <c r="AJ393" s="47"/>
      <c r="AK393" s="52" t="str">
        <f t="shared" si="326"/>
        <v/>
      </c>
      <c r="AL393" s="31" t="str">
        <f t="shared" si="327"/>
        <v/>
      </c>
      <c r="AM393" s="73" t="str">
        <f t="shared" si="328"/>
        <v/>
      </c>
      <c r="AN393" s="73" t="str">
        <f t="shared" si="329"/>
        <v/>
      </c>
      <c r="AO393" s="31" t="str">
        <f t="shared" si="302"/>
        <v/>
      </c>
      <c r="AP393" s="66" t="str">
        <f t="shared" si="303"/>
        <v/>
      </c>
      <c r="AQ393" s="47" t="s">
        <v>0</v>
      </c>
      <c r="AR393" s="82" t="str">
        <f t="shared" si="330"/>
        <v/>
      </c>
      <c r="AS393" s="47" t="s">
        <v>0</v>
      </c>
      <c r="AT393" s="19" t="str">
        <f t="shared" si="331"/>
        <v/>
      </c>
      <c r="AU393" s="47" t="s">
        <v>0</v>
      </c>
      <c r="AV393" s="103"/>
      <c r="AW393" s="105"/>
      <c r="AX393" s="47" t="s">
        <v>0</v>
      </c>
      <c r="AY393" s="256" t="str">
        <f t="shared" si="349"/>
        <v/>
      </c>
      <c r="AZ393" s="47" t="s">
        <v>0</v>
      </c>
      <c r="BA393" s="52" t="str">
        <f t="shared" ref="BA393:BA412" si="352">IF(AV393&amp;AW393="","",AR393)</f>
        <v/>
      </c>
      <c r="BB393" s="73" t="str">
        <f>IF(AV393&amp;AW393="","",MAX(BB$12:BB392)+1)</f>
        <v/>
      </c>
      <c r="BC393" s="268" t="str">
        <f t="shared" si="304"/>
        <v/>
      </c>
      <c r="BD393" s="53" t="str">
        <f>IF(AND(AM393="NEMA",AN393="NEMA",OR(AV393&amp;AW393="",BC393="NEMA")),MAX(BD$12:BD392)+1,"")</f>
        <v/>
      </c>
      <c r="BE393" s="47" t="s">
        <v>0</v>
      </c>
      <c r="BF393" s="52" t="str">
        <f t="shared" si="305"/>
        <v/>
      </c>
      <c r="BG393" s="31" t="str">
        <f t="shared" si="306"/>
        <v/>
      </c>
      <c r="BH393" s="73" t="str">
        <f t="shared" si="332"/>
        <v/>
      </c>
      <c r="BI393" s="53" t="str">
        <f t="shared" si="333"/>
        <v/>
      </c>
      <c r="BJ393" s="47" t="s">
        <v>0</v>
      </c>
      <c r="BK393" s="52" t="str">
        <f t="shared" si="307"/>
        <v/>
      </c>
      <c r="BL393" s="31" t="str">
        <f t="shared" si="308"/>
        <v/>
      </c>
      <c r="BM393" s="73" t="str">
        <f t="shared" si="309"/>
        <v/>
      </c>
      <c r="BN393" s="73" t="str">
        <f t="shared" si="310"/>
        <v/>
      </c>
      <c r="BO393" s="31" t="str" cm="1">
        <f t="array" ref="BO393">IF(BN393="",""&amp;BL393,IF(BN393="NEMA",BL393,INDEX(regKlub_naziv,MATCH(INDEX(regKlub_alias_klubId,BN393),regKlub_id,0))))</f>
        <v/>
      </c>
      <c r="BP393" s="31" t="str" cm="1">
        <f t="array" ref="BP393">IFERROR(""&amp;INDEX(regNatjecatelj_klub,DY393),"")</f>
        <v/>
      </c>
      <c r="BQ393" s="88" t="str">
        <f t="shared" si="334"/>
        <v/>
      </c>
      <c r="BR393" s="66" t="str">
        <f t="shared" si="335"/>
        <v/>
      </c>
      <c r="BS393" s="47" t="s">
        <v>0</v>
      </c>
      <c r="BT393" s="82" t="str">
        <f>IF(BN393&lt;&gt;"NEMA","",IF(IFERROR(MATCH(BL393,BL$12:BL392,0),0)&lt;&gt;0,"",BL393))</f>
        <v/>
      </c>
      <c r="BU393" s="47" t="s">
        <v>0</v>
      </c>
      <c r="BV393" s="125"/>
      <c r="BW393" s="47" t="s">
        <v>0</v>
      </c>
      <c r="BX393" s="58" t="str">
        <f t="shared" si="336"/>
        <v/>
      </c>
      <c r="BY393" s="31" t="str">
        <f t="shared" si="337"/>
        <v/>
      </c>
      <c r="BZ393" s="31" t="str">
        <f>IF(BY393="","",MAX(BZ$12:BZ392)+1)</f>
        <v/>
      </c>
      <c r="CA393" s="31" t="str">
        <f>IF(BY393="","",IF(AA393="","",IF(AA393="NEMA",AC393,AA393)))</f>
        <v/>
      </c>
      <c r="CB393" s="31" t="str">
        <f t="shared" si="338"/>
        <v/>
      </c>
      <c r="CC393" s="31" t="str">
        <f>IF(BV393="","",MAX(CC$12:CC392)+1)</f>
        <v/>
      </c>
      <c r="CD393" s="31" t="str">
        <f t="shared" si="339"/>
        <v/>
      </c>
      <c r="CE393" s="66" t="str">
        <f t="shared" si="340"/>
        <v/>
      </c>
      <c r="CF393" s="47" t="s">
        <v>0</v>
      </c>
      <c r="CG393" s="73" t="str">
        <f>IF(BN393="","",IF(BN393&lt;&gt;"NEMA","",IFERROR(INDEX(nat_klubAliasId,MATCH(BL393,nat_noviKluboviAliasi,0)),"")))</f>
        <v/>
      </c>
      <c r="CH393" s="47"/>
      <c r="CI393" s="19" t="str">
        <f t="shared" si="341"/>
        <v/>
      </c>
      <c r="CJ393" s="47" t="s">
        <v>0</v>
      </c>
      <c r="CK393" s="52" t="str">
        <f>IF(X393&lt;&gt;"NEMA","",IF(IFERROR(MATCH(W393,W$12:W392,0),0)&lt;&gt;0,"",W393))</f>
        <v/>
      </c>
      <c r="CL393" s="73" t="str">
        <f>IF(CK393="","",IFERROR(INDEX(regKlub_alias_id,MATCH(CK393,regKlub_alias_alias,0)),"NEMA"))</f>
        <v/>
      </c>
      <c r="CM393" s="31" t="str">
        <f>IF(OR(CL393="",CL393&lt;&gt;"NEMA"),"",MAX(CM$12:CM392)+1)</f>
        <v/>
      </c>
      <c r="CN393" s="66" t="str">
        <f>IF(OR(CL393="",CL393&lt;&gt;"NEMA"),"",INDEX(regKlub_id,MATCH(CK393,regKlub_naziv,0)))</f>
        <v/>
      </c>
      <c r="CO393" s="47" t="s">
        <v>0</v>
      </c>
      <c r="CP393" s="19" t="str">
        <f>IF(OR(CL393="",CL393&lt;&gt;"NEMA"),"","INSERT INTO klub_alias(id,alias,klub_id) VALUES ("&amp;CM393&amp;",'"&amp;CK393&amp;"',"&amp;CN393&amp;");")</f>
        <v/>
      </c>
      <c r="CQ393" s="47" t="s">
        <v>0</v>
      </c>
      <c r="CR393" s="143" t="str">
        <f>IF(BR393="","",IF(BV393="",IF(IFERROR(MATCH(BR393,nat_noviKluboviAliasi,0),0)&gt;0,INDEX(nat_kluboviAliasi,MATCH(BR393,nat_noviKluboviAliasi,0)),BR393),BV393))</f>
        <v/>
      </c>
      <c r="CS393" s="47" t="s">
        <v>0</v>
      </c>
      <c r="CT393" s="58" t="str">
        <f>IF(G393="","",G393)</f>
        <v/>
      </c>
      <c r="CU393" s="73" t="str">
        <f>IF(H393="","",H393)</f>
        <v/>
      </c>
      <c r="CV393" s="229" t="str">
        <f>IF(CT393="",IF(OR(AL393="",CU393&lt;&gt;"0"),"","GREŠKA"),IF(AND(65535&gt;=VALUE(LEFT(CT393,SEARCH(":",CT393)-1))*60+VALUE(RIGHT(CT393,2)),OR(CU393="0",CU393="1",CU393="2",CU393="3",CU393="4")),"","GREŠKA"))</f>
        <v/>
      </c>
      <c r="CW393" s="230" t="str">
        <f t="shared" si="351"/>
        <v/>
      </c>
      <c r="CX393" s="163" t="str">
        <f t="shared" si="311"/>
        <v/>
      </c>
      <c r="CY393" s="47" t="s">
        <v>0</v>
      </c>
      <c r="CZ393" s="222" t="str">
        <f>IF(CV393&lt;&gt;"GREŠKA","",AK393&amp;" "&amp;AL393&amp;" – Molim u OEventu provjeriti i ispraviti rezultat – vrijeme ("&amp;IF(CT393="","nije upisano",CT393)&amp;") i classifier ("&amp;CU393&amp;").")&amp;IF(OR(CV393&lt;&gt;"GREŠKA",CX393&lt;&gt;5),"
","")&amp;IF(CX393&lt;&gt;5,"",AK393&amp;" "&amp;AL393&amp;" – Molim u provjeriti je li natjecatelj zaista diskvalificiran. Ako je koje je obrazloženje, ako nije molim u OEventu ispraviti rezultat")</f>
        <v xml:space="preserve">
</v>
      </c>
      <c r="DA393" s="223" t="str">
        <f t="shared" si="342"/>
        <v/>
      </c>
      <c r="DB393" s="47" t="s">
        <v>0</v>
      </c>
      <c r="DC393" s="47"/>
      <c r="DD393" s="47"/>
      <c r="DE393" s="47"/>
      <c r="DF393" s="47" t="s">
        <v>0</v>
      </c>
      <c r="DG393" s="53" t="str">
        <f>IF(BD393="","",IF(DI393="O",1,""))</f>
        <v/>
      </c>
      <c r="DH393" t="s">
        <v>0</v>
      </c>
      <c r="DI393" s="128" t="str">
        <f>IF(Q393="","",LEFT(INDEX(regKategorija_oznaka,MATCH(S393,regKategorija_id,0)),1))</f>
        <v/>
      </c>
      <c r="DJ393" t="s">
        <v>0</v>
      </c>
      <c r="DK393" s="52" t="str">
        <f>IF(BD393="","",IF(M393&lt;&gt;"CRO","","INSERT INTO osoba (id,reg_broj,oib,spol_id,dat_rodjenja) VALUES ("&amp;BD393&amp;",(SELECT max(os.reg_broj)+1 FROM osoba AS os),Null,'"&amp;DI393&amp;"',Null); INSERT INTO osoba_log (id,reg_broj,oib,spol_id,dat_rodjenja,dnevnik_id) SELECT id,reg_broj,oib,spol_id,dat_rodjenja,"&amp;data_dnevnik_id&amp;" FROM osoba WHERE id = "&amp;BD393&amp;";"))</f>
        <v/>
      </c>
      <c r="DL393" s="66" t="str">
        <f>IF(BD393="","","INSERT INTO imeprezime (id,osoba_id,rbr,ime,prezime,klub_id,identitet_id,sintaksa_id,info,aktivno,dnevnik_id) VALUES ("&amp;BD393&amp;","&amp;IF(DK393="","Null",BD393)&amp;",1,'"&amp;IF(AV393&lt;&gt;"",AV393,AK393)&amp;"','"&amp;IF(AW393&lt;&gt;"",AW393,AL393)&amp;"',(SELECT id FROM klub WHERE naziv = '"&amp;CR393&amp;"'),Null,1,'',1,"&amp;data_dnevnik_id&amp;");")</f>
        <v/>
      </c>
      <c r="DM393" t="s">
        <v>0</v>
      </c>
      <c r="DN393" s="19" t="str">
        <f t="shared" si="350"/>
        <v/>
      </c>
      <c r="DO393" s="47" t="s">
        <v>0</v>
      </c>
      <c r="DP393" s="19" t="str">
        <f>IF(BA393="","","INSERT INTO imeprezime_alias(id,alias,imeprezime_id) VALUES ("&amp;BB393&amp;",'"&amp;BA393&amp;"',"&amp;IF(BC393="NEMA",BD393,BC393)&amp;");")</f>
        <v/>
      </c>
      <c r="DQ393" s="47" t="s">
        <v>0</v>
      </c>
      <c r="DR393" s="52" t="str">
        <f>IF(AL393="","",DU393 &amp; IF(Q393="",""," – " &amp; Q393))</f>
        <v/>
      </c>
      <c r="DS393" s="53" t="str">
        <f t="shared" si="312"/>
        <v/>
      </c>
      <c r="DT393" s="47" t="s">
        <v>0</v>
      </c>
      <c r="DU393" s="52" t="str">
        <f>IF(AL393="","",DX393 &amp; IF(CR393="",""," – " &amp; CR393))</f>
        <v/>
      </c>
      <c r="DV393" s="53" t="str">
        <f t="shared" si="313"/>
        <v/>
      </c>
      <c r="DW393" s="47" t="s">
        <v>0</v>
      </c>
      <c r="DX393" s="52" t="str">
        <f>IF(BG393="","",BF393&amp;" – "&amp;BG393)</f>
        <v/>
      </c>
      <c r="DY393" s="53" t="str">
        <f t="shared" si="314"/>
        <v/>
      </c>
      <c r="DZ393" s="47" t="s">
        <v>0</v>
      </c>
      <c r="EA393" s="58" t="str">
        <f t="shared" si="343"/>
        <v/>
      </c>
      <c r="EB393" s="53" t="str" cm="1">
        <f t="array" ref="EB393">IF(EA393&lt;&gt;"",INDEX(regNatjecatelj_id,EA393,0),IF(BD393&lt;&gt;"",BD393,""))</f>
        <v/>
      </c>
      <c r="EC393" s="47" t="s">
        <v>0</v>
      </c>
      <c r="ED393" s="58" t="str">
        <f>IF(AL393="","",IF(BD393&lt;&gt;"","novo",IF(AN393="","imepre","imepre(ali)")))</f>
        <v/>
      </c>
      <c r="EE393" s="73" t="str">
        <f>IF(AL393="","",IF(BL393="",IF(IFERROR(INDEX(regNatjecatelj_klub,MATCH(EB393,regNatjecatelj_id,0)),"NEMA")="","klu",""),IF(OR(AND(BN393&lt;&gt;"",BN393&lt;&gt;"NEMA"),CD393&lt;&gt;""),"klu(ali)",IF(AND(BP393&lt;&gt;"",BP393&lt;&gt;BO393),"(raz-klu)","klu"))))</f>
        <v/>
      </c>
      <c r="EF393" s="73" t="str">
        <f>IF(AL393="","","kat"&amp;IF(AND(W393&lt;&gt;Q393,Q393&lt;&gt;"Open"),"(ali)",""))</f>
        <v/>
      </c>
      <c r="EG393" s="73" t="str">
        <f t="shared" si="315"/>
        <v/>
      </c>
      <c r="EH393" s="66" t="str">
        <f>IF(AL393="","",ED393&amp;IF(ED393="novo","","-"&amp;EE393&amp;"-"&amp;EF393)&amp;IF(EG393="","","-"&amp;EG393))</f>
        <v/>
      </c>
      <c r="EI393" s="47" t="s">
        <v>0</v>
      </c>
      <c r="EJ393" s="58" t="str">
        <f>IF(AL393="","",MAX(EJ$12:EJ392)+1)</f>
        <v/>
      </c>
      <c r="EK393" s="73" t="str">
        <f>IF(AO393="","",X393)</f>
        <v/>
      </c>
      <c r="EL393" s="73" t="str">
        <f t="shared" si="344"/>
        <v/>
      </c>
      <c r="EM393" s="73" t="str">
        <f t="shared" si="316"/>
        <v/>
      </c>
      <c r="EN393" s="73" t="str">
        <f t="shared" si="317"/>
        <v/>
      </c>
      <c r="EO393" s="73" t="str">
        <f t="shared" si="345"/>
        <v/>
      </c>
      <c r="EP393" s="73" t="str">
        <f t="shared" si="346"/>
        <v/>
      </c>
      <c r="EQ393" s="73" t="str">
        <f t="shared" si="318"/>
        <v/>
      </c>
      <c r="ER393" s="73" t="str">
        <f>IF(OR(AN393="",AN393="NEMA"),BB393,AN393)</f>
        <v/>
      </c>
      <c r="ES393" s="73" t="str">
        <f>IF(AND(BN393&lt;&gt;"",BN393&lt;&gt;"NEMA"),BN393,IF(CG393&lt;&gt;"",CG393,IF(AND(CL393&lt;&gt;"",CL393&lt;&gt;"NEMA"),CL393,IF(CM393&lt;&gt;"",CM393,""))))</f>
        <v/>
      </c>
      <c r="ET393" s="53" t="str">
        <f>IF(INDEX(natKategorija_alias_Id,MATCH(S393,natKategorija_katRegId,0))="","",INDEX(natKategorija_alias_Id,MATCH(S393,natKategorija_katRegId,0)))</f>
        <v/>
      </c>
      <c r="EU393" s="47" t="s">
        <v>0</v>
      </c>
      <c r="EV393" s="19" t="str">
        <f t="shared" si="347"/>
        <v/>
      </c>
      <c r="EW393" s="47" t="s">
        <v>0</v>
      </c>
      <c r="EX393" s="19" t="str">
        <f t="shared" si="348"/>
        <v/>
      </c>
      <c r="EY393" s="47" t="s">
        <v>0</v>
      </c>
      <c r="EZ393" s="180" t="str">
        <f>AG393&amp;IF(CP393="","","
")&amp;CP393&amp;IF(CI393="","","
")&amp;CI393&amp;IF(DN393="","","
")&amp;DN393&amp;IF(DP393="","","
")&amp;DP393&amp;IF(EV393="","","
")&amp;EV393&amp;IF(EX393="","","
")&amp;EX393</f>
        <v/>
      </c>
      <c r="FA393" s="47" t="s">
        <v>0</v>
      </c>
    </row>
    <row r="394" spans="1:157" x14ac:dyDescent="0.25">
      <c r="A394" t="s">
        <v>0</v>
      </c>
      <c r="B394" s="52" t="str">
        <f>IF(csv!F384="","",csv!T384)</f>
        <v/>
      </c>
      <c r="C394" s="31" t="s">
        <v>0</v>
      </c>
      <c r="D394" s="31" t="str">
        <f>IF(csv!F384="","",csv!F384)</f>
        <v/>
      </c>
      <c r="E394" s="31" t="str">
        <f>IF(csv!E384="","",csv!E384)</f>
        <v/>
      </c>
      <c r="F394" s="31" t="s">
        <v>0</v>
      </c>
      <c r="G394" s="73" t="str">
        <f>IF(csv!M384="","",csv!M384)</f>
        <v/>
      </c>
      <c r="H394" s="73" t="str">
        <f>IF(csv!N384="","",csv!N384)</f>
        <v/>
      </c>
      <c r="I394" s="31" t="s">
        <v>0</v>
      </c>
      <c r="J394" s="31" t="str">
        <f>IF(csv!P384="","",csv!P384)</f>
        <v/>
      </c>
      <c r="K394" s="31" t="str">
        <f>IF(csv!Q384="","",csv!Q384)</f>
        <v/>
      </c>
      <c r="L394" s="31" t="s">
        <v>0</v>
      </c>
      <c r="M394" s="66" t="str">
        <f>IF(csv!R384="","",csv!R384)</f>
        <v/>
      </c>
      <c r="N394" s="47" t="s">
        <v>0</v>
      </c>
      <c r="O394" s="243" t="str">
        <f t="shared" si="319"/>
        <v/>
      </c>
      <c r="P394" s="47"/>
      <c r="Q394" s="52" t="str">
        <f t="shared" si="320"/>
        <v/>
      </c>
      <c r="R394" s="73" t="str">
        <f>IF(Q394="","",IF(COUNTIF(Q$12:Q393,Q394)=0,R393+1,R393))</f>
        <v/>
      </c>
      <c r="S394" s="73" t="str">
        <f t="shared" si="321"/>
        <v/>
      </c>
      <c r="T394" s="73" t="str">
        <f t="shared" si="297"/>
        <v/>
      </c>
      <c r="U394" s="66" t="str">
        <f t="shared" si="298"/>
        <v/>
      </c>
      <c r="V394" s="47" t="s">
        <v>0</v>
      </c>
      <c r="W394" s="222" t="str">
        <f t="shared" si="299"/>
        <v/>
      </c>
      <c r="X394" s="223" t="str">
        <f t="shared" si="300"/>
        <v/>
      </c>
      <c r="Y394" s="47" t="s">
        <v>0</v>
      </c>
      <c r="Z394" s="52" t="str">
        <f t="shared" si="322"/>
        <v/>
      </c>
      <c r="AA394" s="73" t="str">
        <f t="shared" si="301"/>
        <v/>
      </c>
      <c r="AB394" s="31" t="str">
        <f t="shared" si="323"/>
        <v/>
      </c>
      <c r="AC394" s="66" t="str">
        <f>IF(AB394="","",MAX(AC$12:AC393)+1)</f>
        <v/>
      </c>
      <c r="AD394" s="47" t="s">
        <v>0</v>
      </c>
      <c r="AE394" s="125"/>
      <c r="AF394" s="47" t="s">
        <v>0</v>
      </c>
      <c r="AG394" s="19" t="str">
        <f t="shared" si="324"/>
        <v/>
      </c>
      <c r="AH394" s="47" t="s">
        <v>0</v>
      </c>
      <c r="AI394" s="143" t="str">
        <f t="shared" si="325"/>
        <v/>
      </c>
      <c r="AJ394" s="47"/>
      <c r="AK394" s="52" t="str">
        <f t="shared" si="326"/>
        <v/>
      </c>
      <c r="AL394" s="31" t="str">
        <f t="shared" si="327"/>
        <v/>
      </c>
      <c r="AM394" s="73" t="str">
        <f t="shared" si="328"/>
        <v/>
      </c>
      <c r="AN394" s="73" t="str">
        <f t="shared" si="329"/>
        <v/>
      </c>
      <c r="AO394" s="31" t="str">
        <f t="shared" si="302"/>
        <v/>
      </c>
      <c r="AP394" s="66" t="str">
        <f t="shared" si="303"/>
        <v/>
      </c>
      <c r="AQ394" s="47" t="s">
        <v>0</v>
      </c>
      <c r="AR394" s="82" t="str">
        <f t="shared" si="330"/>
        <v/>
      </c>
      <c r="AS394" s="47" t="s">
        <v>0</v>
      </c>
      <c r="AT394" s="19" t="str">
        <f t="shared" si="331"/>
        <v/>
      </c>
      <c r="AU394" s="47" t="s">
        <v>0</v>
      </c>
      <c r="AV394" s="103"/>
      <c r="AW394" s="105"/>
      <c r="AX394" s="47" t="s">
        <v>0</v>
      </c>
      <c r="AY394" s="256" t="str">
        <f t="shared" si="349"/>
        <v/>
      </c>
      <c r="AZ394" s="47" t="s">
        <v>0</v>
      </c>
      <c r="BA394" s="52" t="str">
        <f t="shared" si="352"/>
        <v/>
      </c>
      <c r="BB394" s="73" t="str">
        <f>IF(AV394&amp;AW394="","",MAX(BB$12:BB393)+1)</f>
        <v/>
      </c>
      <c r="BC394" s="268" t="str">
        <f t="shared" si="304"/>
        <v/>
      </c>
      <c r="BD394" s="53" t="str">
        <f>IF(AND(AM394="NEMA",AN394="NEMA",OR(AV394&amp;AW394="",BC394="NEMA")),MAX(BD$12:BD393)+1,"")</f>
        <v/>
      </c>
      <c r="BE394" s="47" t="s">
        <v>0</v>
      </c>
      <c r="BF394" s="52" t="str">
        <f t="shared" si="305"/>
        <v/>
      </c>
      <c r="BG394" s="31" t="str">
        <f t="shared" si="306"/>
        <v/>
      </c>
      <c r="BH394" s="73" t="str">
        <f t="shared" si="332"/>
        <v/>
      </c>
      <c r="BI394" s="53" t="str">
        <f t="shared" si="333"/>
        <v/>
      </c>
      <c r="BJ394" s="47" t="s">
        <v>0</v>
      </c>
      <c r="BK394" s="52" t="str">
        <f t="shared" si="307"/>
        <v/>
      </c>
      <c r="BL394" s="31" t="str">
        <f t="shared" si="308"/>
        <v/>
      </c>
      <c r="BM394" s="73" t="str">
        <f t="shared" si="309"/>
        <v/>
      </c>
      <c r="BN394" s="73" t="str">
        <f t="shared" si="310"/>
        <v/>
      </c>
      <c r="BO394" s="31" t="str" cm="1">
        <f t="array" ref="BO394">IF(BN394="",""&amp;BL394,IF(BN394="NEMA",BL394,INDEX(regKlub_naziv,MATCH(INDEX(regKlub_alias_klubId,BN394),regKlub_id,0))))</f>
        <v/>
      </c>
      <c r="BP394" s="31" t="str" cm="1">
        <f t="array" ref="BP394">IFERROR(""&amp;INDEX(regNatjecatelj_klub,DY394),"")</f>
        <v/>
      </c>
      <c r="BQ394" s="88" t="str">
        <f t="shared" si="334"/>
        <v/>
      </c>
      <c r="BR394" s="66" t="str">
        <f t="shared" si="335"/>
        <v/>
      </c>
      <c r="BS394" s="47" t="s">
        <v>0</v>
      </c>
      <c r="BT394" s="82" t="str">
        <f>IF(BN394&lt;&gt;"NEMA","",IF(IFERROR(MATCH(BL394,BL$12:BL393,0),0)&lt;&gt;0,"",BL394))</f>
        <v/>
      </c>
      <c r="BU394" s="47" t="s">
        <v>0</v>
      </c>
      <c r="BV394" s="125"/>
      <c r="BW394" s="47" t="s">
        <v>0</v>
      </c>
      <c r="BX394" s="58" t="str">
        <f t="shared" si="336"/>
        <v/>
      </c>
      <c r="BY394" s="31" t="str">
        <f t="shared" si="337"/>
        <v/>
      </c>
      <c r="BZ394" s="31" t="str">
        <f>IF(BY394="","",MAX(BZ$12:BZ393)+1)</f>
        <v/>
      </c>
      <c r="CA394" s="31" t="str">
        <f>IF(BY394="","",IF(AA394="","",IF(AA394="NEMA",AC394,AA394)))</f>
        <v/>
      </c>
      <c r="CB394" s="31" t="str">
        <f t="shared" si="338"/>
        <v/>
      </c>
      <c r="CC394" s="31" t="str">
        <f>IF(BV394="","",MAX(CC$12:CC393)+1)</f>
        <v/>
      </c>
      <c r="CD394" s="31" t="str">
        <f t="shared" si="339"/>
        <v/>
      </c>
      <c r="CE394" s="66" t="str">
        <f t="shared" si="340"/>
        <v/>
      </c>
      <c r="CF394" s="47" t="s">
        <v>0</v>
      </c>
      <c r="CG394" s="73" t="str">
        <f>IF(BN394="","",IF(BN394&lt;&gt;"NEMA","",IFERROR(INDEX(nat_klubAliasId,MATCH(BL394,nat_noviKluboviAliasi,0)),"")))</f>
        <v/>
      </c>
      <c r="CH394" s="47"/>
      <c r="CI394" s="19" t="str">
        <f t="shared" si="341"/>
        <v/>
      </c>
      <c r="CJ394" s="47" t="s">
        <v>0</v>
      </c>
      <c r="CK394" s="52" t="str">
        <f>IF(X394&lt;&gt;"NEMA","",IF(IFERROR(MATCH(W394,W$12:W393,0),0)&lt;&gt;0,"",W394))</f>
        <v/>
      </c>
      <c r="CL394" s="73" t="str">
        <f>IF(CK394="","",IFERROR(INDEX(regKlub_alias_id,MATCH(CK394,regKlub_alias_alias,0)),"NEMA"))</f>
        <v/>
      </c>
      <c r="CM394" s="31" t="str">
        <f>IF(OR(CL394="",CL394&lt;&gt;"NEMA"),"",MAX(CM$12:CM393)+1)</f>
        <v/>
      </c>
      <c r="CN394" s="66" t="str">
        <f>IF(OR(CL394="",CL394&lt;&gt;"NEMA"),"",INDEX(regKlub_id,MATCH(CK394,regKlub_naziv,0)))</f>
        <v/>
      </c>
      <c r="CO394" s="47" t="s">
        <v>0</v>
      </c>
      <c r="CP394" s="19" t="str">
        <f>IF(OR(CL394="",CL394&lt;&gt;"NEMA"),"","INSERT INTO klub_alias(id,alias,klub_id) VALUES ("&amp;CM394&amp;",'"&amp;CK394&amp;"',"&amp;CN394&amp;");")</f>
        <v/>
      </c>
      <c r="CQ394" s="47" t="s">
        <v>0</v>
      </c>
      <c r="CR394" s="143" t="str">
        <f>IF(BR394="","",IF(BV394="",IF(IFERROR(MATCH(BR394,nat_noviKluboviAliasi,0),0)&gt;0,INDEX(nat_kluboviAliasi,MATCH(BR394,nat_noviKluboviAliasi,0)),BR394),BV394))</f>
        <v/>
      </c>
      <c r="CS394" s="47" t="s">
        <v>0</v>
      </c>
      <c r="CT394" s="58" t="str">
        <f>IF(G394="","",G394)</f>
        <v/>
      </c>
      <c r="CU394" s="73" t="str">
        <f>IF(H394="","",H394)</f>
        <v/>
      </c>
      <c r="CV394" s="229" t="str">
        <f>IF(CT394="",IF(OR(AL394="",CU394&lt;&gt;"0"),"","GREŠKA"),IF(AND(65535&gt;=VALUE(LEFT(CT394,SEARCH(":",CT394)-1))*60+VALUE(RIGHT(CT394,2)),OR(CU394="0",CU394="1",CU394="2",CU394="3",CU394="4")),"","GREŠKA"))</f>
        <v/>
      </c>
      <c r="CW394" s="230" t="str">
        <f t="shared" si="351"/>
        <v/>
      </c>
      <c r="CX394" s="163" t="str">
        <f t="shared" si="311"/>
        <v/>
      </c>
      <c r="CY394" s="47" t="s">
        <v>0</v>
      </c>
      <c r="CZ394" s="222" t="str">
        <f>IF(CV394&lt;&gt;"GREŠKA","",AK394&amp;" "&amp;AL394&amp;" – Molim u OEventu provjeriti i ispraviti rezultat – vrijeme ("&amp;IF(CT394="","nije upisano",CT394)&amp;") i classifier ("&amp;CU394&amp;").")&amp;IF(OR(CV394&lt;&gt;"GREŠKA",CX394&lt;&gt;5),"
","")&amp;IF(CX394&lt;&gt;5,"",AK394&amp;" "&amp;AL394&amp;" – Molim u provjeriti je li natjecatelj zaista diskvalificiran. Ako je koje je obrazloženje, ako nije molim u OEventu ispraviti rezultat")</f>
        <v xml:space="preserve">
</v>
      </c>
      <c r="DA394" s="223" t="str">
        <f t="shared" si="342"/>
        <v/>
      </c>
      <c r="DB394" s="47" t="s">
        <v>0</v>
      </c>
      <c r="DC394" s="47"/>
      <c r="DD394" s="47"/>
      <c r="DE394" s="47"/>
      <c r="DF394" s="47" t="s">
        <v>0</v>
      </c>
      <c r="DG394" s="53" t="str">
        <f>IF(BD394="","",IF(DI394="O",1,""))</f>
        <v/>
      </c>
      <c r="DH394" t="s">
        <v>0</v>
      </c>
      <c r="DI394" s="128" t="str">
        <f>IF(Q394="","",LEFT(INDEX(regKategorija_oznaka,MATCH(S394,regKategorija_id,0)),1))</f>
        <v/>
      </c>
      <c r="DJ394" t="s">
        <v>0</v>
      </c>
      <c r="DK394" s="52" t="str">
        <f>IF(BD394="","",IF(M394&lt;&gt;"CRO","","INSERT INTO osoba (id,reg_broj,oib,spol_id,dat_rodjenja) VALUES ("&amp;BD394&amp;",(SELECT max(os.reg_broj)+1 FROM osoba AS os),Null,'"&amp;DI394&amp;"',Null); INSERT INTO osoba_log (id,reg_broj,oib,spol_id,dat_rodjenja,dnevnik_id) SELECT id,reg_broj,oib,spol_id,dat_rodjenja,"&amp;data_dnevnik_id&amp;" FROM osoba WHERE id = "&amp;BD394&amp;";"))</f>
        <v/>
      </c>
      <c r="DL394" s="66" t="str">
        <f>IF(BD394="","","INSERT INTO imeprezime (id,osoba_id,rbr,ime,prezime,klub_id,identitet_id,sintaksa_id,info,aktivno,dnevnik_id) VALUES ("&amp;BD394&amp;","&amp;IF(DK394="","Null",BD394)&amp;",1,'"&amp;IF(AV394&lt;&gt;"",AV394,AK394)&amp;"','"&amp;IF(AW394&lt;&gt;"",AW394,AL394)&amp;"',(SELECT id FROM klub WHERE naziv = '"&amp;CR394&amp;"'),Null,1,'',1,"&amp;data_dnevnik_id&amp;");")</f>
        <v/>
      </c>
      <c r="DM394" t="s">
        <v>0</v>
      </c>
      <c r="DN394" s="19" t="str">
        <f t="shared" si="350"/>
        <v/>
      </c>
      <c r="DO394" s="47" t="s">
        <v>0</v>
      </c>
      <c r="DP394" s="19" t="str">
        <f>IF(BA394="","","INSERT INTO imeprezime_alias(id,alias,imeprezime_id) VALUES ("&amp;BB394&amp;",'"&amp;BA394&amp;"',"&amp;IF(BC394="NEMA",BD394,BC394)&amp;");")</f>
        <v/>
      </c>
      <c r="DQ394" s="47" t="s">
        <v>0</v>
      </c>
      <c r="DR394" s="52" t="str">
        <f>IF(AL394="","",DU394 &amp; IF(Q394="",""," – " &amp; Q394))</f>
        <v/>
      </c>
      <c r="DS394" s="53" t="str">
        <f t="shared" si="312"/>
        <v/>
      </c>
      <c r="DT394" s="47" t="s">
        <v>0</v>
      </c>
      <c r="DU394" s="52" t="str">
        <f>IF(AL394="","",DX394 &amp; IF(CR394="",""," – " &amp; CR394))</f>
        <v/>
      </c>
      <c r="DV394" s="53" t="str">
        <f t="shared" si="313"/>
        <v/>
      </c>
      <c r="DW394" s="47" t="s">
        <v>0</v>
      </c>
      <c r="DX394" s="52" t="str">
        <f>IF(BG394="","",BF394&amp;" – "&amp;BG394)</f>
        <v/>
      </c>
      <c r="DY394" s="53" t="str">
        <f t="shared" si="314"/>
        <v/>
      </c>
      <c r="DZ394" s="47" t="s">
        <v>0</v>
      </c>
      <c r="EA394" s="58" t="str">
        <f t="shared" si="343"/>
        <v/>
      </c>
      <c r="EB394" s="53" t="str" cm="1">
        <f t="array" ref="EB394">IF(EA394&lt;&gt;"",INDEX(regNatjecatelj_id,EA394,0),IF(BD394&lt;&gt;"",BD394,""))</f>
        <v/>
      </c>
      <c r="EC394" s="47" t="s">
        <v>0</v>
      </c>
      <c r="ED394" s="58" t="str">
        <f>IF(AL394="","",IF(BD394&lt;&gt;"","novo",IF(AN394="","imepre","imepre(ali)")))</f>
        <v/>
      </c>
      <c r="EE394" s="73" t="str">
        <f>IF(AL394="","",IF(BL394="",IF(IFERROR(INDEX(regNatjecatelj_klub,MATCH(EB394,regNatjecatelj_id,0)),"NEMA")="","klu",""),IF(OR(AND(BN394&lt;&gt;"",BN394&lt;&gt;"NEMA"),CD394&lt;&gt;""),"klu(ali)",IF(AND(BP394&lt;&gt;"",BP394&lt;&gt;BO394),"(raz-klu)","klu"))))</f>
        <v/>
      </c>
      <c r="EF394" s="73" t="str">
        <f>IF(AL394="","","kat"&amp;IF(AND(W394&lt;&gt;Q394,Q394&lt;&gt;"Open"),"(ali)",""))</f>
        <v/>
      </c>
      <c r="EG394" s="73" t="str">
        <f t="shared" si="315"/>
        <v/>
      </c>
      <c r="EH394" s="66" t="str">
        <f>IF(AL394="","",ED394&amp;IF(ED394="novo","","-"&amp;EE394&amp;"-"&amp;EF394)&amp;IF(EG394="","","-"&amp;EG394))</f>
        <v/>
      </c>
      <c r="EI394" s="47" t="s">
        <v>0</v>
      </c>
      <c r="EJ394" s="58" t="str">
        <f>IF(AL394="","",MAX(EJ$12:EJ393)+1)</f>
        <v/>
      </c>
      <c r="EK394" s="73" t="str">
        <f>IF(AO394="","",X394)</f>
        <v/>
      </c>
      <c r="EL394" s="73" t="str">
        <f t="shared" si="344"/>
        <v/>
      </c>
      <c r="EM394" s="73" t="str">
        <f t="shared" si="316"/>
        <v/>
      </c>
      <c r="EN394" s="73" t="str">
        <f t="shared" si="317"/>
        <v/>
      </c>
      <c r="EO394" s="73" t="str">
        <f t="shared" si="345"/>
        <v/>
      </c>
      <c r="EP394" s="73" t="str">
        <f t="shared" si="346"/>
        <v/>
      </c>
      <c r="EQ394" s="73" t="str">
        <f t="shared" si="318"/>
        <v/>
      </c>
      <c r="ER394" s="73" t="str">
        <f>IF(OR(AN394="",AN394="NEMA"),BB394,AN394)</f>
        <v/>
      </c>
      <c r="ES394" s="73" t="str">
        <f>IF(AND(BN394&lt;&gt;"",BN394&lt;&gt;"NEMA"),BN394,IF(CG394&lt;&gt;"",CG394,IF(AND(CL394&lt;&gt;"",CL394&lt;&gt;"NEMA"),CL394,IF(CM394&lt;&gt;"",CM394,""))))</f>
        <v/>
      </c>
      <c r="ET394" s="53" t="str">
        <f>IF(INDEX(natKategorija_alias_Id,MATCH(S394,natKategorija_katRegId,0))="","",INDEX(natKategorija_alias_Id,MATCH(S394,natKategorija_katRegId,0)))</f>
        <v/>
      </c>
      <c r="EU394" s="47" t="s">
        <v>0</v>
      </c>
      <c r="EV394" s="19" t="str">
        <f t="shared" si="347"/>
        <v/>
      </c>
      <c r="EW394" s="47" t="s">
        <v>0</v>
      </c>
      <c r="EX394" s="19" t="str">
        <f t="shared" si="348"/>
        <v/>
      </c>
      <c r="EY394" s="47" t="s">
        <v>0</v>
      </c>
      <c r="EZ394" s="180" t="str">
        <f>AG394&amp;IF(CP394="","","
")&amp;CP394&amp;IF(CI394="","","
")&amp;CI394&amp;IF(DN394="","","
")&amp;DN394&amp;IF(DP394="","","
")&amp;DP394&amp;IF(EV394="","","
")&amp;EV394&amp;IF(EX394="","","
")&amp;EX394</f>
        <v/>
      </c>
      <c r="FA394" s="47" t="s">
        <v>0</v>
      </c>
    </row>
    <row r="395" spans="1:157" x14ac:dyDescent="0.25">
      <c r="A395" t="s">
        <v>0</v>
      </c>
      <c r="B395" s="52" t="str">
        <f>IF(csv!F385="","",csv!T385)</f>
        <v/>
      </c>
      <c r="C395" s="31" t="s">
        <v>0</v>
      </c>
      <c r="D395" s="31" t="str">
        <f>IF(csv!F385="","",csv!F385)</f>
        <v/>
      </c>
      <c r="E395" s="31" t="str">
        <f>IF(csv!E385="","",csv!E385)</f>
        <v/>
      </c>
      <c r="F395" s="31" t="s">
        <v>0</v>
      </c>
      <c r="G395" s="73" t="str">
        <f>IF(csv!M385="","",csv!M385)</f>
        <v/>
      </c>
      <c r="H395" s="73" t="str">
        <f>IF(csv!N385="","",csv!N385)</f>
        <v/>
      </c>
      <c r="I395" s="31" t="s">
        <v>0</v>
      </c>
      <c r="J395" s="31" t="str">
        <f>IF(csv!P385="","",csv!P385)</f>
        <v/>
      </c>
      <c r="K395" s="31" t="str">
        <f>IF(csv!Q385="","",csv!Q385)</f>
        <v/>
      </c>
      <c r="L395" s="31" t="s">
        <v>0</v>
      </c>
      <c r="M395" s="66" t="str">
        <f>IF(csv!R385="","",csv!R385)</f>
        <v/>
      </c>
      <c r="N395" s="47" t="s">
        <v>0</v>
      </c>
      <c r="O395" s="243" t="str">
        <f t="shared" si="319"/>
        <v/>
      </c>
      <c r="P395" s="47"/>
      <c r="Q395" s="52" t="str">
        <f t="shared" si="320"/>
        <v/>
      </c>
      <c r="R395" s="73" t="str">
        <f>IF(Q395="","",IF(COUNTIF(Q$12:Q394,Q395)=0,R394+1,R394))</f>
        <v/>
      </c>
      <c r="S395" s="73" t="str">
        <f t="shared" si="321"/>
        <v/>
      </c>
      <c r="T395" s="73" t="str">
        <f t="shared" si="297"/>
        <v/>
      </c>
      <c r="U395" s="66" t="str">
        <f t="shared" si="298"/>
        <v/>
      </c>
      <c r="V395" s="47" t="s">
        <v>0</v>
      </c>
      <c r="W395" s="222" t="str">
        <f t="shared" si="299"/>
        <v/>
      </c>
      <c r="X395" s="223" t="str">
        <f t="shared" si="300"/>
        <v/>
      </c>
      <c r="Y395" s="47" t="s">
        <v>0</v>
      </c>
      <c r="Z395" s="52" t="str">
        <f t="shared" si="322"/>
        <v/>
      </c>
      <c r="AA395" s="73" t="str">
        <f t="shared" si="301"/>
        <v/>
      </c>
      <c r="AB395" s="31" t="str">
        <f t="shared" si="323"/>
        <v/>
      </c>
      <c r="AC395" s="66" t="str">
        <f>IF(AB395="","",MAX(AC$12:AC394)+1)</f>
        <v/>
      </c>
      <c r="AD395" s="47" t="s">
        <v>0</v>
      </c>
      <c r="AE395" s="125"/>
      <c r="AF395" s="47" t="s">
        <v>0</v>
      </c>
      <c r="AG395" s="19" t="str">
        <f t="shared" si="324"/>
        <v/>
      </c>
      <c r="AH395" s="47" t="s">
        <v>0</v>
      </c>
      <c r="AI395" s="143" t="str">
        <f t="shared" si="325"/>
        <v/>
      </c>
      <c r="AJ395" s="47"/>
      <c r="AK395" s="52" t="str">
        <f t="shared" si="326"/>
        <v/>
      </c>
      <c r="AL395" s="31" t="str">
        <f t="shared" si="327"/>
        <v/>
      </c>
      <c r="AM395" s="73" t="str">
        <f t="shared" si="328"/>
        <v/>
      </c>
      <c r="AN395" s="73" t="str">
        <f t="shared" si="329"/>
        <v/>
      </c>
      <c r="AO395" s="31" t="str">
        <f t="shared" si="302"/>
        <v/>
      </c>
      <c r="AP395" s="66" t="str">
        <f t="shared" si="303"/>
        <v/>
      </c>
      <c r="AQ395" s="47" t="s">
        <v>0</v>
      </c>
      <c r="AR395" s="82" t="str">
        <f t="shared" si="330"/>
        <v/>
      </c>
      <c r="AS395" s="47" t="s">
        <v>0</v>
      </c>
      <c r="AT395" s="19" t="str">
        <f t="shared" si="331"/>
        <v/>
      </c>
      <c r="AU395" s="47" t="s">
        <v>0</v>
      </c>
      <c r="AV395" s="103"/>
      <c r="AW395" s="105"/>
      <c r="AX395" s="47" t="s">
        <v>0</v>
      </c>
      <c r="AY395" s="256" t="str">
        <f t="shared" si="349"/>
        <v/>
      </c>
      <c r="AZ395" s="47" t="s">
        <v>0</v>
      </c>
      <c r="BA395" s="52" t="str">
        <f t="shared" si="352"/>
        <v/>
      </c>
      <c r="BB395" s="73" t="str">
        <f>IF(AV395&amp;AW395="","",MAX(BB$12:BB394)+1)</f>
        <v/>
      </c>
      <c r="BC395" s="268" t="str">
        <f t="shared" si="304"/>
        <v/>
      </c>
      <c r="BD395" s="53" t="str">
        <f>IF(AND(AM395="NEMA",AN395="NEMA",OR(AV395&amp;AW395="",BC395="NEMA")),MAX(BD$12:BD394)+1,"")</f>
        <v/>
      </c>
      <c r="BE395" s="47" t="s">
        <v>0</v>
      </c>
      <c r="BF395" s="52" t="str">
        <f t="shared" si="305"/>
        <v/>
      </c>
      <c r="BG395" s="31" t="str">
        <f t="shared" si="306"/>
        <v/>
      </c>
      <c r="BH395" s="73" t="str">
        <f t="shared" si="332"/>
        <v/>
      </c>
      <c r="BI395" s="53" t="str">
        <f t="shared" si="333"/>
        <v/>
      </c>
      <c r="BJ395" s="47" t="s">
        <v>0</v>
      </c>
      <c r="BK395" s="52" t="str">
        <f t="shared" si="307"/>
        <v/>
      </c>
      <c r="BL395" s="31" t="str">
        <f t="shared" si="308"/>
        <v/>
      </c>
      <c r="BM395" s="73" t="str">
        <f t="shared" si="309"/>
        <v/>
      </c>
      <c r="BN395" s="73" t="str">
        <f t="shared" si="310"/>
        <v/>
      </c>
      <c r="BO395" s="31" t="str" cm="1">
        <f t="array" ref="BO395">IF(BN395="",""&amp;BL395,IF(BN395="NEMA",BL395,INDEX(regKlub_naziv,MATCH(INDEX(regKlub_alias_klubId,BN395),regKlub_id,0))))</f>
        <v/>
      </c>
      <c r="BP395" s="31" t="str" cm="1">
        <f t="array" ref="BP395">IFERROR(""&amp;INDEX(regNatjecatelj_klub,DY395),"")</f>
        <v/>
      </c>
      <c r="BQ395" s="88" t="str">
        <f t="shared" si="334"/>
        <v/>
      </c>
      <c r="BR395" s="66" t="str">
        <f t="shared" si="335"/>
        <v/>
      </c>
      <c r="BS395" s="47" t="s">
        <v>0</v>
      </c>
      <c r="BT395" s="82" t="str">
        <f>IF(BN395&lt;&gt;"NEMA","",IF(IFERROR(MATCH(BL395,BL$12:BL394,0),0)&lt;&gt;0,"",BL395))</f>
        <v/>
      </c>
      <c r="BU395" s="47" t="s">
        <v>0</v>
      </c>
      <c r="BV395" s="125"/>
      <c r="BW395" s="47" t="s">
        <v>0</v>
      </c>
      <c r="BX395" s="58" t="str">
        <f t="shared" si="336"/>
        <v/>
      </c>
      <c r="BY395" s="31" t="str">
        <f t="shared" si="337"/>
        <v/>
      </c>
      <c r="BZ395" s="31" t="str">
        <f>IF(BY395="","",MAX(BZ$12:BZ394)+1)</f>
        <v/>
      </c>
      <c r="CA395" s="31" t="str">
        <f>IF(BY395="","",IF(AA395="","",IF(AA395="NEMA",AC395,AA395)))</f>
        <v/>
      </c>
      <c r="CB395" s="31" t="str">
        <f t="shared" si="338"/>
        <v/>
      </c>
      <c r="CC395" s="31" t="str">
        <f>IF(BV395="","",MAX(CC$12:CC394)+1)</f>
        <v/>
      </c>
      <c r="CD395" s="31" t="str">
        <f t="shared" si="339"/>
        <v/>
      </c>
      <c r="CE395" s="66" t="str">
        <f t="shared" si="340"/>
        <v/>
      </c>
      <c r="CF395" s="47" t="s">
        <v>0</v>
      </c>
      <c r="CG395" s="73" t="str">
        <f>IF(BN395="","",IF(BN395&lt;&gt;"NEMA","",IFERROR(INDEX(nat_klubAliasId,MATCH(BL395,nat_noviKluboviAliasi,0)),"")))</f>
        <v/>
      </c>
      <c r="CH395" s="47"/>
      <c r="CI395" s="19" t="str">
        <f t="shared" si="341"/>
        <v/>
      </c>
      <c r="CJ395" s="47" t="s">
        <v>0</v>
      </c>
      <c r="CK395" s="52" t="str">
        <f>IF(X395&lt;&gt;"NEMA","",IF(IFERROR(MATCH(W395,W$12:W394,0),0)&lt;&gt;0,"",W395))</f>
        <v/>
      </c>
      <c r="CL395" s="73" t="str">
        <f>IF(CK395="","",IFERROR(INDEX(regKlub_alias_id,MATCH(CK395,regKlub_alias_alias,0)),"NEMA"))</f>
        <v/>
      </c>
      <c r="CM395" s="31" t="str">
        <f>IF(OR(CL395="",CL395&lt;&gt;"NEMA"),"",MAX(CM$12:CM394)+1)</f>
        <v/>
      </c>
      <c r="CN395" s="66" t="str">
        <f>IF(OR(CL395="",CL395&lt;&gt;"NEMA"),"",INDEX(regKlub_id,MATCH(CK395,regKlub_naziv,0)))</f>
        <v/>
      </c>
      <c r="CO395" s="47" t="s">
        <v>0</v>
      </c>
      <c r="CP395" s="19" t="str">
        <f>IF(OR(CL395="",CL395&lt;&gt;"NEMA"),"","INSERT INTO klub_alias(id,alias,klub_id) VALUES ("&amp;CM395&amp;",'"&amp;CK395&amp;"',"&amp;CN395&amp;");")</f>
        <v/>
      </c>
      <c r="CQ395" s="47" t="s">
        <v>0</v>
      </c>
      <c r="CR395" s="143" t="str">
        <f>IF(BR395="","",IF(BV395="",IF(IFERROR(MATCH(BR395,nat_noviKluboviAliasi,0),0)&gt;0,INDEX(nat_kluboviAliasi,MATCH(BR395,nat_noviKluboviAliasi,0)),BR395),BV395))</f>
        <v/>
      </c>
      <c r="CS395" s="47" t="s">
        <v>0</v>
      </c>
      <c r="CT395" s="58" t="str">
        <f>IF(G395="","",G395)</f>
        <v/>
      </c>
      <c r="CU395" s="73" t="str">
        <f>IF(H395="","",H395)</f>
        <v/>
      </c>
      <c r="CV395" s="229" t="str">
        <f>IF(CT395="",IF(OR(AL395="",CU395&lt;&gt;"0"),"","GREŠKA"),IF(AND(65535&gt;=VALUE(LEFT(CT395,SEARCH(":",CT395)-1))*60+VALUE(RIGHT(CT395,2)),OR(CU395="0",CU395="1",CU395="2",CU395="3",CU395="4")),"","GREŠKA"))</f>
        <v/>
      </c>
      <c r="CW395" s="230" t="str">
        <f t="shared" si="351"/>
        <v/>
      </c>
      <c r="CX395" s="163" t="str">
        <f t="shared" si="311"/>
        <v/>
      </c>
      <c r="CY395" s="47" t="s">
        <v>0</v>
      </c>
      <c r="CZ395" s="222" t="str">
        <f>IF(CV395&lt;&gt;"GREŠKA","",AK395&amp;" "&amp;AL395&amp;" – Molim u OEventu provjeriti i ispraviti rezultat – vrijeme ("&amp;IF(CT395="","nije upisano",CT395)&amp;") i classifier ("&amp;CU395&amp;").")&amp;IF(OR(CV395&lt;&gt;"GREŠKA",CX395&lt;&gt;5),"
","")&amp;IF(CX395&lt;&gt;5,"",AK395&amp;" "&amp;AL395&amp;" – Molim u provjeriti je li natjecatelj zaista diskvalificiran. Ako je koje je obrazloženje, ako nije molim u OEventu ispraviti rezultat")</f>
        <v xml:space="preserve">
</v>
      </c>
      <c r="DA395" s="223" t="str">
        <f t="shared" si="342"/>
        <v/>
      </c>
      <c r="DB395" s="47" t="s">
        <v>0</v>
      </c>
      <c r="DC395" s="47"/>
      <c r="DD395" s="47"/>
      <c r="DE395" s="47"/>
      <c r="DF395" s="47" t="s">
        <v>0</v>
      </c>
      <c r="DG395" s="53" t="str">
        <f>IF(BD395="","",IF(DI395="O",1,""))</f>
        <v/>
      </c>
      <c r="DH395" t="s">
        <v>0</v>
      </c>
      <c r="DI395" s="128" t="str">
        <f>IF(Q395="","",LEFT(INDEX(regKategorija_oznaka,MATCH(S395,regKategorija_id,0)),1))</f>
        <v/>
      </c>
      <c r="DJ395" t="s">
        <v>0</v>
      </c>
      <c r="DK395" s="52" t="str">
        <f>IF(BD395="","",IF(M395&lt;&gt;"CRO","","INSERT INTO osoba (id,reg_broj,oib,spol_id,dat_rodjenja) VALUES ("&amp;BD395&amp;",(SELECT max(os.reg_broj)+1 FROM osoba AS os),Null,'"&amp;DI395&amp;"',Null); INSERT INTO osoba_log (id,reg_broj,oib,spol_id,dat_rodjenja,dnevnik_id) SELECT id,reg_broj,oib,spol_id,dat_rodjenja,"&amp;data_dnevnik_id&amp;" FROM osoba WHERE id = "&amp;BD395&amp;";"))</f>
        <v/>
      </c>
      <c r="DL395" s="66" t="str">
        <f>IF(BD395="","","INSERT INTO imeprezime (id,osoba_id,rbr,ime,prezime,klub_id,identitet_id,sintaksa_id,info,aktivno,dnevnik_id) VALUES ("&amp;BD395&amp;","&amp;IF(DK395="","Null",BD395)&amp;",1,'"&amp;IF(AV395&lt;&gt;"",AV395,AK395)&amp;"','"&amp;IF(AW395&lt;&gt;"",AW395,AL395)&amp;"',(SELECT id FROM klub WHERE naziv = '"&amp;CR395&amp;"'),Null,1,'',1,"&amp;data_dnevnik_id&amp;");")</f>
        <v/>
      </c>
      <c r="DM395" t="s">
        <v>0</v>
      </c>
      <c r="DN395" s="19" t="str">
        <f t="shared" si="350"/>
        <v/>
      </c>
      <c r="DO395" s="47" t="s">
        <v>0</v>
      </c>
      <c r="DP395" s="19" t="str">
        <f>IF(BA395="","","INSERT INTO imeprezime_alias(id,alias,imeprezime_id) VALUES ("&amp;BB395&amp;",'"&amp;BA395&amp;"',"&amp;IF(BC395="NEMA",BD395,BC395)&amp;");")</f>
        <v/>
      </c>
      <c r="DQ395" s="47" t="s">
        <v>0</v>
      </c>
      <c r="DR395" s="52" t="str">
        <f>IF(AL395="","",DU395 &amp; IF(Q395="",""," – " &amp; Q395))</f>
        <v/>
      </c>
      <c r="DS395" s="53" t="str">
        <f t="shared" si="312"/>
        <v/>
      </c>
      <c r="DT395" s="47" t="s">
        <v>0</v>
      </c>
      <c r="DU395" s="52" t="str">
        <f>IF(AL395="","",DX395 &amp; IF(CR395="",""," – " &amp; CR395))</f>
        <v/>
      </c>
      <c r="DV395" s="53" t="str">
        <f t="shared" si="313"/>
        <v/>
      </c>
      <c r="DW395" s="47" t="s">
        <v>0</v>
      </c>
      <c r="DX395" s="52" t="str">
        <f>IF(BG395="","",BF395&amp;" – "&amp;BG395)</f>
        <v/>
      </c>
      <c r="DY395" s="53" t="str">
        <f t="shared" si="314"/>
        <v/>
      </c>
      <c r="DZ395" s="47" t="s">
        <v>0</v>
      </c>
      <c r="EA395" s="58" t="str">
        <f t="shared" si="343"/>
        <v/>
      </c>
      <c r="EB395" s="53" t="str" cm="1">
        <f t="array" ref="EB395">IF(EA395&lt;&gt;"",INDEX(regNatjecatelj_id,EA395,0),IF(BD395&lt;&gt;"",BD395,""))</f>
        <v/>
      </c>
      <c r="EC395" s="47" t="s">
        <v>0</v>
      </c>
      <c r="ED395" s="58" t="str">
        <f>IF(AL395="","",IF(BD395&lt;&gt;"","novo",IF(AN395="","imepre","imepre(ali)")))</f>
        <v/>
      </c>
      <c r="EE395" s="73" t="str">
        <f>IF(AL395="","",IF(BL395="",IF(IFERROR(INDEX(regNatjecatelj_klub,MATCH(EB395,regNatjecatelj_id,0)),"NEMA")="","klu",""),IF(OR(AND(BN395&lt;&gt;"",BN395&lt;&gt;"NEMA"),CD395&lt;&gt;""),"klu(ali)",IF(AND(BP395&lt;&gt;"",BP395&lt;&gt;BO395),"(raz-klu)","klu"))))</f>
        <v/>
      </c>
      <c r="EF395" s="73" t="str">
        <f>IF(AL395="","","kat"&amp;IF(AND(W395&lt;&gt;Q395,Q395&lt;&gt;"Open"),"(ali)",""))</f>
        <v/>
      </c>
      <c r="EG395" s="73" t="str">
        <f t="shared" si="315"/>
        <v/>
      </c>
      <c r="EH395" s="66" t="str">
        <f>IF(AL395="","",ED395&amp;IF(ED395="novo","","-"&amp;EE395&amp;"-"&amp;EF395)&amp;IF(EG395="","","-"&amp;EG395))</f>
        <v/>
      </c>
      <c r="EI395" s="47" t="s">
        <v>0</v>
      </c>
      <c r="EJ395" s="58" t="str">
        <f>IF(AL395="","",MAX(EJ$12:EJ394)+1)</f>
        <v/>
      </c>
      <c r="EK395" s="73" t="str">
        <f>IF(AO395="","",X395)</f>
        <v/>
      </c>
      <c r="EL395" s="73" t="str">
        <f t="shared" si="344"/>
        <v/>
      </c>
      <c r="EM395" s="73" t="str">
        <f t="shared" si="316"/>
        <v/>
      </c>
      <c r="EN395" s="73" t="str">
        <f t="shared" si="317"/>
        <v/>
      </c>
      <c r="EO395" s="73" t="str">
        <f t="shared" si="345"/>
        <v/>
      </c>
      <c r="EP395" s="73" t="str">
        <f t="shared" si="346"/>
        <v/>
      </c>
      <c r="EQ395" s="73" t="str">
        <f t="shared" si="318"/>
        <v/>
      </c>
      <c r="ER395" s="73" t="str">
        <f>IF(OR(AN395="",AN395="NEMA"),BB395,AN395)</f>
        <v/>
      </c>
      <c r="ES395" s="73" t="str">
        <f>IF(AND(BN395&lt;&gt;"",BN395&lt;&gt;"NEMA"),BN395,IF(CG395&lt;&gt;"",CG395,IF(AND(CL395&lt;&gt;"",CL395&lt;&gt;"NEMA"),CL395,IF(CM395&lt;&gt;"",CM395,""))))</f>
        <v/>
      </c>
      <c r="ET395" s="53" t="str">
        <f>IF(INDEX(natKategorija_alias_Id,MATCH(S395,natKategorija_katRegId,0))="","",INDEX(natKategorija_alias_Id,MATCH(S395,natKategorija_katRegId,0)))</f>
        <v/>
      </c>
      <c r="EU395" s="47" t="s">
        <v>0</v>
      </c>
      <c r="EV395" s="19" t="str">
        <f t="shared" si="347"/>
        <v/>
      </c>
      <c r="EW395" s="47" t="s">
        <v>0</v>
      </c>
      <c r="EX395" s="19" t="str">
        <f t="shared" si="348"/>
        <v/>
      </c>
      <c r="EY395" s="47" t="s">
        <v>0</v>
      </c>
      <c r="EZ395" s="180" t="str">
        <f>AG395&amp;IF(CP395="","","
")&amp;CP395&amp;IF(CI395="","","
")&amp;CI395&amp;IF(DN395="","","
")&amp;DN395&amp;IF(DP395="","","
")&amp;DP395&amp;IF(EV395="","","
")&amp;EV395&amp;IF(EX395="","","
")&amp;EX395</f>
        <v/>
      </c>
      <c r="FA395" s="47" t="s">
        <v>0</v>
      </c>
    </row>
    <row r="396" spans="1:157" x14ac:dyDescent="0.25">
      <c r="A396" t="s">
        <v>0</v>
      </c>
      <c r="B396" s="52" t="str">
        <f>IF(csv!F386="","",csv!T386)</f>
        <v/>
      </c>
      <c r="C396" s="31" t="s">
        <v>0</v>
      </c>
      <c r="D396" s="31" t="str">
        <f>IF(csv!F386="","",csv!F386)</f>
        <v/>
      </c>
      <c r="E396" s="31" t="str">
        <f>IF(csv!E386="","",csv!E386)</f>
        <v/>
      </c>
      <c r="F396" s="31" t="s">
        <v>0</v>
      </c>
      <c r="G396" s="73" t="str">
        <f>IF(csv!M386="","",csv!M386)</f>
        <v/>
      </c>
      <c r="H396" s="73" t="str">
        <f>IF(csv!N386="","",csv!N386)</f>
        <v/>
      </c>
      <c r="I396" s="31" t="s">
        <v>0</v>
      </c>
      <c r="J396" s="31" t="str">
        <f>IF(csv!P386="","",csv!P386)</f>
        <v/>
      </c>
      <c r="K396" s="31" t="str">
        <f>IF(csv!Q386="","",csv!Q386)</f>
        <v/>
      </c>
      <c r="L396" s="31" t="s">
        <v>0</v>
      </c>
      <c r="M396" s="66" t="str">
        <f>IF(csv!R386="","",csv!R386)</f>
        <v/>
      </c>
      <c r="N396" s="47" t="s">
        <v>0</v>
      </c>
      <c r="O396" s="243" t="str">
        <f t="shared" si="319"/>
        <v/>
      </c>
      <c r="P396" s="47"/>
      <c r="Q396" s="52" t="str">
        <f t="shared" si="320"/>
        <v/>
      </c>
      <c r="R396" s="73" t="str">
        <f>IF(Q396="","",IF(COUNTIF(Q$12:Q395,Q396)=0,R395+1,R395))</f>
        <v/>
      </c>
      <c r="S396" s="73" t="str">
        <f t="shared" si="321"/>
        <v/>
      </c>
      <c r="T396" s="73" t="str">
        <f t="shared" si="297"/>
        <v/>
      </c>
      <c r="U396" s="66" t="str">
        <f t="shared" si="298"/>
        <v/>
      </c>
      <c r="V396" s="47" t="s">
        <v>0</v>
      </c>
      <c r="W396" s="222" t="str">
        <f t="shared" si="299"/>
        <v/>
      </c>
      <c r="X396" s="223" t="str">
        <f t="shared" si="300"/>
        <v/>
      </c>
      <c r="Y396" s="47" t="s">
        <v>0</v>
      </c>
      <c r="Z396" s="52" t="str">
        <f t="shared" si="322"/>
        <v/>
      </c>
      <c r="AA396" s="73" t="str">
        <f t="shared" si="301"/>
        <v/>
      </c>
      <c r="AB396" s="31" t="str">
        <f t="shared" si="323"/>
        <v/>
      </c>
      <c r="AC396" s="66" t="str">
        <f>IF(AB396="","",MAX(AC$12:AC395)+1)</f>
        <v/>
      </c>
      <c r="AD396" s="47" t="s">
        <v>0</v>
      </c>
      <c r="AE396" s="125"/>
      <c r="AF396" s="47" t="s">
        <v>0</v>
      </c>
      <c r="AG396" s="19" t="str">
        <f t="shared" si="324"/>
        <v/>
      </c>
      <c r="AH396" s="47" t="s">
        <v>0</v>
      </c>
      <c r="AI396" s="143" t="str">
        <f t="shared" si="325"/>
        <v/>
      </c>
      <c r="AJ396" s="47"/>
      <c r="AK396" s="52" t="str">
        <f t="shared" si="326"/>
        <v/>
      </c>
      <c r="AL396" s="31" t="str">
        <f t="shared" si="327"/>
        <v/>
      </c>
      <c r="AM396" s="73" t="str">
        <f t="shared" si="328"/>
        <v/>
      </c>
      <c r="AN396" s="73" t="str">
        <f t="shared" si="329"/>
        <v/>
      </c>
      <c r="AO396" s="31" t="str">
        <f t="shared" si="302"/>
        <v/>
      </c>
      <c r="AP396" s="66" t="str">
        <f t="shared" si="303"/>
        <v/>
      </c>
      <c r="AQ396" s="47" t="s">
        <v>0</v>
      </c>
      <c r="AR396" s="82" t="str">
        <f t="shared" si="330"/>
        <v/>
      </c>
      <c r="AS396" s="47" t="s">
        <v>0</v>
      </c>
      <c r="AT396" s="19" t="str">
        <f t="shared" si="331"/>
        <v/>
      </c>
      <c r="AU396" s="47" t="s">
        <v>0</v>
      </c>
      <c r="AV396" s="103"/>
      <c r="AW396" s="105"/>
      <c r="AX396" s="47" t="s">
        <v>0</v>
      </c>
      <c r="AY396" s="256" t="str">
        <f t="shared" si="349"/>
        <v/>
      </c>
      <c r="AZ396" s="47" t="s">
        <v>0</v>
      </c>
      <c r="BA396" s="52" t="str">
        <f t="shared" si="352"/>
        <v/>
      </c>
      <c r="BB396" s="73" t="str">
        <f>IF(AV396&amp;AW396="","",MAX(BB$12:BB395)+1)</f>
        <v/>
      </c>
      <c r="BC396" s="268" t="str">
        <f t="shared" si="304"/>
        <v/>
      </c>
      <c r="BD396" s="53" t="str">
        <f>IF(AND(AM396="NEMA",AN396="NEMA",OR(AV396&amp;AW396="",BC396="NEMA")),MAX(BD$12:BD395)+1,"")</f>
        <v/>
      </c>
      <c r="BE396" s="47" t="s">
        <v>0</v>
      </c>
      <c r="BF396" s="52" t="str">
        <f t="shared" si="305"/>
        <v/>
      </c>
      <c r="BG396" s="31" t="str">
        <f t="shared" si="306"/>
        <v/>
      </c>
      <c r="BH396" s="73" t="str">
        <f t="shared" si="332"/>
        <v/>
      </c>
      <c r="BI396" s="53" t="str">
        <f t="shared" si="333"/>
        <v/>
      </c>
      <c r="BJ396" s="47" t="s">
        <v>0</v>
      </c>
      <c r="BK396" s="52" t="str">
        <f t="shared" si="307"/>
        <v/>
      </c>
      <c r="BL396" s="31" t="str">
        <f t="shared" si="308"/>
        <v/>
      </c>
      <c r="BM396" s="73" t="str">
        <f t="shared" si="309"/>
        <v/>
      </c>
      <c r="BN396" s="73" t="str">
        <f t="shared" si="310"/>
        <v/>
      </c>
      <c r="BO396" s="31" t="str" cm="1">
        <f t="array" ref="BO396">IF(BN396="",""&amp;BL396,IF(BN396="NEMA",BL396,INDEX(regKlub_naziv,MATCH(INDEX(regKlub_alias_klubId,BN396),regKlub_id,0))))</f>
        <v/>
      </c>
      <c r="BP396" s="31" t="str" cm="1">
        <f t="array" ref="BP396">IFERROR(""&amp;INDEX(regNatjecatelj_klub,DY396),"")</f>
        <v/>
      </c>
      <c r="BQ396" s="88" t="str">
        <f t="shared" si="334"/>
        <v/>
      </c>
      <c r="BR396" s="66" t="str">
        <f t="shared" si="335"/>
        <v/>
      </c>
      <c r="BS396" s="47" t="s">
        <v>0</v>
      </c>
      <c r="BT396" s="82" t="str">
        <f>IF(BN396&lt;&gt;"NEMA","",IF(IFERROR(MATCH(BL396,BL$12:BL395,0),0)&lt;&gt;0,"",BL396))</f>
        <v/>
      </c>
      <c r="BU396" s="47" t="s">
        <v>0</v>
      </c>
      <c r="BV396" s="125"/>
      <c r="BW396" s="47" t="s">
        <v>0</v>
      </c>
      <c r="BX396" s="58" t="str">
        <f t="shared" si="336"/>
        <v/>
      </c>
      <c r="BY396" s="31" t="str">
        <f t="shared" si="337"/>
        <v/>
      </c>
      <c r="BZ396" s="31" t="str">
        <f>IF(BY396="","",MAX(BZ$12:BZ395)+1)</f>
        <v/>
      </c>
      <c r="CA396" s="31" t="str">
        <f>IF(BY396="","",IF(AA396="","",IF(AA396="NEMA",AC396,AA396)))</f>
        <v/>
      </c>
      <c r="CB396" s="31" t="str">
        <f t="shared" si="338"/>
        <v/>
      </c>
      <c r="CC396" s="31" t="str">
        <f>IF(BV396="","",MAX(CC$12:CC395)+1)</f>
        <v/>
      </c>
      <c r="CD396" s="31" t="str">
        <f t="shared" si="339"/>
        <v/>
      </c>
      <c r="CE396" s="66" t="str">
        <f t="shared" si="340"/>
        <v/>
      </c>
      <c r="CF396" s="47" t="s">
        <v>0</v>
      </c>
      <c r="CG396" s="73" t="str">
        <f>IF(BN396="","",IF(BN396&lt;&gt;"NEMA","",IFERROR(INDEX(nat_klubAliasId,MATCH(BL396,nat_noviKluboviAliasi,0)),"")))</f>
        <v/>
      </c>
      <c r="CH396" s="47"/>
      <c r="CI396" s="19" t="str">
        <f t="shared" si="341"/>
        <v/>
      </c>
      <c r="CJ396" s="47" t="s">
        <v>0</v>
      </c>
      <c r="CK396" s="52" t="str">
        <f>IF(X396&lt;&gt;"NEMA","",IF(IFERROR(MATCH(W396,W$12:W395,0),0)&lt;&gt;0,"",W396))</f>
        <v/>
      </c>
      <c r="CL396" s="73" t="str">
        <f>IF(CK396="","",IFERROR(INDEX(regKlub_alias_id,MATCH(CK396,regKlub_alias_alias,0)),"NEMA"))</f>
        <v/>
      </c>
      <c r="CM396" s="31" t="str">
        <f>IF(OR(CL396="",CL396&lt;&gt;"NEMA"),"",MAX(CM$12:CM395)+1)</f>
        <v/>
      </c>
      <c r="CN396" s="66" t="str">
        <f>IF(OR(CL396="",CL396&lt;&gt;"NEMA"),"",INDEX(regKlub_id,MATCH(CK396,regKlub_naziv,0)))</f>
        <v/>
      </c>
      <c r="CO396" s="47" t="s">
        <v>0</v>
      </c>
      <c r="CP396" s="19" t="str">
        <f>IF(OR(CL396="",CL396&lt;&gt;"NEMA"),"","INSERT INTO klub_alias(id,alias,klub_id) VALUES ("&amp;CM396&amp;",'"&amp;CK396&amp;"',"&amp;CN396&amp;");")</f>
        <v/>
      </c>
      <c r="CQ396" s="47" t="s">
        <v>0</v>
      </c>
      <c r="CR396" s="143" t="str">
        <f>IF(BR396="","",IF(BV396="",IF(IFERROR(MATCH(BR396,nat_noviKluboviAliasi,0),0)&gt;0,INDEX(nat_kluboviAliasi,MATCH(BR396,nat_noviKluboviAliasi,0)),BR396),BV396))</f>
        <v/>
      </c>
      <c r="CS396" s="47" t="s">
        <v>0</v>
      </c>
      <c r="CT396" s="58" t="str">
        <f>IF(G396="","",G396)</f>
        <v/>
      </c>
      <c r="CU396" s="73" t="str">
        <f>IF(H396="","",H396)</f>
        <v/>
      </c>
      <c r="CV396" s="229" t="str">
        <f>IF(CT396="",IF(OR(AL396="",CU396&lt;&gt;"0"),"","GREŠKA"),IF(AND(65535&gt;=VALUE(LEFT(CT396,SEARCH(":",CT396)-1))*60+VALUE(RIGHT(CT396,2)),OR(CU396="0",CU396="1",CU396="2",CU396="3",CU396="4")),"","GREŠKA"))</f>
        <v/>
      </c>
      <c r="CW396" s="230" t="str">
        <f t="shared" si="351"/>
        <v/>
      </c>
      <c r="CX396" s="163" t="str">
        <f t="shared" si="311"/>
        <v/>
      </c>
      <c r="CY396" s="47" t="s">
        <v>0</v>
      </c>
      <c r="CZ396" s="222" t="str">
        <f>IF(CV396&lt;&gt;"GREŠKA","",AK396&amp;" "&amp;AL396&amp;" – Molim u OEventu provjeriti i ispraviti rezultat – vrijeme ("&amp;IF(CT396="","nije upisano",CT396)&amp;") i classifier ("&amp;CU396&amp;").")&amp;IF(OR(CV396&lt;&gt;"GREŠKA",CX396&lt;&gt;5),"
","")&amp;IF(CX396&lt;&gt;5,"",AK396&amp;" "&amp;AL396&amp;" – Molim u provjeriti je li natjecatelj zaista diskvalificiran. Ako je koje je obrazloženje, ako nije molim u OEventu ispraviti rezultat")</f>
        <v xml:space="preserve">
</v>
      </c>
      <c r="DA396" s="223" t="str">
        <f t="shared" si="342"/>
        <v/>
      </c>
      <c r="DB396" s="47" t="s">
        <v>0</v>
      </c>
      <c r="DC396" s="47"/>
      <c r="DD396" s="47"/>
      <c r="DE396" s="47"/>
      <c r="DF396" s="47" t="s">
        <v>0</v>
      </c>
      <c r="DG396" s="53" t="str">
        <f>IF(BD396="","",IF(DI396="O",1,""))</f>
        <v/>
      </c>
      <c r="DH396" t="s">
        <v>0</v>
      </c>
      <c r="DI396" s="128" t="str">
        <f>IF(Q396="","",LEFT(INDEX(regKategorija_oznaka,MATCH(S396,regKategorija_id,0)),1))</f>
        <v/>
      </c>
      <c r="DJ396" t="s">
        <v>0</v>
      </c>
      <c r="DK396" s="52" t="str">
        <f>IF(BD396="","",IF(M396&lt;&gt;"CRO","","INSERT INTO osoba (id,reg_broj,oib,spol_id,dat_rodjenja) VALUES ("&amp;BD396&amp;",(SELECT max(os.reg_broj)+1 FROM osoba AS os),Null,'"&amp;DI396&amp;"',Null); INSERT INTO osoba_log (id,reg_broj,oib,spol_id,dat_rodjenja,dnevnik_id) SELECT id,reg_broj,oib,spol_id,dat_rodjenja,"&amp;data_dnevnik_id&amp;" FROM osoba WHERE id = "&amp;BD396&amp;";"))</f>
        <v/>
      </c>
      <c r="DL396" s="66" t="str">
        <f>IF(BD396="","","INSERT INTO imeprezime (id,osoba_id,rbr,ime,prezime,klub_id,identitet_id,sintaksa_id,info,aktivno,dnevnik_id) VALUES ("&amp;BD396&amp;","&amp;IF(DK396="","Null",BD396)&amp;",1,'"&amp;IF(AV396&lt;&gt;"",AV396,AK396)&amp;"','"&amp;IF(AW396&lt;&gt;"",AW396,AL396)&amp;"',(SELECT id FROM klub WHERE naziv = '"&amp;CR396&amp;"'),Null,1,'',1,"&amp;data_dnevnik_id&amp;");")</f>
        <v/>
      </c>
      <c r="DM396" t="s">
        <v>0</v>
      </c>
      <c r="DN396" s="19" t="str">
        <f t="shared" si="350"/>
        <v/>
      </c>
      <c r="DO396" s="47" t="s">
        <v>0</v>
      </c>
      <c r="DP396" s="19" t="str">
        <f>IF(BA396="","","INSERT INTO imeprezime_alias(id,alias,imeprezime_id) VALUES ("&amp;BB396&amp;",'"&amp;BA396&amp;"',"&amp;IF(BC396="NEMA",BD396,BC396)&amp;");")</f>
        <v/>
      </c>
      <c r="DQ396" s="47" t="s">
        <v>0</v>
      </c>
      <c r="DR396" s="52" t="str">
        <f>IF(AL396="","",DU396 &amp; IF(Q396="",""," – " &amp; Q396))</f>
        <v/>
      </c>
      <c r="DS396" s="53" t="str">
        <f t="shared" si="312"/>
        <v/>
      </c>
      <c r="DT396" s="47" t="s">
        <v>0</v>
      </c>
      <c r="DU396" s="52" t="str">
        <f>IF(AL396="","",DX396 &amp; IF(CR396="",""," – " &amp; CR396))</f>
        <v/>
      </c>
      <c r="DV396" s="53" t="str">
        <f t="shared" si="313"/>
        <v/>
      </c>
      <c r="DW396" s="47" t="s">
        <v>0</v>
      </c>
      <c r="DX396" s="52" t="str">
        <f>IF(BG396="","",BF396&amp;" – "&amp;BG396)</f>
        <v/>
      </c>
      <c r="DY396" s="53" t="str">
        <f t="shared" si="314"/>
        <v/>
      </c>
      <c r="DZ396" s="47" t="s">
        <v>0</v>
      </c>
      <c r="EA396" s="58" t="str">
        <f t="shared" si="343"/>
        <v/>
      </c>
      <c r="EB396" s="53" t="str" cm="1">
        <f t="array" ref="EB396">IF(EA396&lt;&gt;"",INDEX(regNatjecatelj_id,EA396,0),IF(BD396&lt;&gt;"",BD396,""))</f>
        <v/>
      </c>
      <c r="EC396" s="47" t="s">
        <v>0</v>
      </c>
      <c r="ED396" s="58" t="str">
        <f>IF(AL396="","",IF(BD396&lt;&gt;"","novo",IF(AN396="","imepre","imepre(ali)")))</f>
        <v/>
      </c>
      <c r="EE396" s="73" t="str">
        <f>IF(AL396="","",IF(BL396="",IF(IFERROR(INDEX(regNatjecatelj_klub,MATCH(EB396,regNatjecatelj_id,0)),"NEMA")="","klu",""),IF(OR(AND(BN396&lt;&gt;"",BN396&lt;&gt;"NEMA"),CD396&lt;&gt;""),"klu(ali)",IF(AND(BP396&lt;&gt;"",BP396&lt;&gt;BO396),"(raz-klu)","klu"))))</f>
        <v/>
      </c>
      <c r="EF396" s="73" t="str">
        <f>IF(AL396="","","kat"&amp;IF(AND(W396&lt;&gt;Q396,Q396&lt;&gt;"Open"),"(ali)",""))</f>
        <v/>
      </c>
      <c r="EG396" s="73" t="str">
        <f t="shared" si="315"/>
        <v/>
      </c>
      <c r="EH396" s="66" t="str">
        <f>IF(AL396="","",ED396&amp;IF(ED396="novo","","-"&amp;EE396&amp;"-"&amp;EF396)&amp;IF(EG396="","","-"&amp;EG396))</f>
        <v/>
      </c>
      <c r="EI396" s="47" t="s">
        <v>0</v>
      </c>
      <c r="EJ396" s="58" t="str">
        <f>IF(AL396="","",MAX(EJ$12:EJ395)+1)</f>
        <v/>
      </c>
      <c r="EK396" s="73" t="str">
        <f>IF(AO396="","",X396)</f>
        <v/>
      </c>
      <c r="EL396" s="73" t="str">
        <f t="shared" si="344"/>
        <v/>
      </c>
      <c r="EM396" s="73" t="str">
        <f t="shared" si="316"/>
        <v/>
      </c>
      <c r="EN396" s="73" t="str">
        <f t="shared" si="317"/>
        <v/>
      </c>
      <c r="EO396" s="73" t="str">
        <f t="shared" si="345"/>
        <v/>
      </c>
      <c r="EP396" s="73" t="str">
        <f t="shared" si="346"/>
        <v/>
      </c>
      <c r="EQ396" s="73" t="str">
        <f t="shared" si="318"/>
        <v/>
      </c>
      <c r="ER396" s="73" t="str">
        <f>IF(OR(AN396="",AN396="NEMA"),BB396,AN396)</f>
        <v/>
      </c>
      <c r="ES396" s="73" t="str">
        <f>IF(AND(BN396&lt;&gt;"",BN396&lt;&gt;"NEMA"),BN396,IF(CG396&lt;&gt;"",CG396,IF(AND(CL396&lt;&gt;"",CL396&lt;&gt;"NEMA"),CL396,IF(CM396&lt;&gt;"",CM396,""))))</f>
        <v/>
      </c>
      <c r="ET396" s="53" t="str">
        <f>IF(INDEX(natKategorija_alias_Id,MATCH(S396,natKategorija_katRegId,0))="","",INDEX(natKategorija_alias_Id,MATCH(S396,natKategorija_katRegId,0)))</f>
        <v/>
      </c>
      <c r="EU396" s="47" t="s">
        <v>0</v>
      </c>
      <c r="EV396" s="19" t="str">
        <f t="shared" si="347"/>
        <v/>
      </c>
      <c r="EW396" s="47" t="s">
        <v>0</v>
      </c>
      <c r="EX396" s="19" t="str">
        <f t="shared" si="348"/>
        <v/>
      </c>
      <c r="EY396" s="47" t="s">
        <v>0</v>
      </c>
      <c r="EZ396" s="180" t="str">
        <f>AG396&amp;IF(CP396="","","
")&amp;CP396&amp;IF(CI396="","","
")&amp;CI396&amp;IF(DN396="","","
")&amp;DN396&amp;IF(DP396="","","
")&amp;DP396&amp;IF(EV396="","","
")&amp;EV396&amp;IF(EX396="","","
")&amp;EX396</f>
        <v/>
      </c>
      <c r="FA396" s="47" t="s">
        <v>0</v>
      </c>
    </row>
    <row r="397" spans="1:157" x14ac:dyDescent="0.25">
      <c r="A397" t="s">
        <v>0</v>
      </c>
      <c r="B397" s="52" t="str">
        <f>IF(csv!F387="","",csv!T387)</f>
        <v/>
      </c>
      <c r="C397" s="31" t="s">
        <v>0</v>
      </c>
      <c r="D397" s="31" t="str">
        <f>IF(csv!F387="","",csv!F387)</f>
        <v/>
      </c>
      <c r="E397" s="31" t="str">
        <f>IF(csv!E387="","",csv!E387)</f>
        <v/>
      </c>
      <c r="F397" s="31" t="s">
        <v>0</v>
      </c>
      <c r="G397" s="73" t="str">
        <f>IF(csv!M387="","",csv!M387)</f>
        <v/>
      </c>
      <c r="H397" s="73" t="str">
        <f>IF(csv!N387="","",csv!N387)</f>
        <v/>
      </c>
      <c r="I397" s="31" t="s">
        <v>0</v>
      </c>
      <c r="J397" s="31" t="str">
        <f>IF(csv!P387="","",csv!P387)</f>
        <v/>
      </c>
      <c r="K397" s="31" t="str">
        <f>IF(csv!Q387="","",csv!Q387)</f>
        <v/>
      </c>
      <c r="L397" s="31" t="s">
        <v>0</v>
      </c>
      <c r="M397" s="66" t="str">
        <f>IF(csv!R387="","",csv!R387)</f>
        <v/>
      </c>
      <c r="N397" s="47" t="s">
        <v>0</v>
      </c>
      <c r="O397" s="243" t="str">
        <f t="shared" si="319"/>
        <v/>
      </c>
      <c r="P397" s="47"/>
      <c r="Q397" s="52" t="str">
        <f t="shared" si="320"/>
        <v/>
      </c>
      <c r="R397" s="73" t="str">
        <f>IF(Q397="","",IF(COUNTIF(Q$12:Q396,Q397)=0,R396+1,R396))</f>
        <v/>
      </c>
      <c r="S397" s="73" t="str">
        <f t="shared" si="321"/>
        <v/>
      </c>
      <c r="T397" s="73" t="str">
        <f t="shared" ref="T397:T412" si="353">IF(Q397="","",IFERROR(INDEX(natStaza_id,MATCH(Q397,natStaza_kategorija,0)),""))</f>
        <v/>
      </c>
      <c r="U397" s="66" t="str">
        <f t="shared" ref="U397:U412" si="354">IF(T397="","",INDEX(natStaza_naziv,MATCH(T397,natStaza_id,0)))</f>
        <v/>
      </c>
      <c r="V397" s="47" t="s">
        <v>0</v>
      </c>
      <c r="W397" s="222" t="str">
        <f t="shared" ref="W397:W412" si="355">IF(O397="","",INDEX(regKategorija_oznaka,MATCH(S397,regKategorija_id,0)))</f>
        <v/>
      </c>
      <c r="X397" s="223" t="str">
        <f t="shared" ref="X397:X412" si="356">IF(W397="","",INDEX(natKategorija_stazaKatId,MATCH(S397,natKategorija_katRegId,0)))</f>
        <v/>
      </c>
      <c r="Y397" s="47" t="s">
        <v>0</v>
      </c>
      <c r="Z397" s="52" t="str">
        <f t="shared" si="322"/>
        <v/>
      </c>
      <c r="AA397" s="73" t="str">
        <f t="shared" ref="AA397:AA412" si="357">IF(Z397="","",IFERROR(INDEX(regDrzava_id,MATCH(Z397,regDrzava_oznaka,0)),"NEMA"))</f>
        <v/>
      </c>
      <c r="AB397" s="31" t="str">
        <f t="shared" si="323"/>
        <v/>
      </c>
      <c r="AC397" s="66" t="str">
        <f>IF(AB397="","",MAX(AC$12:AC396)+1)</f>
        <v/>
      </c>
      <c r="AD397" s="47" t="s">
        <v>0</v>
      </c>
      <c r="AE397" s="125"/>
      <c r="AF397" s="47" t="s">
        <v>0</v>
      </c>
      <c r="AG397" s="19" t="str">
        <f t="shared" si="324"/>
        <v/>
      </c>
      <c r="AH397" s="47" t="s">
        <v>0</v>
      </c>
      <c r="AI397" s="143" t="str">
        <f t="shared" si="325"/>
        <v/>
      </c>
      <c r="AJ397" s="47"/>
      <c r="AK397" s="52" t="str">
        <f t="shared" si="326"/>
        <v/>
      </c>
      <c r="AL397" s="31" t="str">
        <f t="shared" si="327"/>
        <v/>
      </c>
      <c r="AM397" s="73" t="str">
        <f t="shared" si="328"/>
        <v/>
      </c>
      <c r="AN397" s="73" t="str">
        <f t="shared" si="329"/>
        <v/>
      </c>
      <c r="AO397" s="31" t="str">
        <f t="shared" ref="AO397:AO412" si="358">IF(O397="","",IF(OR(AN397="",AN397="NEMA"),AK397,INDEX(regNatjecatelj_ime,MATCH(AN397,regNatjecatelj_id,0))))</f>
        <v/>
      </c>
      <c r="AP397" s="66" t="str">
        <f t="shared" ref="AP397:AP412" si="359">IF(O397="","",IF(OR(AN397="",AN397="NEMA"),AL397,INDEX(regNatjecatelj_prezime,MATCH(AN397,regNatjecatelj_id,0))))</f>
        <v/>
      </c>
      <c r="AQ397" s="47" t="s">
        <v>0</v>
      </c>
      <c r="AR397" s="82" t="str">
        <f t="shared" si="330"/>
        <v/>
      </c>
      <c r="AS397" s="47" t="s">
        <v>0</v>
      </c>
      <c r="AT397" s="19" t="str">
        <f t="shared" si="331"/>
        <v/>
      </c>
      <c r="AU397" s="47" t="s">
        <v>0</v>
      </c>
      <c r="AV397" s="103"/>
      <c r="AW397" s="105"/>
      <c r="AX397" s="47" t="s">
        <v>0</v>
      </c>
      <c r="AY397" s="256" t="str">
        <f t="shared" si="349"/>
        <v/>
      </c>
      <c r="AZ397" s="47" t="s">
        <v>0</v>
      </c>
      <c r="BA397" s="52" t="str">
        <f t="shared" si="352"/>
        <v/>
      </c>
      <c r="BB397" s="73" t="str">
        <f>IF(AV397&amp;AW397="","",MAX(BB$12:BB396)+1)</f>
        <v/>
      </c>
      <c r="BC397" s="268" t="str">
        <f t="shared" ref="BC397:BC412" si="360">IF(AV397&amp;AW397="","",IFERROR(INDEX(regNatjecatelj_id,MATCH(AV397&amp;" – "&amp;AW397,regNatjecatelj_imePrezime,0)),"NEMA"))</f>
        <v/>
      </c>
      <c r="BD397" s="53" t="str">
        <f>IF(AND(AM397="NEMA",AN397="NEMA",OR(AV397&amp;AW397="",BC397="NEMA")),MAX(BD$12:BD396)+1,"")</f>
        <v/>
      </c>
      <c r="BE397" s="47" t="s">
        <v>0</v>
      </c>
      <c r="BF397" s="52" t="str">
        <f t="shared" ref="BF397:BF412" si="361">IF(O397="","",IF(BC397="",AO397,IF(BC397="NEMA",AV397,INDEX(regNatjecatelj_ime,MATCH(BC397,regNatjecatelj_id,0)))))</f>
        <v/>
      </c>
      <c r="BG397" s="31" t="str">
        <f t="shared" ref="BG397:BG412" si="362">IF(O397="","",IF(BC397="",AP397,IF(BC397="NEMA",AW397,INDEX(regNatjecatelj_prezime,MATCH(BC397,regNatjecatelj_id,0)))))</f>
        <v/>
      </c>
      <c r="BH397" s="73" t="str">
        <f t="shared" si="332"/>
        <v/>
      </c>
      <c r="BI397" s="53" t="str">
        <f t="shared" si="333"/>
        <v/>
      </c>
      <c r="BJ397" s="47" t="s">
        <v>0</v>
      </c>
      <c r="BK397" s="52" t="str">
        <f t="shared" ref="BK397:BK412" si="363">IF(O397="","",J397)</f>
        <v/>
      </c>
      <c r="BL397" s="31" t="str">
        <f t="shared" ref="BL397:BL412" si="364">IF(O397="","",K397)</f>
        <v/>
      </c>
      <c r="BM397" s="73" t="str">
        <f t="shared" ref="BM397:BM460" si="365">IF(BL397="","",IFERROR(INDEX(regKlub_id,MATCH(BL397,regKlub_naziv,0)),"NEMA"))</f>
        <v/>
      </c>
      <c r="BN397" s="73" t="str">
        <f t="shared" ref="BN397:BN412" si="366">IF(BL397="","",IF(IFERROR(MATCH(BL397,regKlub_naziv,0),"")&lt;&gt;"","",IFERROR(MATCH(BL397,regKlub_alias_alias,0),"NEMA")))</f>
        <v/>
      </c>
      <c r="BO397" s="31" t="str" cm="1">
        <f t="array" ref="BO397">IF(BN397="",""&amp;BL397,IF(BN397="NEMA",BL397,INDEX(regKlub_naziv,MATCH(INDEX(regKlub_alias_klubId,BN397),regKlub_id,0))))</f>
        <v/>
      </c>
      <c r="BP397" s="31" t="str" cm="1">
        <f t="array" ref="BP397">IFERROR(""&amp;INDEX(regNatjecatelj_klub,DY397),"")</f>
        <v/>
      </c>
      <c r="BQ397" s="88" t="str">
        <f t="shared" si="334"/>
        <v/>
      </c>
      <c r="BR397" s="66" t="str">
        <f t="shared" si="335"/>
        <v/>
      </c>
      <c r="BS397" s="47" t="s">
        <v>0</v>
      </c>
      <c r="BT397" s="82" t="str">
        <f>IF(BN397&lt;&gt;"NEMA","",IF(IFERROR(MATCH(BL397,BL$12:BL396,0),0)&lt;&gt;0,"",BL397))</f>
        <v/>
      </c>
      <c r="BU397" s="47" t="s">
        <v>0</v>
      </c>
      <c r="BV397" s="125"/>
      <c r="BW397" s="47" t="s">
        <v>0</v>
      </c>
      <c r="BX397" s="58" t="str">
        <f t="shared" si="336"/>
        <v/>
      </c>
      <c r="BY397" s="31" t="str">
        <f t="shared" si="337"/>
        <v/>
      </c>
      <c r="BZ397" s="31" t="str">
        <f>IF(BY397="","",MAX(BZ$12:BZ396)+1)</f>
        <v/>
      </c>
      <c r="CA397" s="31" t="str">
        <f>IF(BY397="","",IF(AA397="","",IF(AA397="NEMA",AC397,AA397)))</f>
        <v/>
      </c>
      <c r="CB397" s="31" t="str">
        <f t="shared" si="338"/>
        <v/>
      </c>
      <c r="CC397" s="31" t="str">
        <f>IF(BV397="","",MAX(CC$12:CC396)+1)</f>
        <v/>
      </c>
      <c r="CD397" s="31" t="str">
        <f t="shared" si="339"/>
        <v/>
      </c>
      <c r="CE397" s="66" t="str">
        <f t="shared" si="340"/>
        <v/>
      </c>
      <c r="CF397" s="47" t="s">
        <v>0</v>
      </c>
      <c r="CG397" s="73" t="str">
        <f>IF(BN397="","",IF(BN397&lt;&gt;"NEMA","",IFERROR(INDEX(nat_klubAliasId,MATCH(BL397,nat_noviKluboviAliasi,0)),"")))</f>
        <v/>
      </c>
      <c r="CH397" s="47"/>
      <c r="CI397" s="19" t="str">
        <f t="shared" si="341"/>
        <v/>
      </c>
      <c r="CJ397" s="47" t="s">
        <v>0</v>
      </c>
      <c r="CK397" s="52" t="str">
        <f>IF(X397&lt;&gt;"NEMA","",IF(IFERROR(MATCH(W397,W$12:W396,0),0)&lt;&gt;0,"",W397))</f>
        <v/>
      </c>
      <c r="CL397" s="73" t="str">
        <f>IF(CK397="","",IFERROR(INDEX(regKlub_alias_id,MATCH(CK397,regKlub_alias_alias,0)),"NEMA"))</f>
        <v/>
      </c>
      <c r="CM397" s="31" t="str">
        <f>IF(OR(CL397="",CL397&lt;&gt;"NEMA"),"",MAX(CM$12:CM396)+1)</f>
        <v/>
      </c>
      <c r="CN397" s="66" t="str">
        <f>IF(OR(CL397="",CL397&lt;&gt;"NEMA"),"",INDEX(regKlub_id,MATCH(CK397,regKlub_naziv,0)))</f>
        <v/>
      </c>
      <c r="CO397" s="47" t="s">
        <v>0</v>
      </c>
      <c r="CP397" s="19" t="str">
        <f>IF(OR(CL397="",CL397&lt;&gt;"NEMA"),"","INSERT INTO klub_alias(id,alias,klub_id) VALUES ("&amp;CM397&amp;",'"&amp;CK397&amp;"',"&amp;CN397&amp;");")</f>
        <v/>
      </c>
      <c r="CQ397" s="47" t="s">
        <v>0</v>
      </c>
      <c r="CR397" s="143" t="str">
        <f>IF(BR397="","",IF(BV397="",IF(IFERROR(MATCH(BR397,nat_noviKluboviAliasi,0),0)&gt;0,INDEX(nat_kluboviAliasi,MATCH(BR397,nat_noviKluboviAliasi,0)),BR397),BV397))</f>
        <v/>
      </c>
      <c r="CS397" s="47" t="s">
        <v>0</v>
      </c>
      <c r="CT397" s="58" t="str">
        <f>IF(G397="","",G397)</f>
        <v/>
      </c>
      <c r="CU397" s="73" t="str">
        <f>IF(H397="","",H397)</f>
        <v/>
      </c>
      <c r="CV397" s="229" t="str">
        <f>IF(CT397="",IF(OR(AL397="",CU397&lt;&gt;"0"),"","GREŠKA"),IF(AND(65535&gt;=VALUE(LEFT(CT397,SEARCH(":",CT397)-1))*60+VALUE(RIGHT(CT397,2)),OR(CU397="0",CU397="1",CU397="2",CU397="3",CU397="4")),"","GREŠKA"))</f>
        <v/>
      </c>
      <c r="CW397" s="230" t="str">
        <f t="shared" si="351"/>
        <v/>
      </c>
      <c r="CX397" s="163" t="str">
        <f t="shared" ref="CX397:CX412" si="367">IF(DX397="","",IF(AND(CU397="0",N(CW397)&gt;data_max_minuta*60),2,INDEX(regStatusRezultat_id,MATCH(VALUE(CU397),regStatusRezultat_oEvent,0))))</f>
        <v/>
      </c>
      <c r="CY397" s="47" t="s">
        <v>0</v>
      </c>
      <c r="CZ397" s="222" t="str">
        <f>IF(CV397&lt;&gt;"GREŠKA","",AK397&amp;" "&amp;AL397&amp;" – Molim u OEventu provjeriti i ispraviti rezultat – vrijeme ("&amp;IF(CT397="","nije upisano",CT397)&amp;") i classifier ("&amp;CU397&amp;").")&amp;IF(OR(CV397&lt;&gt;"GREŠKA",CX397&lt;&gt;5),"
","")&amp;IF(CX397&lt;&gt;5,"",AK397&amp;" "&amp;AL397&amp;" – Molim u provjeriti je li natjecatelj zaista diskvalificiran. Ako je koje je obrazloženje, ako nije molim u OEventu ispraviti rezultat")</f>
        <v xml:space="preserve">
</v>
      </c>
      <c r="DA397" s="223" t="str">
        <f t="shared" si="342"/>
        <v/>
      </c>
      <c r="DB397" s="47" t="s">
        <v>0</v>
      </c>
      <c r="DC397" s="47"/>
      <c r="DD397" s="47"/>
      <c r="DE397" s="47"/>
      <c r="DF397" s="47" t="s">
        <v>0</v>
      </c>
      <c r="DG397" s="53" t="str">
        <f>IF(BD397="","",IF(DI397="O",1,""))</f>
        <v/>
      </c>
      <c r="DH397" t="s">
        <v>0</v>
      </c>
      <c r="DI397" s="128" t="str">
        <f>IF(Q397="","",LEFT(INDEX(regKategorija_oznaka,MATCH(S397,regKategorija_id,0)),1))</f>
        <v/>
      </c>
      <c r="DJ397" t="s">
        <v>0</v>
      </c>
      <c r="DK397" s="52" t="str">
        <f>IF(BD397="","",IF(M397&lt;&gt;"CRO","","INSERT INTO osoba (id,reg_broj,oib,spol_id,dat_rodjenja) VALUES ("&amp;BD397&amp;",(SELECT max(os.reg_broj)+1 FROM osoba AS os),Null,'"&amp;DI397&amp;"',Null); INSERT INTO osoba_log (id,reg_broj,oib,spol_id,dat_rodjenja,dnevnik_id) SELECT id,reg_broj,oib,spol_id,dat_rodjenja,"&amp;data_dnevnik_id&amp;" FROM osoba WHERE id = "&amp;BD397&amp;";"))</f>
        <v/>
      </c>
      <c r="DL397" s="66" t="str">
        <f>IF(BD397="","","INSERT INTO imeprezime (id,osoba_id,rbr,ime,prezime,klub_id,identitet_id,sintaksa_id,info,aktivno,dnevnik_id) VALUES ("&amp;BD397&amp;","&amp;IF(DK397="","Null",BD397)&amp;",1,'"&amp;IF(AV397&lt;&gt;"",AV397,AK397)&amp;"','"&amp;IF(AW397&lt;&gt;"",AW397,AL397)&amp;"',(SELECT id FROM klub WHERE naziv = '"&amp;CR397&amp;"'),Null,1,'',1,"&amp;data_dnevnik_id&amp;");")</f>
        <v/>
      </c>
      <c r="DM397" t="s">
        <v>0</v>
      </c>
      <c r="DN397" s="19" t="str">
        <f t="shared" si="350"/>
        <v/>
      </c>
      <c r="DO397" s="47" t="s">
        <v>0</v>
      </c>
      <c r="DP397" s="19" t="str">
        <f>IF(BA397="","","INSERT INTO imeprezime_alias(id,alias,imeprezime_id) VALUES ("&amp;BB397&amp;",'"&amp;BA397&amp;"',"&amp;IF(BC397="NEMA",BD397,BC397)&amp;");")</f>
        <v/>
      </c>
      <c r="DQ397" s="47" t="s">
        <v>0</v>
      </c>
      <c r="DR397" s="52" t="str">
        <f>IF(AL397="","",DU397 &amp; IF(Q397="",""," – " &amp; Q397))</f>
        <v/>
      </c>
      <c r="DS397" s="53" t="str">
        <f t="shared" ref="DS397:DS412" si="368">IF(DR397="","",IFERROR(MATCH(DR397,regNatjecatelj_imePrezimeKlubKategorija,0),"NEMA"))</f>
        <v/>
      </c>
      <c r="DT397" s="47" t="s">
        <v>0</v>
      </c>
      <c r="DU397" s="52" t="str">
        <f>IF(AL397="","",DX397 &amp; IF(CR397="",""," – " &amp; CR397))</f>
        <v/>
      </c>
      <c r="DV397" s="53" t="str">
        <f t="shared" ref="DV397:DV412" si="369">IF(DU397="","",IFERROR(MATCH(DU397,regNatjecatelj_imePrezimeKlub,0),"NEMA"))</f>
        <v/>
      </c>
      <c r="DW397" s="47" t="s">
        <v>0</v>
      </c>
      <c r="DX397" s="52" t="str">
        <f>IF(BG397="","",BF397&amp;" – "&amp;BG397)</f>
        <v/>
      </c>
      <c r="DY397" s="53" t="str">
        <f t="shared" ref="DY397:DY412" si="370">IF(DX397="","",IFERROR(MATCH(DX397,regNatjecatelj_imePrezime,0),"NEMA"))</f>
        <v/>
      </c>
      <c r="DZ397" s="47" t="s">
        <v>0</v>
      </c>
      <c r="EA397" s="58" t="str">
        <f t="shared" si="343"/>
        <v/>
      </c>
      <c r="EB397" s="53" t="str" cm="1">
        <f t="array" ref="EB397">IF(EA397&lt;&gt;"",INDEX(regNatjecatelj_id,EA397,0),IF(BD397&lt;&gt;"",BD397,""))</f>
        <v/>
      </c>
      <c r="EC397" s="47" t="s">
        <v>0</v>
      </c>
      <c r="ED397" s="58" t="str">
        <f>IF(AL397="","",IF(BD397&lt;&gt;"","novo",IF(AN397="","imepre","imepre(ali)")))</f>
        <v/>
      </c>
      <c r="EE397" s="73" t="str">
        <f>IF(AL397="","",IF(BL397="",IF(IFERROR(INDEX(regNatjecatelj_klub,MATCH(EB397,regNatjecatelj_id,0)),"NEMA")="","klu",""),IF(OR(AND(BN397&lt;&gt;"",BN397&lt;&gt;"NEMA"),CD397&lt;&gt;""),"klu(ali)",IF(AND(BP397&lt;&gt;"",BP397&lt;&gt;BO397),"(raz-klu)","klu"))))</f>
        <v/>
      </c>
      <c r="EF397" s="73" t="str">
        <f>IF(AL397="","","kat"&amp;IF(AND(W397&lt;&gt;Q397,Q397&lt;&gt;"Open"),"(ali)",""))</f>
        <v/>
      </c>
      <c r="EG397" s="73" t="str">
        <f t="shared" ref="EG397:EG412" si="371">IF(OR(CV397&lt;&gt;"",CX397=2),"ot","")</f>
        <v/>
      </c>
      <c r="EH397" s="66" t="str">
        <f>IF(AL397="","",ED397&amp;IF(ED397="novo","","-"&amp;EE397&amp;"-"&amp;EF397)&amp;IF(EG397="","","-"&amp;EG397))</f>
        <v/>
      </c>
      <c r="EI397" s="47" t="s">
        <v>0</v>
      </c>
      <c r="EJ397" s="58" t="str">
        <f>IF(AL397="","",MAX(EJ$12:EJ396)+1)</f>
        <v/>
      </c>
      <c r="EK397" s="73" t="str">
        <f>IF(AO397="","",X397)</f>
        <v/>
      </c>
      <c r="EL397" s="73" t="str">
        <f t="shared" si="344"/>
        <v/>
      </c>
      <c r="EM397" s="73" t="str">
        <f t="shared" ref="EM397:EM412" si="372">IF(CW397="","",CW397)</f>
        <v/>
      </c>
      <c r="EN397" s="73" t="str">
        <f t="shared" ref="EN397:EN412" si="373">IF(CX397="","",IF(AND(EM397="",CX397=1),6,CX397))</f>
        <v/>
      </c>
      <c r="EO397" s="73" t="str">
        <f t="shared" si="345"/>
        <v/>
      </c>
      <c r="EP397" s="73" t="str">
        <f t="shared" si="346"/>
        <v/>
      </c>
      <c r="EQ397" s="73" t="str">
        <f t="shared" ref="EQ397:EQ412" si="374">IF(CX397="","",CU397)</f>
        <v/>
      </c>
      <c r="ER397" s="73" t="str">
        <f>IF(OR(AN397="",AN397="NEMA"),BB397,AN397)</f>
        <v/>
      </c>
      <c r="ES397" s="73" t="str">
        <f>IF(AND(BN397&lt;&gt;"",BN397&lt;&gt;"NEMA"),BN397,IF(CG397&lt;&gt;"",CG397,IF(AND(CL397&lt;&gt;"",CL397&lt;&gt;"NEMA"),CL397,IF(CM397&lt;&gt;"",CM397,""))))</f>
        <v/>
      </c>
      <c r="ET397" s="53" t="str">
        <f>IF(INDEX(natKategorija_alias_Id,MATCH(S397,natKategorija_katRegId,0))="","",INDEX(natKategorija_alias_Id,MATCH(S397,natKategorija_katRegId,0)))</f>
        <v/>
      </c>
      <c r="EU397" s="47" t="s">
        <v>0</v>
      </c>
      <c r="EV397" s="19" t="str">
        <f t="shared" si="347"/>
        <v/>
      </c>
      <c r="EW397" s="47" t="s">
        <v>0</v>
      </c>
      <c r="EX397" s="19" t="str">
        <f t="shared" si="348"/>
        <v/>
      </c>
      <c r="EY397" s="47" t="s">
        <v>0</v>
      </c>
      <c r="EZ397" s="180" t="str">
        <f>AG397&amp;IF(CP397="","","
")&amp;CP397&amp;IF(CI397="","","
")&amp;CI397&amp;IF(DN397="","","
")&amp;DN397&amp;IF(DP397="","","
")&amp;DP397&amp;IF(EV397="","","
")&amp;EV397&amp;IF(EX397="","","
")&amp;EX397</f>
        <v/>
      </c>
      <c r="FA397" s="47" t="s">
        <v>0</v>
      </c>
    </row>
    <row r="398" spans="1:157" x14ac:dyDescent="0.25">
      <c r="A398" t="s">
        <v>0</v>
      </c>
      <c r="B398" s="52" t="str">
        <f>IF(csv!F388="","",csv!T388)</f>
        <v/>
      </c>
      <c r="C398" s="31" t="s">
        <v>0</v>
      </c>
      <c r="D398" s="31" t="str">
        <f>IF(csv!F388="","",csv!F388)</f>
        <v/>
      </c>
      <c r="E398" s="31" t="str">
        <f>IF(csv!E388="","",csv!E388)</f>
        <v/>
      </c>
      <c r="F398" s="31" t="s">
        <v>0</v>
      </c>
      <c r="G398" s="73" t="str">
        <f>IF(csv!M388="","",csv!M388)</f>
        <v/>
      </c>
      <c r="H398" s="73" t="str">
        <f>IF(csv!N388="","",csv!N388)</f>
        <v/>
      </c>
      <c r="I398" s="31" t="s">
        <v>0</v>
      </c>
      <c r="J398" s="31" t="str">
        <f>IF(csv!P388="","",csv!P388)</f>
        <v/>
      </c>
      <c r="K398" s="31" t="str">
        <f>IF(csv!Q388="","",csv!Q388)</f>
        <v/>
      </c>
      <c r="L398" s="31" t="s">
        <v>0</v>
      </c>
      <c r="M398" s="66" t="str">
        <f>IF(csv!R388="","",csv!R388)</f>
        <v/>
      </c>
      <c r="N398" s="47" t="s">
        <v>0</v>
      </c>
      <c r="O398" s="243" t="str">
        <f t="shared" ref="O398:O412" si="375">IF(E398="","","ok")</f>
        <v/>
      </c>
      <c r="P398" s="47"/>
      <c r="Q398" s="52" t="str">
        <f t="shared" ref="Q398:Q412" si="376">IF(B398="","",B398)</f>
        <v/>
      </c>
      <c r="R398" s="73" t="str">
        <f>IF(Q398="","",IF(COUNTIF(Q$12:Q397,Q398)=0,R397+1,R397))</f>
        <v/>
      </c>
      <c r="S398" s="73" t="str">
        <f t="shared" ref="S398:S412" si="377">IF(Q398="","",IFERROR(INDEX(regKategorija_id,MATCH(Q398,regKategorija_oznaka,0)),IFERROR(INDEX(regKategorija_alias_id,MATCH(Q398,regKategorija_alias_oznaka,0)),INDEX(natKategorija_katRegId,MATCH(Q398,natKategorija_kategorija,0)))))</f>
        <v/>
      </c>
      <c r="T398" s="73" t="str">
        <f t="shared" si="353"/>
        <v/>
      </c>
      <c r="U398" s="66" t="str">
        <f t="shared" si="354"/>
        <v/>
      </c>
      <c r="V398" s="47" t="s">
        <v>0</v>
      </c>
      <c r="W398" s="222" t="str">
        <f t="shared" si="355"/>
        <v/>
      </c>
      <c r="X398" s="223" t="str">
        <f t="shared" si="356"/>
        <v/>
      </c>
      <c r="Y398" s="47" t="s">
        <v>0</v>
      </c>
      <c r="Z398" s="52" t="str">
        <f t="shared" ref="Z398:Z412" si="378">IF(O398="","",M398)</f>
        <v/>
      </c>
      <c r="AA398" s="73" t="str">
        <f t="shared" si="357"/>
        <v/>
      </c>
      <c r="AB398" s="31" t="str">
        <f t="shared" ref="AB398:AB412" si="379">IF(OR(AA398="",AA398&lt;&gt;"NEMA"),"",Z398)</f>
        <v/>
      </c>
      <c r="AC398" s="66" t="str">
        <f>IF(AB398="","",MAX(AC$12:AC397)+1)</f>
        <v/>
      </c>
      <c r="AD398" s="47" t="s">
        <v>0</v>
      </c>
      <c r="AE398" s="125"/>
      <c r="AF398" s="47" t="s">
        <v>0</v>
      </c>
      <c r="AG398" s="19" t="str">
        <f t="shared" ref="AG398:AG412" si="380">IF(AB398="","","INSERT INTO drzava(id,naziv,oznaka) VALUES ("&amp;AC398&amp;",'"&amp;AE398&amp;"','"&amp;UPPER(LEFT(AB398,1))&amp;LOWER(RIGHT(AB398,2))&amp;"');")</f>
        <v/>
      </c>
      <c r="AH398" s="47" t="s">
        <v>0</v>
      </c>
      <c r="AI398" s="143" t="str">
        <f t="shared" ref="AI398:AI412" si="381">IF(AA398="","",IF(AA398="NEMA",AB398,Z398))</f>
        <v/>
      </c>
      <c r="AJ398" s="47"/>
      <c r="AK398" s="52" t="str">
        <f t="shared" ref="AK398:AK412" si="382">IF(O398="","",D398)</f>
        <v/>
      </c>
      <c r="AL398" s="31" t="str">
        <f t="shared" ref="AL398:AL412" si="383">IF(O398="","",E398)</f>
        <v/>
      </c>
      <c r="AM398" s="73" t="str">
        <f t="shared" ref="AM398:AM412" si="384">IF(AL398="","",IFERROR(INDEX(regNatjecatelj_id,MATCH(AK398&amp;" – "&amp;AL398,regNatjecatelj_imePrezime,0)),"NEMA"))</f>
        <v/>
      </c>
      <c r="AN398" s="73" t="str">
        <f t="shared" ref="AN398:AN412" si="385">IF(AM398&lt;&gt;"NEMA","",IFERROR(INDEX(regNatjecatelj_alias_natjecateljId,MATCH(AK398&amp;" "&amp;AL398,regNatjecatelj_alias_alias,0)),"NEMA"))</f>
        <v/>
      </c>
      <c r="AO398" s="31" t="str">
        <f t="shared" si="358"/>
        <v/>
      </c>
      <c r="AP398" s="66" t="str">
        <f t="shared" si="359"/>
        <v/>
      </c>
      <c r="AQ398" s="47" t="s">
        <v>0</v>
      </c>
      <c r="AR398" s="82" t="str">
        <f t="shared" ref="AR398:AR412" si="386">IF(OR(O398="",AN398&lt;&gt;"NEMA"),"",AK398&amp;" "&amp;AL398)</f>
        <v/>
      </c>
      <c r="AS398" s="47" t="s">
        <v>0</v>
      </c>
      <c r="AT398" s="19" t="str">
        <f t="shared" ref="AT398:AT412" si="387">IF(OR(AM398&lt;&gt;"NEMA",AN398&lt;&gt;"NEMA"),"","SELECT '"&amp;AO398&amp;" – "&amp;AP398&amp;"', ime, prezime FROM imeprezime WHERE ime LIKE '%"&amp;MID(AO398,2,LEN(AO398)-2)&amp;"%' Or prezime LIKE '%"&amp;MID(AP398,2,LEN(AP398)-2)&amp;"%' Or ime LIKE '%"&amp;MID(AP398,2,LEN(AP398)-2)&amp;"%' Or prezime LIKE '%"&amp;MID(AO398,2,LEN(AO398)-2)&amp;"%' ORDER BY ime, prezime;")</f>
        <v/>
      </c>
      <c r="AU398" s="47" t="s">
        <v>0</v>
      </c>
      <c r="AV398" s="103"/>
      <c r="AW398" s="105"/>
      <c r="AX398" s="47" t="s">
        <v>0</v>
      </c>
      <c r="AY398" s="256" t="str">
        <f t="shared" si="349"/>
        <v/>
      </c>
      <c r="AZ398" s="47" t="s">
        <v>0</v>
      </c>
      <c r="BA398" s="52" t="str">
        <f t="shared" si="352"/>
        <v/>
      </c>
      <c r="BB398" s="73" t="str">
        <f>IF(AV398&amp;AW398="","",MAX(BB$12:BB397)+1)</f>
        <v/>
      </c>
      <c r="BC398" s="268" t="str">
        <f t="shared" si="360"/>
        <v/>
      </c>
      <c r="BD398" s="53" t="str">
        <f>IF(AND(AM398="NEMA",AN398="NEMA",OR(AV398&amp;AW398="",BC398="NEMA")),MAX(BD$12:BD397)+1,"")</f>
        <v/>
      </c>
      <c r="BE398" s="47" t="s">
        <v>0</v>
      </c>
      <c r="BF398" s="52" t="str">
        <f t="shared" si="361"/>
        <v/>
      </c>
      <c r="BG398" s="31" t="str">
        <f t="shared" si="362"/>
        <v/>
      </c>
      <c r="BH398" s="73" t="str">
        <f t="shared" ref="BH398:BH412" si="388">IF(AND(AN398&lt;&gt;"",AN398&lt;&gt;"NEMA"),AN398,IF(BB398&lt;&gt;"",BB398,""))</f>
        <v/>
      </c>
      <c r="BI398" s="53" t="str">
        <f t="shared" ref="BI398:BI412" si="389">IF(AND(AM398&lt;&gt;"",AM398&lt;&gt;"NEMA"),AM398,IF(BC398&lt;&gt;"",BC398,IF(BD398&lt;&gt;"",BD398,"")))</f>
        <v/>
      </c>
      <c r="BJ398" s="47" t="s">
        <v>0</v>
      </c>
      <c r="BK398" s="52" t="str">
        <f t="shared" si="363"/>
        <v/>
      </c>
      <c r="BL398" s="31" t="str">
        <f t="shared" si="364"/>
        <v/>
      </c>
      <c r="BM398" s="73" t="str">
        <f t="shared" si="365"/>
        <v/>
      </c>
      <c r="BN398" s="73" t="str">
        <f t="shared" si="366"/>
        <v/>
      </c>
      <c r="BO398" s="31" t="str" cm="1">
        <f t="array" ref="BO398">IF(BN398="",""&amp;BL398,IF(BN398="NEMA",BL398,INDEX(regKlub_naziv,MATCH(INDEX(regKlub_alias_klubId,BN398),regKlub_id,0))))</f>
        <v/>
      </c>
      <c r="BP398" s="31" t="str" cm="1">
        <f t="array" ref="BP398">IFERROR(""&amp;INDEX(regNatjecatelj_klub,DY398),"")</f>
        <v/>
      </c>
      <c r="BQ398" s="88" t="str">
        <f t="shared" ref="BQ398:BQ412" si="390">IF(BO398=BP398,"",IF(BP398="","",1))</f>
        <v/>
      </c>
      <c r="BR398" s="66" t="str">
        <f t="shared" ref="BR398:BR412" si="391">IF(AND(BP398&lt;&gt;"",BP398&lt;&gt;BO398),BP398,""&amp;BO398)</f>
        <v/>
      </c>
      <c r="BS398" s="47" t="s">
        <v>0</v>
      </c>
      <c r="BT398" s="82" t="str">
        <f>IF(BN398&lt;&gt;"NEMA","",IF(IFERROR(MATCH(BL398,BL$12:BL397,0),0)&lt;&gt;0,"",BL398))</f>
        <v/>
      </c>
      <c r="BU398" s="47" t="s">
        <v>0</v>
      </c>
      <c r="BV398" s="125"/>
      <c r="BW398" s="47" t="s">
        <v>0</v>
      </c>
      <c r="BX398" s="58" t="str">
        <f t="shared" ref="BX398:BX412" si="392">IF(BV398="","",IFERROR(INDEX(regKlub_id,MATCH(BV398,regKlub_naziv,0)),"NEMA"))</f>
        <v/>
      </c>
      <c r="BY398" s="31" t="str">
        <f t="shared" ref="BY398:BY412" si="393">IF(BT398="","",IF(BV398="",BT398,""))</f>
        <v/>
      </c>
      <c r="BZ398" s="31" t="str">
        <f>IF(BY398="","",MAX(BZ$12:BZ397)+1)</f>
        <v/>
      </c>
      <c r="CA398" s="31" t="str">
        <f>IF(BY398="","",IF(AA398="","",IF(AA398="NEMA",AC398,AA398)))</f>
        <v/>
      </c>
      <c r="CB398" s="31" t="str">
        <f t="shared" ref="CB398:CB412" si="394">IF(BY398="","","INSERT INTO klub(id,naziv,drzava_id,aktivan) VALUES ("&amp;BZ398&amp;",'"&amp;BY398&amp;"',"&amp;CA398&amp;",1);")</f>
        <v/>
      </c>
      <c r="CC398" s="31" t="str">
        <f>IF(BV398="","",MAX(CC$12:CC397)+1)</f>
        <v/>
      </c>
      <c r="CD398" s="31" t="str">
        <f t="shared" ref="CD398:CD412" si="395">IF(BV398="","",IF(BZ398="",INDEX(regKlub_id,MATCH(BV398,regKlub_naziv,0)),BZ398))</f>
        <v/>
      </c>
      <c r="CE398" s="66" t="str">
        <f t="shared" ref="CE398:CE412" si="396">IF(BV398="","","INSERT INTO klub_alias(id,alias,klub_id) VALUES ("&amp;CC398&amp;",'"&amp;BT398&amp;"',"&amp;CD398&amp;");")</f>
        <v/>
      </c>
      <c r="CF398" s="47" t="s">
        <v>0</v>
      </c>
      <c r="CG398" s="73" t="str">
        <f>IF(BN398="","",IF(BN398&lt;&gt;"NEMA","",IFERROR(INDEX(nat_klubAliasId,MATCH(BL398,nat_noviKluboviAliasi,0)),"")))</f>
        <v/>
      </c>
      <c r="CH398" s="47"/>
      <c r="CI398" s="19" t="str">
        <f t="shared" ref="CI398:CI412" si="397">""&amp;CB398&amp;IF(AND(CB398&lt;&gt;"",CE398&lt;&gt;""),"
","")&amp;CE398</f>
        <v/>
      </c>
      <c r="CJ398" s="47" t="s">
        <v>0</v>
      </c>
      <c r="CK398" s="52" t="str">
        <f>IF(X398&lt;&gt;"NEMA","",IF(IFERROR(MATCH(W398,W$12:W397,0),0)&lt;&gt;0,"",W398))</f>
        <v/>
      </c>
      <c r="CL398" s="73" t="str">
        <f>IF(CK398="","",IFERROR(INDEX(regKlub_alias_id,MATCH(CK398,regKlub_alias_alias,0)),"NEMA"))</f>
        <v/>
      </c>
      <c r="CM398" s="31" t="str">
        <f>IF(OR(CL398="",CL398&lt;&gt;"NEMA"),"",MAX(CM$12:CM397)+1)</f>
        <v/>
      </c>
      <c r="CN398" s="66" t="str">
        <f>IF(OR(CL398="",CL398&lt;&gt;"NEMA"),"",INDEX(regKlub_id,MATCH(CK398,regKlub_naziv,0)))</f>
        <v/>
      </c>
      <c r="CO398" s="47" t="s">
        <v>0</v>
      </c>
      <c r="CP398" s="19" t="str">
        <f>IF(OR(CL398="",CL398&lt;&gt;"NEMA"),"","INSERT INTO klub_alias(id,alias,klub_id) VALUES ("&amp;CM398&amp;",'"&amp;CK398&amp;"',"&amp;CN398&amp;");")</f>
        <v/>
      </c>
      <c r="CQ398" s="47" t="s">
        <v>0</v>
      </c>
      <c r="CR398" s="143" t="str">
        <f>IF(BR398="","",IF(BV398="",IF(IFERROR(MATCH(BR398,nat_noviKluboviAliasi,0),0)&gt;0,INDEX(nat_kluboviAliasi,MATCH(BR398,nat_noviKluboviAliasi,0)),BR398),BV398))</f>
        <v/>
      </c>
      <c r="CS398" s="47" t="s">
        <v>0</v>
      </c>
      <c r="CT398" s="58" t="str">
        <f>IF(G398="","",G398)</f>
        <v/>
      </c>
      <c r="CU398" s="73" t="str">
        <f>IF(H398="","",H398)</f>
        <v/>
      </c>
      <c r="CV398" s="229" t="str">
        <f>IF(CT398="",IF(OR(AL398="",CU398&lt;&gt;"0"),"","GREŠKA"),IF(AND(65535&gt;=VALUE(LEFT(CT398,SEARCH(":",CT398)-1))*60+VALUE(RIGHT(CT398,2)),OR(CU398="0",CU398="1",CU398="2",CU398="3",CU398="4")),"","GREŠKA"))</f>
        <v/>
      </c>
      <c r="CW398" s="230" t="str">
        <f t="shared" si="351"/>
        <v/>
      </c>
      <c r="CX398" s="163" t="str">
        <f t="shared" si="367"/>
        <v/>
      </c>
      <c r="CY398" s="47" t="s">
        <v>0</v>
      </c>
      <c r="CZ398" s="222" t="str">
        <f>IF(CV398&lt;&gt;"GREŠKA","",AK398&amp;" "&amp;AL398&amp;" – Molim u OEventu provjeriti i ispraviti rezultat – vrijeme ("&amp;IF(CT398="","nije upisano",CT398)&amp;") i classifier ("&amp;CU398&amp;").")&amp;IF(OR(CV398&lt;&gt;"GREŠKA",CX398&lt;&gt;5),"
","")&amp;IF(CX398&lt;&gt;5,"",AK398&amp;" "&amp;AL398&amp;" – Molim u provjeriti je li natjecatelj zaista diskvalificiran. Ako je koje je obrazloženje, ako nije molim u OEventu ispraviti rezultat")</f>
        <v xml:space="preserve">
</v>
      </c>
      <c r="DA398" s="223" t="str">
        <f t="shared" ref="DA398:DA412" si="398">IF(EA398="","",IF(AND(CX398="0",N(CZ398)&gt;data_max_minuta*60),2,INDEX(regStatusRezultat_id,MATCH(VALUE(CX398),regStatusRezultat_oEvent,0))))</f>
        <v/>
      </c>
      <c r="DB398" s="47" t="s">
        <v>0</v>
      </c>
      <c r="DC398" s="47"/>
      <c r="DD398" s="47"/>
      <c r="DE398" s="47"/>
      <c r="DF398" s="47" t="s">
        <v>0</v>
      </c>
      <c r="DG398" s="53" t="str">
        <f>IF(BD398="","",IF(DI398="O",1,""))</f>
        <v/>
      </c>
      <c r="DH398" t="s">
        <v>0</v>
      </c>
      <c r="DI398" s="128" t="str">
        <f>IF(Q398="","",LEFT(INDEX(regKategorija_oznaka,MATCH(S398,regKategorija_id,0)),1))</f>
        <v/>
      </c>
      <c r="DJ398" t="s">
        <v>0</v>
      </c>
      <c r="DK398" s="52" t="str">
        <f>IF(BD398="","",IF(M398&lt;&gt;"CRO","","INSERT INTO osoba (id,reg_broj,oib,spol_id,dat_rodjenja) VALUES ("&amp;BD398&amp;",(SELECT max(os.reg_broj)+1 FROM osoba AS os),Null,'"&amp;DI398&amp;"',Null); INSERT INTO osoba_log (id,reg_broj,oib,spol_id,dat_rodjenja,dnevnik_id) SELECT id,reg_broj,oib,spol_id,dat_rodjenja,"&amp;data_dnevnik_id&amp;" FROM osoba WHERE id = "&amp;BD398&amp;";"))</f>
        <v/>
      </c>
      <c r="DL398" s="66" t="str">
        <f>IF(BD398="","","INSERT INTO imeprezime (id,osoba_id,rbr,ime,prezime,klub_id,identitet_id,sintaksa_id,info,aktivno,dnevnik_id) VALUES ("&amp;BD398&amp;","&amp;IF(DK398="","Null",BD398)&amp;",1,'"&amp;IF(AV398&lt;&gt;"",AV398,AK398)&amp;"','"&amp;IF(AW398&lt;&gt;"",AW398,AL398)&amp;"',(SELECT id FROM klub WHERE naziv = '"&amp;CR398&amp;"'),Null,1,'',1,"&amp;data_dnevnik_id&amp;");")</f>
        <v/>
      </c>
      <c r="DM398" t="s">
        <v>0</v>
      </c>
      <c r="DN398" s="19" t="str">
        <f t="shared" si="350"/>
        <v/>
      </c>
      <c r="DO398" s="47" t="s">
        <v>0</v>
      </c>
      <c r="DP398" s="19" t="str">
        <f>IF(BA398="","","INSERT INTO imeprezime_alias(id,alias,imeprezime_id) VALUES ("&amp;BB398&amp;",'"&amp;BA398&amp;"',"&amp;IF(BC398="NEMA",BD398,BC398)&amp;");")</f>
        <v/>
      </c>
      <c r="DQ398" s="47" t="s">
        <v>0</v>
      </c>
      <c r="DR398" s="52" t="str">
        <f>IF(AL398="","",DU398 &amp; IF(Q398="",""," – " &amp; Q398))</f>
        <v/>
      </c>
      <c r="DS398" s="53" t="str">
        <f t="shared" si="368"/>
        <v/>
      </c>
      <c r="DT398" s="47" t="s">
        <v>0</v>
      </c>
      <c r="DU398" s="52" t="str">
        <f>IF(AL398="","",DX398 &amp; IF(CR398="",""," – " &amp; CR398))</f>
        <v/>
      </c>
      <c r="DV398" s="53" t="str">
        <f t="shared" si="369"/>
        <v/>
      </c>
      <c r="DW398" s="47" t="s">
        <v>0</v>
      </c>
      <c r="DX398" s="52" t="str">
        <f>IF(BG398="","",BF398&amp;" – "&amp;BG398)</f>
        <v/>
      </c>
      <c r="DY398" s="53" t="str">
        <f t="shared" si="370"/>
        <v/>
      </c>
      <c r="DZ398" s="47" t="s">
        <v>0</v>
      </c>
      <c r="EA398" s="58" t="str">
        <f t="shared" ref="EA398:EA412" si="399">IF(DS398="","",IF(DS398&lt;&gt;"NEMA",DS398,IF(DV398&lt;&gt;"NEMA",DV398,IF(DY398&lt;&gt;"NEMA",DY398,""))))</f>
        <v/>
      </c>
      <c r="EB398" s="53" t="str" cm="1">
        <f t="array" ref="EB398">IF(EA398&lt;&gt;"",INDEX(regNatjecatelj_id,EA398,0),IF(BD398&lt;&gt;"",BD398,""))</f>
        <v/>
      </c>
      <c r="EC398" s="47" t="s">
        <v>0</v>
      </c>
      <c r="ED398" s="58" t="str">
        <f>IF(AL398="","",IF(BD398&lt;&gt;"","novo",IF(AN398="","imepre","imepre(ali)")))</f>
        <v/>
      </c>
      <c r="EE398" s="73" t="str">
        <f>IF(AL398="","",IF(BL398="",IF(IFERROR(INDEX(regNatjecatelj_klub,MATCH(EB398,regNatjecatelj_id,0)),"NEMA")="","klu",""),IF(OR(AND(BN398&lt;&gt;"",BN398&lt;&gt;"NEMA"),CD398&lt;&gt;""),"klu(ali)",IF(AND(BP398&lt;&gt;"",BP398&lt;&gt;BO398),"(raz-klu)","klu"))))</f>
        <v/>
      </c>
      <c r="EF398" s="73" t="str">
        <f>IF(AL398="","","kat"&amp;IF(AND(W398&lt;&gt;Q398,Q398&lt;&gt;"Open"),"(ali)",""))</f>
        <v/>
      </c>
      <c r="EG398" s="73" t="str">
        <f t="shared" si="371"/>
        <v/>
      </c>
      <c r="EH398" s="66" t="str">
        <f>IF(AL398="","",ED398&amp;IF(ED398="novo","","-"&amp;EE398&amp;"-"&amp;EF398)&amp;IF(EG398="","","-"&amp;EG398))</f>
        <v/>
      </c>
      <c r="EI398" s="47" t="s">
        <v>0</v>
      </c>
      <c r="EJ398" s="58" t="str">
        <f>IF(AL398="","",MAX(EJ$12:EJ397)+1)</f>
        <v/>
      </c>
      <c r="EK398" s="73" t="str">
        <f>IF(AO398="","",X398)</f>
        <v/>
      </c>
      <c r="EL398" s="73" t="str">
        <f t="shared" ref="EL398:EL412" si="400">IF(EB398="","",EB398)</f>
        <v/>
      </c>
      <c r="EM398" s="73" t="str">
        <f t="shared" si="372"/>
        <v/>
      </c>
      <c r="EN398" s="73" t="str">
        <f t="shared" si="373"/>
        <v/>
      </c>
      <c r="EO398" s="73" t="str">
        <f t="shared" ref="EO398:EO412" si="401">IF(DX398="","",IF(data_trka_je_rangirana=0,0,IF(OR(DS398="",DS398="NEMA"),0,1)))</f>
        <v/>
      </c>
      <c r="EP398" s="73" t="str">
        <f t="shared" ref="EP398:EP412" si="402">IF(EJ398="","",INDEX(regUparivanje_id,MATCH(EH398,regUparivanje_oznaka,0)))</f>
        <v/>
      </c>
      <c r="EQ398" s="73" t="str">
        <f t="shared" si="374"/>
        <v/>
      </c>
      <c r="ER398" s="73" t="str">
        <f>IF(OR(AN398="",AN398="NEMA"),BB398,AN398)</f>
        <v/>
      </c>
      <c r="ES398" s="73" t="str">
        <f>IF(AND(BN398&lt;&gt;"",BN398&lt;&gt;"NEMA"),BN398,IF(CG398&lt;&gt;"",CG398,IF(AND(CL398&lt;&gt;"",CL398&lt;&gt;"NEMA"),CL398,IF(CM398&lt;&gt;"",CM398,""))))</f>
        <v/>
      </c>
      <c r="ET398" s="53" t="str">
        <f>IF(INDEX(natKategorija_alias_Id,MATCH(S398,natKategorija_katRegId,0))="","",INDEX(natKategorija_alias_Id,MATCH(S398,natKategorija_katRegId,0)))</f>
        <v/>
      </c>
      <c r="EU398" s="47" t="s">
        <v>0</v>
      </c>
      <c r="EV398" s="19" t="str">
        <f t="shared" ref="EV398:EV412" si="403">IF(EK398="","","INSERT INTO rezultat(id,stazakategorija_id,imeprezime_id,vrijeme_sec,status_id,registracija,uparivanje_id,originalstatus_id,imeprezimealias_id,klubalias_id,kategorijaalias_id) VALUES ("&amp;EJ398&amp;","&amp;EK398&amp;","&amp;EL398&amp;","&amp;IF(EM398="","Null",EM398)&amp;","&amp;EN398&amp;","&amp;EO398&amp;","&amp;EP398&amp;","&amp;EQ398&amp;","&amp;IF(ER398="","Null",ER398)&amp;","&amp;IF(ES398="","Null",ES398)&amp;","&amp;IF(ET398="","Null",ET398)&amp;");")</f>
        <v/>
      </c>
      <c r="EW398" s="47" t="s">
        <v>0</v>
      </c>
      <c r="EX398" s="19" t="str">
        <f t="shared" ref="EX398:EX412" si="404">IF(EK398="","",IF(EO398=1,"UPDATE
	registar
SET
	potvrda = 1
WHERE
	imeprezime_id="&amp;EL398&amp;"
    	AND
	kategorijaliga_id = (SELECT 
                         	id
                         FROM"&amp;"
                         	kategorija_liga
                         WHERE
                         	kategorija_liga.kategorija_id = (SELECT kategorija_id FROM staza_kategorija WHERE id = "&amp;EK398&amp;")
                         		AND
                         	kategorija_liga.liga_id = "&amp;data_liga_id&amp;")
		AND
	datum_od &lt;= '"&amp;data_datum_natjecanja&amp;"'
    	AND
    datum_do is Null;",""))</f>
        <v/>
      </c>
      <c r="EY398" s="47" t="s">
        <v>0</v>
      </c>
      <c r="EZ398" s="180" t="str">
        <f>AG398&amp;IF(CP398="","","
")&amp;CP398&amp;IF(CI398="","","
")&amp;CI398&amp;IF(DN398="","","
")&amp;DN398&amp;IF(DP398="","","
")&amp;DP398&amp;IF(EV398="","","
")&amp;EV398&amp;IF(EX398="","","
")&amp;EX398</f>
        <v/>
      </c>
      <c r="FA398" s="47" t="s">
        <v>0</v>
      </c>
    </row>
    <row r="399" spans="1:157" x14ac:dyDescent="0.25">
      <c r="A399" t="s">
        <v>0</v>
      </c>
      <c r="B399" s="52" t="str">
        <f>IF(csv!F389="","",csv!T389)</f>
        <v/>
      </c>
      <c r="C399" s="31" t="s">
        <v>0</v>
      </c>
      <c r="D399" s="31" t="str">
        <f>IF(csv!F389="","",csv!F389)</f>
        <v/>
      </c>
      <c r="E399" s="31" t="str">
        <f>IF(csv!E389="","",csv!E389)</f>
        <v/>
      </c>
      <c r="F399" s="31" t="s">
        <v>0</v>
      </c>
      <c r="G399" s="73" t="str">
        <f>IF(csv!M389="","",csv!M389)</f>
        <v/>
      </c>
      <c r="H399" s="73" t="str">
        <f>IF(csv!N389="","",csv!N389)</f>
        <v/>
      </c>
      <c r="I399" s="31" t="s">
        <v>0</v>
      </c>
      <c r="J399" s="31" t="str">
        <f>IF(csv!P389="","",csv!P389)</f>
        <v/>
      </c>
      <c r="K399" s="31" t="str">
        <f>IF(csv!Q389="","",csv!Q389)</f>
        <v/>
      </c>
      <c r="L399" s="31" t="s">
        <v>0</v>
      </c>
      <c r="M399" s="66" t="str">
        <f>IF(csv!R389="","",csv!R389)</f>
        <v/>
      </c>
      <c r="N399" s="47" t="s">
        <v>0</v>
      </c>
      <c r="O399" s="243" t="str">
        <f t="shared" si="375"/>
        <v/>
      </c>
      <c r="P399" s="47"/>
      <c r="Q399" s="52" t="str">
        <f t="shared" si="376"/>
        <v/>
      </c>
      <c r="R399" s="73" t="str">
        <f>IF(Q399="","",IF(COUNTIF(Q$12:Q398,Q399)=0,R398+1,R398))</f>
        <v/>
      </c>
      <c r="S399" s="73" t="str">
        <f t="shared" si="377"/>
        <v/>
      </c>
      <c r="T399" s="73" t="str">
        <f t="shared" si="353"/>
        <v/>
      </c>
      <c r="U399" s="66" t="str">
        <f t="shared" si="354"/>
        <v/>
      </c>
      <c r="V399" s="47" t="s">
        <v>0</v>
      </c>
      <c r="W399" s="222" t="str">
        <f t="shared" si="355"/>
        <v/>
      </c>
      <c r="X399" s="223" t="str">
        <f t="shared" si="356"/>
        <v/>
      </c>
      <c r="Y399" s="47" t="s">
        <v>0</v>
      </c>
      <c r="Z399" s="52" t="str">
        <f t="shared" si="378"/>
        <v/>
      </c>
      <c r="AA399" s="73" t="str">
        <f t="shared" si="357"/>
        <v/>
      </c>
      <c r="AB399" s="31" t="str">
        <f t="shared" si="379"/>
        <v/>
      </c>
      <c r="AC399" s="66" t="str">
        <f>IF(AB399="","",MAX(AC$12:AC398)+1)</f>
        <v/>
      </c>
      <c r="AD399" s="47" t="s">
        <v>0</v>
      </c>
      <c r="AE399" s="125"/>
      <c r="AF399" s="47" t="s">
        <v>0</v>
      </c>
      <c r="AG399" s="19" t="str">
        <f t="shared" si="380"/>
        <v/>
      </c>
      <c r="AH399" s="47" t="s">
        <v>0</v>
      </c>
      <c r="AI399" s="143" t="str">
        <f t="shared" si="381"/>
        <v/>
      </c>
      <c r="AJ399" s="47"/>
      <c r="AK399" s="52" t="str">
        <f t="shared" si="382"/>
        <v/>
      </c>
      <c r="AL399" s="31" t="str">
        <f t="shared" si="383"/>
        <v/>
      </c>
      <c r="AM399" s="73" t="str">
        <f t="shared" si="384"/>
        <v/>
      </c>
      <c r="AN399" s="73" t="str">
        <f t="shared" si="385"/>
        <v/>
      </c>
      <c r="AO399" s="31" t="str">
        <f t="shared" si="358"/>
        <v/>
      </c>
      <c r="AP399" s="66" t="str">
        <f t="shared" si="359"/>
        <v/>
      </c>
      <c r="AQ399" s="47" t="s">
        <v>0</v>
      </c>
      <c r="AR399" s="82" t="str">
        <f t="shared" si="386"/>
        <v/>
      </c>
      <c r="AS399" s="47" t="s">
        <v>0</v>
      </c>
      <c r="AT399" s="19" t="str">
        <f t="shared" si="387"/>
        <v/>
      </c>
      <c r="AU399" s="47" t="s">
        <v>0</v>
      </c>
      <c r="AV399" s="103"/>
      <c r="AW399" s="105"/>
      <c r="AX399" s="47" t="s">
        <v>0</v>
      </c>
      <c r="AY399" s="256" t="str">
        <f t="shared" si="349"/>
        <v/>
      </c>
      <c r="AZ399" s="47" t="s">
        <v>0</v>
      </c>
      <c r="BA399" s="52" t="str">
        <f t="shared" si="352"/>
        <v/>
      </c>
      <c r="BB399" s="73" t="str">
        <f>IF(AV399&amp;AW399="","",MAX(BB$12:BB398)+1)</f>
        <v/>
      </c>
      <c r="BC399" s="268" t="str">
        <f t="shared" si="360"/>
        <v/>
      </c>
      <c r="BD399" s="53" t="str">
        <f>IF(AND(AM399="NEMA",AN399="NEMA",OR(AV399&amp;AW399="",BC399="NEMA")),MAX(BD$12:BD398)+1,"")</f>
        <v/>
      </c>
      <c r="BE399" s="47" t="s">
        <v>0</v>
      </c>
      <c r="BF399" s="52" t="str">
        <f t="shared" si="361"/>
        <v/>
      </c>
      <c r="BG399" s="31" t="str">
        <f t="shared" si="362"/>
        <v/>
      </c>
      <c r="BH399" s="73" t="str">
        <f t="shared" si="388"/>
        <v/>
      </c>
      <c r="BI399" s="53" t="str">
        <f t="shared" si="389"/>
        <v/>
      </c>
      <c r="BJ399" s="47" t="s">
        <v>0</v>
      </c>
      <c r="BK399" s="52" t="str">
        <f t="shared" si="363"/>
        <v/>
      </c>
      <c r="BL399" s="31" t="str">
        <f t="shared" si="364"/>
        <v/>
      </c>
      <c r="BM399" s="73" t="str">
        <f t="shared" si="365"/>
        <v/>
      </c>
      <c r="BN399" s="73" t="str">
        <f t="shared" si="366"/>
        <v/>
      </c>
      <c r="BO399" s="31" t="str" cm="1">
        <f t="array" ref="BO399">IF(BN399="",""&amp;BL399,IF(BN399="NEMA",BL399,INDEX(regKlub_naziv,MATCH(INDEX(regKlub_alias_klubId,BN399),regKlub_id,0))))</f>
        <v/>
      </c>
      <c r="BP399" s="31" t="str" cm="1">
        <f t="array" ref="BP399">IFERROR(""&amp;INDEX(regNatjecatelj_klub,DY399),"")</f>
        <v/>
      </c>
      <c r="BQ399" s="88" t="str">
        <f t="shared" si="390"/>
        <v/>
      </c>
      <c r="BR399" s="66" t="str">
        <f t="shared" si="391"/>
        <v/>
      </c>
      <c r="BS399" s="47" t="s">
        <v>0</v>
      </c>
      <c r="BT399" s="82" t="str">
        <f>IF(BN399&lt;&gt;"NEMA","",IF(IFERROR(MATCH(BL399,BL$12:BL398,0),0)&lt;&gt;0,"",BL399))</f>
        <v/>
      </c>
      <c r="BU399" s="47" t="s">
        <v>0</v>
      </c>
      <c r="BV399" s="125"/>
      <c r="BW399" s="47" t="s">
        <v>0</v>
      </c>
      <c r="BX399" s="58" t="str">
        <f t="shared" si="392"/>
        <v/>
      </c>
      <c r="BY399" s="31" t="str">
        <f t="shared" si="393"/>
        <v/>
      </c>
      <c r="BZ399" s="31" t="str">
        <f>IF(BY399="","",MAX(BZ$12:BZ398)+1)</f>
        <v/>
      </c>
      <c r="CA399" s="31" t="str">
        <f>IF(BY399="","",IF(AA399="","",IF(AA399="NEMA",AC399,AA399)))</f>
        <v/>
      </c>
      <c r="CB399" s="31" t="str">
        <f t="shared" si="394"/>
        <v/>
      </c>
      <c r="CC399" s="31" t="str">
        <f>IF(BV399="","",MAX(CC$12:CC398)+1)</f>
        <v/>
      </c>
      <c r="CD399" s="31" t="str">
        <f t="shared" si="395"/>
        <v/>
      </c>
      <c r="CE399" s="66" t="str">
        <f t="shared" si="396"/>
        <v/>
      </c>
      <c r="CF399" s="47" t="s">
        <v>0</v>
      </c>
      <c r="CG399" s="73" t="str">
        <f>IF(BN399="","",IF(BN399&lt;&gt;"NEMA","",IFERROR(INDEX(nat_klubAliasId,MATCH(BL399,nat_noviKluboviAliasi,0)),"")))</f>
        <v/>
      </c>
      <c r="CH399" s="47"/>
      <c r="CI399" s="19" t="str">
        <f t="shared" si="397"/>
        <v/>
      </c>
      <c r="CJ399" s="47" t="s">
        <v>0</v>
      </c>
      <c r="CK399" s="52" t="str">
        <f>IF(X399&lt;&gt;"NEMA","",IF(IFERROR(MATCH(W399,W$12:W398,0),0)&lt;&gt;0,"",W399))</f>
        <v/>
      </c>
      <c r="CL399" s="73" t="str">
        <f>IF(CK399="","",IFERROR(INDEX(regKlub_alias_id,MATCH(CK399,regKlub_alias_alias,0)),"NEMA"))</f>
        <v/>
      </c>
      <c r="CM399" s="31" t="str">
        <f>IF(OR(CL399="",CL399&lt;&gt;"NEMA"),"",MAX(CM$12:CM398)+1)</f>
        <v/>
      </c>
      <c r="CN399" s="66" t="str">
        <f>IF(OR(CL399="",CL399&lt;&gt;"NEMA"),"",INDEX(regKlub_id,MATCH(CK399,regKlub_naziv,0)))</f>
        <v/>
      </c>
      <c r="CO399" s="47" t="s">
        <v>0</v>
      </c>
      <c r="CP399" s="19" t="str">
        <f>IF(OR(CL399="",CL399&lt;&gt;"NEMA"),"","INSERT INTO klub_alias(id,alias,klub_id) VALUES ("&amp;CM399&amp;",'"&amp;CK399&amp;"',"&amp;CN399&amp;");")</f>
        <v/>
      </c>
      <c r="CQ399" s="47" t="s">
        <v>0</v>
      </c>
      <c r="CR399" s="143" t="str">
        <f>IF(BR399="","",IF(BV399="",IF(IFERROR(MATCH(BR399,nat_noviKluboviAliasi,0),0)&gt;0,INDEX(nat_kluboviAliasi,MATCH(BR399,nat_noviKluboviAliasi,0)),BR399),BV399))</f>
        <v/>
      </c>
      <c r="CS399" s="47" t="s">
        <v>0</v>
      </c>
      <c r="CT399" s="58" t="str">
        <f>IF(G399="","",G399)</f>
        <v/>
      </c>
      <c r="CU399" s="73" t="str">
        <f>IF(H399="","",H399)</f>
        <v/>
      </c>
      <c r="CV399" s="229" t="str">
        <f>IF(CT399="",IF(OR(AL399="",CU399&lt;&gt;"0"),"","GREŠKA"),IF(AND(65535&gt;=VALUE(LEFT(CT399,SEARCH(":",CT399)-1))*60+VALUE(RIGHT(CT399,2)),OR(CU399="0",CU399="1",CU399="2",CU399="3",CU399="4")),"","GREŠKA"))</f>
        <v/>
      </c>
      <c r="CW399" s="230" t="str">
        <f t="shared" si="351"/>
        <v/>
      </c>
      <c r="CX399" s="163" t="str">
        <f t="shared" si="367"/>
        <v/>
      </c>
      <c r="CY399" s="47" t="s">
        <v>0</v>
      </c>
      <c r="CZ399" s="222" t="str">
        <f>IF(CV399&lt;&gt;"GREŠKA","",AK399&amp;" "&amp;AL399&amp;" – Molim u OEventu provjeriti i ispraviti rezultat – vrijeme ("&amp;IF(CT399="","nije upisano",CT399)&amp;") i classifier ("&amp;CU399&amp;").")&amp;IF(OR(CV399&lt;&gt;"GREŠKA",CX399&lt;&gt;5),"
","")&amp;IF(CX399&lt;&gt;5,"",AK399&amp;" "&amp;AL399&amp;" – Molim u provjeriti je li natjecatelj zaista diskvalificiran. Ako je koje je obrazloženje, ako nije molim u OEventu ispraviti rezultat")</f>
        <v xml:space="preserve">
</v>
      </c>
      <c r="DA399" s="223" t="str">
        <f t="shared" si="398"/>
        <v/>
      </c>
      <c r="DB399" s="47" t="s">
        <v>0</v>
      </c>
      <c r="DC399" s="47"/>
      <c r="DD399" s="47"/>
      <c r="DE399" s="47"/>
      <c r="DF399" s="47" t="s">
        <v>0</v>
      </c>
      <c r="DG399" s="53" t="str">
        <f>IF(BD399="","",IF(DI399="O",1,""))</f>
        <v/>
      </c>
      <c r="DH399" t="s">
        <v>0</v>
      </c>
      <c r="DI399" s="128" t="str">
        <f>IF(Q399="","",LEFT(INDEX(regKategorija_oznaka,MATCH(S399,regKategorija_id,0)),1))</f>
        <v/>
      </c>
      <c r="DJ399" t="s">
        <v>0</v>
      </c>
      <c r="DK399" s="52" t="str">
        <f>IF(BD399="","",IF(M399&lt;&gt;"CRO","","INSERT INTO osoba (id,reg_broj,oib,spol_id,dat_rodjenja) VALUES ("&amp;BD399&amp;",(SELECT max(os.reg_broj)+1 FROM osoba AS os),Null,'"&amp;DI399&amp;"',Null); INSERT INTO osoba_log (id,reg_broj,oib,spol_id,dat_rodjenja,dnevnik_id) SELECT id,reg_broj,oib,spol_id,dat_rodjenja,"&amp;data_dnevnik_id&amp;" FROM osoba WHERE id = "&amp;BD399&amp;";"))</f>
        <v/>
      </c>
      <c r="DL399" s="66" t="str">
        <f>IF(BD399="","","INSERT INTO imeprezime (id,osoba_id,rbr,ime,prezime,klub_id,identitet_id,sintaksa_id,info,aktivno,dnevnik_id) VALUES ("&amp;BD399&amp;","&amp;IF(DK399="","Null",BD399)&amp;",1,'"&amp;IF(AV399&lt;&gt;"",AV399,AK399)&amp;"','"&amp;IF(AW399&lt;&gt;"",AW399,AL399)&amp;"',(SELECT id FROM klub WHERE naziv = '"&amp;CR399&amp;"'),Null,1,'',1,"&amp;data_dnevnik_id&amp;");")</f>
        <v/>
      </c>
      <c r="DM399" t="s">
        <v>0</v>
      </c>
      <c r="DN399" s="19" t="str">
        <f t="shared" si="350"/>
        <v/>
      </c>
      <c r="DO399" s="47" t="s">
        <v>0</v>
      </c>
      <c r="DP399" s="19" t="str">
        <f>IF(BA399="","","INSERT INTO imeprezime_alias(id,alias,imeprezime_id) VALUES ("&amp;BB399&amp;",'"&amp;BA399&amp;"',"&amp;IF(BC399="NEMA",BD399,BC399)&amp;");")</f>
        <v/>
      </c>
      <c r="DQ399" s="47" t="s">
        <v>0</v>
      </c>
      <c r="DR399" s="52" t="str">
        <f>IF(AL399="","",DU399 &amp; IF(Q399="",""," – " &amp; Q399))</f>
        <v/>
      </c>
      <c r="DS399" s="53" t="str">
        <f t="shared" si="368"/>
        <v/>
      </c>
      <c r="DT399" s="47" t="s">
        <v>0</v>
      </c>
      <c r="DU399" s="52" t="str">
        <f>IF(AL399="","",DX399 &amp; IF(CR399="",""," – " &amp; CR399))</f>
        <v/>
      </c>
      <c r="DV399" s="53" t="str">
        <f t="shared" si="369"/>
        <v/>
      </c>
      <c r="DW399" s="47" t="s">
        <v>0</v>
      </c>
      <c r="DX399" s="52" t="str">
        <f>IF(BG399="","",BF399&amp;" – "&amp;BG399)</f>
        <v/>
      </c>
      <c r="DY399" s="53" t="str">
        <f t="shared" si="370"/>
        <v/>
      </c>
      <c r="DZ399" s="47" t="s">
        <v>0</v>
      </c>
      <c r="EA399" s="58" t="str">
        <f t="shared" si="399"/>
        <v/>
      </c>
      <c r="EB399" s="53" t="str" cm="1">
        <f t="array" ref="EB399">IF(EA399&lt;&gt;"",INDEX(regNatjecatelj_id,EA399,0),IF(BD399&lt;&gt;"",BD399,""))</f>
        <v/>
      </c>
      <c r="EC399" s="47" t="s">
        <v>0</v>
      </c>
      <c r="ED399" s="58" t="str">
        <f>IF(AL399="","",IF(BD399&lt;&gt;"","novo",IF(AN399="","imepre","imepre(ali)")))</f>
        <v/>
      </c>
      <c r="EE399" s="73" t="str">
        <f>IF(AL399="","",IF(BL399="",IF(IFERROR(INDEX(regNatjecatelj_klub,MATCH(EB399,regNatjecatelj_id,0)),"NEMA")="","klu",""),IF(OR(AND(BN399&lt;&gt;"",BN399&lt;&gt;"NEMA"),CD399&lt;&gt;""),"klu(ali)",IF(AND(BP399&lt;&gt;"",BP399&lt;&gt;BO399),"(raz-klu)","klu"))))</f>
        <v/>
      </c>
      <c r="EF399" s="73" t="str">
        <f>IF(AL399="","","kat"&amp;IF(AND(W399&lt;&gt;Q399,Q399&lt;&gt;"Open"),"(ali)",""))</f>
        <v/>
      </c>
      <c r="EG399" s="73" t="str">
        <f t="shared" si="371"/>
        <v/>
      </c>
      <c r="EH399" s="66" t="str">
        <f>IF(AL399="","",ED399&amp;IF(ED399="novo","","-"&amp;EE399&amp;"-"&amp;EF399)&amp;IF(EG399="","","-"&amp;EG399))</f>
        <v/>
      </c>
      <c r="EI399" s="47" t="s">
        <v>0</v>
      </c>
      <c r="EJ399" s="58" t="str">
        <f>IF(AL399="","",MAX(EJ$12:EJ398)+1)</f>
        <v/>
      </c>
      <c r="EK399" s="73" t="str">
        <f>IF(AO399="","",X399)</f>
        <v/>
      </c>
      <c r="EL399" s="73" t="str">
        <f t="shared" si="400"/>
        <v/>
      </c>
      <c r="EM399" s="73" t="str">
        <f t="shared" si="372"/>
        <v/>
      </c>
      <c r="EN399" s="73" t="str">
        <f t="shared" si="373"/>
        <v/>
      </c>
      <c r="EO399" s="73" t="str">
        <f t="shared" si="401"/>
        <v/>
      </c>
      <c r="EP399" s="73" t="str">
        <f t="shared" si="402"/>
        <v/>
      </c>
      <c r="EQ399" s="73" t="str">
        <f t="shared" si="374"/>
        <v/>
      </c>
      <c r="ER399" s="73" t="str">
        <f>IF(OR(AN399="",AN399="NEMA"),BB399,AN399)</f>
        <v/>
      </c>
      <c r="ES399" s="73" t="str">
        <f>IF(AND(BN399&lt;&gt;"",BN399&lt;&gt;"NEMA"),BN399,IF(CG399&lt;&gt;"",CG399,IF(AND(CL399&lt;&gt;"",CL399&lt;&gt;"NEMA"),CL399,IF(CM399&lt;&gt;"",CM399,""))))</f>
        <v/>
      </c>
      <c r="ET399" s="53" t="str">
        <f>IF(INDEX(natKategorija_alias_Id,MATCH(S399,natKategorija_katRegId,0))="","",INDEX(natKategorija_alias_Id,MATCH(S399,natKategorija_katRegId,0)))</f>
        <v/>
      </c>
      <c r="EU399" s="47" t="s">
        <v>0</v>
      </c>
      <c r="EV399" s="19" t="str">
        <f t="shared" si="403"/>
        <v/>
      </c>
      <c r="EW399" s="47" t="s">
        <v>0</v>
      </c>
      <c r="EX399" s="19" t="str">
        <f t="shared" si="404"/>
        <v/>
      </c>
      <c r="EY399" s="47" t="s">
        <v>0</v>
      </c>
      <c r="EZ399" s="180" t="str">
        <f>AG399&amp;IF(CP399="","","
")&amp;CP399&amp;IF(CI399="","","
")&amp;CI399&amp;IF(DN399="","","
")&amp;DN399&amp;IF(DP399="","","
")&amp;DP399&amp;IF(EV399="","","
")&amp;EV399&amp;IF(EX399="","","
")&amp;EX399</f>
        <v/>
      </c>
      <c r="FA399" s="47" t="s">
        <v>0</v>
      </c>
    </row>
    <row r="400" spans="1:157" x14ac:dyDescent="0.25">
      <c r="A400" t="s">
        <v>0</v>
      </c>
      <c r="B400" s="52" t="str">
        <f>IF(csv!F390="","",csv!T390)</f>
        <v/>
      </c>
      <c r="C400" s="31" t="s">
        <v>0</v>
      </c>
      <c r="D400" s="31" t="str">
        <f>IF(csv!F390="","",csv!F390)</f>
        <v/>
      </c>
      <c r="E400" s="31" t="str">
        <f>IF(csv!E390="","",csv!E390)</f>
        <v/>
      </c>
      <c r="F400" s="31" t="s">
        <v>0</v>
      </c>
      <c r="G400" s="73" t="str">
        <f>IF(csv!M390="","",csv!M390)</f>
        <v/>
      </c>
      <c r="H400" s="73" t="str">
        <f>IF(csv!N390="","",csv!N390)</f>
        <v/>
      </c>
      <c r="I400" s="31" t="s">
        <v>0</v>
      </c>
      <c r="J400" s="31" t="str">
        <f>IF(csv!P390="","",csv!P390)</f>
        <v/>
      </c>
      <c r="K400" s="31" t="str">
        <f>IF(csv!Q390="","",csv!Q390)</f>
        <v/>
      </c>
      <c r="L400" s="31" t="s">
        <v>0</v>
      </c>
      <c r="M400" s="66" t="str">
        <f>IF(csv!R390="","",csv!R390)</f>
        <v/>
      </c>
      <c r="N400" s="47" t="s">
        <v>0</v>
      </c>
      <c r="O400" s="243" t="str">
        <f t="shared" si="375"/>
        <v/>
      </c>
      <c r="P400" s="47"/>
      <c r="Q400" s="52" t="str">
        <f t="shared" si="376"/>
        <v/>
      </c>
      <c r="R400" s="73" t="str">
        <f>IF(Q400="","",IF(COUNTIF(Q$12:Q399,Q400)=0,R399+1,R399))</f>
        <v/>
      </c>
      <c r="S400" s="73" t="str">
        <f t="shared" si="377"/>
        <v/>
      </c>
      <c r="T400" s="73" t="str">
        <f t="shared" si="353"/>
        <v/>
      </c>
      <c r="U400" s="66" t="str">
        <f t="shared" si="354"/>
        <v/>
      </c>
      <c r="V400" s="47" t="s">
        <v>0</v>
      </c>
      <c r="W400" s="222" t="str">
        <f t="shared" si="355"/>
        <v/>
      </c>
      <c r="X400" s="223" t="str">
        <f t="shared" si="356"/>
        <v/>
      </c>
      <c r="Y400" s="47" t="s">
        <v>0</v>
      </c>
      <c r="Z400" s="52" t="str">
        <f t="shared" si="378"/>
        <v/>
      </c>
      <c r="AA400" s="73" t="str">
        <f t="shared" si="357"/>
        <v/>
      </c>
      <c r="AB400" s="31" t="str">
        <f t="shared" si="379"/>
        <v/>
      </c>
      <c r="AC400" s="66" t="str">
        <f>IF(AB400="","",MAX(AC$12:AC399)+1)</f>
        <v/>
      </c>
      <c r="AD400" s="47" t="s">
        <v>0</v>
      </c>
      <c r="AE400" s="125"/>
      <c r="AF400" s="47" t="s">
        <v>0</v>
      </c>
      <c r="AG400" s="19" t="str">
        <f t="shared" si="380"/>
        <v/>
      </c>
      <c r="AH400" s="47" t="s">
        <v>0</v>
      </c>
      <c r="AI400" s="143" t="str">
        <f t="shared" si="381"/>
        <v/>
      </c>
      <c r="AJ400" s="47"/>
      <c r="AK400" s="52" t="str">
        <f t="shared" si="382"/>
        <v/>
      </c>
      <c r="AL400" s="31" t="str">
        <f t="shared" si="383"/>
        <v/>
      </c>
      <c r="AM400" s="73" t="str">
        <f t="shared" si="384"/>
        <v/>
      </c>
      <c r="AN400" s="73" t="str">
        <f t="shared" si="385"/>
        <v/>
      </c>
      <c r="AO400" s="31" t="str">
        <f t="shared" si="358"/>
        <v/>
      </c>
      <c r="AP400" s="66" t="str">
        <f t="shared" si="359"/>
        <v/>
      </c>
      <c r="AQ400" s="47" t="s">
        <v>0</v>
      </c>
      <c r="AR400" s="82" t="str">
        <f t="shared" si="386"/>
        <v/>
      </c>
      <c r="AS400" s="47" t="s">
        <v>0</v>
      </c>
      <c r="AT400" s="19" t="str">
        <f t="shared" si="387"/>
        <v/>
      </c>
      <c r="AU400" s="47" t="s">
        <v>0</v>
      </c>
      <c r="AV400" s="103"/>
      <c r="AW400" s="105"/>
      <c r="AX400" s="47" t="s">
        <v>0</v>
      </c>
      <c r="AY400" s="256" t="str">
        <f t="shared" si="349"/>
        <v/>
      </c>
      <c r="AZ400" s="47" t="s">
        <v>0</v>
      </c>
      <c r="BA400" s="52" t="str">
        <f t="shared" si="352"/>
        <v/>
      </c>
      <c r="BB400" s="73" t="str">
        <f>IF(AV400&amp;AW400="","",MAX(BB$12:BB399)+1)</f>
        <v/>
      </c>
      <c r="BC400" s="268" t="str">
        <f t="shared" si="360"/>
        <v/>
      </c>
      <c r="BD400" s="53" t="str">
        <f>IF(AND(AM400="NEMA",AN400="NEMA",OR(AV400&amp;AW400="",BC400="NEMA")),MAX(BD$12:BD399)+1,"")</f>
        <v/>
      </c>
      <c r="BE400" s="47" t="s">
        <v>0</v>
      </c>
      <c r="BF400" s="52" t="str">
        <f t="shared" si="361"/>
        <v/>
      </c>
      <c r="BG400" s="31" t="str">
        <f t="shared" si="362"/>
        <v/>
      </c>
      <c r="BH400" s="73" t="str">
        <f t="shared" si="388"/>
        <v/>
      </c>
      <c r="BI400" s="53" t="str">
        <f t="shared" si="389"/>
        <v/>
      </c>
      <c r="BJ400" s="47" t="s">
        <v>0</v>
      </c>
      <c r="BK400" s="52" t="str">
        <f t="shared" si="363"/>
        <v/>
      </c>
      <c r="BL400" s="31" t="str">
        <f t="shared" si="364"/>
        <v/>
      </c>
      <c r="BM400" s="73" t="str">
        <f t="shared" si="365"/>
        <v/>
      </c>
      <c r="BN400" s="73" t="str">
        <f t="shared" si="366"/>
        <v/>
      </c>
      <c r="BO400" s="31" t="str" cm="1">
        <f t="array" ref="BO400">IF(BN400="",""&amp;BL400,IF(BN400="NEMA",BL400,INDEX(regKlub_naziv,MATCH(INDEX(regKlub_alias_klubId,BN400),regKlub_id,0))))</f>
        <v/>
      </c>
      <c r="BP400" s="31" t="str" cm="1">
        <f t="array" ref="BP400">IFERROR(""&amp;INDEX(regNatjecatelj_klub,DY400),"")</f>
        <v/>
      </c>
      <c r="BQ400" s="88" t="str">
        <f t="shared" si="390"/>
        <v/>
      </c>
      <c r="BR400" s="66" t="str">
        <f t="shared" si="391"/>
        <v/>
      </c>
      <c r="BS400" s="47" t="s">
        <v>0</v>
      </c>
      <c r="BT400" s="82" t="str">
        <f>IF(BN400&lt;&gt;"NEMA","",IF(IFERROR(MATCH(BL400,BL$12:BL399,0),0)&lt;&gt;0,"",BL400))</f>
        <v/>
      </c>
      <c r="BU400" s="47" t="s">
        <v>0</v>
      </c>
      <c r="BV400" s="125"/>
      <c r="BW400" s="47" t="s">
        <v>0</v>
      </c>
      <c r="BX400" s="58" t="str">
        <f t="shared" si="392"/>
        <v/>
      </c>
      <c r="BY400" s="31" t="str">
        <f t="shared" si="393"/>
        <v/>
      </c>
      <c r="BZ400" s="31" t="str">
        <f>IF(BY400="","",MAX(BZ$12:BZ399)+1)</f>
        <v/>
      </c>
      <c r="CA400" s="31" t="str">
        <f>IF(BY400="","",IF(AA400="","",IF(AA400="NEMA",AC400,AA400)))</f>
        <v/>
      </c>
      <c r="CB400" s="31" t="str">
        <f t="shared" si="394"/>
        <v/>
      </c>
      <c r="CC400" s="31" t="str">
        <f>IF(BV400="","",MAX(CC$12:CC399)+1)</f>
        <v/>
      </c>
      <c r="CD400" s="31" t="str">
        <f t="shared" si="395"/>
        <v/>
      </c>
      <c r="CE400" s="66" t="str">
        <f t="shared" si="396"/>
        <v/>
      </c>
      <c r="CF400" s="47" t="s">
        <v>0</v>
      </c>
      <c r="CG400" s="73" t="str">
        <f>IF(BN400="","",IF(BN400&lt;&gt;"NEMA","",IFERROR(INDEX(nat_klubAliasId,MATCH(BL400,nat_noviKluboviAliasi,0)),"")))</f>
        <v/>
      </c>
      <c r="CH400" s="47"/>
      <c r="CI400" s="19" t="str">
        <f t="shared" si="397"/>
        <v/>
      </c>
      <c r="CJ400" s="47" t="s">
        <v>0</v>
      </c>
      <c r="CK400" s="52" t="str">
        <f>IF(X400&lt;&gt;"NEMA","",IF(IFERROR(MATCH(W400,W$12:W399,0),0)&lt;&gt;0,"",W400))</f>
        <v/>
      </c>
      <c r="CL400" s="73" t="str">
        <f>IF(CK400="","",IFERROR(INDEX(regKlub_alias_id,MATCH(CK400,regKlub_alias_alias,0)),"NEMA"))</f>
        <v/>
      </c>
      <c r="CM400" s="31" t="str">
        <f>IF(OR(CL400="",CL400&lt;&gt;"NEMA"),"",MAX(CM$12:CM399)+1)</f>
        <v/>
      </c>
      <c r="CN400" s="66" t="str">
        <f>IF(OR(CL400="",CL400&lt;&gt;"NEMA"),"",INDEX(regKlub_id,MATCH(CK400,regKlub_naziv,0)))</f>
        <v/>
      </c>
      <c r="CO400" s="47" t="s">
        <v>0</v>
      </c>
      <c r="CP400" s="19" t="str">
        <f>IF(OR(CL400="",CL400&lt;&gt;"NEMA"),"","INSERT INTO klub_alias(id,alias,klub_id) VALUES ("&amp;CM400&amp;",'"&amp;CK400&amp;"',"&amp;CN400&amp;");")</f>
        <v/>
      </c>
      <c r="CQ400" s="47" t="s">
        <v>0</v>
      </c>
      <c r="CR400" s="143" t="str">
        <f>IF(BR400="","",IF(BV400="",IF(IFERROR(MATCH(BR400,nat_noviKluboviAliasi,0),0)&gt;0,INDEX(nat_kluboviAliasi,MATCH(BR400,nat_noviKluboviAliasi,0)),BR400),BV400))</f>
        <v/>
      </c>
      <c r="CS400" s="47" t="s">
        <v>0</v>
      </c>
      <c r="CT400" s="58" t="str">
        <f>IF(G400="","",G400)</f>
        <v/>
      </c>
      <c r="CU400" s="73" t="str">
        <f>IF(H400="","",H400)</f>
        <v/>
      </c>
      <c r="CV400" s="229" t="str">
        <f>IF(CT400="",IF(OR(AL400="",CU400&lt;&gt;"0"),"","GREŠKA"),IF(AND(65535&gt;=VALUE(LEFT(CT400,SEARCH(":",CT400)-1))*60+VALUE(RIGHT(CT400,2)),OR(CU400="0",CU400="1",CU400="2",CU400="3",CU400="4")),"","GREŠKA"))</f>
        <v/>
      </c>
      <c r="CW400" s="230" t="str">
        <f t="shared" si="351"/>
        <v/>
      </c>
      <c r="CX400" s="163" t="str">
        <f t="shared" si="367"/>
        <v/>
      </c>
      <c r="CY400" s="47" t="s">
        <v>0</v>
      </c>
      <c r="CZ400" s="222" t="str">
        <f>IF(CV400&lt;&gt;"GREŠKA","",AK400&amp;" "&amp;AL400&amp;" – Molim u OEventu provjeriti i ispraviti rezultat – vrijeme ("&amp;IF(CT400="","nije upisano",CT400)&amp;") i classifier ("&amp;CU400&amp;").")&amp;IF(OR(CV400&lt;&gt;"GREŠKA",CX400&lt;&gt;5),"
","")&amp;IF(CX400&lt;&gt;5,"",AK400&amp;" "&amp;AL400&amp;" – Molim u provjeriti je li natjecatelj zaista diskvalificiran. Ako je koje je obrazloženje, ako nije molim u OEventu ispraviti rezultat")</f>
        <v xml:space="preserve">
</v>
      </c>
      <c r="DA400" s="223" t="str">
        <f t="shared" si="398"/>
        <v/>
      </c>
      <c r="DB400" s="47" t="s">
        <v>0</v>
      </c>
      <c r="DC400" s="47"/>
      <c r="DD400" s="47"/>
      <c r="DE400" s="47"/>
      <c r="DF400" s="47" t="s">
        <v>0</v>
      </c>
      <c r="DG400" s="53" t="str">
        <f>IF(BD400="","",IF(DI400="O",1,""))</f>
        <v/>
      </c>
      <c r="DH400" t="s">
        <v>0</v>
      </c>
      <c r="DI400" s="128" t="str">
        <f>IF(Q400="","",LEFT(INDEX(regKategorija_oznaka,MATCH(S400,regKategorija_id,0)),1))</f>
        <v/>
      </c>
      <c r="DJ400" t="s">
        <v>0</v>
      </c>
      <c r="DK400" s="52" t="str">
        <f>IF(BD400="","",IF(M400&lt;&gt;"CRO","","INSERT INTO osoba (id,reg_broj,oib,spol_id,dat_rodjenja) VALUES ("&amp;BD400&amp;",(SELECT max(os.reg_broj)+1 FROM osoba AS os),Null,'"&amp;DI400&amp;"',Null); INSERT INTO osoba_log (id,reg_broj,oib,spol_id,dat_rodjenja,dnevnik_id) SELECT id,reg_broj,oib,spol_id,dat_rodjenja,"&amp;data_dnevnik_id&amp;" FROM osoba WHERE id = "&amp;BD400&amp;";"))</f>
        <v/>
      </c>
      <c r="DL400" s="66" t="str">
        <f>IF(BD400="","","INSERT INTO imeprezime (id,osoba_id,rbr,ime,prezime,klub_id,identitet_id,sintaksa_id,info,aktivno,dnevnik_id) VALUES ("&amp;BD400&amp;","&amp;IF(DK400="","Null",BD400)&amp;",1,'"&amp;IF(AV400&lt;&gt;"",AV400,AK400)&amp;"','"&amp;IF(AW400&lt;&gt;"",AW400,AL400)&amp;"',(SELECT id FROM klub WHERE naziv = '"&amp;CR400&amp;"'),Null,1,'',1,"&amp;data_dnevnik_id&amp;");")</f>
        <v/>
      </c>
      <c r="DM400" t="s">
        <v>0</v>
      </c>
      <c r="DN400" s="19" t="str">
        <f t="shared" si="350"/>
        <v/>
      </c>
      <c r="DO400" s="47" t="s">
        <v>0</v>
      </c>
      <c r="DP400" s="19" t="str">
        <f>IF(BA400="","","INSERT INTO imeprezime_alias(id,alias,imeprezime_id) VALUES ("&amp;BB400&amp;",'"&amp;BA400&amp;"',"&amp;IF(BC400="NEMA",BD400,BC400)&amp;");")</f>
        <v/>
      </c>
      <c r="DQ400" s="47" t="s">
        <v>0</v>
      </c>
      <c r="DR400" s="52" t="str">
        <f>IF(AL400="","",DU400 &amp; IF(Q400="",""," – " &amp; Q400))</f>
        <v/>
      </c>
      <c r="DS400" s="53" t="str">
        <f t="shared" si="368"/>
        <v/>
      </c>
      <c r="DT400" s="47" t="s">
        <v>0</v>
      </c>
      <c r="DU400" s="52" t="str">
        <f>IF(AL400="","",DX400 &amp; IF(CR400="",""," – " &amp; CR400))</f>
        <v/>
      </c>
      <c r="DV400" s="53" t="str">
        <f t="shared" si="369"/>
        <v/>
      </c>
      <c r="DW400" s="47" t="s">
        <v>0</v>
      </c>
      <c r="DX400" s="52" t="str">
        <f>IF(BG400="","",BF400&amp;" – "&amp;BG400)</f>
        <v/>
      </c>
      <c r="DY400" s="53" t="str">
        <f t="shared" si="370"/>
        <v/>
      </c>
      <c r="DZ400" s="47" t="s">
        <v>0</v>
      </c>
      <c r="EA400" s="58" t="str">
        <f t="shared" si="399"/>
        <v/>
      </c>
      <c r="EB400" s="53" t="str" cm="1">
        <f t="array" ref="EB400">IF(EA400&lt;&gt;"",INDEX(regNatjecatelj_id,EA400,0),IF(BD400&lt;&gt;"",BD400,""))</f>
        <v/>
      </c>
      <c r="EC400" s="47" t="s">
        <v>0</v>
      </c>
      <c r="ED400" s="58" t="str">
        <f>IF(AL400="","",IF(BD400&lt;&gt;"","novo",IF(AN400="","imepre","imepre(ali)")))</f>
        <v/>
      </c>
      <c r="EE400" s="73" t="str">
        <f>IF(AL400="","",IF(BL400="",IF(IFERROR(INDEX(regNatjecatelj_klub,MATCH(EB400,regNatjecatelj_id,0)),"NEMA")="","klu",""),IF(OR(AND(BN400&lt;&gt;"",BN400&lt;&gt;"NEMA"),CD400&lt;&gt;""),"klu(ali)",IF(AND(BP400&lt;&gt;"",BP400&lt;&gt;BO400),"(raz-klu)","klu"))))</f>
        <v/>
      </c>
      <c r="EF400" s="73" t="str">
        <f>IF(AL400="","","kat"&amp;IF(AND(W400&lt;&gt;Q400,Q400&lt;&gt;"Open"),"(ali)",""))</f>
        <v/>
      </c>
      <c r="EG400" s="73" t="str">
        <f t="shared" si="371"/>
        <v/>
      </c>
      <c r="EH400" s="66" t="str">
        <f>IF(AL400="","",ED400&amp;IF(ED400="novo","","-"&amp;EE400&amp;"-"&amp;EF400)&amp;IF(EG400="","","-"&amp;EG400))</f>
        <v/>
      </c>
      <c r="EI400" s="47" t="s">
        <v>0</v>
      </c>
      <c r="EJ400" s="58" t="str">
        <f>IF(AL400="","",MAX(EJ$12:EJ399)+1)</f>
        <v/>
      </c>
      <c r="EK400" s="73" t="str">
        <f>IF(AO400="","",X400)</f>
        <v/>
      </c>
      <c r="EL400" s="73" t="str">
        <f t="shared" si="400"/>
        <v/>
      </c>
      <c r="EM400" s="73" t="str">
        <f t="shared" si="372"/>
        <v/>
      </c>
      <c r="EN400" s="73" t="str">
        <f t="shared" si="373"/>
        <v/>
      </c>
      <c r="EO400" s="73" t="str">
        <f t="shared" si="401"/>
        <v/>
      </c>
      <c r="EP400" s="73" t="str">
        <f t="shared" si="402"/>
        <v/>
      </c>
      <c r="EQ400" s="73" t="str">
        <f t="shared" si="374"/>
        <v/>
      </c>
      <c r="ER400" s="73" t="str">
        <f>IF(OR(AN400="",AN400="NEMA"),BB400,AN400)</f>
        <v/>
      </c>
      <c r="ES400" s="73" t="str">
        <f>IF(AND(BN400&lt;&gt;"",BN400&lt;&gt;"NEMA"),BN400,IF(CG400&lt;&gt;"",CG400,IF(AND(CL400&lt;&gt;"",CL400&lt;&gt;"NEMA"),CL400,IF(CM400&lt;&gt;"",CM400,""))))</f>
        <v/>
      </c>
      <c r="ET400" s="53" t="str">
        <f>IF(INDEX(natKategorija_alias_Id,MATCH(S400,natKategorija_katRegId,0))="","",INDEX(natKategorija_alias_Id,MATCH(S400,natKategorija_katRegId,0)))</f>
        <v/>
      </c>
      <c r="EU400" s="47" t="s">
        <v>0</v>
      </c>
      <c r="EV400" s="19" t="str">
        <f t="shared" si="403"/>
        <v/>
      </c>
      <c r="EW400" s="47" t="s">
        <v>0</v>
      </c>
      <c r="EX400" s="19" t="str">
        <f t="shared" si="404"/>
        <v/>
      </c>
      <c r="EY400" s="47" t="s">
        <v>0</v>
      </c>
      <c r="EZ400" s="180" t="str">
        <f>AG400&amp;IF(CP400="","","
")&amp;CP400&amp;IF(CI400="","","
")&amp;CI400&amp;IF(DN400="","","
")&amp;DN400&amp;IF(DP400="","","
")&amp;DP400&amp;IF(EV400="","","
")&amp;EV400&amp;IF(EX400="","","
")&amp;EX400</f>
        <v/>
      </c>
      <c r="FA400" s="47" t="s">
        <v>0</v>
      </c>
    </row>
    <row r="401" spans="1:157" x14ac:dyDescent="0.25">
      <c r="A401" t="s">
        <v>0</v>
      </c>
      <c r="B401" s="52" t="str">
        <f>IF(csv!F391="","",csv!T391)</f>
        <v/>
      </c>
      <c r="C401" s="31" t="s">
        <v>0</v>
      </c>
      <c r="D401" s="31" t="str">
        <f>IF(csv!F391="","",csv!F391)</f>
        <v/>
      </c>
      <c r="E401" s="31" t="str">
        <f>IF(csv!E391="","",csv!E391)</f>
        <v/>
      </c>
      <c r="F401" s="31" t="s">
        <v>0</v>
      </c>
      <c r="G401" s="73" t="str">
        <f>IF(csv!M391="","",csv!M391)</f>
        <v/>
      </c>
      <c r="H401" s="73" t="str">
        <f>IF(csv!N391="","",csv!N391)</f>
        <v/>
      </c>
      <c r="I401" s="31" t="s">
        <v>0</v>
      </c>
      <c r="J401" s="31" t="str">
        <f>IF(csv!P391="","",csv!P391)</f>
        <v/>
      </c>
      <c r="K401" s="31" t="str">
        <f>IF(csv!Q391="","",csv!Q391)</f>
        <v/>
      </c>
      <c r="L401" s="31" t="s">
        <v>0</v>
      </c>
      <c r="M401" s="66" t="str">
        <f>IF(csv!R391="","",csv!R391)</f>
        <v/>
      </c>
      <c r="N401" s="47" t="s">
        <v>0</v>
      </c>
      <c r="O401" s="243" t="str">
        <f t="shared" si="375"/>
        <v/>
      </c>
      <c r="P401" s="47"/>
      <c r="Q401" s="52" t="str">
        <f t="shared" si="376"/>
        <v/>
      </c>
      <c r="R401" s="73" t="str">
        <f>IF(Q401="","",IF(COUNTIF(Q$12:Q400,Q401)=0,R400+1,R400))</f>
        <v/>
      </c>
      <c r="S401" s="73" t="str">
        <f t="shared" si="377"/>
        <v/>
      </c>
      <c r="T401" s="73" t="str">
        <f t="shared" si="353"/>
        <v/>
      </c>
      <c r="U401" s="66" t="str">
        <f t="shared" si="354"/>
        <v/>
      </c>
      <c r="V401" s="47" t="s">
        <v>0</v>
      </c>
      <c r="W401" s="222" t="str">
        <f t="shared" si="355"/>
        <v/>
      </c>
      <c r="X401" s="223" t="str">
        <f t="shared" si="356"/>
        <v/>
      </c>
      <c r="Y401" s="47" t="s">
        <v>0</v>
      </c>
      <c r="Z401" s="52" t="str">
        <f t="shared" si="378"/>
        <v/>
      </c>
      <c r="AA401" s="73" t="str">
        <f t="shared" si="357"/>
        <v/>
      </c>
      <c r="AB401" s="31" t="str">
        <f t="shared" si="379"/>
        <v/>
      </c>
      <c r="AC401" s="66" t="str">
        <f>IF(AB401="","",MAX(AC$12:AC400)+1)</f>
        <v/>
      </c>
      <c r="AD401" s="47" t="s">
        <v>0</v>
      </c>
      <c r="AE401" s="125"/>
      <c r="AF401" s="47" t="s">
        <v>0</v>
      </c>
      <c r="AG401" s="19" t="str">
        <f t="shared" si="380"/>
        <v/>
      </c>
      <c r="AH401" s="47" t="s">
        <v>0</v>
      </c>
      <c r="AI401" s="143" t="str">
        <f t="shared" si="381"/>
        <v/>
      </c>
      <c r="AJ401" s="47"/>
      <c r="AK401" s="52" t="str">
        <f t="shared" si="382"/>
        <v/>
      </c>
      <c r="AL401" s="31" t="str">
        <f t="shared" si="383"/>
        <v/>
      </c>
      <c r="AM401" s="73" t="str">
        <f t="shared" si="384"/>
        <v/>
      </c>
      <c r="AN401" s="73" t="str">
        <f t="shared" si="385"/>
        <v/>
      </c>
      <c r="AO401" s="31" t="str">
        <f t="shared" si="358"/>
        <v/>
      </c>
      <c r="AP401" s="66" t="str">
        <f t="shared" si="359"/>
        <v/>
      </c>
      <c r="AQ401" s="47" t="s">
        <v>0</v>
      </c>
      <c r="AR401" s="82" t="str">
        <f t="shared" si="386"/>
        <v/>
      </c>
      <c r="AS401" s="47" t="s">
        <v>0</v>
      </c>
      <c r="AT401" s="19" t="str">
        <f t="shared" si="387"/>
        <v/>
      </c>
      <c r="AU401" s="47" t="s">
        <v>0</v>
      </c>
      <c r="AV401" s="103"/>
      <c r="AW401" s="105"/>
      <c r="AX401" s="47" t="s">
        <v>0</v>
      </c>
      <c r="AY401" s="256" t="str">
        <f t="shared" si="349"/>
        <v/>
      </c>
      <c r="AZ401" s="47" t="s">
        <v>0</v>
      </c>
      <c r="BA401" s="52" t="str">
        <f t="shared" si="352"/>
        <v/>
      </c>
      <c r="BB401" s="73" t="str">
        <f>IF(AV401&amp;AW401="","",MAX(BB$12:BB400)+1)</f>
        <v/>
      </c>
      <c r="BC401" s="268" t="str">
        <f t="shared" si="360"/>
        <v/>
      </c>
      <c r="BD401" s="53" t="str">
        <f>IF(AND(AM401="NEMA",AN401="NEMA",OR(AV401&amp;AW401="",BC401="NEMA")),MAX(BD$12:BD400)+1,"")</f>
        <v/>
      </c>
      <c r="BE401" s="47" t="s">
        <v>0</v>
      </c>
      <c r="BF401" s="52" t="str">
        <f t="shared" si="361"/>
        <v/>
      </c>
      <c r="BG401" s="31" t="str">
        <f t="shared" si="362"/>
        <v/>
      </c>
      <c r="BH401" s="73" t="str">
        <f t="shared" si="388"/>
        <v/>
      </c>
      <c r="BI401" s="53" t="str">
        <f t="shared" si="389"/>
        <v/>
      </c>
      <c r="BJ401" s="47" t="s">
        <v>0</v>
      </c>
      <c r="BK401" s="52" t="str">
        <f t="shared" si="363"/>
        <v/>
      </c>
      <c r="BL401" s="31" t="str">
        <f t="shared" si="364"/>
        <v/>
      </c>
      <c r="BM401" s="73" t="str">
        <f t="shared" si="365"/>
        <v/>
      </c>
      <c r="BN401" s="73" t="str">
        <f t="shared" si="366"/>
        <v/>
      </c>
      <c r="BO401" s="31" t="str" cm="1">
        <f t="array" ref="BO401">IF(BN401="",""&amp;BL401,IF(BN401="NEMA",BL401,INDEX(regKlub_naziv,MATCH(INDEX(regKlub_alias_klubId,BN401),regKlub_id,0))))</f>
        <v/>
      </c>
      <c r="BP401" s="31" t="str" cm="1">
        <f t="array" ref="BP401">IFERROR(""&amp;INDEX(regNatjecatelj_klub,DY401),"")</f>
        <v/>
      </c>
      <c r="BQ401" s="88" t="str">
        <f t="shared" si="390"/>
        <v/>
      </c>
      <c r="BR401" s="66" t="str">
        <f t="shared" si="391"/>
        <v/>
      </c>
      <c r="BS401" s="47" t="s">
        <v>0</v>
      </c>
      <c r="BT401" s="82" t="str">
        <f>IF(BN401&lt;&gt;"NEMA","",IF(IFERROR(MATCH(BL401,BL$12:BL400,0),0)&lt;&gt;0,"",BL401))</f>
        <v/>
      </c>
      <c r="BU401" s="47" t="s">
        <v>0</v>
      </c>
      <c r="BV401" s="125"/>
      <c r="BW401" s="47" t="s">
        <v>0</v>
      </c>
      <c r="BX401" s="58" t="str">
        <f t="shared" si="392"/>
        <v/>
      </c>
      <c r="BY401" s="31" t="str">
        <f t="shared" si="393"/>
        <v/>
      </c>
      <c r="BZ401" s="31" t="str">
        <f>IF(BY401="","",MAX(BZ$12:BZ400)+1)</f>
        <v/>
      </c>
      <c r="CA401" s="31" t="str">
        <f>IF(BY401="","",IF(AA401="","",IF(AA401="NEMA",AC401,AA401)))</f>
        <v/>
      </c>
      <c r="CB401" s="31" t="str">
        <f t="shared" si="394"/>
        <v/>
      </c>
      <c r="CC401" s="31" t="str">
        <f>IF(BV401="","",MAX(CC$12:CC400)+1)</f>
        <v/>
      </c>
      <c r="CD401" s="31" t="str">
        <f t="shared" si="395"/>
        <v/>
      </c>
      <c r="CE401" s="66" t="str">
        <f t="shared" si="396"/>
        <v/>
      </c>
      <c r="CF401" s="47" t="s">
        <v>0</v>
      </c>
      <c r="CG401" s="73" t="str">
        <f>IF(BN401="","",IF(BN401&lt;&gt;"NEMA","",IFERROR(INDEX(nat_klubAliasId,MATCH(BL401,nat_noviKluboviAliasi,0)),"")))</f>
        <v/>
      </c>
      <c r="CH401" s="47"/>
      <c r="CI401" s="19" t="str">
        <f t="shared" si="397"/>
        <v/>
      </c>
      <c r="CJ401" s="47" t="s">
        <v>0</v>
      </c>
      <c r="CK401" s="52" t="str">
        <f>IF(X401&lt;&gt;"NEMA","",IF(IFERROR(MATCH(W401,W$12:W400,0),0)&lt;&gt;0,"",W401))</f>
        <v/>
      </c>
      <c r="CL401" s="73" t="str">
        <f>IF(CK401="","",IFERROR(INDEX(regKlub_alias_id,MATCH(CK401,regKlub_alias_alias,0)),"NEMA"))</f>
        <v/>
      </c>
      <c r="CM401" s="31" t="str">
        <f>IF(OR(CL401="",CL401&lt;&gt;"NEMA"),"",MAX(CM$12:CM400)+1)</f>
        <v/>
      </c>
      <c r="CN401" s="66" t="str">
        <f>IF(OR(CL401="",CL401&lt;&gt;"NEMA"),"",INDEX(regKlub_id,MATCH(CK401,regKlub_naziv,0)))</f>
        <v/>
      </c>
      <c r="CO401" s="47" t="s">
        <v>0</v>
      </c>
      <c r="CP401" s="19" t="str">
        <f>IF(OR(CL401="",CL401&lt;&gt;"NEMA"),"","INSERT INTO klub_alias(id,alias,klub_id) VALUES ("&amp;CM401&amp;",'"&amp;CK401&amp;"',"&amp;CN401&amp;");")</f>
        <v/>
      </c>
      <c r="CQ401" s="47" t="s">
        <v>0</v>
      </c>
      <c r="CR401" s="143" t="str">
        <f>IF(BR401="","",IF(BV401="",IF(IFERROR(MATCH(BR401,nat_noviKluboviAliasi,0),0)&gt;0,INDEX(nat_kluboviAliasi,MATCH(BR401,nat_noviKluboviAliasi,0)),BR401),BV401))</f>
        <v/>
      </c>
      <c r="CS401" s="47" t="s">
        <v>0</v>
      </c>
      <c r="CT401" s="58" t="str">
        <f>IF(G401="","",G401)</f>
        <v/>
      </c>
      <c r="CU401" s="73" t="str">
        <f>IF(H401="","",H401)</f>
        <v/>
      </c>
      <c r="CV401" s="229" t="str">
        <f>IF(CT401="",IF(OR(AL401="",CU401&lt;&gt;"0"),"","GREŠKA"),IF(AND(65535&gt;=VALUE(LEFT(CT401,SEARCH(":",CT401)-1))*60+VALUE(RIGHT(CT401,2)),OR(CU401="0",CU401="1",CU401="2",CU401="3",CU401="4")),"","GREŠKA"))</f>
        <v/>
      </c>
      <c r="CW401" s="230" t="str">
        <f t="shared" si="351"/>
        <v/>
      </c>
      <c r="CX401" s="163" t="str">
        <f t="shared" si="367"/>
        <v/>
      </c>
      <c r="CY401" s="47" t="s">
        <v>0</v>
      </c>
      <c r="CZ401" s="222" t="str">
        <f>IF(CV401&lt;&gt;"GREŠKA","",AK401&amp;" "&amp;AL401&amp;" – Molim u OEventu provjeriti i ispraviti rezultat – vrijeme ("&amp;IF(CT401="","nije upisano",CT401)&amp;") i classifier ("&amp;CU401&amp;").")&amp;IF(OR(CV401&lt;&gt;"GREŠKA",CX401&lt;&gt;5),"
","")&amp;IF(CX401&lt;&gt;5,"",AK401&amp;" "&amp;AL401&amp;" – Molim u provjeriti je li natjecatelj zaista diskvalificiran. Ako je koje je obrazloženje, ako nije molim u OEventu ispraviti rezultat")</f>
        <v xml:space="preserve">
</v>
      </c>
      <c r="DA401" s="223" t="str">
        <f t="shared" si="398"/>
        <v/>
      </c>
      <c r="DB401" s="47" t="s">
        <v>0</v>
      </c>
      <c r="DC401" s="47"/>
      <c r="DD401" s="47"/>
      <c r="DE401" s="47"/>
      <c r="DF401" s="47" t="s">
        <v>0</v>
      </c>
      <c r="DG401" s="53" t="str">
        <f>IF(BD401="","",IF(DI401="O",1,""))</f>
        <v/>
      </c>
      <c r="DH401" t="s">
        <v>0</v>
      </c>
      <c r="DI401" s="128" t="str">
        <f>IF(Q401="","",LEFT(INDEX(regKategorija_oznaka,MATCH(S401,regKategorija_id,0)),1))</f>
        <v/>
      </c>
      <c r="DJ401" t="s">
        <v>0</v>
      </c>
      <c r="DK401" s="52" t="str">
        <f>IF(BD401="","",IF(M401&lt;&gt;"CRO","","INSERT INTO osoba (id,reg_broj,oib,spol_id,dat_rodjenja) VALUES ("&amp;BD401&amp;",(SELECT max(os.reg_broj)+1 FROM osoba AS os),Null,'"&amp;DI401&amp;"',Null); INSERT INTO osoba_log (id,reg_broj,oib,spol_id,dat_rodjenja,dnevnik_id) SELECT id,reg_broj,oib,spol_id,dat_rodjenja,"&amp;data_dnevnik_id&amp;" FROM osoba WHERE id = "&amp;BD401&amp;";"))</f>
        <v/>
      </c>
      <c r="DL401" s="66" t="str">
        <f>IF(BD401="","","INSERT INTO imeprezime (id,osoba_id,rbr,ime,prezime,klub_id,identitet_id,sintaksa_id,info,aktivno,dnevnik_id) VALUES ("&amp;BD401&amp;","&amp;IF(DK401="","Null",BD401)&amp;",1,'"&amp;IF(AV401&lt;&gt;"",AV401,AK401)&amp;"','"&amp;IF(AW401&lt;&gt;"",AW401,AL401)&amp;"',(SELECT id FROM klub WHERE naziv = '"&amp;CR401&amp;"'),Null,1,'',1,"&amp;data_dnevnik_id&amp;");")</f>
        <v/>
      </c>
      <c r="DM401" t="s">
        <v>0</v>
      </c>
      <c r="DN401" s="19" t="str">
        <f t="shared" si="350"/>
        <v/>
      </c>
      <c r="DO401" s="47" t="s">
        <v>0</v>
      </c>
      <c r="DP401" s="19" t="str">
        <f>IF(BA401="","","INSERT INTO imeprezime_alias(id,alias,imeprezime_id) VALUES ("&amp;BB401&amp;",'"&amp;BA401&amp;"',"&amp;IF(BC401="NEMA",BD401,BC401)&amp;");")</f>
        <v/>
      </c>
      <c r="DQ401" s="47" t="s">
        <v>0</v>
      </c>
      <c r="DR401" s="52" t="str">
        <f>IF(AL401="","",DU401 &amp; IF(Q401="",""," – " &amp; Q401))</f>
        <v/>
      </c>
      <c r="DS401" s="53" t="str">
        <f t="shared" si="368"/>
        <v/>
      </c>
      <c r="DT401" s="47" t="s">
        <v>0</v>
      </c>
      <c r="DU401" s="52" t="str">
        <f>IF(AL401="","",DX401 &amp; IF(CR401="",""," – " &amp; CR401))</f>
        <v/>
      </c>
      <c r="DV401" s="53" t="str">
        <f t="shared" si="369"/>
        <v/>
      </c>
      <c r="DW401" s="47" t="s">
        <v>0</v>
      </c>
      <c r="DX401" s="52" t="str">
        <f>IF(BG401="","",BF401&amp;" – "&amp;BG401)</f>
        <v/>
      </c>
      <c r="DY401" s="53" t="str">
        <f t="shared" si="370"/>
        <v/>
      </c>
      <c r="DZ401" s="47" t="s">
        <v>0</v>
      </c>
      <c r="EA401" s="58" t="str">
        <f t="shared" si="399"/>
        <v/>
      </c>
      <c r="EB401" s="53" t="str" cm="1">
        <f t="array" ref="EB401">IF(EA401&lt;&gt;"",INDEX(regNatjecatelj_id,EA401,0),IF(BD401&lt;&gt;"",BD401,""))</f>
        <v/>
      </c>
      <c r="EC401" s="47" t="s">
        <v>0</v>
      </c>
      <c r="ED401" s="58" t="str">
        <f>IF(AL401="","",IF(BD401&lt;&gt;"","novo",IF(AN401="","imepre","imepre(ali)")))</f>
        <v/>
      </c>
      <c r="EE401" s="73" t="str">
        <f>IF(AL401="","",IF(BL401="",IF(IFERROR(INDEX(regNatjecatelj_klub,MATCH(EB401,regNatjecatelj_id,0)),"NEMA")="","klu",""),IF(OR(AND(BN401&lt;&gt;"",BN401&lt;&gt;"NEMA"),CD401&lt;&gt;""),"klu(ali)",IF(AND(BP401&lt;&gt;"",BP401&lt;&gt;BO401),"(raz-klu)","klu"))))</f>
        <v/>
      </c>
      <c r="EF401" s="73" t="str">
        <f>IF(AL401="","","kat"&amp;IF(AND(W401&lt;&gt;Q401,Q401&lt;&gt;"Open"),"(ali)",""))</f>
        <v/>
      </c>
      <c r="EG401" s="73" t="str">
        <f t="shared" si="371"/>
        <v/>
      </c>
      <c r="EH401" s="66" t="str">
        <f>IF(AL401="","",ED401&amp;IF(ED401="novo","","-"&amp;EE401&amp;"-"&amp;EF401)&amp;IF(EG401="","","-"&amp;EG401))</f>
        <v/>
      </c>
      <c r="EI401" s="47" t="s">
        <v>0</v>
      </c>
      <c r="EJ401" s="58" t="str">
        <f>IF(AL401="","",MAX(EJ$12:EJ400)+1)</f>
        <v/>
      </c>
      <c r="EK401" s="73" t="str">
        <f>IF(AO401="","",X401)</f>
        <v/>
      </c>
      <c r="EL401" s="73" t="str">
        <f t="shared" si="400"/>
        <v/>
      </c>
      <c r="EM401" s="73" t="str">
        <f t="shared" si="372"/>
        <v/>
      </c>
      <c r="EN401" s="73" t="str">
        <f t="shared" si="373"/>
        <v/>
      </c>
      <c r="EO401" s="73" t="str">
        <f t="shared" si="401"/>
        <v/>
      </c>
      <c r="EP401" s="73" t="str">
        <f t="shared" si="402"/>
        <v/>
      </c>
      <c r="EQ401" s="73" t="str">
        <f t="shared" si="374"/>
        <v/>
      </c>
      <c r="ER401" s="73" t="str">
        <f>IF(OR(AN401="",AN401="NEMA"),BB401,AN401)</f>
        <v/>
      </c>
      <c r="ES401" s="73" t="str">
        <f>IF(AND(BN401&lt;&gt;"",BN401&lt;&gt;"NEMA"),BN401,IF(CG401&lt;&gt;"",CG401,IF(AND(CL401&lt;&gt;"",CL401&lt;&gt;"NEMA"),CL401,IF(CM401&lt;&gt;"",CM401,""))))</f>
        <v/>
      </c>
      <c r="ET401" s="53" t="str">
        <f>IF(INDEX(natKategorija_alias_Id,MATCH(S401,natKategorija_katRegId,0))="","",INDEX(natKategorija_alias_Id,MATCH(S401,natKategorija_katRegId,0)))</f>
        <v/>
      </c>
      <c r="EU401" s="47" t="s">
        <v>0</v>
      </c>
      <c r="EV401" s="19" t="str">
        <f t="shared" si="403"/>
        <v/>
      </c>
      <c r="EW401" s="47" t="s">
        <v>0</v>
      </c>
      <c r="EX401" s="19" t="str">
        <f t="shared" si="404"/>
        <v/>
      </c>
      <c r="EY401" s="47" t="s">
        <v>0</v>
      </c>
      <c r="EZ401" s="180" t="str">
        <f>AG401&amp;IF(CP401="","","
")&amp;CP401&amp;IF(CI401="","","
")&amp;CI401&amp;IF(DN401="","","
")&amp;DN401&amp;IF(DP401="","","
")&amp;DP401&amp;IF(EV401="","","
")&amp;EV401&amp;IF(EX401="","","
")&amp;EX401</f>
        <v/>
      </c>
      <c r="FA401" s="47" t="s">
        <v>0</v>
      </c>
    </row>
    <row r="402" spans="1:157" x14ac:dyDescent="0.25">
      <c r="A402" t="s">
        <v>0</v>
      </c>
      <c r="B402" s="52" t="str">
        <f>IF(csv!F392="","",csv!T392)</f>
        <v/>
      </c>
      <c r="C402" s="31" t="s">
        <v>0</v>
      </c>
      <c r="D402" s="31" t="str">
        <f>IF(csv!F392="","",csv!F392)</f>
        <v/>
      </c>
      <c r="E402" s="31" t="str">
        <f>IF(csv!E392="","",csv!E392)</f>
        <v/>
      </c>
      <c r="F402" s="31" t="s">
        <v>0</v>
      </c>
      <c r="G402" s="73" t="str">
        <f>IF(csv!M392="","",csv!M392)</f>
        <v/>
      </c>
      <c r="H402" s="73" t="str">
        <f>IF(csv!N392="","",csv!N392)</f>
        <v/>
      </c>
      <c r="I402" s="31" t="s">
        <v>0</v>
      </c>
      <c r="J402" s="31" t="str">
        <f>IF(csv!P392="","",csv!P392)</f>
        <v/>
      </c>
      <c r="K402" s="31" t="str">
        <f>IF(csv!Q392="","",csv!Q392)</f>
        <v/>
      </c>
      <c r="L402" s="31" t="s">
        <v>0</v>
      </c>
      <c r="M402" s="66" t="str">
        <f>IF(csv!R392="","",csv!R392)</f>
        <v/>
      </c>
      <c r="N402" s="47" t="s">
        <v>0</v>
      </c>
      <c r="O402" s="243" t="str">
        <f t="shared" si="375"/>
        <v/>
      </c>
      <c r="P402" s="47"/>
      <c r="Q402" s="52" t="str">
        <f t="shared" si="376"/>
        <v/>
      </c>
      <c r="R402" s="73" t="str">
        <f>IF(Q402="","",IF(COUNTIF(Q$12:Q401,Q402)=0,R401+1,R401))</f>
        <v/>
      </c>
      <c r="S402" s="73" t="str">
        <f t="shared" si="377"/>
        <v/>
      </c>
      <c r="T402" s="73" t="str">
        <f t="shared" si="353"/>
        <v/>
      </c>
      <c r="U402" s="66" t="str">
        <f t="shared" si="354"/>
        <v/>
      </c>
      <c r="V402" s="47" t="s">
        <v>0</v>
      </c>
      <c r="W402" s="222" t="str">
        <f t="shared" si="355"/>
        <v/>
      </c>
      <c r="X402" s="223" t="str">
        <f t="shared" si="356"/>
        <v/>
      </c>
      <c r="Y402" s="47" t="s">
        <v>0</v>
      </c>
      <c r="Z402" s="52" t="str">
        <f t="shared" si="378"/>
        <v/>
      </c>
      <c r="AA402" s="73" t="str">
        <f t="shared" si="357"/>
        <v/>
      </c>
      <c r="AB402" s="31" t="str">
        <f t="shared" si="379"/>
        <v/>
      </c>
      <c r="AC402" s="66" t="str">
        <f>IF(AB402="","",MAX(AC$12:AC401)+1)</f>
        <v/>
      </c>
      <c r="AD402" s="47" t="s">
        <v>0</v>
      </c>
      <c r="AE402" s="125"/>
      <c r="AF402" s="47" t="s">
        <v>0</v>
      </c>
      <c r="AG402" s="19" t="str">
        <f t="shared" si="380"/>
        <v/>
      </c>
      <c r="AH402" s="47" t="s">
        <v>0</v>
      </c>
      <c r="AI402" s="143" t="str">
        <f t="shared" si="381"/>
        <v/>
      </c>
      <c r="AJ402" s="47"/>
      <c r="AK402" s="52" t="str">
        <f t="shared" si="382"/>
        <v/>
      </c>
      <c r="AL402" s="31" t="str">
        <f t="shared" si="383"/>
        <v/>
      </c>
      <c r="AM402" s="73" t="str">
        <f t="shared" si="384"/>
        <v/>
      </c>
      <c r="AN402" s="73" t="str">
        <f t="shared" si="385"/>
        <v/>
      </c>
      <c r="AO402" s="31" t="str">
        <f t="shared" si="358"/>
        <v/>
      </c>
      <c r="AP402" s="66" t="str">
        <f t="shared" si="359"/>
        <v/>
      </c>
      <c r="AQ402" s="47" t="s">
        <v>0</v>
      </c>
      <c r="AR402" s="82" t="str">
        <f t="shared" si="386"/>
        <v/>
      </c>
      <c r="AS402" s="47" t="s">
        <v>0</v>
      </c>
      <c r="AT402" s="19" t="str">
        <f t="shared" si="387"/>
        <v/>
      </c>
      <c r="AU402" s="47" t="s">
        <v>0</v>
      </c>
      <c r="AV402" s="103"/>
      <c r="AW402" s="105"/>
      <c r="AX402" s="47" t="s">
        <v>0</v>
      </c>
      <c r="AY402" s="256" t="str">
        <f t="shared" si="349"/>
        <v/>
      </c>
      <c r="AZ402" s="47" t="s">
        <v>0</v>
      </c>
      <c r="BA402" s="52" t="str">
        <f t="shared" si="352"/>
        <v/>
      </c>
      <c r="BB402" s="73" t="str">
        <f>IF(AV402&amp;AW402="","",MAX(BB$12:BB401)+1)</f>
        <v/>
      </c>
      <c r="BC402" s="268" t="str">
        <f t="shared" si="360"/>
        <v/>
      </c>
      <c r="BD402" s="53" t="str">
        <f>IF(AND(AM402="NEMA",AN402="NEMA",OR(AV402&amp;AW402="",BC402="NEMA")),MAX(BD$12:BD401)+1,"")</f>
        <v/>
      </c>
      <c r="BE402" s="47" t="s">
        <v>0</v>
      </c>
      <c r="BF402" s="52" t="str">
        <f t="shared" si="361"/>
        <v/>
      </c>
      <c r="BG402" s="31" t="str">
        <f t="shared" si="362"/>
        <v/>
      </c>
      <c r="BH402" s="73" t="str">
        <f t="shared" si="388"/>
        <v/>
      </c>
      <c r="BI402" s="53" t="str">
        <f t="shared" si="389"/>
        <v/>
      </c>
      <c r="BJ402" s="47" t="s">
        <v>0</v>
      </c>
      <c r="BK402" s="52" t="str">
        <f t="shared" si="363"/>
        <v/>
      </c>
      <c r="BL402" s="31" t="str">
        <f t="shared" si="364"/>
        <v/>
      </c>
      <c r="BM402" s="73" t="str">
        <f t="shared" si="365"/>
        <v/>
      </c>
      <c r="BN402" s="73" t="str">
        <f t="shared" si="366"/>
        <v/>
      </c>
      <c r="BO402" s="31" t="str" cm="1">
        <f t="array" ref="BO402">IF(BN402="",""&amp;BL402,IF(BN402="NEMA",BL402,INDEX(regKlub_naziv,MATCH(INDEX(regKlub_alias_klubId,BN402),regKlub_id,0))))</f>
        <v/>
      </c>
      <c r="BP402" s="31" t="str" cm="1">
        <f t="array" ref="BP402">IFERROR(""&amp;INDEX(regNatjecatelj_klub,DY402),"")</f>
        <v/>
      </c>
      <c r="BQ402" s="88" t="str">
        <f t="shared" si="390"/>
        <v/>
      </c>
      <c r="BR402" s="66" t="str">
        <f t="shared" si="391"/>
        <v/>
      </c>
      <c r="BS402" s="47" t="s">
        <v>0</v>
      </c>
      <c r="BT402" s="82" t="str">
        <f>IF(BN402&lt;&gt;"NEMA","",IF(IFERROR(MATCH(BL402,BL$12:BL401,0),0)&lt;&gt;0,"",BL402))</f>
        <v/>
      </c>
      <c r="BU402" s="47" t="s">
        <v>0</v>
      </c>
      <c r="BV402" s="125"/>
      <c r="BW402" s="47" t="s">
        <v>0</v>
      </c>
      <c r="BX402" s="58" t="str">
        <f t="shared" si="392"/>
        <v/>
      </c>
      <c r="BY402" s="31" t="str">
        <f t="shared" si="393"/>
        <v/>
      </c>
      <c r="BZ402" s="31" t="str">
        <f>IF(BY402="","",MAX(BZ$12:BZ401)+1)</f>
        <v/>
      </c>
      <c r="CA402" s="31" t="str">
        <f>IF(BY402="","",IF(AA402="","",IF(AA402="NEMA",AC402,AA402)))</f>
        <v/>
      </c>
      <c r="CB402" s="31" t="str">
        <f t="shared" si="394"/>
        <v/>
      </c>
      <c r="CC402" s="31" t="str">
        <f>IF(BV402="","",MAX(CC$12:CC401)+1)</f>
        <v/>
      </c>
      <c r="CD402" s="31" t="str">
        <f t="shared" si="395"/>
        <v/>
      </c>
      <c r="CE402" s="66" t="str">
        <f t="shared" si="396"/>
        <v/>
      </c>
      <c r="CF402" s="47" t="s">
        <v>0</v>
      </c>
      <c r="CG402" s="73" t="str">
        <f>IF(BN402="","",IF(BN402&lt;&gt;"NEMA","",IFERROR(INDEX(nat_klubAliasId,MATCH(BL402,nat_noviKluboviAliasi,0)),"")))</f>
        <v/>
      </c>
      <c r="CH402" s="47"/>
      <c r="CI402" s="19" t="str">
        <f t="shared" si="397"/>
        <v/>
      </c>
      <c r="CJ402" s="47" t="s">
        <v>0</v>
      </c>
      <c r="CK402" s="52" t="str">
        <f>IF(X402&lt;&gt;"NEMA","",IF(IFERROR(MATCH(W402,W$12:W401,0),0)&lt;&gt;0,"",W402))</f>
        <v/>
      </c>
      <c r="CL402" s="73" t="str">
        <f>IF(CK402="","",IFERROR(INDEX(regKlub_alias_id,MATCH(CK402,regKlub_alias_alias,0)),"NEMA"))</f>
        <v/>
      </c>
      <c r="CM402" s="31" t="str">
        <f>IF(OR(CL402="",CL402&lt;&gt;"NEMA"),"",MAX(CM$12:CM401)+1)</f>
        <v/>
      </c>
      <c r="CN402" s="66" t="str">
        <f>IF(OR(CL402="",CL402&lt;&gt;"NEMA"),"",INDEX(regKlub_id,MATCH(CK402,regKlub_naziv,0)))</f>
        <v/>
      </c>
      <c r="CO402" s="47" t="s">
        <v>0</v>
      </c>
      <c r="CP402" s="19" t="str">
        <f>IF(OR(CL402="",CL402&lt;&gt;"NEMA"),"","INSERT INTO klub_alias(id,alias,klub_id) VALUES ("&amp;CM402&amp;",'"&amp;CK402&amp;"',"&amp;CN402&amp;");")</f>
        <v/>
      </c>
      <c r="CQ402" s="47" t="s">
        <v>0</v>
      </c>
      <c r="CR402" s="143" t="str">
        <f>IF(BR402="","",IF(BV402="",IF(IFERROR(MATCH(BR402,nat_noviKluboviAliasi,0),0)&gt;0,INDEX(nat_kluboviAliasi,MATCH(BR402,nat_noviKluboviAliasi,0)),BR402),BV402))</f>
        <v/>
      </c>
      <c r="CS402" s="47" t="s">
        <v>0</v>
      </c>
      <c r="CT402" s="58" t="str">
        <f>IF(G402="","",G402)</f>
        <v/>
      </c>
      <c r="CU402" s="73" t="str">
        <f>IF(H402="","",H402)</f>
        <v/>
      </c>
      <c r="CV402" s="229" t="str">
        <f>IF(CT402="",IF(OR(AL402="",CU402&lt;&gt;"0"),"","GREŠKA"),IF(AND(65535&gt;=VALUE(LEFT(CT402,SEARCH(":",CT402)-1))*60+VALUE(RIGHT(CT402,2)),OR(CU402="0",CU402="1",CU402="2",CU402="3",CU402="4")),"","GREŠKA"))</f>
        <v/>
      </c>
      <c r="CW402" s="230" t="str">
        <f t="shared" si="351"/>
        <v/>
      </c>
      <c r="CX402" s="163" t="str">
        <f t="shared" si="367"/>
        <v/>
      </c>
      <c r="CY402" s="47" t="s">
        <v>0</v>
      </c>
      <c r="CZ402" s="222" t="str">
        <f>IF(CV402&lt;&gt;"GREŠKA","",AK402&amp;" "&amp;AL402&amp;" – Molim u OEventu provjeriti i ispraviti rezultat – vrijeme ("&amp;IF(CT402="","nije upisano",CT402)&amp;") i classifier ("&amp;CU402&amp;").")&amp;IF(OR(CV402&lt;&gt;"GREŠKA",CX402&lt;&gt;5),"
","")&amp;IF(CX402&lt;&gt;5,"",AK402&amp;" "&amp;AL402&amp;" – Molim u provjeriti je li natjecatelj zaista diskvalificiran. Ako je koje je obrazloženje, ako nije molim u OEventu ispraviti rezultat")</f>
        <v xml:space="preserve">
</v>
      </c>
      <c r="DA402" s="223" t="str">
        <f t="shared" si="398"/>
        <v/>
      </c>
      <c r="DB402" s="47" t="s">
        <v>0</v>
      </c>
      <c r="DC402" s="47"/>
      <c r="DD402" s="47"/>
      <c r="DE402" s="47"/>
      <c r="DF402" s="47" t="s">
        <v>0</v>
      </c>
      <c r="DG402" s="53" t="str">
        <f>IF(BD402="","",IF(DI402="O",1,""))</f>
        <v/>
      </c>
      <c r="DH402" t="s">
        <v>0</v>
      </c>
      <c r="DI402" s="128" t="str">
        <f>IF(Q402="","",LEFT(INDEX(regKategorija_oznaka,MATCH(S402,regKategorija_id,0)),1))</f>
        <v/>
      </c>
      <c r="DJ402" t="s">
        <v>0</v>
      </c>
      <c r="DK402" s="52" t="str">
        <f>IF(BD402="","",IF(M402&lt;&gt;"CRO","","INSERT INTO osoba (id,reg_broj,oib,spol_id,dat_rodjenja) VALUES ("&amp;BD402&amp;",(SELECT max(os.reg_broj)+1 FROM osoba AS os),Null,'"&amp;DI402&amp;"',Null); INSERT INTO osoba_log (id,reg_broj,oib,spol_id,dat_rodjenja,dnevnik_id) SELECT id,reg_broj,oib,spol_id,dat_rodjenja,"&amp;data_dnevnik_id&amp;" FROM osoba WHERE id = "&amp;BD402&amp;";"))</f>
        <v/>
      </c>
      <c r="DL402" s="66" t="str">
        <f>IF(BD402="","","INSERT INTO imeprezime (id,osoba_id,rbr,ime,prezime,klub_id,identitet_id,sintaksa_id,info,aktivno,dnevnik_id) VALUES ("&amp;BD402&amp;","&amp;IF(DK402="","Null",BD402)&amp;",1,'"&amp;IF(AV402&lt;&gt;"",AV402,AK402)&amp;"','"&amp;IF(AW402&lt;&gt;"",AW402,AL402)&amp;"',(SELECT id FROM klub WHERE naziv = '"&amp;CR402&amp;"'),Null,1,'',1,"&amp;data_dnevnik_id&amp;");")</f>
        <v/>
      </c>
      <c r="DM402" t="s">
        <v>0</v>
      </c>
      <c r="DN402" s="19" t="str">
        <f t="shared" si="350"/>
        <v/>
      </c>
      <c r="DO402" s="47" t="s">
        <v>0</v>
      </c>
      <c r="DP402" s="19" t="str">
        <f>IF(BA402="","","INSERT INTO imeprezime_alias(id,alias,imeprezime_id) VALUES ("&amp;BB402&amp;",'"&amp;BA402&amp;"',"&amp;IF(BC402="NEMA",BD402,BC402)&amp;");")</f>
        <v/>
      </c>
      <c r="DQ402" s="47" t="s">
        <v>0</v>
      </c>
      <c r="DR402" s="52" t="str">
        <f>IF(AL402="","",DU402 &amp; IF(Q402="",""," – " &amp; Q402))</f>
        <v/>
      </c>
      <c r="DS402" s="53" t="str">
        <f t="shared" si="368"/>
        <v/>
      </c>
      <c r="DT402" s="47" t="s">
        <v>0</v>
      </c>
      <c r="DU402" s="52" t="str">
        <f>IF(AL402="","",DX402 &amp; IF(CR402="",""," – " &amp; CR402))</f>
        <v/>
      </c>
      <c r="DV402" s="53" t="str">
        <f t="shared" si="369"/>
        <v/>
      </c>
      <c r="DW402" s="47" t="s">
        <v>0</v>
      </c>
      <c r="DX402" s="52" t="str">
        <f>IF(BG402="","",BF402&amp;" – "&amp;BG402)</f>
        <v/>
      </c>
      <c r="DY402" s="53" t="str">
        <f t="shared" si="370"/>
        <v/>
      </c>
      <c r="DZ402" s="47" t="s">
        <v>0</v>
      </c>
      <c r="EA402" s="58" t="str">
        <f t="shared" si="399"/>
        <v/>
      </c>
      <c r="EB402" s="53" t="str" cm="1">
        <f t="array" ref="EB402">IF(EA402&lt;&gt;"",INDEX(regNatjecatelj_id,EA402,0),IF(BD402&lt;&gt;"",BD402,""))</f>
        <v/>
      </c>
      <c r="EC402" s="47" t="s">
        <v>0</v>
      </c>
      <c r="ED402" s="58" t="str">
        <f>IF(AL402="","",IF(BD402&lt;&gt;"","novo",IF(AN402="","imepre","imepre(ali)")))</f>
        <v/>
      </c>
      <c r="EE402" s="73" t="str">
        <f>IF(AL402="","",IF(BL402="",IF(IFERROR(INDEX(regNatjecatelj_klub,MATCH(EB402,regNatjecatelj_id,0)),"NEMA")="","klu",""),IF(OR(AND(BN402&lt;&gt;"",BN402&lt;&gt;"NEMA"),CD402&lt;&gt;""),"klu(ali)",IF(AND(BP402&lt;&gt;"",BP402&lt;&gt;BO402),"(raz-klu)","klu"))))</f>
        <v/>
      </c>
      <c r="EF402" s="73" t="str">
        <f>IF(AL402="","","kat"&amp;IF(AND(W402&lt;&gt;Q402,Q402&lt;&gt;"Open"),"(ali)",""))</f>
        <v/>
      </c>
      <c r="EG402" s="73" t="str">
        <f t="shared" si="371"/>
        <v/>
      </c>
      <c r="EH402" s="66" t="str">
        <f>IF(AL402="","",ED402&amp;IF(ED402="novo","","-"&amp;EE402&amp;"-"&amp;EF402)&amp;IF(EG402="","","-"&amp;EG402))</f>
        <v/>
      </c>
      <c r="EI402" s="47" t="s">
        <v>0</v>
      </c>
      <c r="EJ402" s="58" t="str">
        <f>IF(AL402="","",MAX(EJ$12:EJ401)+1)</f>
        <v/>
      </c>
      <c r="EK402" s="73" t="str">
        <f>IF(AO402="","",X402)</f>
        <v/>
      </c>
      <c r="EL402" s="73" t="str">
        <f t="shared" si="400"/>
        <v/>
      </c>
      <c r="EM402" s="73" t="str">
        <f t="shared" si="372"/>
        <v/>
      </c>
      <c r="EN402" s="73" t="str">
        <f t="shared" si="373"/>
        <v/>
      </c>
      <c r="EO402" s="73" t="str">
        <f t="shared" si="401"/>
        <v/>
      </c>
      <c r="EP402" s="73" t="str">
        <f t="shared" si="402"/>
        <v/>
      </c>
      <c r="EQ402" s="73" t="str">
        <f t="shared" si="374"/>
        <v/>
      </c>
      <c r="ER402" s="73" t="str">
        <f>IF(OR(AN402="",AN402="NEMA"),BB402,AN402)</f>
        <v/>
      </c>
      <c r="ES402" s="73" t="str">
        <f>IF(AND(BN402&lt;&gt;"",BN402&lt;&gt;"NEMA"),BN402,IF(CG402&lt;&gt;"",CG402,IF(AND(CL402&lt;&gt;"",CL402&lt;&gt;"NEMA"),CL402,IF(CM402&lt;&gt;"",CM402,""))))</f>
        <v/>
      </c>
      <c r="ET402" s="53" t="str">
        <f>IF(INDEX(natKategorija_alias_Id,MATCH(S402,natKategorija_katRegId,0))="","",INDEX(natKategorija_alias_Id,MATCH(S402,natKategorija_katRegId,0)))</f>
        <v/>
      </c>
      <c r="EU402" s="47" t="s">
        <v>0</v>
      </c>
      <c r="EV402" s="19" t="str">
        <f t="shared" si="403"/>
        <v/>
      </c>
      <c r="EW402" s="47" t="s">
        <v>0</v>
      </c>
      <c r="EX402" s="19" t="str">
        <f t="shared" si="404"/>
        <v/>
      </c>
      <c r="EY402" s="47" t="s">
        <v>0</v>
      </c>
      <c r="EZ402" s="180" t="str">
        <f>AG402&amp;IF(CP402="","","
")&amp;CP402&amp;IF(CI402="","","
")&amp;CI402&amp;IF(DN402="","","
")&amp;DN402&amp;IF(DP402="","","
")&amp;DP402&amp;IF(EV402="","","
")&amp;EV402&amp;IF(EX402="","","
")&amp;EX402</f>
        <v/>
      </c>
      <c r="FA402" s="47" t="s">
        <v>0</v>
      </c>
    </row>
    <row r="403" spans="1:157" x14ac:dyDescent="0.25">
      <c r="A403" t="s">
        <v>0</v>
      </c>
      <c r="B403" s="52" t="str">
        <f>IF(csv!F393="","",csv!T393)</f>
        <v/>
      </c>
      <c r="C403" s="31" t="s">
        <v>0</v>
      </c>
      <c r="D403" s="31" t="str">
        <f>IF(csv!F393="","",csv!F393)</f>
        <v/>
      </c>
      <c r="E403" s="31" t="str">
        <f>IF(csv!E393="","",csv!E393)</f>
        <v/>
      </c>
      <c r="F403" s="31" t="s">
        <v>0</v>
      </c>
      <c r="G403" s="73" t="str">
        <f>IF(csv!M393="","",csv!M393)</f>
        <v/>
      </c>
      <c r="H403" s="73" t="str">
        <f>IF(csv!N393="","",csv!N393)</f>
        <v/>
      </c>
      <c r="I403" s="31" t="s">
        <v>0</v>
      </c>
      <c r="J403" s="31" t="str">
        <f>IF(csv!P393="","",csv!P393)</f>
        <v/>
      </c>
      <c r="K403" s="31" t="str">
        <f>IF(csv!Q393="","",csv!Q393)</f>
        <v/>
      </c>
      <c r="L403" s="31" t="s">
        <v>0</v>
      </c>
      <c r="M403" s="66" t="str">
        <f>IF(csv!R393="","",csv!R393)</f>
        <v/>
      </c>
      <c r="N403" s="47" t="s">
        <v>0</v>
      </c>
      <c r="O403" s="243" t="str">
        <f t="shared" si="375"/>
        <v/>
      </c>
      <c r="P403" s="47"/>
      <c r="Q403" s="52" t="str">
        <f t="shared" si="376"/>
        <v/>
      </c>
      <c r="R403" s="73" t="str">
        <f>IF(Q403="","",IF(COUNTIF(Q$12:Q402,Q403)=0,R402+1,R402))</f>
        <v/>
      </c>
      <c r="S403" s="73" t="str">
        <f t="shared" si="377"/>
        <v/>
      </c>
      <c r="T403" s="73" t="str">
        <f t="shared" si="353"/>
        <v/>
      </c>
      <c r="U403" s="66" t="str">
        <f t="shared" si="354"/>
        <v/>
      </c>
      <c r="V403" s="47" t="s">
        <v>0</v>
      </c>
      <c r="W403" s="222" t="str">
        <f t="shared" si="355"/>
        <v/>
      </c>
      <c r="X403" s="223" t="str">
        <f t="shared" si="356"/>
        <v/>
      </c>
      <c r="Y403" s="47" t="s">
        <v>0</v>
      </c>
      <c r="Z403" s="52" t="str">
        <f t="shared" si="378"/>
        <v/>
      </c>
      <c r="AA403" s="73" t="str">
        <f t="shared" si="357"/>
        <v/>
      </c>
      <c r="AB403" s="31" t="str">
        <f t="shared" si="379"/>
        <v/>
      </c>
      <c r="AC403" s="66" t="str">
        <f>IF(AB403="","",MAX(AC$12:AC402)+1)</f>
        <v/>
      </c>
      <c r="AD403" s="47" t="s">
        <v>0</v>
      </c>
      <c r="AE403" s="125"/>
      <c r="AF403" s="47" t="s">
        <v>0</v>
      </c>
      <c r="AG403" s="19" t="str">
        <f t="shared" si="380"/>
        <v/>
      </c>
      <c r="AH403" s="47" t="s">
        <v>0</v>
      </c>
      <c r="AI403" s="143" t="str">
        <f t="shared" si="381"/>
        <v/>
      </c>
      <c r="AJ403" s="47"/>
      <c r="AK403" s="52" t="str">
        <f t="shared" si="382"/>
        <v/>
      </c>
      <c r="AL403" s="31" t="str">
        <f t="shared" si="383"/>
        <v/>
      </c>
      <c r="AM403" s="73" t="str">
        <f t="shared" si="384"/>
        <v/>
      </c>
      <c r="AN403" s="73" t="str">
        <f t="shared" si="385"/>
        <v/>
      </c>
      <c r="AO403" s="31" t="str">
        <f t="shared" si="358"/>
        <v/>
      </c>
      <c r="AP403" s="66" t="str">
        <f t="shared" si="359"/>
        <v/>
      </c>
      <c r="AQ403" s="47" t="s">
        <v>0</v>
      </c>
      <c r="AR403" s="82" t="str">
        <f t="shared" si="386"/>
        <v/>
      </c>
      <c r="AS403" s="47" t="s">
        <v>0</v>
      </c>
      <c r="AT403" s="19" t="str">
        <f t="shared" si="387"/>
        <v/>
      </c>
      <c r="AU403" s="47" t="s">
        <v>0</v>
      </c>
      <c r="AV403" s="103"/>
      <c r="AW403" s="105"/>
      <c r="AX403" s="47" t="s">
        <v>0</v>
      </c>
      <c r="AY403" s="256" t="str">
        <f t="shared" si="349"/>
        <v/>
      </c>
      <c r="AZ403" s="47" t="s">
        <v>0</v>
      </c>
      <c r="BA403" s="52" t="str">
        <f t="shared" si="352"/>
        <v/>
      </c>
      <c r="BB403" s="73" t="str">
        <f>IF(AV403&amp;AW403="","",MAX(BB$12:BB402)+1)</f>
        <v/>
      </c>
      <c r="BC403" s="268" t="str">
        <f t="shared" si="360"/>
        <v/>
      </c>
      <c r="BD403" s="53" t="str">
        <f>IF(AND(AM403="NEMA",AN403="NEMA",OR(AV403&amp;AW403="",BC403="NEMA")),MAX(BD$12:BD402)+1,"")</f>
        <v/>
      </c>
      <c r="BE403" s="47" t="s">
        <v>0</v>
      </c>
      <c r="BF403" s="52" t="str">
        <f t="shared" si="361"/>
        <v/>
      </c>
      <c r="BG403" s="31" t="str">
        <f t="shared" si="362"/>
        <v/>
      </c>
      <c r="BH403" s="73" t="str">
        <f t="shared" si="388"/>
        <v/>
      </c>
      <c r="BI403" s="53" t="str">
        <f t="shared" si="389"/>
        <v/>
      </c>
      <c r="BJ403" s="47" t="s">
        <v>0</v>
      </c>
      <c r="BK403" s="52" t="str">
        <f t="shared" si="363"/>
        <v/>
      </c>
      <c r="BL403" s="31" t="str">
        <f t="shared" si="364"/>
        <v/>
      </c>
      <c r="BM403" s="73" t="str">
        <f t="shared" si="365"/>
        <v/>
      </c>
      <c r="BN403" s="73" t="str">
        <f t="shared" si="366"/>
        <v/>
      </c>
      <c r="BO403" s="31" t="str" cm="1">
        <f t="array" ref="BO403">IF(BN403="",""&amp;BL403,IF(BN403="NEMA",BL403,INDEX(regKlub_naziv,MATCH(INDEX(regKlub_alias_klubId,BN403),regKlub_id,0))))</f>
        <v/>
      </c>
      <c r="BP403" s="31" t="str" cm="1">
        <f t="array" ref="BP403">IFERROR(""&amp;INDEX(regNatjecatelj_klub,DY403),"")</f>
        <v/>
      </c>
      <c r="BQ403" s="88" t="str">
        <f t="shared" si="390"/>
        <v/>
      </c>
      <c r="BR403" s="66" t="str">
        <f t="shared" si="391"/>
        <v/>
      </c>
      <c r="BS403" s="47" t="s">
        <v>0</v>
      </c>
      <c r="BT403" s="82" t="str">
        <f>IF(BN403&lt;&gt;"NEMA","",IF(IFERROR(MATCH(BL403,BL$12:BL402,0),0)&lt;&gt;0,"",BL403))</f>
        <v/>
      </c>
      <c r="BU403" s="47" t="s">
        <v>0</v>
      </c>
      <c r="BV403" s="125"/>
      <c r="BW403" s="47" t="s">
        <v>0</v>
      </c>
      <c r="BX403" s="58" t="str">
        <f t="shared" si="392"/>
        <v/>
      </c>
      <c r="BY403" s="31" t="str">
        <f t="shared" si="393"/>
        <v/>
      </c>
      <c r="BZ403" s="31" t="str">
        <f>IF(BY403="","",MAX(BZ$12:BZ402)+1)</f>
        <v/>
      </c>
      <c r="CA403" s="31" t="str">
        <f>IF(BY403="","",IF(AA403="","",IF(AA403="NEMA",AC403,AA403)))</f>
        <v/>
      </c>
      <c r="CB403" s="31" t="str">
        <f t="shared" si="394"/>
        <v/>
      </c>
      <c r="CC403" s="31" t="str">
        <f>IF(BV403="","",MAX(CC$12:CC402)+1)</f>
        <v/>
      </c>
      <c r="CD403" s="31" t="str">
        <f t="shared" si="395"/>
        <v/>
      </c>
      <c r="CE403" s="66" t="str">
        <f t="shared" si="396"/>
        <v/>
      </c>
      <c r="CF403" s="47" t="s">
        <v>0</v>
      </c>
      <c r="CG403" s="73" t="str">
        <f>IF(BN403="","",IF(BN403&lt;&gt;"NEMA","",IFERROR(INDEX(nat_klubAliasId,MATCH(BL403,nat_noviKluboviAliasi,0)),"")))</f>
        <v/>
      </c>
      <c r="CH403" s="47"/>
      <c r="CI403" s="19" t="str">
        <f t="shared" si="397"/>
        <v/>
      </c>
      <c r="CJ403" s="47" t="s">
        <v>0</v>
      </c>
      <c r="CK403" s="52" t="str">
        <f>IF(X403&lt;&gt;"NEMA","",IF(IFERROR(MATCH(W403,W$12:W402,0),0)&lt;&gt;0,"",W403))</f>
        <v/>
      </c>
      <c r="CL403" s="73" t="str">
        <f>IF(CK403="","",IFERROR(INDEX(regKlub_alias_id,MATCH(CK403,regKlub_alias_alias,0)),"NEMA"))</f>
        <v/>
      </c>
      <c r="CM403" s="31" t="str">
        <f>IF(OR(CL403="",CL403&lt;&gt;"NEMA"),"",MAX(CM$12:CM402)+1)</f>
        <v/>
      </c>
      <c r="CN403" s="66" t="str">
        <f>IF(OR(CL403="",CL403&lt;&gt;"NEMA"),"",INDEX(regKlub_id,MATCH(CK403,regKlub_naziv,0)))</f>
        <v/>
      </c>
      <c r="CO403" s="47" t="s">
        <v>0</v>
      </c>
      <c r="CP403" s="19" t="str">
        <f>IF(OR(CL403="",CL403&lt;&gt;"NEMA"),"","INSERT INTO klub_alias(id,alias,klub_id) VALUES ("&amp;CM403&amp;",'"&amp;CK403&amp;"',"&amp;CN403&amp;");")</f>
        <v/>
      </c>
      <c r="CQ403" s="47" t="s">
        <v>0</v>
      </c>
      <c r="CR403" s="143" t="str">
        <f>IF(BR403="","",IF(BV403="",IF(IFERROR(MATCH(BR403,nat_noviKluboviAliasi,0),0)&gt;0,INDEX(nat_kluboviAliasi,MATCH(BR403,nat_noviKluboviAliasi,0)),BR403),BV403))</f>
        <v/>
      </c>
      <c r="CS403" s="47" t="s">
        <v>0</v>
      </c>
      <c r="CT403" s="58" t="str">
        <f>IF(G403="","",G403)</f>
        <v/>
      </c>
      <c r="CU403" s="73" t="str">
        <f>IF(H403="","",H403)</f>
        <v/>
      </c>
      <c r="CV403" s="229" t="str">
        <f>IF(CT403="",IF(OR(AL403="",CU403&lt;&gt;"0"),"","GREŠKA"),IF(AND(65535&gt;=VALUE(LEFT(CT403,SEARCH(":",CT403)-1))*60+VALUE(RIGHT(CT403,2)),OR(CU403="0",CU403="1",CU403="2",CU403="3",CU403="4")),"","GREŠKA"))</f>
        <v/>
      </c>
      <c r="CW403" s="230" t="str">
        <f t="shared" si="351"/>
        <v/>
      </c>
      <c r="CX403" s="163" t="str">
        <f t="shared" si="367"/>
        <v/>
      </c>
      <c r="CY403" s="47" t="s">
        <v>0</v>
      </c>
      <c r="CZ403" s="222" t="str">
        <f>IF(CV403&lt;&gt;"GREŠKA","",AK403&amp;" "&amp;AL403&amp;" – Molim u OEventu provjeriti i ispraviti rezultat – vrijeme ("&amp;IF(CT403="","nije upisano",CT403)&amp;") i classifier ("&amp;CU403&amp;").")&amp;IF(OR(CV403&lt;&gt;"GREŠKA",CX403&lt;&gt;5),"
","")&amp;IF(CX403&lt;&gt;5,"",AK403&amp;" "&amp;AL403&amp;" – Molim u provjeriti je li natjecatelj zaista diskvalificiran. Ako je koje je obrazloženje, ako nije molim u OEventu ispraviti rezultat")</f>
        <v xml:space="preserve">
</v>
      </c>
      <c r="DA403" s="223" t="str">
        <f t="shared" si="398"/>
        <v/>
      </c>
      <c r="DB403" s="47" t="s">
        <v>0</v>
      </c>
      <c r="DC403" s="47"/>
      <c r="DD403" s="47"/>
      <c r="DE403" s="47"/>
      <c r="DF403" s="47" t="s">
        <v>0</v>
      </c>
      <c r="DG403" s="53" t="str">
        <f>IF(BD403="","",IF(DI403="O",1,""))</f>
        <v/>
      </c>
      <c r="DH403" t="s">
        <v>0</v>
      </c>
      <c r="DI403" s="128" t="str">
        <f>IF(Q403="","",LEFT(INDEX(regKategorija_oznaka,MATCH(S403,regKategorija_id,0)),1))</f>
        <v/>
      </c>
      <c r="DJ403" t="s">
        <v>0</v>
      </c>
      <c r="DK403" s="52" t="str">
        <f>IF(BD403="","",IF(M403&lt;&gt;"CRO","","INSERT INTO osoba (id,reg_broj,oib,spol_id,dat_rodjenja) VALUES ("&amp;BD403&amp;",(SELECT max(os.reg_broj)+1 FROM osoba AS os),Null,'"&amp;DI403&amp;"',Null); INSERT INTO osoba_log (id,reg_broj,oib,spol_id,dat_rodjenja,dnevnik_id) SELECT id,reg_broj,oib,spol_id,dat_rodjenja,"&amp;data_dnevnik_id&amp;" FROM osoba WHERE id = "&amp;BD403&amp;";"))</f>
        <v/>
      </c>
      <c r="DL403" s="66" t="str">
        <f>IF(BD403="","","INSERT INTO imeprezime (id,osoba_id,rbr,ime,prezime,klub_id,identitet_id,sintaksa_id,info,aktivno,dnevnik_id) VALUES ("&amp;BD403&amp;","&amp;IF(DK403="","Null",BD403)&amp;",1,'"&amp;IF(AV403&lt;&gt;"",AV403,AK403)&amp;"','"&amp;IF(AW403&lt;&gt;"",AW403,AL403)&amp;"',(SELECT id FROM klub WHERE naziv = '"&amp;CR403&amp;"'),Null,1,'',1,"&amp;data_dnevnik_id&amp;");")</f>
        <v/>
      </c>
      <c r="DM403" t="s">
        <v>0</v>
      </c>
      <c r="DN403" s="19" t="str">
        <f t="shared" si="350"/>
        <v/>
      </c>
      <c r="DO403" s="47" t="s">
        <v>0</v>
      </c>
      <c r="DP403" s="19" t="str">
        <f>IF(BA403="","","INSERT INTO imeprezime_alias(id,alias,imeprezime_id) VALUES ("&amp;BB403&amp;",'"&amp;BA403&amp;"',"&amp;IF(BC403="NEMA",BD403,BC403)&amp;");")</f>
        <v/>
      </c>
      <c r="DQ403" s="47" t="s">
        <v>0</v>
      </c>
      <c r="DR403" s="52" t="str">
        <f>IF(AL403="","",DU403 &amp; IF(Q403="",""," – " &amp; Q403))</f>
        <v/>
      </c>
      <c r="DS403" s="53" t="str">
        <f t="shared" si="368"/>
        <v/>
      </c>
      <c r="DT403" s="47" t="s">
        <v>0</v>
      </c>
      <c r="DU403" s="52" t="str">
        <f>IF(AL403="","",DX403 &amp; IF(CR403="",""," – " &amp; CR403))</f>
        <v/>
      </c>
      <c r="DV403" s="53" t="str">
        <f t="shared" si="369"/>
        <v/>
      </c>
      <c r="DW403" s="47" t="s">
        <v>0</v>
      </c>
      <c r="DX403" s="52" t="str">
        <f>IF(BG403="","",BF403&amp;" – "&amp;BG403)</f>
        <v/>
      </c>
      <c r="DY403" s="53" t="str">
        <f t="shared" si="370"/>
        <v/>
      </c>
      <c r="DZ403" s="47" t="s">
        <v>0</v>
      </c>
      <c r="EA403" s="58" t="str">
        <f t="shared" si="399"/>
        <v/>
      </c>
      <c r="EB403" s="53" t="str" cm="1">
        <f t="array" ref="EB403">IF(EA403&lt;&gt;"",INDEX(regNatjecatelj_id,EA403,0),IF(BD403&lt;&gt;"",BD403,""))</f>
        <v/>
      </c>
      <c r="EC403" s="47" t="s">
        <v>0</v>
      </c>
      <c r="ED403" s="58" t="str">
        <f>IF(AL403="","",IF(BD403&lt;&gt;"","novo",IF(AN403="","imepre","imepre(ali)")))</f>
        <v/>
      </c>
      <c r="EE403" s="73" t="str">
        <f>IF(AL403="","",IF(BL403="",IF(IFERROR(INDEX(regNatjecatelj_klub,MATCH(EB403,regNatjecatelj_id,0)),"NEMA")="","klu",""),IF(OR(AND(BN403&lt;&gt;"",BN403&lt;&gt;"NEMA"),CD403&lt;&gt;""),"klu(ali)",IF(AND(BP403&lt;&gt;"",BP403&lt;&gt;BO403),"(raz-klu)","klu"))))</f>
        <v/>
      </c>
      <c r="EF403" s="73" t="str">
        <f>IF(AL403="","","kat"&amp;IF(AND(W403&lt;&gt;Q403,Q403&lt;&gt;"Open"),"(ali)",""))</f>
        <v/>
      </c>
      <c r="EG403" s="73" t="str">
        <f t="shared" si="371"/>
        <v/>
      </c>
      <c r="EH403" s="66" t="str">
        <f>IF(AL403="","",ED403&amp;IF(ED403="novo","","-"&amp;EE403&amp;"-"&amp;EF403)&amp;IF(EG403="","","-"&amp;EG403))</f>
        <v/>
      </c>
      <c r="EI403" s="47" t="s">
        <v>0</v>
      </c>
      <c r="EJ403" s="58" t="str">
        <f>IF(AL403="","",MAX(EJ$12:EJ402)+1)</f>
        <v/>
      </c>
      <c r="EK403" s="73" t="str">
        <f>IF(AO403="","",X403)</f>
        <v/>
      </c>
      <c r="EL403" s="73" t="str">
        <f t="shared" si="400"/>
        <v/>
      </c>
      <c r="EM403" s="73" t="str">
        <f t="shared" si="372"/>
        <v/>
      </c>
      <c r="EN403" s="73" t="str">
        <f t="shared" si="373"/>
        <v/>
      </c>
      <c r="EO403" s="73" t="str">
        <f t="shared" si="401"/>
        <v/>
      </c>
      <c r="EP403" s="73" t="str">
        <f t="shared" si="402"/>
        <v/>
      </c>
      <c r="EQ403" s="73" t="str">
        <f t="shared" si="374"/>
        <v/>
      </c>
      <c r="ER403" s="73" t="str">
        <f>IF(OR(AN403="",AN403="NEMA"),BB403,AN403)</f>
        <v/>
      </c>
      <c r="ES403" s="73" t="str">
        <f>IF(AND(BN403&lt;&gt;"",BN403&lt;&gt;"NEMA"),BN403,IF(CG403&lt;&gt;"",CG403,IF(AND(CL403&lt;&gt;"",CL403&lt;&gt;"NEMA"),CL403,IF(CM403&lt;&gt;"",CM403,""))))</f>
        <v/>
      </c>
      <c r="ET403" s="53" t="str">
        <f>IF(INDEX(natKategorija_alias_Id,MATCH(S403,natKategorija_katRegId,0))="","",INDEX(natKategorija_alias_Id,MATCH(S403,natKategorija_katRegId,0)))</f>
        <v/>
      </c>
      <c r="EU403" s="47" t="s">
        <v>0</v>
      </c>
      <c r="EV403" s="19" t="str">
        <f t="shared" si="403"/>
        <v/>
      </c>
      <c r="EW403" s="47" t="s">
        <v>0</v>
      </c>
      <c r="EX403" s="19" t="str">
        <f t="shared" si="404"/>
        <v/>
      </c>
      <c r="EY403" s="47" t="s">
        <v>0</v>
      </c>
      <c r="EZ403" s="180" t="str">
        <f>AG403&amp;IF(CP403="","","
")&amp;CP403&amp;IF(CI403="","","
")&amp;CI403&amp;IF(DN403="","","
")&amp;DN403&amp;IF(DP403="","","
")&amp;DP403&amp;IF(EV403="","","
")&amp;EV403&amp;IF(EX403="","","
")&amp;EX403</f>
        <v/>
      </c>
      <c r="FA403" s="47" t="s">
        <v>0</v>
      </c>
    </row>
    <row r="404" spans="1:157" x14ac:dyDescent="0.25">
      <c r="A404" t="s">
        <v>0</v>
      </c>
      <c r="B404" s="52" t="str">
        <f>IF(csv!F394="","",csv!T394)</f>
        <v/>
      </c>
      <c r="C404" s="31" t="s">
        <v>0</v>
      </c>
      <c r="D404" s="31" t="str">
        <f>IF(csv!F394="","",csv!F394)</f>
        <v/>
      </c>
      <c r="E404" s="31" t="str">
        <f>IF(csv!E394="","",csv!E394)</f>
        <v/>
      </c>
      <c r="F404" s="31" t="s">
        <v>0</v>
      </c>
      <c r="G404" s="73" t="str">
        <f>IF(csv!M394="","",csv!M394)</f>
        <v/>
      </c>
      <c r="H404" s="73" t="str">
        <f>IF(csv!N394="","",csv!N394)</f>
        <v/>
      </c>
      <c r="I404" s="31" t="s">
        <v>0</v>
      </c>
      <c r="J404" s="31" t="str">
        <f>IF(csv!P394="","",csv!P394)</f>
        <v/>
      </c>
      <c r="K404" s="31" t="str">
        <f>IF(csv!Q394="","",csv!Q394)</f>
        <v/>
      </c>
      <c r="L404" s="31" t="s">
        <v>0</v>
      </c>
      <c r="M404" s="66" t="str">
        <f>IF(csv!R394="","",csv!R394)</f>
        <v/>
      </c>
      <c r="N404" s="47" t="s">
        <v>0</v>
      </c>
      <c r="O404" s="243" t="str">
        <f t="shared" si="375"/>
        <v/>
      </c>
      <c r="P404" s="47"/>
      <c r="Q404" s="52" t="str">
        <f t="shared" si="376"/>
        <v/>
      </c>
      <c r="R404" s="73" t="str">
        <f>IF(Q404="","",IF(COUNTIF(Q$12:Q403,Q404)=0,R403+1,R403))</f>
        <v/>
      </c>
      <c r="S404" s="73" t="str">
        <f t="shared" si="377"/>
        <v/>
      </c>
      <c r="T404" s="73" t="str">
        <f t="shared" si="353"/>
        <v/>
      </c>
      <c r="U404" s="66" t="str">
        <f t="shared" si="354"/>
        <v/>
      </c>
      <c r="V404" s="47" t="s">
        <v>0</v>
      </c>
      <c r="W404" s="222" t="str">
        <f t="shared" si="355"/>
        <v/>
      </c>
      <c r="X404" s="223" t="str">
        <f t="shared" si="356"/>
        <v/>
      </c>
      <c r="Y404" s="47" t="s">
        <v>0</v>
      </c>
      <c r="Z404" s="52" t="str">
        <f t="shared" si="378"/>
        <v/>
      </c>
      <c r="AA404" s="73" t="str">
        <f t="shared" si="357"/>
        <v/>
      </c>
      <c r="AB404" s="31" t="str">
        <f t="shared" si="379"/>
        <v/>
      </c>
      <c r="AC404" s="66" t="str">
        <f>IF(AB404="","",MAX(AC$12:AC403)+1)</f>
        <v/>
      </c>
      <c r="AD404" s="47" t="s">
        <v>0</v>
      </c>
      <c r="AE404" s="125"/>
      <c r="AF404" s="47" t="s">
        <v>0</v>
      </c>
      <c r="AG404" s="19" t="str">
        <f t="shared" si="380"/>
        <v/>
      </c>
      <c r="AH404" s="47" t="s">
        <v>0</v>
      </c>
      <c r="AI404" s="143" t="str">
        <f t="shared" si="381"/>
        <v/>
      </c>
      <c r="AJ404" s="47"/>
      <c r="AK404" s="52" t="str">
        <f t="shared" si="382"/>
        <v/>
      </c>
      <c r="AL404" s="31" t="str">
        <f t="shared" si="383"/>
        <v/>
      </c>
      <c r="AM404" s="73" t="str">
        <f t="shared" si="384"/>
        <v/>
      </c>
      <c r="AN404" s="73" t="str">
        <f t="shared" si="385"/>
        <v/>
      </c>
      <c r="AO404" s="31" t="str">
        <f t="shared" si="358"/>
        <v/>
      </c>
      <c r="AP404" s="66" t="str">
        <f t="shared" si="359"/>
        <v/>
      </c>
      <c r="AQ404" s="47" t="s">
        <v>0</v>
      </c>
      <c r="AR404" s="82" t="str">
        <f t="shared" si="386"/>
        <v/>
      </c>
      <c r="AS404" s="47" t="s">
        <v>0</v>
      </c>
      <c r="AT404" s="19" t="str">
        <f t="shared" si="387"/>
        <v/>
      </c>
      <c r="AU404" s="47" t="s">
        <v>0</v>
      </c>
      <c r="AV404" s="103"/>
      <c r="AW404" s="105"/>
      <c r="AX404" s="47" t="s">
        <v>0</v>
      </c>
      <c r="AY404" s="256" t="str">
        <f t="shared" si="349"/>
        <v/>
      </c>
      <c r="AZ404" s="47" t="s">
        <v>0</v>
      </c>
      <c r="BA404" s="52" t="str">
        <f t="shared" si="352"/>
        <v/>
      </c>
      <c r="BB404" s="73" t="str">
        <f>IF(AV404&amp;AW404="","",MAX(BB$12:BB403)+1)</f>
        <v/>
      </c>
      <c r="BC404" s="268" t="str">
        <f t="shared" si="360"/>
        <v/>
      </c>
      <c r="BD404" s="53" t="str">
        <f>IF(AND(AM404="NEMA",AN404="NEMA",OR(AV404&amp;AW404="",BC404="NEMA")),MAX(BD$12:BD403)+1,"")</f>
        <v/>
      </c>
      <c r="BE404" s="47" t="s">
        <v>0</v>
      </c>
      <c r="BF404" s="52" t="str">
        <f t="shared" si="361"/>
        <v/>
      </c>
      <c r="BG404" s="31" t="str">
        <f t="shared" si="362"/>
        <v/>
      </c>
      <c r="BH404" s="73" t="str">
        <f t="shared" si="388"/>
        <v/>
      </c>
      <c r="BI404" s="53" t="str">
        <f t="shared" si="389"/>
        <v/>
      </c>
      <c r="BJ404" s="47" t="s">
        <v>0</v>
      </c>
      <c r="BK404" s="52" t="str">
        <f t="shared" si="363"/>
        <v/>
      </c>
      <c r="BL404" s="31" t="str">
        <f t="shared" si="364"/>
        <v/>
      </c>
      <c r="BM404" s="73" t="str">
        <f t="shared" si="365"/>
        <v/>
      </c>
      <c r="BN404" s="73" t="str">
        <f t="shared" si="366"/>
        <v/>
      </c>
      <c r="BO404" s="31" t="str" cm="1">
        <f t="array" ref="BO404">IF(BN404="",""&amp;BL404,IF(BN404="NEMA",BL404,INDEX(regKlub_naziv,MATCH(INDEX(regKlub_alias_klubId,BN404),regKlub_id,0))))</f>
        <v/>
      </c>
      <c r="BP404" s="31" t="str" cm="1">
        <f t="array" ref="BP404">IFERROR(""&amp;INDEX(regNatjecatelj_klub,DY404),"")</f>
        <v/>
      </c>
      <c r="BQ404" s="88" t="str">
        <f t="shared" si="390"/>
        <v/>
      </c>
      <c r="BR404" s="66" t="str">
        <f t="shared" si="391"/>
        <v/>
      </c>
      <c r="BS404" s="47" t="s">
        <v>0</v>
      </c>
      <c r="BT404" s="82" t="str">
        <f>IF(BN404&lt;&gt;"NEMA","",IF(IFERROR(MATCH(BL404,BL$12:BL403,0),0)&lt;&gt;0,"",BL404))</f>
        <v/>
      </c>
      <c r="BU404" s="47" t="s">
        <v>0</v>
      </c>
      <c r="BV404" s="125"/>
      <c r="BW404" s="47" t="s">
        <v>0</v>
      </c>
      <c r="BX404" s="58" t="str">
        <f t="shared" si="392"/>
        <v/>
      </c>
      <c r="BY404" s="31" t="str">
        <f t="shared" si="393"/>
        <v/>
      </c>
      <c r="BZ404" s="31" t="str">
        <f>IF(BY404="","",MAX(BZ$12:BZ403)+1)</f>
        <v/>
      </c>
      <c r="CA404" s="31" t="str">
        <f>IF(BY404="","",IF(AA404="","",IF(AA404="NEMA",AC404,AA404)))</f>
        <v/>
      </c>
      <c r="CB404" s="31" t="str">
        <f t="shared" si="394"/>
        <v/>
      </c>
      <c r="CC404" s="31" t="str">
        <f>IF(BV404="","",MAX(CC$12:CC403)+1)</f>
        <v/>
      </c>
      <c r="CD404" s="31" t="str">
        <f t="shared" si="395"/>
        <v/>
      </c>
      <c r="CE404" s="66" t="str">
        <f t="shared" si="396"/>
        <v/>
      </c>
      <c r="CF404" s="47" t="s">
        <v>0</v>
      </c>
      <c r="CG404" s="73" t="str">
        <f>IF(BN404="","",IF(BN404&lt;&gt;"NEMA","",IFERROR(INDEX(nat_klubAliasId,MATCH(BL404,nat_noviKluboviAliasi,0)),"")))</f>
        <v/>
      </c>
      <c r="CH404" s="47"/>
      <c r="CI404" s="19" t="str">
        <f t="shared" si="397"/>
        <v/>
      </c>
      <c r="CJ404" s="47" t="s">
        <v>0</v>
      </c>
      <c r="CK404" s="52" t="str">
        <f>IF(X404&lt;&gt;"NEMA","",IF(IFERROR(MATCH(W404,W$12:W403,0),0)&lt;&gt;0,"",W404))</f>
        <v/>
      </c>
      <c r="CL404" s="73" t="str">
        <f>IF(CK404="","",IFERROR(INDEX(regKlub_alias_id,MATCH(CK404,regKlub_alias_alias,0)),"NEMA"))</f>
        <v/>
      </c>
      <c r="CM404" s="31" t="str">
        <f>IF(OR(CL404="",CL404&lt;&gt;"NEMA"),"",MAX(CM$12:CM403)+1)</f>
        <v/>
      </c>
      <c r="CN404" s="66" t="str">
        <f>IF(OR(CL404="",CL404&lt;&gt;"NEMA"),"",INDEX(regKlub_id,MATCH(CK404,regKlub_naziv,0)))</f>
        <v/>
      </c>
      <c r="CO404" s="47" t="s">
        <v>0</v>
      </c>
      <c r="CP404" s="19" t="str">
        <f>IF(OR(CL404="",CL404&lt;&gt;"NEMA"),"","INSERT INTO klub_alias(id,alias,klub_id) VALUES ("&amp;CM404&amp;",'"&amp;CK404&amp;"',"&amp;CN404&amp;");")</f>
        <v/>
      </c>
      <c r="CQ404" s="47" t="s">
        <v>0</v>
      </c>
      <c r="CR404" s="143" t="str">
        <f>IF(BR404="","",IF(BV404="",IF(IFERROR(MATCH(BR404,nat_noviKluboviAliasi,0),0)&gt;0,INDEX(nat_kluboviAliasi,MATCH(BR404,nat_noviKluboviAliasi,0)),BR404),BV404))</f>
        <v/>
      </c>
      <c r="CS404" s="47" t="s">
        <v>0</v>
      </c>
      <c r="CT404" s="58" t="str">
        <f>IF(G404="","",G404)</f>
        <v/>
      </c>
      <c r="CU404" s="73" t="str">
        <f>IF(H404="","",H404)</f>
        <v/>
      </c>
      <c r="CV404" s="229" t="str">
        <f>IF(CT404="",IF(OR(AL404="",CU404&lt;&gt;"0"),"","GREŠKA"),IF(AND(65535&gt;=VALUE(LEFT(CT404,SEARCH(":",CT404)-1))*60+VALUE(RIGHT(CT404,2)),OR(CU404="0",CU404="1",CU404="2",CU404="3",CU404="4")),"","GREŠKA"))</f>
        <v/>
      </c>
      <c r="CW404" s="230" t="str">
        <f t="shared" si="351"/>
        <v/>
      </c>
      <c r="CX404" s="163" t="str">
        <f t="shared" si="367"/>
        <v/>
      </c>
      <c r="CY404" s="47" t="s">
        <v>0</v>
      </c>
      <c r="CZ404" s="222" t="str">
        <f>IF(CV404&lt;&gt;"GREŠKA","",AK404&amp;" "&amp;AL404&amp;" – Molim u OEventu provjeriti i ispraviti rezultat – vrijeme ("&amp;IF(CT404="","nije upisano",CT404)&amp;") i classifier ("&amp;CU404&amp;").")&amp;IF(OR(CV404&lt;&gt;"GREŠKA",CX404&lt;&gt;5),"
","")&amp;IF(CX404&lt;&gt;5,"",AK404&amp;" "&amp;AL404&amp;" – Molim u provjeriti je li natjecatelj zaista diskvalificiran. Ako je koje je obrazloženje, ako nije molim u OEventu ispraviti rezultat")</f>
        <v xml:space="preserve">
</v>
      </c>
      <c r="DA404" s="223" t="str">
        <f t="shared" si="398"/>
        <v/>
      </c>
      <c r="DB404" s="47" t="s">
        <v>0</v>
      </c>
      <c r="DC404" s="47"/>
      <c r="DD404" s="47"/>
      <c r="DE404" s="47"/>
      <c r="DF404" s="47" t="s">
        <v>0</v>
      </c>
      <c r="DG404" s="53" t="str">
        <f>IF(BD404="","",IF(DI404="O",1,""))</f>
        <v/>
      </c>
      <c r="DH404" t="s">
        <v>0</v>
      </c>
      <c r="DI404" s="128" t="str">
        <f>IF(Q404="","",LEFT(INDEX(regKategorija_oznaka,MATCH(S404,regKategorija_id,0)),1))</f>
        <v/>
      </c>
      <c r="DJ404" t="s">
        <v>0</v>
      </c>
      <c r="DK404" s="52" t="str">
        <f>IF(BD404="","",IF(M404&lt;&gt;"CRO","","INSERT INTO osoba (id,reg_broj,oib,spol_id,dat_rodjenja) VALUES ("&amp;BD404&amp;",(SELECT max(os.reg_broj)+1 FROM osoba AS os),Null,'"&amp;DI404&amp;"',Null); INSERT INTO osoba_log (id,reg_broj,oib,spol_id,dat_rodjenja,dnevnik_id) SELECT id,reg_broj,oib,spol_id,dat_rodjenja,"&amp;data_dnevnik_id&amp;" FROM osoba WHERE id = "&amp;BD404&amp;";"))</f>
        <v/>
      </c>
      <c r="DL404" s="66" t="str">
        <f>IF(BD404="","","INSERT INTO imeprezime (id,osoba_id,rbr,ime,prezime,klub_id,identitet_id,sintaksa_id,info,aktivno,dnevnik_id) VALUES ("&amp;BD404&amp;","&amp;IF(DK404="","Null",BD404)&amp;",1,'"&amp;IF(AV404&lt;&gt;"",AV404,AK404)&amp;"','"&amp;IF(AW404&lt;&gt;"",AW404,AL404)&amp;"',(SELECT id FROM klub WHERE naziv = '"&amp;CR404&amp;"'),Null,1,'',1,"&amp;data_dnevnik_id&amp;");")</f>
        <v/>
      </c>
      <c r="DM404" t="s">
        <v>0</v>
      </c>
      <c r="DN404" s="19" t="str">
        <f t="shared" si="350"/>
        <v/>
      </c>
      <c r="DO404" s="47" t="s">
        <v>0</v>
      </c>
      <c r="DP404" s="19" t="str">
        <f>IF(BA404="","","INSERT INTO imeprezime_alias(id,alias,imeprezime_id) VALUES ("&amp;BB404&amp;",'"&amp;BA404&amp;"',"&amp;IF(BC404="NEMA",BD404,BC404)&amp;");")</f>
        <v/>
      </c>
      <c r="DQ404" s="47" t="s">
        <v>0</v>
      </c>
      <c r="DR404" s="52" t="str">
        <f>IF(AL404="","",DU404 &amp; IF(Q404="",""," – " &amp; Q404))</f>
        <v/>
      </c>
      <c r="DS404" s="53" t="str">
        <f t="shared" si="368"/>
        <v/>
      </c>
      <c r="DT404" s="47" t="s">
        <v>0</v>
      </c>
      <c r="DU404" s="52" t="str">
        <f>IF(AL404="","",DX404 &amp; IF(CR404="",""," – " &amp; CR404))</f>
        <v/>
      </c>
      <c r="DV404" s="53" t="str">
        <f t="shared" si="369"/>
        <v/>
      </c>
      <c r="DW404" s="47" t="s">
        <v>0</v>
      </c>
      <c r="DX404" s="52" t="str">
        <f>IF(BG404="","",BF404&amp;" – "&amp;BG404)</f>
        <v/>
      </c>
      <c r="DY404" s="53" t="str">
        <f t="shared" si="370"/>
        <v/>
      </c>
      <c r="DZ404" s="47" t="s">
        <v>0</v>
      </c>
      <c r="EA404" s="58" t="str">
        <f t="shared" si="399"/>
        <v/>
      </c>
      <c r="EB404" s="53" t="str" cm="1">
        <f t="array" ref="EB404">IF(EA404&lt;&gt;"",INDEX(regNatjecatelj_id,EA404,0),IF(BD404&lt;&gt;"",BD404,""))</f>
        <v/>
      </c>
      <c r="EC404" s="47" t="s">
        <v>0</v>
      </c>
      <c r="ED404" s="58" t="str">
        <f>IF(AL404="","",IF(BD404&lt;&gt;"","novo",IF(AN404="","imepre","imepre(ali)")))</f>
        <v/>
      </c>
      <c r="EE404" s="73" t="str">
        <f>IF(AL404="","",IF(BL404="",IF(IFERROR(INDEX(regNatjecatelj_klub,MATCH(EB404,regNatjecatelj_id,0)),"NEMA")="","klu",""),IF(OR(AND(BN404&lt;&gt;"",BN404&lt;&gt;"NEMA"),CD404&lt;&gt;""),"klu(ali)",IF(AND(BP404&lt;&gt;"",BP404&lt;&gt;BO404),"(raz-klu)","klu"))))</f>
        <v/>
      </c>
      <c r="EF404" s="73" t="str">
        <f>IF(AL404="","","kat"&amp;IF(AND(W404&lt;&gt;Q404,Q404&lt;&gt;"Open"),"(ali)",""))</f>
        <v/>
      </c>
      <c r="EG404" s="73" t="str">
        <f t="shared" si="371"/>
        <v/>
      </c>
      <c r="EH404" s="66" t="str">
        <f>IF(AL404="","",ED404&amp;IF(ED404="novo","","-"&amp;EE404&amp;"-"&amp;EF404)&amp;IF(EG404="","","-"&amp;EG404))</f>
        <v/>
      </c>
      <c r="EI404" s="47" t="s">
        <v>0</v>
      </c>
      <c r="EJ404" s="58" t="str">
        <f>IF(AL404="","",MAX(EJ$12:EJ403)+1)</f>
        <v/>
      </c>
      <c r="EK404" s="73" t="str">
        <f>IF(AO404="","",X404)</f>
        <v/>
      </c>
      <c r="EL404" s="73" t="str">
        <f t="shared" si="400"/>
        <v/>
      </c>
      <c r="EM404" s="73" t="str">
        <f t="shared" si="372"/>
        <v/>
      </c>
      <c r="EN404" s="73" t="str">
        <f t="shared" si="373"/>
        <v/>
      </c>
      <c r="EO404" s="73" t="str">
        <f t="shared" si="401"/>
        <v/>
      </c>
      <c r="EP404" s="73" t="str">
        <f t="shared" si="402"/>
        <v/>
      </c>
      <c r="EQ404" s="73" t="str">
        <f t="shared" si="374"/>
        <v/>
      </c>
      <c r="ER404" s="73" t="str">
        <f>IF(OR(AN404="",AN404="NEMA"),BB404,AN404)</f>
        <v/>
      </c>
      <c r="ES404" s="73" t="str">
        <f>IF(AND(BN404&lt;&gt;"",BN404&lt;&gt;"NEMA"),BN404,IF(CG404&lt;&gt;"",CG404,IF(AND(CL404&lt;&gt;"",CL404&lt;&gt;"NEMA"),CL404,IF(CM404&lt;&gt;"",CM404,""))))</f>
        <v/>
      </c>
      <c r="ET404" s="53" t="str">
        <f>IF(INDEX(natKategorija_alias_Id,MATCH(S404,natKategorija_katRegId,0))="","",INDEX(natKategorija_alias_Id,MATCH(S404,natKategorija_katRegId,0)))</f>
        <v/>
      </c>
      <c r="EU404" s="47" t="s">
        <v>0</v>
      </c>
      <c r="EV404" s="19" t="str">
        <f t="shared" si="403"/>
        <v/>
      </c>
      <c r="EW404" s="47" t="s">
        <v>0</v>
      </c>
      <c r="EX404" s="19" t="str">
        <f t="shared" si="404"/>
        <v/>
      </c>
      <c r="EY404" s="47" t="s">
        <v>0</v>
      </c>
      <c r="EZ404" s="180" t="str">
        <f>AG404&amp;IF(CP404="","","
")&amp;CP404&amp;IF(CI404="","","
")&amp;CI404&amp;IF(DN404="","","
")&amp;DN404&amp;IF(DP404="","","
")&amp;DP404&amp;IF(EV404="","","
")&amp;EV404&amp;IF(EX404="","","
")&amp;EX404</f>
        <v/>
      </c>
      <c r="FA404" s="47" t="s">
        <v>0</v>
      </c>
    </row>
    <row r="405" spans="1:157" x14ac:dyDescent="0.25">
      <c r="A405" t="s">
        <v>0</v>
      </c>
      <c r="B405" s="52" t="str">
        <f>IF(csv!F395="","",csv!T395)</f>
        <v/>
      </c>
      <c r="C405" s="31" t="s">
        <v>0</v>
      </c>
      <c r="D405" s="31" t="str">
        <f>IF(csv!F395="","",csv!F395)</f>
        <v/>
      </c>
      <c r="E405" s="31" t="str">
        <f>IF(csv!E395="","",csv!E395)</f>
        <v/>
      </c>
      <c r="F405" s="31" t="s">
        <v>0</v>
      </c>
      <c r="G405" s="73" t="str">
        <f>IF(csv!M395="","",csv!M395)</f>
        <v/>
      </c>
      <c r="H405" s="73" t="str">
        <f>IF(csv!N395="","",csv!N395)</f>
        <v/>
      </c>
      <c r="I405" s="31" t="s">
        <v>0</v>
      </c>
      <c r="J405" s="31" t="str">
        <f>IF(csv!P395="","",csv!P395)</f>
        <v/>
      </c>
      <c r="K405" s="31" t="str">
        <f>IF(csv!Q395="","",csv!Q395)</f>
        <v/>
      </c>
      <c r="L405" s="31" t="s">
        <v>0</v>
      </c>
      <c r="M405" s="66" t="str">
        <f>IF(csv!R395="","",csv!R395)</f>
        <v/>
      </c>
      <c r="N405" s="47" t="s">
        <v>0</v>
      </c>
      <c r="O405" s="243" t="str">
        <f t="shared" si="375"/>
        <v/>
      </c>
      <c r="P405" s="47"/>
      <c r="Q405" s="52" t="str">
        <f t="shared" si="376"/>
        <v/>
      </c>
      <c r="R405" s="73" t="str">
        <f>IF(Q405="","",IF(COUNTIF(Q$12:Q404,Q405)=0,R404+1,R404))</f>
        <v/>
      </c>
      <c r="S405" s="73" t="str">
        <f t="shared" si="377"/>
        <v/>
      </c>
      <c r="T405" s="73" t="str">
        <f t="shared" si="353"/>
        <v/>
      </c>
      <c r="U405" s="66" t="str">
        <f t="shared" si="354"/>
        <v/>
      </c>
      <c r="V405" s="47" t="s">
        <v>0</v>
      </c>
      <c r="W405" s="222" t="str">
        <f t="shared" si="355"/>
        <v/>
      </c>
      <c r="X405" s="223" t="str">
        <f t="shared" si="356"/>
        <v/>
      </c>
      <c r="Y405" s="47" t="s">
        <v>0</v>
      </c>
      <c r="Z405" s="52" t="str">
        <f t="shared" si="378"/>
        <v/>
      </c>
      <c r="AA405" s="73" t="str">
        <f t="shared" si="357"/>
        <v/>
      </c>
      <c r="AB405" s="31" t="str">
        <f t="shared" si="379"/>
        <v/>
      </c>
      <c r="AC405" s="66" t="str">
        <f>IF(AB405="","",MAX(AC$12:AC404)+1)</f>
        <v/>
      </c>
      <c r="AD405" s="47" t="s">
        <v>0</v>
      </c>
      <c r="AE405" s="125"/>
      <c r="AF405" s="47" t="s">
        <v>0</v>
      </c>
      <c r="AG405" s="19" t="str">
        <f t="shared" si="380"/>
        <v/>
      </c>
      <c r="AH405" s="47" t="s">
        <v>0</v>
      </c>
      <c r="AI405" s="143" t="str">
        <f t="shared" si="381"/>
        <v/>
      </c>
      <c r="AJ405" s="47"/>
      <c r="AK405" s="52" t="str">
        <f t="shared" si="382"/>
        <v/>
      </c>
      <c r="AL405" s="31" t="str">
        <f t="shared" si="383"/>
        <v/>
      </c>
      <c r="AM405" s="73" t="str">
        <f t="shared" si="384"/>
        <v/>
      </c>
      <c r="AN405" s="73" t="str">
        <f t="shared" si="385"/>
        <v/>
      </c>
      <c r="AO405" s="31" t="str">
        <f t="shared" si="358"/>
        <v/>
      </c>
      <c r="AP405" s="66" t="str">
        <f t="shared" si="359"/>
        <v/>
      </c>
      <c r="AQ405" s="47" t="s">
        <v>0</v>
      </c>
      <c r="AR405" s="82" t="str">
        <f t="shared" si="386"/>
        <v/>
      </c>
      <c r="AS405" s="47" t="s">
        <v>0</v>
      </c>
      <c r="AT405" s="19" t="str">
        <f t="shared" si="387"/>
        <v/>
      </c>
      <c r="AU405" s="47" t="s">
        <v>0</v>
      </c>
      <c r="AV405" s="103"/>
      <c r="AW405" s="105"/>
      <c r="AX405" s="47" t="s">
        <v>0</v>
      </c>
      <c r="AY405" s="256" t="str">
        <f t="shared" ref="AY405:AY412" si="405">IF(AND(AV405="",AW405&lt;&gt;""),"FALI IME",IF(AND(AV405&lt;&gt;"",AW405=""),"FALI PREZIME",IF(OR(AM405="",AND(AM405="NEMA",AN405="NEMA"),AV405&amp;AW405=""),"","GREŠKA")))</f>
        <v/>
      </c>
      <c r="AZ405" s="47" t="s">
        <v>0</v>
      </c>
      <c r="BA405" s="52" t="str">
        <f t="shared" si="352"/>
        <v/>
      </c>
      <c r="BB405" s="73" t="str">
        <f>IF(AV405&amp;AW405="","",MAX(BB$12:BB404)+1)</f>
        <v/>
      </c>
      <c r="BC405" s="268" t="str">
        <f t="shared" si="360"/>
        <v/>
      </c>
      <c r="BD405" s="53" t="str">
        <f>IF(AND(AM405="NEMA",AN405="NEMA",OR(AV405&amp;AW405="",BC405="NEMA")),MAX(BD$12:BD404)+1,"")</f>
        <v/>
      </c>
      <c r="BE405" s="47" t="s">
        <v>0</v>
      </c>
      <c r="BF405" s="52" t="str">
        <f t="shared" si="361"/>
        <v/>
      </c>
      <c r="BG405" s="31" t="str">
        <f t="shared" si="362"/>
        <v/>
      </c>
      <c r="BH405" s="73" t="str">
        <f t="shared" si="388"/>
        <v/>
      </c>
      <c r="BI405" s="53" t="str">
        <f t="shared" si="389"/>
        <v/>
      </c>
      <c r="BJ405" s="47" t="s">
        <v>0</v>
      </c>
      <c r="BK405" s="52" t="str">
        <f t="shared" si="363"/>
        <v/>
      </c>
      <c r="BL405" s="31" t="str">
        <f t="shared" si="364"/>
        <v/>
      </c>
      <c r="BM405" s="73" t="str">
        <f t="shared" si="365"/>
        <v/>
      </c>
      <c r="BN405" s="73" t="str">
        <f t="shared" si="366"/>
        <v/>
      </c>
      <c r="BO405" s="31" t="str" cm="1">
        <f t="array" ref="BO405">IF(BN405="",""&amp;BL405,IF(BN405="NEMA",BL405,INDEX(regKlub_naziv,MATCH(INDEX(regKlub_alias_klubId,BN405),regKlub_id,0))))</f>
        <v/>
      </c>
      <c r="BP405" s="31" t="str" cm="1">
        <f t="array" ref="BP405">IFERROR(""&amp;INDEX(regNatjecatelj_klub,DY405),"")</f>
        <v/>
      </c>
      <c r="BQ405" s="88" t="str">
        <f t="shared" si="390"/>
        <v/>
      </c>
      <c r="BR405" s="66" t="str">
        <f t="shared" si="391"/>
        <v/>
      </c>
      <c r="BS405" s="47" t="s">
        <v>0</v>
      </c>
      <c r="BT405" s="82" t="str">
        <f>IF(BN405&lt;&gt;"NEMA","",IF(IFERROR(MATCH(BL405,BL$12:BL404,0),0)&lt;&gt;0,"",BL405))</f>
        <v/>
      </c>
      <c r="BU405" s="47" t="s">
        <v>0</v>
      </c>
      <c r="BV405" s="125"/>
      <c r="BW405" s="47" t="s">
        <v>0</v>
      </c>
      <c r="BX405" s="58" t="str">
        <f t="shared" si="392"/>
        <v/>
      </c>
      <c r="BY405" s="31" t="str">
        <f t="shared" si="393"/>
        <v/>
      </c>
      <c r="BZ405" s="31" t="str">
        <f>IF(BY405="","",MAX(BZ$12:BZ404)+1)</f>
        <v/>
      </c>
      <c r="CA405" s="31" t="str">
        <f>IF(BY405="","",IF(AA405="","",IF(AA405="NEMA",AC405,AA405)))</f>
        <v/>
      </c>
      <c r="CB405" s="31" t="str">
        <f t="shared" si="394"/>
        <v/>
      </c>
      <c r="CC405" s="31" t="str">
        <f>IF(BV405="","",MAX(CC$12:CC404)+1)</f>
        <v/>
      </c>
      <c r="CD405" s="31" t="str">
        <f t="shared" si="395"/>
        <v/>
      </c>
      <c r="CE405" s="66" t="str">
        <f t="shared" si="396"/>
        <v/>
      </c>
      <c r="CF405" s="47" t="s">
        <v>0</v>
      </c>
      <c r="CG405" s="73" t="str">
        <f>IF(BN405="","",IF(BN405&lt;&gt;"NEMA","",IFERROR(INDEX(nat_klubAliasId,MATCH(BL405,nat_noviKluboviAliasi,0)),"")))</f>
        <v/>
      </c>
      <c r="CH405" s="47"/>
      <c r="CI405" s="19" t="str">
        <f t="shared" si="397"/>
        <v/>
      </c>
      <c r="CJ405" s="47" t="s">
        <v>0</v>
      </c>
      <c r="CK405" s="52" t="str">
        <f>IF(X405&lt;&gt;"NEMA","",IF(IFERROR(MATCH(W405,W$12:W404,0),0)&lt;&gt;0,"",W405))</f>
        <v/>
      </c>
      <c r="CL405" s="73" t="str">
        <f>IF(CK405="","",IFERROR(INDEX(regKlub_alias_id,MATCH(CK405,regKlub_alias_alias,0)),"NEMA"))</f>
        <v/>
      </c>
      <c r="CM405" s="31" t="str">
        <f>IF(OR(CL405="",CL405&lt;&gt;"NEMA"),"",MAX(CM$12:CM404)+1)</f>
        <v/>
      </c>
      <c r="CN405" s="66" t="str">
        <f>IF(OR(CL405="",CL405&lt;&gt;"NEMA"),"",INDEX(regKlub_id,MATCH(CK405,regKlub_naziv,0)))</f>
        <v/>
      </c>
      <c r="CO405" s="47" t="s">
        <v>0</v>
      </c>
      <c r="CP405" s="19" t="str">
        <f>IF(OR(CL405="",CL405&lt;&gt;"NEMA"),"","INSERT INTO klub_alias(id,alias,klub_id) VALUES ("&amp;CM405&amp;",'"&amp;CK405&amp;"',"&amp;CN405&amp;");")</f>
        <v/>
      </c>
      <c r="CQ405" s="47" t="s">
        <v>0</v>
      </c>
      <c r="CR405" s="143" t="str">
        <f>IF(BR405="","",IF(BV405="",IF(IFERROR(MATCH(BR405,nat_noviKluboviAliasi,0),0)&gt;0,INDEX(nat_kluboviAliasi,MATCH(BR405,nat_noviKluboviAliasi,0)),BR405),BV405))</f>
        <v/>
      </c>
      <c r="CS405" s="47" t="s">
        <v>0</v>
      </c>
      <c r="CT405" s="58" t="str">
        <f>IF(G405="","",G405)</f>
        <v/>
      </c>
      <c r="CU405" s="73" t="str">
        <f>IF(H405="","",H405)</f>
        <v/>
      </c>
      <c r="CV405" s="229" t="str">
        <f>IF(CT405="",IF(OR(AL405="",CU405&lt;&gt;"0"),"","GREŠKA"),IF(AND(65535&gt;=VALUE(LEFT(CT405,SEARCH(":",CT405)-1))*60+VALUE(RIGHT(CT405,2)),OR(CU405="0",CU405="1",CU405="2",CU405="3",CU405="4")),"","GREŠKA"))</f>
        <v/>
      </c>
      <c r="CW405" s="230" t="str">
        <f t="shared" si="351"/>
        <v/>
      </c>
      <c r="CX405" s="163" t="str">
        <f t="shared" si="367"/>
        <v/>
      </c>
      <c r="CY405" s="47" t="s">
        <v>0</v>
      </c>
      <c r="CZ405" s="222" t="str">
        <f>IF(CV405&lt;&gt;"GREŠKA","",AK405&amp;" "&amp;AL405&amp;" – Molim u OEventu provjeriti i ispraviti rezultat – vrijeme ("&amp;IF(CT405="","nije upisano",CT405)&amp;") i classifier ("&amp;CU405&amp;").")&amp;IF(OR(CV405&lt;&gt;"GREŠKA",CX405&lt;&gt;5),"
","")&amp;IF(CX405&lt;&gt;5,"",AK405&amp;" "&amp;AL405&amp;" – Molim u provjeriti je li natjecatelj zaista diskvalificiran. Ako je koje je obrazloženje, ako nije molim u OEventu ispraviti rezultat")</f>
        <v xml:space="preserve">
</v>
      </c>
      <c r="DA405" s="223" t="str">
        <f t="shared" si="398"/>
        <v/>
      </c>
      <c r="DB405" s="47" t="s">
        <v>0</v>
      </c>
      <c r="DC405" s="47"/>
      <c r="DD405" s="47"/>
      <c r="DE405" s="47"/>
      <c r="DF405" s="47" t="s">
        <v>0</v>
      </c>
      <c r="DG405" s="53" t="str">
        <f>IF(BD405="","",IF(DI405="O",1,""))</f>
        <v/>
      </c>
      <c r="DH405" t="s">
        <v>0</v>
      </c>
      <c r="DI405" s="128" t="str">
        <f>IF(Q405="","",LEFT(INDEX(regKategorija_oznaka,MATCH(S405,regKategorija_id,0)),1))</f>
        <v/>
      </c>
      <c r="DJ405" t="s">
        <v>0</v>
      </c>
      <c r="DK405" s="52" t="str">
        <f>IF(BD405="","",IF(M405&lt;&gt;"CRO","","INSERT INTO osoba (id,reg_broj,oib,spol_id,dat_rodjenja) VALUES ("&amp;BD405&amp;",(SELECT max(os.reg_broj)+1 FROM osoba AS os),Null,'"&amp;DI405&amp;"',Null); INSERT INTO osoba_log (id,reg_broj,oib,spol_id,dat_rodjenja,dnevnik_id) SELECT id,reg_broj,oib,spol_id,dat_rodjenja,"&amp;data_dnevnik_id&amp;" FROM osoba WHERE id = "&amp;BD405&amp;";"))</f>
        <v/>
      </c>
      <c r="DL405" s="66" t="str">
        <f>IF(BD405="","","INSERT INTO imeprezime (id,osoba_id,rbr,ime,prezime,klub_id,identitet_id,sintaksa_id,info,aktivno,dnevnik_id) VALUES ("&amp;BD405&amp;","&amp;IF(DK405="","Null",BD405)&amp;",1,'"&amp;IF(AV405&lt;&gt;"",AV405,AK405)&amp;"','"&amp;IF(AW405&lt;&gt;"",AW405,AL405)&amp;"',(SELECT id FROM klub WHERE naziv = '"&amp;CR405&amp;"'),Null,1,'',1,"&amp;data_dnevnik_id&amp;");")</f>
        <v/>
      </c>
      <c r="DM405" t="s">
        <v>0</v>
      </c>
      <c r="DN405" s="19" t="str">
        <f t="shared" ref="DN405:DN412" si="406">IF(DK405="",DL405,DK405&amp;" "&amp;DL405)</f>
        <v/>
      </c>
      <c r="DO405" s="47" t="s">
        <v>0</v>
      </c>
      <c r="DP405" s="19" t="str">
        <f t="shared" ref="DP405:DP412" si="407">IF(BA405="","","INSERT INTO imeprezime_alias(id,alias,imeprezime_id) VALUES ("&amp;BB405&amp;",'"&amp;BA405&amp;"',"&amp;IF(BC405="NEMA",BD405,BC405)&amp;");")</f>
        <v/>
      </c>
      <c r="DQ405" s="47" t="s">
        <v>0</v>
      </c>
      <c r="DR405" s="52" t="str">
        <f>IF(AL405="","",DU405 &amp; IF(Q405="",""," – " &amp; Q405))</f>
        <v/>
      </c>
      <c r="DS405" s="53" t="str">
        <f t="shared" si="368"/>
        <v/>
      </c>
      <c r="DT405" s="47" t="s">
        <v>0</v>
      </c>
      <c r="DU405" s="52" t="str">
        <f>IF(AL405="","",DX405 &amp; IF(CR405="",""," – " &amp; CR405))</f>
        <v/>
      </c>
      <c r="DV405" s="53" t="str">
        <f t="shared" si="369"/>
        <v/>
      </c>
      <c r="DW405" s="47" t="s">
        <v>0</v>
      </c>
      <c r="DX405" s="52" t="str">
        <f>IF(BG405="","",BF405&amp;" – "&amp;BG405)</f>
        <v/>
      </c>
      <c r="DY405" s="53" t="str">
        <f t="shared" si="370"/>
        <v/>
      </c>
      <c r="DZ405" s="47" t="s">
        <v>0</v>
      </c>
      <c r="EA405" s="58" t="str">
        <f t="shared" si="399"/>
        <v/>
      </c>
      <c r="EB405" s="53" t="str" cm="1">
        <f t="array" ref="EB405">IF(EA405&lt;&gt;"",INDEX(regNatjecatelj_id,EA405,0),IF(BD405&lt;&gt;"",BD405,""))</f>
        <v/>
      </c>
      <c r="EC405" s="47" t="s">
        <v>0</v>
      </c>
      <c r="ED405" s="58" t="str">
        <f>IF(AL405="","",IF(BD405&lt;&gt;"","novo",IF(AN405="","imepre","imepre(ali)")))</f>
        <v/>
      </c>
      <c r="EE405" s="73" t="str">
        <f>IF(AL405="","",IF(BL405="",IF(IFERROR(INDEX(regNatjecatelj_klub,MATCH(EB405,regNatjecatelj_id,0)),"NEMA")="","klu",""),IF(OR(AND(BN405&lt;&gt;"",BN405&lt;&gt;"NEMA"),CD405&lt;&gt;""),"klu(ali)",IF(AND(BP405&lt;&gt;"",BP405&lt;&gt;BO405),"(raz-klu)","klu"))))</f>
        <v/>
      </c>
      <c r="EF405" s="73" t="str">
        <f>IF(AL405="","","kat"&amp;IF(AND(W405&lt;&gt;Q405,Q405&lt;&gt;"Open"),"(ali)",""))</f>
        <v/>
      </c>
      <c r="EG405" s="73" t="str">
        <f t="shared" si="371"/>
        <v/>
      </c>
      <c r="EH405" s="66" t="str">
        <f>IF(AL405="","",ED405&amp;IF(ED405="novo","","-"&amp;EE405&amp;"-"&amp;EF405)&amp;IF(EG405="","","-"&amp;EG405))</f>
        <v/>
      </c>
      <c r="EI405" s="47" t="s">
        <v>0</v>
      </c>
      <c r="EJ405" s="58" t="str">
        <f>IF(AL405="","",MAX(EJ$12:EJ404)+1)</f>
        <v/>
      </c>
      <c r="EK405" s="73" t="str">
        <f>IF(AO405="","",X405)</f>
        <v/>
      </c>
      <c r="EL405" s="73" t="str">
        <f t="shared" si="400"/>
        <v/>
      </c>
      <c r="EM405" s="73" t="str">
        <f t="shared" si="372"/>
        <v/>
      </c>
      <c r="EN405" s="73" t="str">
        <f t="shared" si="373"/>
        <v/>
      </c>
      <c r="EO405" s="73" t="str">
        <f t="shared" si="401"/>
        <v/>
      </c>
      <c r="EP405" s="73" t="str">
        <f t="shared" si="402"/>
        <v/>
      </c>
      <c r="EQ405" s="73" t="str">
        <f t="shared" si="374"/>
        <v/>
      </c>
      <c r="ER405" s="73" t="str">
        <f>IF(OR(AN405="",AN405="NEMA"),BB405,AN405)</f>
        <v/>
      </c>
      <c r="ES405" s="73" t="str">
        <f>IF(AND(BN405&lt;&gt;"",BN405&lt;&gt;"NEMA"),BN405,IF(CG405&lt;&gt;"",CG405,IF(AND(CL405&lt;&gt;"",CL405&lt;&gt;"NEMA"),CL405,IF(CM405&lt;&gt;"",CM405,""))))</f>
        <v/>
      </c>
      <c r="ET405" s="53" t="str">
        <f>IF(INDEX(natKategorija_alias_Id,MATCH(S405,natKategorija_katRegId,0))="","",INDEX(natKategorija_alias_Id,MATCH(S405,natKategorija_katRegId,0)))</f>
        <v/>
      </c>
      <c r="EU405" s="47" t="s">
        <v>0</v>
      </c>
      <c r="EV405" s="19" t="str">
        <f t="shared" si="403"/>
        <v/>
      </c>
      <c r="EW405" s="47" t="s">
        <v>0</v>
      </c>
      <c r="EX405" s="19" t="str">
        <f t="shared" si="404"/>
        <v/>
      </c>
      <c r="EY405" s="47" t="s">
        <v>0</v>
      </c>
      <c r="EZ405" s="180" t="str">
        <f>AG405&amp;IF(CP405="","","
")&amp;CP405&amp;IF(CI405="","","
")&amp;CI405&amp;IF(DN405="","","
")&amp;DN405&amp;IF(DP405="","","
")&amp;DP405&amp;IF(EV405="","","
")&amp;EV405&amp;IF(EX405="","","
")&amp;EX405</f>
        <v/>
      </c>
      <c r="FA405" s="47" t="s">
        <v>0</v>
      </c>
    </row>
    <row r="406" spans="1:157" x14ac:dyDescent="0.25">
      <c r="A406" t="s">
        <v>0</v>
      </c>
      <c r="B406" s="52" t="str">
        <f>IF(csv!F396="","",csv!T396)</f>
        <v/>
      </c>
      <c r="C406" s="31" t="s">
        <v>0</v>
      </c>
      <c r="D406" s="31" t="str">
        <f>IF(csv!F396="","",csv!F396)</f>
        <v/>
      </c>
      <c r="E406" s="31" t="str">
        <f>IF(csv!E396="","",csv!E396)</f>
        <v/>
      </c>
      <c r="F406" s="31" t="s">
        <v>0</v>
      </c>
      <c r="G406" s="73" t="str">
        <f>IF(csv!M396="","",csv!M396)</f>
        <v/>
      </c>
      <c r="H406" s="73" t="str">
        <f>IF(csv!N396="","",csv!N396)</f>
        <v/>
      </c>
      <c r="I406" s="31" t="s">
        <v>0</v>
      </c>
      <c r="J406" s="31" t="str">
        <f>IF(csv!P396="","",csv!P396)</f>
        <v/>
      </c>
      <c r="K406" s="31" t="str">
        <f>IF(csv!Q396="","",csv!Q396)</f>
        <v/>
      </c>
      <c r="L406" s="31" t="s">
        <v>0</v>
      </c>
      <c r="M406" s="66" t="str">
        <f>IF(csv!R396="","",csv!R396)</f>
        <v/>
      </c>
      <c r="N406" s="47" t="s">
        <v>0</v>
      </c>
      <c r="O406" s="243" t="str">
        <f t="shared" si="375"/>
        <v/>
      </c>
      <c r="P406" s="47"/>
      <c r="Q406" s="52" t="str">
        <f t="shared" si="376"/>
        <v/>
      </c>
      <c r="R406" s="73" t="str">
        <f>IF(Q406="","",IF(COUNTIF(Q$12:Q405,Q406)=0,R405+1,R405))</f>
        <v/>
      </c>
      <c r="S406" s="73" t="str">
        <f t="shared" si="377"/>
        <v/>
      </c>
      <c r="T406" s="73" t="str">
        <f t="shared" si="353"/>
        <v/>
      </c>
      <c r="U406" s="66" t="str">
        <f t="shared" si="354"/>
        <v/>
      </c>
      <c r="V406" s="47" t="s">
        <v>0</v>
      </c>
      <c r="W406" s="222" t="str">
        <f t="shared" si="355"/>
        <v/>
      </c>
      <c r="X406" s="223" t="str">
        <f t="shared" si="356"/>
        <v/>
      </c>
      <c r="Y406" s="47" t="s">
        <v>0</v>
      </c>
      <c r="Z406" s="52" t="str">
        <f t="shared" si="378"/>
        <v/>
      </c>
      <c r="AA406" s="73" t="str">
        <f t="shared" si="357"/>
        <v/>
      </c>
      <c r="AB406" s="31" t="str">
        <f t="shared" si="379"/>
        <v/>
      </c>
      <c r="AC406" s="66" t="str">
        <f>IF(AB406="","",MAX(AC$12:AC405)+1)</f>
        <v/>
      </c>
      <c r="AD406" s="47" t="s">
        <v>0</v>
      </c>
      <c r="AE406" s="125"/>
      <c r="AF406" s="47" t="s">
        <v>0</v>
      </c>
      <c r="AG406" s="19" t="str">
        <f t="shared" si="380"/>
        <v/>
      </c>
      <c r="AH406" s="47" t="s">
        <v>0</v>
      </c>
      <c r="AI406" s="143" t="str">
        <f t="shared" si="381"/>
        <v/>
      </c>
      <c r="AJ406" s="47"/>
      <c r="AK406" s="52" t="str">
        <f t="shared" si="382"/>
        <v/>
      </c>
      <c r="AL406" s="31" t="str">
        <f t="shared" si="383"/>
        <v/>
      </c>
      <c r="AM406" s="73" t="str">
        <f t="shared" si="384"/>
        <v/>
      </c>
      <c r="AN406" s="73" t="str">
        <f t="shared" si="385"/>
        <v/>
      </c>
      <c r="AO406" s="31" t="str">
        <f t="shared" si="358"/>
        <v/>
      </c>
      <c r="AP406" s="66" t="str">
        <f t="shared" si="359"/>
        <v/>
      </c>
      <c r="AQ406" s="47" t="s">
        <v>0</v>
      </c>
      <c r="AR406" s="82" t="str">
        <f t="shared" si="386"/>
        <v/>
      </c>
      <c r="AS406" s="47" t="s">
        <v>0</v>
      </c>
      <c r="AT406" s="19" t="str">
        <f t="shared" si="387"/>
        <v/>
      </c>
      <c r="AU406" s="47" t="s">
        <v>0</v>
      </c>
      <c r="AV406" s="103"/>
      <c r="AW406" s="105"/>
      <c r="AX406" s="47" t="s">
        <v>0</v>
      </c>
      <c r="AY406" s="256" t="str">
        <f t="shared" si="405"/>
        <v/>
      </c>
      <c r="AZ406" s="47" t="s">
        <v>0</v>
      </c>
      <c r="BA406" s="52" t="str">
        <f t="shared" si="352"/>
        <v/>
      </c>
      <c r="BB406" s="73" t="str">
        <f>IF(AV406&amp;AW406="","",MAX(BB$12:BB405)+1)</f>
        <v/>
      </c>
      <c r="BC406" s="268" t="str">
        <f t="shared" si="360"/>
        <v/>
      </c>
      <c r="BD406" s="53" t="str">
        <f>IF(AND(AM406="NEMA",AN406="NEMA",OR(AV406&amp;AW406="",BC406="NEMA")),MAX(BD$12:BD405)+1,"")</f>
        <v/>
      </c>
      <c r="BE406" s="47" t="s">
        <v>0</v>
      </c>
      <c r="BF406" s="52" t="str">
        <f t="shared" si="361"/>
        <v/>
      </c>
      <c r="BG406" s="31" t="str">
        <f t="shared" si="362"/>
        <v/>
      </c>
      <c r="BH406" s="73" t="str">
        <f t="shared" si="388"/>
        <v/>
      </c>
      <c r="BI406" s="53" t="str">
        <f t="shared" si="389"/>
        <v/>
      </c>
      <c r="BJ406" s="47" t="s">
        <v>0</v>
      </c>
      <c r="BK406" s="52" t="str">
        <f t="shared" si="363"/>
        <v/>
      </c>
      <c r="BL406" s="31" t="str">
        <f t="shared" si="364"/>
        <v/>
      </c>
      <c r="BM406" s="73" t="str">
        <f t="shared" si="365"/>
        <v/>
      </c>
      <c r="BN406" s="73" t="str">
        <f t="shared" si="366"/>
        <v/>
      </c>
      <c r="BO406" s="31" t="str" cm="1">
        <f t="array" ref="BO406">IF(BN406="",""&amp;BL406,IF(BN406="NEMA",BL406,INDEX(regKlub_naziv,MATCH(INDEX(regKlub_alias_klubId,BN406),regKlub_id,0))))</f>
        <v/>
      </c>
      <c r="BP406" s="31" t="str" cm="1">
        <f t="array" ref="BP406">IFERROR(""&amp;INDEX(regNatjecatelj_klub,DY406),"")</f>
        <v/>
      </c>
      <c r="BQ406" s="88" t="str">
        <f t="shared" si="390"/>
        <v/>
      </c>
      <c r="BR406" s="66" t="str">
        <f t="shared" si="391"/>
        <v/>
      </c>
      <c r="BS406" s="47" t="s">
        <v>0</v>
      </c>
      <c r="BT406" s="82" t="str">
        <f>IF(BN406&lt;&gt;"NEMA","",IF(IFERROR(MATCH(BL406,BL$12:BL405,0),0)&lt;&gt;0,"",BL406))</f>
        <v/>
      </c>
      <c r="BU406" s="47" t="s">
        <v>0</v>
      </c>
      <c r="BV406" s="125"/>
      <c r="BW406" s="47" t="s">
        <v>0</v>
      </c>
      <c r="BX406" s="58" t="str">
        <f t="shared" si="392"/>
        <v/>
      </c>
      <c r="BY406" s="31" t="str">
        <f t="shared" si="393"/>
        <v/>
      </c>
      <c r="BZ406" s="31" t="str">
        <f>IF(BY406="","",MAX(BZ$12:BZ405)+1)</f>
        <v/>
      </c>
      <c r="CA406" s="31" t="str">
        <f>IF(BY406="","",IF(AA406="","",IF(AA406="NEMA",AC406,AA406)))</f>
        <v/>
      </c>
      <c r="CB406" s="31" t="str">
        <f t="shared" si="394"/>
        <v/>
      </c>
      <c r="CC406" s="31" t="str">
        <f>IF(BV406="","",MAX(CC$12:CC405)+1)</f>
        <v/>
      </c>
      <c r="CD406" s="31" t="str">
        <f t="shared" si="395"/>
        <v/>
      </c>
      <c r="CE406" s="66" t="str">
        <f t="shared" si="396"/>
        <v/>
      </c>
      <c r="CF406" s="47" t="s">
        <v>0</v>
      </c>
      <c r="CG406" s="73" t="str">
        <f>IF(BN406="","",IF(BN406&lt;&gt;"NEMA","",IFERROR(INDEX(nat_klubAliasId,MATCH(BL406,nat_noviKluboviAliasi,0)),"")))</f>
        <v/>
      </c>
      <c r="CH406" s="47"/>
      <c r="CI406" s="19" t="str">
        <f t="shared" si="397"/>
        <v/>
      </c>
      <c r="CJ406" s="47" t="s">
        <v>0</v>
      </c>
      <c r="CK406" s="52" t="str">
        <f>IF(X406&lt;&gt;"NEMA","",IF(IFERROR(MATCH(W406,W$12:W405,0),0)&lt;&gt;0,"",W406))</f>
        <v/>
      </c>
      <c r="CL406" s="73" t="str">
        <f>IF(CK406="","",IFERROR(INDEX(regKlub_alias_id,MATCH(CK406,regKlub_alias_alias,0)),"NEMA"))</f>
        <v/>
      </c>
      <c r="CM406" s="31" t="str">
        <f>IF(OR(CL406="",CL406&lt;&gt;"NEMA"),"",MAX(CM$12:CM405)+1)</f>
        <v/>
      </c>
      <c r="CN406" s="66" t="str">
        <f>IF(OR(CL406="",CL406&lt;&gt;"NEMA"),"",INDEX(regKlub_id,MATCH(CK406,regKlub_naziv,0)))</f>
        <v/>
      </c>
      <c r="CO406" s="47" t="s">
        <v>0</v>
      </c>
      <c r="CP406" s="19" t="str">
        <f>IF(OR(CL406="",CL406&lt;&gt;"NEMA"),"","INSERT INTO klub_alias(id,alias,klub_id) VALUES ("&amp;CM406&amp;",'"&amp;CK406&amp;"',"&amp;CN406&amp;");")</f>
        <v/>
      </c>
      <c r="CQ406" s="47" t="s">
        <v>0</v>
      </c>
      <c r="CR406" s="143" t="str">
        <f>IF(BR406="","",IF(BV406="",IF(IFERROR(MATCH(BR406,nat_noviKluboviAliasi,0),0)&gt;0,INDEX(nat_kluboviAliasi,MATCH(BR406,nat_noviKluboviAliasi,0)),BR406),BV406))</f>
        <v/>
      </c>
      <c r="CS406" s="47" t="s">
        <v>0</v>
      </c>
      <c r="CT406" s="58" t="str">
        <f>IF(G406="","",G406)</f>
        <v/>
      </c>
      <c r="CU406" s="73" t="str">
        <f>IF(H406="","",H406)</f>
        <v/>
      </c>
      <c r="CV406" s="229" t="str">
        <f>IF(CT406="",IF(OR(AL406="",CU406&lt;&gt;"0"),"","GREŠKA"),IF(AND(65535&gt;=VALUE(LEFT(CT406,SEARCH(":",CT406)-1))*60+VALUE(RIGHT(CT406,2)),OR(CU406="0",CU406="1",CU406="2",CU406="3",CU406="4")),"","GREŠKA"))</f>
        <v/>
      </c>
      <c r="CW406" s="230" t="str">
        <f t="shared" si="351"/>
        <v/>
      </c>
      <c r="CX406" s="163" t="str">
        <f t="shared" si="367"/>
        <v/>
      </c>
      <c r="CY406" s="47" t="s">
        <v>0</v>
      </c>
      <c r="CZ406" s="222" t="str">
        <f>IF(CV406&lt;&gt;"GREŠKA","",AK406&amp;" "&amp;AL406&amp;" – Molim u OEventu provjeriti i ispraviti rezultat – vrijeme ("&amp;IF(CT406="","nije upisano",CT406)&amp;") i classifier ("&amp;CU406&amp;").")&amp;IF(OR(CV406&lt;&gt;"GREŠKA",CX406&lt;&gt;5),"
","")&amp;IF(CX406&lt;&gt;5,"",AK406&amp;" "&amp;AL406&amp;" – Molim u provjeriti je li natjecatelj zaista diskvalificiran. Ako je koje je obrazloženje, ako nije molim u OEventu ispraviti rezultat")</f>
        <v xml:space="preserve">
</v>
      </c>
      <c r="DA406" s="223" t="str">
        <f t="shared" si="398"/>
        <v/>
      </c>
      <c r="DB406" s="47" t="s">
        <v>0</v>
      </c>
      <c r="DC406" s="47"/>
      <c r="DD406" s="47"/>
      <c r="DE406" s="47"/>
      <c r="DF406" s="47" t="s">
        <v>0</v>
      </c>
      <c r="DG406" s="53" t="str">
        <f>IF(BD406="","",IF(DI406="O",1,""))</f>
        <v/>
      </c>
      <c r="DH406" t="s">
        <v>0</v>
      </c>
      <c r="DI406" s="128" t="str">
        <f>IF(Q406="","",LEFT(INDEX(regKategorija_oznaka,MATCH(S406,regKategorija_id,0)),1))</f>
        <v/>
      </c>
      <c r="DJ406" t="s">
        <v>0</v>
      </c>
      <c r="DK406" s="52" t="str">
        <f>IF(BD406="","",IF(M406&lt;&gt;"CRO","","INSERT INTO osoba (id,reg_broj,oib,spol_id,dat_rodjenja) VALUES ("&amp;BD406&amp;",(SELECT max(os.reg_broj)+1 FROM osoba AS os),Null,'"&amp;DI406&amp;"',Null); INSERT INTO osoba_log (id,reg_broj,oib,spol_id,dat_rodjenja,dnevnik_id) SELECT id,reg_broj,oib,spol_id,dat_rodjenja,"&amp;data_dnevnik_id&amp;" FROM osoba WHERE id = "&amp;BD406&amp;";"))</f>
        <v/>
      </c>
      <c r="DL406" s="66" t="str">
        <f>IF(BD406="","","INSERT INTO imeprezime (id,osoba_id,rbr,ime,prezime,klub_id,identitet_id,sintaksa_id,info,aktivno,dnevnik_id) VALUES ("&amp;BD406&amp;","&amp;IF(DK406="","Null",BD406)&amp;",1,'"&amp;IF(AV406&lt;&gt;"",AV406,AK406)&amp;"','"&amp;IF(AW406&lt;&gt;"",AW406,AL406)&amp;"',(SELECT id FROM klub WHERE naziv = '"&amp;CR406&amp;"'),Null,1,'',1,"&amp;data_dnevnik_id&amp;");")</f>
        <v/>
      </c>
      <c r="DM406" t="s">
        <v>0</v>
      </c>
      <c r="DN406" s="19" t="str">
        <f t="shared" si="406"/>
        <v/>
      </c>
      <c r="DO406" s="47" t="s">
        <v>0</v>
      </c>
      <c r="DP406" s="19" t="str">
        <f t="shared" si="407"/>
        <v/>
      </c>
      <c r="DQ406" s="47" t="s">
        <v>0</v>
      </c>
      <c r="DR406" s="52" t="str">
        <f>IF(AL406="","",DU406 &amp; IF(Q406="",""," – " &amp; Q406))</f>
        <v/>
      </c>
      <c r="DS406" s="53" t="str">
        <f t="shared" si="368"/>
        <v/>
      </c>
      <c r="DT406" s="47" t="s">
        <v>0</v>
      </c>
      <c r="DU406" s="52" t="str">
        <f>IF(AL406="","",DX406 &amp; IF(CR406="",""," – " &amp; CR406))</f>
        <v/>
      </c>
      <c r="DV406" s="53" t="str">
        <f t="shared" si="369"/>
        <v/>
      </c>
      <c r="DW406" s="47" t="s">
        <v>0</v>
      </c>
      <c r="DX406" s="52" t="str">
        <f>IF(BG406="","",BF406&amp;" – "&amp;BG406)</f>
        <v/>
      </c>
      <c r="DY406" s="53" t="str">
        <f t="shared" si="370"/>
        <v/>
      </c>
      <c r="DZ406" s="47" t="s">
        <v>0</v>
      </c>
      <c r="EA406" s="58" t="str">
        <f t="shared" si="399"/>
        <v/>
      </c>
      <c r="EB406" s="53" t="str" cm="1">
        <f t="array" ref="EB406">IF(EA406&lt;&gt;"",INDEX(regNatjecatelj_id,EA406,0),IF(BD406&lt;&gt;"",BD406,""))</f>
        <v/>
      </c>
      <c r="EC406" s="47" t="s">
        <v>0</v>
      </c>
      <c r="ED406" s="58" t="str">
        <f>IF(AL406="","",IF(BD406&lt;&gt;"","novo",IF(AN406="","imepre","imepre(ali)")))</f>
        <v/>
      </c>
      <c r="EE406" s="73" t="str">
        <f>IF(AL406="","",IF(BL406="",IF(IFERROR(INDEX(regNatjecatelj_klub,MATCH(EB406,regNatjecatelj_id,0)),"NEMA")="","klu",""),IF(OR(AND(BN406&lt;&gt;"",BN406&lt;&gt;"NEMA"),CD406&lt;&gt;""),"klu(ali)",IF(AND(BP406&lt;&gt;"",BP406&lt;&gt;BO406),"(raz-klu)","klu"))))</f>
        <v/>
      </c>
      <c r="EF406" s="73" t="str">
        <f>IF(AL406="","","kat"&amp;IF(AND(W406&lt;&gt;Q406,Q406&lt;&gt;"Open"),"(ali)",""))</f>
        <v/>
      </c>
      <c r="EG406" s="73" t="str">
        <f t="shared" si="371"/>
        <v/>
      </c>
      <c r="EH406" s="66" t="str">
        <f>IF(AL406="","",ED406&amp;IF(ED406="novo","","-"&amp;EE406&amp;"-"&amp;EF406)&amp;IF(EG406="","","-"&amp;EG406))</f>
        <v/>
      </c>
      <c r="EI406" s="47" t="s">
        <v>0</v>
      </c>
      <c r="EJ406" s="58" t="str">
        <f>IF(AL406="","",MAX(EJ$12:EJ405)+1)</f>
        <v/>
      </c>
      <c r="EK406" s="73" t="str">
        <f>IF(AO406="","",X406)</f>
        <v/>
      </c>
      <c r="EL406" s="73" t="str">
        <f t="shared" si="400"/>
        <v/>
      </c>
      <c r="EM406" s="73" t="str">
        <f t="shared" si="372"/>
        <v/>
      </c>
      <c r="EN406" s="73" t="str">
        <f t="shared" si="373"/>
        <v/>
      </c>
      <c r="EO406" s="73" t="str">
        <f t="shared" si="401"/>
        <v/>
      </c>
      <c r="EP406" s="73" t="str">
        <f t="shared" si="402"/>
        <v/>
      </c>
      <c r="EQ406" s="73" t="str">
        <f t="shared" si="374"/>
        <v/>
      </c>
      <c r="ER406" s="73" t="str">
        <f>IF(OR(AN406="",AN406="NEMA"),BB406,AN406)</f>
        <v/>
      </c>
      <c r="ES406" s="73" t="str">
        <f>IF(AND(BN406&lt;&gt;"",BN406&lt;&gt;"NEMA"),BN406,IF(CG406&lt;&gt;"",CG406,IF(AND(CL406&lt;&gt;"",CL406&lt;&gt;"NEMA"),CL406,IF(CM406&lt;&gt;"",CM406,""))))</f>
        <v/>
      </c>
      <c r="ET406" s="53" t="str">
        <f>IF(INDEX(natKategorija_alias_Id,MATCH(S406,natKategorija_katRegId,0))="","",INDEX(natKategorija_alias_Id,MATCH(S406,natKategorija_katRegId,0)))</f>
        <v/>
      </c>
      <c r="EU406" s="47" t="s">
        <v>0</v>
      </c>
      <c r="EV406" s="19" t="str">
        <f t="shared" si="403"/>
        <v/>
      </c>
      <c r="EW406" s="47" t="s">
        <v>0</v>
      </c>
      <c r="EX406" s="19" t="str">
        <f t="shared" si="404"/>
        <v/>
      </c>
      <c r="EY406" s="47" t="s">
        <v>0</v>
      </c>
      <c r="EZ406" s="180" t="str">
        <f>AG406&amp;IF(CP406="","","
")&amp;CP406&amp;IF(CI406="","","
")&amp;CI406&amp;IF(DN406="","","
")&amp;DN406&amp;IF(DP406="","","
")&amp;DP406&amp;IF(EV406="","","
")&amp;EV406&amp;IF(EX406="","","
")&amp;EX406</f>
        <v/>
      </c>
      <c r="FA406" s="47" t="s">
        <v>0</v>
      </c>
    </row>
    <row r="407" spans="1:157" x14ac:dyDescent="0.25">
      <c r="A407" t="s">
        <v>0</v>
      </c>
      <c r="B407" s="52" t="str">
        <f>IF(csv!F397="","",csv!T397)</f>
        <v/>
      </c>
      <c r="C407" s="31" t="s">
        <v>0</v>
      </c>
      <c r="D407" s="31" t="str">
        <f>IF(csv!F397="","",csv!F397)</f>
        <v/>
      </c>
      <c r="E407" s="31" t="str">
        <f>IF(csv!E397="","",csv!E397)</f>
        <v/>
      </c>
      <c r="F407" s="31" t="s">
        <v>0</v>
      </c>
      <c r="G407" s="73" t="str">
        <f>IF(csv!M397="","",csv!M397)</f>
        <v/>
      </c>
      <c r="H407" s="73" t="str">
        <f>IF(csv!N397="","",csv!N397)</f>
        <v/>
      </c>
      <c r="I407" s="31" t="s">
        <v>0</v>
      </c>
      <c r="J407" s="31" t="str">
        <f>IF(csv!P397="","",csv!P397)</f>
        <v/>
      </c>
      <c r="K407" s="31" t="str">
        <f>IF(csv!Q397="","",csv!Q397)</f>
        <v/>
      </c>
      <c r="L407" s="31" t="s">
        <v>0</v>
      </c>
      <c r="M407" s="66" t="str">
        <f>IF(csv!R397="","",csv!R397)</f>
        <v/>
      </c>
      <c r="N407" s="47" t="s">
        <v>0</v>
      </c>
      <c r="O407" s="243" t="str">
        <f t="shared" si="375"/>
        <v/>
      </c>
      <c r="P407" s="47"/>
      <c r="Q407" s="52" t="str">
        <f t="shared" si="376"/>
        <v/>
      </c>
      <c r="R407" s="73" t="str">
        <f>IF(Q407="","",IF(COUNTIF(Q$12:Q406,Q407)=0,R406+1,R406))</f>
        <v/>
      </c>
      <c r="S407" s="73" t="str">
        <f t="shared" si="377"/>
        <v/>
      </c>
      <c r="T407" s="73" t="str">
        <f t="shared" si="353"/>
        <v/>
      </c>
      <c r="U407" s="66" t="str">
        <f t="shared" si="354"/>
        <v/>
      </c>
      <c r="V407" s="47" t="s">
        <v>0</v>
      </c>
      <c r="W407" s="222" t="str">
        <f t="shared" si="355"/>
        <v/>
      </c>
      <c r="X407" s="223" t="str">
        <f t="shared" si="356"/>
        <v/>
      </c>
      <c r="Y407" s="47" t="s">
        <v>0</v>
      </c>
      <c r="Z407" s="52" t="str">
        <f t="shared" si="378"/>
        <v/>
      </c>
      <c r="AA407" s="73" t="str">
        <f t="shared" si="357"/>
        <v/>
      </c>
      <c r="AB407" s="31" t="str">
        <f t="shared" si="379"/>
        <v/>
      </c>
      <c r="AC407" s="66" t="str">
        <f>IF(AB407="","",MAX(AC$12:AC406)+1)</f>
        <v/>
      </c>
      <c r="AD407" s="47" t="s">
        <v>0</v>
      </c>
      <c r="AE407" s="125"/>
      <c r="AF407" s="47" t="s">
        <v>0</v>
      </c>
      <c r="AG407" s="19" t="str">
        <f t="shared" si="380"/>
        <v/>
      </c>
      <c r="AH407" s="47" t="s">
        <v>0</v>
      </c>
      <c r="AI407" s="143" t="str">
        <f t="shared" si="381"/>
        <v/>
      </c>
      <c r="AJ407" s="47"/>
      <c r="AK407" s="52" t="str">
        <f t="shared" si="382"/>
        <v/>
      </c>
      <c r="AL407" s="31" t="str">
        <f t="shared" si="383"/>
        <v/>
      </c>
      <c r="AM407" s="73" t="str">
        <f t="shared" si="384"/>
        <v/>
      </c>
      <c r="AN407" s="73" t="str">
        <f t="shared" si="385"/>
        <v/>
      </c>
      <c r="AO407" s="31" t="str">
        <f t="shared" si="358"/>
        <v/>
      </c>
      <c r="AP407" s="66" t="str">
        <f t="shared" si="359"/>
        <v/>
      </c>
      <c r="AQ407" s="47" t="s">
        <v>0</v>
      </c>
      <c r="AR407" s="82" t="str">
        <f t="shared" si="386"/>
        <v/>
      </c>
      <c r="AS407" s="47" t="s">
        <v>0</v>
      </c>
      <c r="AT407" s="19" t="str">
        <f t="shared" si="387"/>
        <v/>
      </c>
      <c r="AU407" s="47" t="s">
        <v>0</v>
      </c>
      <c r="AV407" s="103"/>
      <c r="AW407" s="105"/>
      <c r="AX407" s="47" t="s">
        <v>0</v>
      </c>
      <c r="AY407" s="256" t="str">
        <f t="shared" si="405"/>
        <v/>
      </c>
      <c r="AZ407" s="47" t="s">
        <v>0</v>
      </c>
      <c r="BA407" s="52" t="str">
        <f t="shared" si="352"/>
        <v/>
      </c>
      <c r="BB407" s="73" t="str">
        <f>IF(AV407&amp;AW407="","",MAX(BB$12:BB406)+1)</f>
        <v/>
      </c>
      <c r="BC407" s="268" t="str">
        <f t="shared" si="360"/>
        <v/>
      </c>
      <c r="BD407" s="53" t="str">
        <f>IF(AND(AM407="NEMA",AN407="NEMA",OR(AV407&amp;AW407="",BC407="NEMA")),MAX(BD$12:BD406)+1,"")</f>
        <v/>
      </c>
      <c r="BE407" s="47" t="s">
        <v>0</v>
      </c>
      <c r="BF407" s="52" t="str">
        <f t="shared" si="361"/>
        <v/>
      </c>
      <c r="BG407" s="31" t="str">
        <f t="shared" si="362"/>
        <v/>
      </c>
      <c r="BH407" s="73" t="str">
        <f t="shared" si="388"/>
        <v/>
      </c>
      <c r="BI407" s="53" t="str">
        <f t="shared" si="389"/>
        <v/>
      </c>
      <c r="BJ407" s="47" t="s">
        <v>0</v>
      </c>
      <c r="BK407" s="52" t="str">
        <f t="shared" si="363"/>
        <v/>
      </c>
      <c r="BL407" s="31" t="str">
        <f t="shared" si="364"/>
        <v/>
      </c>
      <c r="BM407" s="73" t="str">
        <f t="shared" si="365"/>
        <v/>
      </c>
      <c r="BN407" s="73" t="str">
        <f t="shared" si="366"/>
        <v/>
      </c>
      <c r="BO407" s="31" t="str" cm="1">
        <f t="array" ref="BO407">IF(BN407="",""&amp;BL407,IF(BN407="NEMA",BL407,INDEX(regKlub_naziv,MATCH(INDEX(regKlub_alias_klubId,BN407),regKlub_id,0))))</f>
        <v/>
      </c>
      <c r="BP407" s="31" t="str" cm="1">
        <f t="array" ref="BP407">IFERROR(""&amp;INDEX(regNatjecatelj_klub,DY407),"")</f>
        <v/>
      </c>
      <c r="BQ407" s="88" t="str">
        <f t="shared" si="390"/>
        <v/>
      </c>
      <c r="BR407" s="66" t="str">
        <f t="shared" si="391"/>
        <v/>
      </c>
      <c r="BS407" s="47" t="s">
        <v>0</v>
      </c>
      <c r="BT407" s="82" t="str">
        <f>IF(BN407&lt;&gt;"NEMA","",IF(IFERROR(MATCH(BL407,BL$12:BL406,0),0)&lt;&gt;0,"",BL407))</f>
        <v/>
      </c>
      <c r="BU407" s="47" t="s">
        <v>0</v>
      </c>
      <c r="BV407" s="125"/>
      <c r="BW407" s="47" t="s">
        <v>0</v>
      </c>
      <c r="BX407" s="58" t="str">
        <f t="shared" si="392"/>
        <v/>
      </c>
      <c r="BY407" s="31" t="str">
        <f t="shared" si="393"/>
        <v/>
      </c>
      <c r="BZ407" s="31" t="str">
        <f>IF(BY407="","",MAX(BZ$12:BZ406)+1)</f>
        <v/>
      </c>
      <c r="CA407" s="31" t="str">
        <f>IF(BY407="","",IF(AA407="","",IF(AA407="NEMA",AC407,AA407)))</f>
        <v/>
      </c>
      <c r="CB407" s="31" t="str">
        <f t="shared" si="394"/>
        <v/>
      </c>
      <c r="CC407" s="31" t="str">
        <f>IF(BV407="","",MAX(CC$12:CC406)+1)</f>
        <v/>
      </c>
      <c r="CD407" s="31" t="str">
        <f t="shared" si="395"/>
        <v/>
      </c>
      <c r="CE407" s="66" t="str">
        <f t="shared" si="396"/>
        <v/>
      </c>
      <c r="CF407" s="47" t="s">
        <v>0</v>
      </c>
      <c r="CG407" s="73" t="str">
        <f>IF(BN407="","",IF(BN407&lt;&gt;"NEMA","",IFERROR(INDEX(nat_klubAliasId,MATCH(BL407,nat_noviKluboviAliasi,0)),"")))</f>
        <v/>
      </c>
      <c r="CH407" s="47"/>
      <c r="CI407" s="19" t="str">
        <f t="shared" si="397"/>
        <v/>
      </c>
      <c r="CJ407" s="47" t="s">
        <v>0</v>
      </c>
      <c r="CK407" s="52" t="str">
        <f>IF(X407&lt;&gt;"NEMA","",IF(IFERROR(MATCH(W407,W$12:W406,0),0)&lt;&gt;0,"",W407))</f>
        <v/>
      </c>
      <c r="CL407" s="73" t="str">
        <f>IF(CK407="","",IFERROR(INDEX(regKlub_alias_id,MATCH(CK407,regKlub_alias_alias,0)),"NEMA"))</f>
        <v/>
      </c>
      <c r="CM407" s="31" t="str">
        <f>IF(OR(CL407="",CL407&lt;&gt;"NEMA"),"",MAX(CM$12:CM406)+1)</f>
        <v/>
      </c>
      <c r="CN407" s="66" t="str">
        <f>IF(OR(CL407="",CL407&lt;&gt;"NEMA"),"",INDEX(regKlub_id,MATCH(CK407,regKlub_naziv,0)))</f>
        <v/>
      </c>
      <c r="CO407" s="47" t="s">
        <v>0</v>
      </c>
      <c r="CP407" s="19" t="str">
        <f>IF(OR(CL407="",CL407&lt;&gt;"NEMA"),"","INSERT INTO klub_alias(id,alias,klub_id) VALUES ("&amp;CM407&amp;",'"&amp;CK407&amp;"',"&amp;CN407&amp;");")</f>
        <v/>
      </c>
      <c r="CQ407" s="47" t="s">
        <v>0</v>
      </c>
      <c r="CR407" s="143" t="str">
        <f>IF(BR407="","",IF(BV407="",IF(IFERROR(MATCH(BR407,nat_noviKluboviAliasi,0),0)&gt;0,INDEX(nat_kluboviAliasi,MATCH(BR407,nat_noviKluboviAliasi,0)),BR407),BV407))</f>
        <v/>
      </c>
      <c r="CS407" s="47" t="s">
        <v>0</v>
      </c>
      <c r="CT407" s="58" t="str">
        <f>IF(G407="","",G407)</f>
        <v/>
      </c>
      <c r="CU407" s="73" t="str">
        <f>IF(H407="","",H407)</f>
        <v/>
      </c>
      <c r="CV407" s="229" t="str">
        <f>IF(CT407="",IF(OR(AL407="",CU407&lt;&gt;"0"),"","GREŠKA"),IF(AND(65535&gt;=VALUE(LEFT(CT407,SEARCH(":",CT407)-1))*60+VALUE(RIGHT(CT407,2)),OR(CU407="0",CU407="1",CU407="2",CU407="3",CU407="4")),"","GREŠKA"))</f>
        <v/>
      </c>
      <c r="CW407" s="230" t="str">
        <f t="shared" si="351"/>
        <v/>
      </c>
      <c r="CX407" s="163" t="str">
        <f t="shared" si="367"/>
        <v/>
      </c>
      <c r="CY407" s="47" t="s">
        <v>0</v>
      </c>
      <c r="CZ407" s="222" t="str">
        <f>IF(CV407&lt;&gt;"GREŠKA","",AK407&amp;" "&amp;AL407&amp;" – Molim u OEventu provjeriti i ispraviti rezultat – vrijeme ("&amp;IF(CT407="","nije upisano",CT407)&amp;") i classifier ("&amp;CU407&amp;").")&amp;IF(OR(CV407&lt;&gt;"GREŠKA",CX407&lt;&gt;5),"
","")&amp;IF(CX407&lt;&gt;5,"",AK407&amp;" "&amp;AL407&amp;" – Molim u provjeriti je li natjecatelj zaista diskvalificiran. Ako je koje je obrazloženje, ako nije molim u OEventu ispraviti rezultat")</f>
        <v xml:space="preserve">
</v>
      </c>
      <c r="DA407" s="223" t="str">
        <f t="shared" si="398"/>
        <v/>
      </c>
      <c r="DB407" s="47" t="s">
        <v>0</v>
      </c>
      <c r="DC407" s="47"/>
      <c r="DD407" s="47"/>
      <c r="DE407" s="47"/>
      <c r="DF407" s="47" t="s">
        <v>0</v>
      </c>
      <c r="DG407" s="53" t="str">
        <f>IF(BD407="","",IF(DI407="O",1,""))</f>
        <v/>
      </c>
      <c r="DH407" t="s">
        <v>0</v>
      </c>
      <c r="DI407" s="128" t="str">
        <f>IF(Q407="","",LEFT(INDEX(regKategorija_oznaka,MATCH(S407,regKategorija_id,0)),1))</f>
        <v/>
      </c>
      <c r="DJ407" t="s">
        <v>0</v>
      </c>
      <c r="DK407" s="52" t="str">
        <f>IF(BD407="","",IF(M407&lt;&gt;"CRO","","INSERT INTO osoba (id,reg_broj,oib,spol_id,dat_rodjenja) VALUES ("&amp;BD407&amp;",(SELECT max(os.reg_broj)+1 FROM osoba AS os),Null,'"&amp;DI407&amp;"',Null); INSERT INTO osoba_log (id,reg_broj,oib,spol_id,dat_rodjenja,dnevnik_id) SELECT id,reg_broj,oib,spol_id,dat_rodjenja,"&amp;data_dnevnik_id&amp;" FROM osoba WHERE id = "&amp;BD407&amp;";"))</f>
        <v/>
      </c>
      <c r="DL407" s="66" t="str">
        <f>IF(BD407="","","INSERT INTO imeprezime (id,osoba_id,rbr,ime,prezime,klub_id,identitet_id,sintaksa_id,info,aktivno,dnevnik_id) VALUES ("&amp;BD407&amp;","&amp;IF(DK407="","Null",BD407)&amp;",1,'"&amp;IF(AV407&lt;&gt;"",AV407,AK407)&amp;"','"&amp;IF(AW407&lt;&gt;"",AW407,AL407)&amp;"',(SELECT id FROM klub WHERE naziv = '"&amp;CR407&amp;"'),Null,1,'',1,"&amp;data_dnevnik_id&amp;");")</f>
        <v/>
      </c>
      <c r="DM407" t="s">
        <v>0</v>
      </c>
      <c r="DN407" s="19" t="str">
        <f t="shared" si="406"/>
        <v/>
      </c>
      <c r="DO407" s="47" t="s">
        <v>0</v>
      </c>
      <c r="DP407" s="19" t="str">
        <f t="shared" si="407"/>
        <v/>
      </c>
      <c r="DQ407" s="47" t="s">
        <v>0</v>
      </c>
      <c r="DR407" s="52" t="str">
        <f>IF(AL407="","",DU407 &amp; IF(Q407="",""," – " &amp; Q407))</f>
        <v/>
      </c>
      <c r="DS407" s="53" t="str">
        <f t="shared" si="368"/>
        <v/>
      </c>
      <c r="DT407" s="47" t="s">
        <v>0</v>
      </c>
      <c r="DU407" s="52" t="str">
        <f>IF(AL407="","",DX407 &amp; IF(CR407="",""," – " &amp; CR407))</f>
        <v/>
      </c>
      <c r="DV407" s="53" t="str">
        <f t="shared" si="369"/>
        <v/>
      </c>
      <c r="DW407" s="47" t="s">
        <v>0</v>
      </c>
      <c r="DX407" s="52" t="str">
        <f>IF(BG407="","",BF407&amp;" – "&amp;BG407)</f>
        <v/>
      </c>
      <c r="DY407" s="53" t="str">
        <f t="shared" si="370"/>
        <v/>
      </c>
      <c r="DZ407" s="47" t="s">
        <v>0</v>
      </c>
      <c r="EA407" s="58" t="str">
        <f t="shared" si="399"/>
        <v/>
      </c>
      <c r="EB407" s="53" t="str" cm="1">
        <f t="array" ref="EB407">IF(EA407&lt;&gt;"",INDEX(regNatjecatelj_id,EA407,0),IF(BD407&lt;&gt;"",BD407,""))</f>
        <v/>
      </c>
      <c r="EC407" s="47" t="s">
        <v>0</v>
      </c>
      <c r="ED407" s="58" t="str">
        <f>IF(AL407="","",IF(BD407&lt;&gt;"","novo",IF(AN407="","imepre","imepre(ali)")))</f>
        <v/>
      </c>
      <c r="EE407" s="73" t="str">
        <f>IF(AL407="","",IF(BL407="",IF(IFERROR(INDEX(regNatjecatelj_klub,MATCH(EB407,regNatjecatelj_id,0)),"NEMA")="","klu",""),IF(OR(AND(BN407&lt;&gt;"",BN407&lt;&gt;"NEMA"),CD407&lt;&gt;""),"klu(ali)",IF(AND(BP407&lt;&gt;"",BP407&lt;&gt;BO407),"(raz-klu)","klu"))))</f>
        <v/>
      </c>
      <c r="EF407" s="73" t="str">
        <f>IF(AL407="","","kat"&amp;IF(AND(W407&lt;&gt;Q407,Q407&lt;&gt;"Open"),"(ali)",""))</f>
        <v/>
      </c>
      <c r="EG407" s="73" t="str">
        <f t="shared" si="371"/>
        <v/>
      </c>
      <c r="EH407" s="66" t="str">
        <f>IF(AL407="","",ED407&amp;IF(ED407="novo","","-"&amp;EE407&amp;"-"&amp;EF407)&amp;IF(EG407="","","-"&amp;EG407))</f>
        <v/>
      </c>
      <c r="EI407" s="47" t="s">
        <v>0</v>
      </c>
      <c r="EJ407" s="58" t="str">
        <f>IF(AL407="","",MAX(EJ$12:EJ406)+1)</f>
        <v/>
      </c>
      <c r="EK407" s="73" t="str">
        <f>IF(AO407="","",X407)</f>
        <v/>
      </c>
      <c r="EL407" s="73" t="str">
        <f t="shared" si="400"/>
        <v/>
      </c>
      <c r="EM407" s="73" t="str">
        <f t="shared" si="372"/>
        <v/>
      </c>
      <c r="EN407" s="73" t="str">
        <f t="shared" si="373"/>
        <v/>
      </c>
      <c r="EO407" s="73" t="str">
        <f t="shared" si="401"/>
        <v/>
      </c>
      <c r="EP407" s="73" t="str">
        <f t="shared" si="402"/>
        <v/>
      </c>
      <c r="EQ407" s="73" t="str">
        <f t="shared" si="374"/>
        <v/>
      </c>
      <c r="ER407" s="73" t="str">
        <f>IF(OR(AN407="",AN407="NEMA"),BB407,AN407)</f>
        <v/>
      </c>
      <c r="ES407" s="73" t="str">
        <f>IF(AND(BN407&lt;&gt;"",BN407&lt;&gt;"NEMA"),BN407,IF(CG407&lt;&gt;"",CG407,IF(AND(CL407&lt;&gt;"",CL407&lt;&gt;"NEMA"),CL407,IF(CM407&lt;&gt;"",CM407,""))))</f>
        <v/>
      </c>
      <c r="ET407" s="53" t="str">
        <f>IF(INDEX(natKategorija_alias_Id,MATCH(S407,natKategorija_katRegId,0))="","",INDEX(natKategorija_alias_Id,MATCH(S407,natKategorija_katRegId,0)))</f>
        <v/>
      </c>
      <c r="EU407" s="47" t="s">
        <v>0</v>
      </c>
      <c r="EV407" s="19" t="str">
        <f t="shared" si="403"/>
        <v/>
      </c>
      <c r="EW407" s="47" t="s">
        <v>0</v>
      </c>
      <c r="EX407" s="19" t="str">
        <f t="shared" si="404"/>
        <v/>
      </c>
      <c r="EY407" s="47" t="s">
        <v>0</v>
      </c>
      <c r="EZ407" s="180" t="str">
        <f>AG407&amp;IF(CP407="","","
")&amp;CP407&amp;IF(CI407="","","
")&amp;CI407&amp;IF(DN407="","","
")&amp;DN407&amp;IF(DP407="","","
")&amp;DP407&amp;IF(EV407="","","
")&amp;EV407&amp;IF(EX407="","","
")&amp;EX407</f>
        <v/>
      </c>
      <c r="FA407" s="47" t="s">
        <v>0</v>
      </c>
    </row>
    <row r="408" spans="1:157" x14ac:dyDescent="0.25">
      <c r="A408" t="s">
        <v>0</v>
      </c>
      <c r="B408" s="52" t="str">
        <f>IF(csv!F398="","",csv!T398)</f>
        <v/>
      </c>
      <c r="C408" s="31" t="s">
        <v>0</v>
      </c>
      <c r="D408" s="31" t="str">
        <f>IF(csv!F398="","",csv!F398)</f>
        <v/>
      </c>
      <c r="E408" s="31" t="str">
        <f>IF(csv!E398="","",csv!E398)</f>
        <v/>
      </c>
      <c r="F408" s="31" t="s">
        <v>0</v>
      </c>
      <c r="G408" s="73" t="str">
        <f>IF(csv!M398="","",csv!M398)</f>
        <v/>
      </c>
      <c r="H408" s="73" t="str">
        <f>IF(csv!N398="","",csv!N398)</f>
        <v/>
      </c>
      <c r="I408" s="31" t="s">
        <v>0</v>
      </c>
      <c r="J408" s="31" t="str">
        <f>IF(csv!P398="","",csv!P398)</f>
        <v/>
      </c>
      <c r="K408" s="31" t="str">
        <f>IF(csv!Q398="","",csv!Q398)</f>
        <v/>
      </c>
      <c r="L408" s="31" t="s">
        <v>0</v>
      </c>
      <c r="M408" s="66" t="str">
        <f>IF(csv!R398="","",csv!R398)</f>
        <v/>
      </c>
      <c r="N408" s="47" t="s">
        <v>0</v>
      </c>
      <c r="O408" s="243" t="str">
        <f t="shared" si="375"/>
        <v/>
      </c>
      <c r="P408" s="47"/>
      <c r="Q408" s="52" t="str">
        <f t="shared" si="376"/>
        <v/>
      </c>
      <c r="R408" s="73" t="str">
        <f>IF(Q408="","",IF(COUNTIF(Q$12:Q407,Q408)=0,R407+1,R407))</f>
        <v/>
      </c>
      <c r="S408" s="73" t="str">
        <f t="shared" si="377"/>
        <v/>
      </c>
      <c r="T408" s="73" t="str">
        <f t="shared" si="353"/>
        <v/>
      </c>
      <c r="U408" s="66" t="str">
        <f t="shared" si="354"/>
        <v/>
      </c>
      <c r="V408" s="47" t="s">
        <v>0</v>
      </c>
      <c r="W408" s="222" t="str">
        <f t="shared" si="355"/>
        <v/>
      </c>
      <c r="X408" s="223" t="str">
        <f t="shared" si="356"/>
        <v/>
      </c>
      <c r="Y408" s="47" t="s">
        <v>0</v>
      </c>
      <c r="Z408" s="52" t="str">
        <f t="shared" si="378"/>
        <v/>
      </c>
      <c r="AA408" s="73" t="str">
        <f t="shared" si="357"/>
        <v/>
      </c>
      <c r="AB408" s="31" t="str">
        <f t="shared" si="379"/>
        <v/>
      </c>
      <c r="AC408" s="66" t="str">
        <f>IF(AB408="","",MAX(AC$12:AC407)+1)</f>
        <v/>
      </c>
      <c r="AD408" s="47" t="s">
        <v>0</v>
      </c>
      <c r="AE408" s="125"/>
      <c r="AF408" s="47" t="s">
        <v>0</v>
      </c>
      <c r="AG408" s="19" t="str">
        <f t="shared" si="380"/>
        <v/>
      </c>
      <c r="AH408" s="47" t="s">
        <v>0</v>
      </c>
      <c r="AI408" s="143" t="str">
        <f t="shared" si="381"/>
        <v/>
      </c>
      <c r="AJ408" s="47"/>
      <c r="AK408" s="52" t="str">
        <f t="shared" si="382"/>
        <v/>
      </c>
      <c r="AL408" s="31" t="str">
        <f t="shared" si="383"/>
        <v/>
      </c>
      <c r="AM408" s="73" t="str">
        <f t="shared" si="384"/>
        <v/>
      </c>
      <c r="AN408" s="73" t="str">
        <f t="shared" si="385"/>
        <v/>
      </c>
      <c r="AO408" s="31" t="str">
        <f t="shared" si="358"/>
        <v/>
      </c>
      <c r="AP408" s="66" t="str">
        <f t="shared" si="359"/>
        <v/>
      </c>
      <c r="AQ408" s="47" t="s">
        <v>0</v>
      </c>
      <c r="AR408" s="82" t="str">
        <f t="shared" si="386"/>
        <v/>
      </c>
      <c r="AS408" s="47" t="s">
        <v>0</v>
      </c>
      <c r="AT408" s="19" t="str">
        <f t="shared" si="387"/>
        <v/>
      </c>
      <c r="AU408" s="47" t="s">
        <v>0</v>
      </c>
      <c r="AV408" s="103"/>
      <c r="AW408" s="105"/>
      <c r="AX408" s="47" t="s">
        <v>0</v>
      </c>
      <c r="AY408" s="256" t="str">
        <f t="shared" si="405"/>
        <v/>
      </c>
      <c r="AZ408" s="47" t="s">
        <v>0</v>
      </c>
      <c r="BA408" s="52" t="str">
        <f t="shared" si="352"/>
        <v/>
      </c>
      <c r="BB408" s="73" t="str">
        <f>IF(AV408&amp;AW408="","",MAX(BB$12:BB407)+1)</f>
        <v/>
      </c>
      <c r="BC408" s="268" t="str">
        <f t="shared" si="360"/>
        <v/>
      </c>
      <c r="BD408" s="53" t="str">
        <f>IF(AND(AM408="NEMA",AN408="NEMA",OR(AV408&amp;AW408="",BC408="NEMA")),MAX(BD$12:BD407)+1,"")</f>
        <v/>
      </c>
      <c r="BE408" s="47" t="s">
        <v>0</v>
      </c>
      <c r="BF408" s="52" t="str">
        <f t="shared" si="361"/>
        <v/>
      </c>
      <c r="BG408" s="31" t="str">
        <f t="shared" si="362"/>
        <v/>
      </c>
      <c r="BH408" s="73" t="str">
        <f t="shared" si="388"/>
        <v/>
      </c>
      <c r="BI408" s="53" t="str">
        <f t="shared" si="389"/>
        <v/>
      </c>
      <c r="BJ408" s="47" t="s">
        <v>0</v>
      </c>
      <c r="BK408" s="52" t="str">
        <f t="shared" si="363"/>
        <v/>
      </c>
      <c r="BL408" s="31" t="str">
        <f t="shared" si="364"/>
        <v/>
      </c>
      <c r="BM408" s="73" t="str">
        <f t="shared" si="365"/>
        <v/>
      </c>
      <c r="BN408" s="73" t="str">
        <f t="shared" si="366"/>
        <v/>
      </c>
      <c r="BO408" s="31" t="str" cm="1">
        <f t="array" ref="BO408">IF(BN408="",""&amp;BL408,IF(BN408="NEMA",BL408,INDEX(regKlub_naziv,MATCH(INDEX(regKlub_alias_klubId,BN408),regKlub_id,0))))</f>
        <v/>
      </c>
      <c r="BP408" s="31" t="str" cm="1">
        <f t="array" ref="BP408">IFERROR(""&amp;INDEX(regNatjecatelj_klub,DY408),"")</f>
        <v/>
      </c>
      <c r="BQ408" s="88" t="str">
        <f t="shared" si="390"/>
        <v/>
      </c>
      <c r="BR408" s="66" t="str">
        <f t="shared" si="391"/>
        <v/>
      </c>
      <c r="BS408" s="47" t="s">
        <v>0</v>
      </c>
      <c r="BT408" s="82" t="str">
        <f>IF(BN408&lt;&gt;"NEMA","",IF(IFERROR(MATCH(BL408,BL$12:BL407,0),0)&lt;&gt;0,"",BL408))</f>
        <v/>
      </c>
      <c r="BU408" s="47" t="s">
        <v>0</v>
      </c>
      <c r="BV408" s="125"/>
      <c r="BW408" s="47" t="s">
        <v>0</v>
      </c>
      <c r="BX408" s="58" t="str">
        <f t="shared" si="392"/>
        <v/>
      </c>
      <c r="BY408" s="31" t="str">
        <f t="shared" si="393"/>
        <v/>
      </c>
      <c r="BZ408" s="31" t="str">
        <f>IF(BY408="","",MAX(BZ$12:BZ407)+1)</f>
        <v/>
      </c>
      <c r="CA408" s="31" t="str">
        <f>IF(BY408="","",IF(AA408="","",IF(AA408="NEMA",AC408,AA408)))</f>
        <v/>
      </c>
      <c r="CB408" s="31" t="str">
        <f t="shared" si="394"/>
        <v/>
      </c>
      <c r="CC408" s="31" t="str">
        <f>IF(BV408="","",MAX(CC$12:CC407)+1)</f>
        <v/>
      </c>
      <c r="CD408" s="31" t="str">
        <f t="shared" si="395"/>
        <v/>
      </c>
      <c r="CE408" s="66" t="str">
        <f t="shared" si="396"/>
        <v/>
      </c>
      <c r="CF408" s="47" t="s">
        <v>0</v>
      </c>
      <c r="CG408" s="73" t="str">
        <f>IF(BN408="","",IF(BN408&lt;&gt;"NEMA","",IFERROR(INDEX(nat_klubAliasId,MATCH(BL408,nat_noviKluboviAliasi,0)),"")))</f>
        <v/>
      </c>
      <c r="CH408" s="47"/>
      <c r="CI408" s="19" t="str">
        <f t="shared" si="397"/>
        <v/>
      </c>
      <c r="CJ408" s="47" t="s">
        <v>0</v>
      </c>
      <c r="CK408" s="52" t="str">
        <f>IF(X408&lt;&gt;"NEMA","",IF(IFERROR(MATCH(W408,W$12:W407,0),0)&lt;&gt;0,"",W408))</f>
        <v/>
      </c>
      <c r="CL408" s="73" t="str">
        <f>IF(CK408="","",IFERROR(INDEX(regKlub_alias_id,MATCH(CK408,regKlub_alias_alias,0)),"NEMA"))</f>
        <v/>
      </c>
      <c r="CM408" s="31" t="str">
        <f>IF(OR(CL408="",CL408&lt;&gt;"NEMA"),"",MAX(CM$12:CM407)+1)</f>
        <v/>
      </c>
      <c r="CN408" s="66" t="str">
        <f>IF(OR(CL408="",CL408&lt;&gt;"NEMA"),"",INDEX(regKlub_id,MATCH(CK408,regKlub_naziv,0)))</f>
        <v/>
      </c>
      <c r="CO408" s="47" t="s">
        <v>0</v>
      </c>
      <c r="CP408" s="19" t="str">
        <f>IF(OR(CL408="",CL408&lt;&gt;"NEMA"),"","INSERT INTO klub_alias(id,alias,klub_id) VALUES ("&amp;CM408&amp;",'"&amp;CK408&amp;"',"&amp;CN408&amp;");")</f>
        <v/>
      </c>
      <c r="CQ408" s="47" t="s">
        <v>0</v>
      </c>
      <c r="CR408" s="143" t="str">
        <f>IF(BR408="","",IF(BV408="",IF(IFERROR(MATCH(BR408,nat_noviKluboviAliasi,0),0)&gt;0,INDEX(nat_kluboviAliasi,MATCH(BR408,nat_noviKluboviAliasi,0)),BR408),BV408))</f>
        <v/>
      </c>
      <c r="CS408" s="47" t="s">
        <v>0</v>
      </c>
      <c r="CT408" s="58" t="str">
        <f>IF(G408="","",G408)</f>
        <v/>
      </c>
      <c r="CU408" s="73" t="str">
        <f>IF(H408="","",H408)</f>
        <v/>
      </c>
      <c r="CV408" s="229" t="str">
        <f>IF(CT408="",IF(OR(AL408="",CU408&lt;&gt;"0"),"","GREŠKA"),IF(AND(65535&gt;=VALUE(LEFT(CT408,SEARCH(":",CT408)-1))*60+VALUE(RIGHT(CT408,2)),OR(CU408="0",CU408="1",CU408="2",CU408="3",CU408="4")),"","GREŠKA"))</f>
        <v/>
      </c>
      <c r="CW408" s="230" t="str">
        <f t="shared" si="351"/>
        <v/>
      </c>
      <c r="CX408" s="163" t="str">
        <f t="shared" si="367"/>
        <v/>
      </c>
      <c r="CY408" s="47" t="s">
        <v>0</v>
      </c>
      <c r="CZ408" s="222" t="str">
        <f>IF(CV408&lt;&gt;"GREŠKA","",AK408&amp;" "&amp;AL408&amp;" – Molim u OEventu provjeriti i ispraviti rezultat – vrijeme ("&amp;IF(CT408="","nije upisano",CT408)&amp;") i classifier ("&amp;CU408&amp;").")&amp;IF(OR(CV408&lt;&gt;"GREŠKA",CX408&lt;&gt;5),"
","")&amp;IF(CX408&lt;&gt;5,"",AK408&amp;" "&amp;AL408&amp;" – Molim u provjeriti je li natjecatelj zaista diskvalificiran. Ako je koje je obrazloženje, ako nije molim u OEventu ispraviti rezultat")</f>
        <v xml:space="preserve">
</v>
      </c>
      <c r="DA408" s="223" t="str">
        <f t="shared" si="398"/>
        <v/>
      </c>
      <c r="DB408" s="47" t="s">
        <v>0</v>
      </c>
      <c r="DC408" s="47"/>
      <c r="DD408" s="47"/>
      <c r="DE408" s="47"/>
      <c r="DF408" s="47" t="s">
        <v>0</v>
      </c>
      <c r="DG408" s="53" t="str">
        <f>IF(BD408="","",IF(DI408="O",1,""))</f>
        <v/>
      </c>
      <c r="DH408" t="s">
        <v>0</v>
      </c>
      <c r="DI408" s="128" t="str">
        <f>IF(Q408="","",LEFT(INDEX(regKategorija_oznaka,MATCH(S408,regKategorija_id,0)),1))</f>
        <v/>
      </c>
      <c r="DJ408" t="s">
        <v>0</v>
      </c>
      <c r="DK408" s="52" t="str">
        <f>IF(BD408="","",IF(M408&lt;&gt;"CRO","","INSERT INTO osoba (id,reg_broj,oib,spol_id,dat_rodjenja) VALUES ("&amp;BD408&amp;",(SELECT max(os.reg_broj)+1 FROM osoba AS os),Null,'"&amp;DI408&amp;"',Null); INSERT INTO osoba_log (id,reg_broj,oib,spol_id,dat_rodjenja,dnevnik_id) SELECT id,reg_broj,oib,spol_id,dat_rodjenja,"&amp;data_dnevnik_id&amp;" FROM osoba WHERE id = "&amp;BD408&amp;";"))</f>
        <v/>
      </c>
      <c r="DL408" s="66" t="str">
        <f>IF(BD408="","","INSERT INTO imeprezime (id,osoba_id,rbr,ime,prezime,klub_id,identitet_id,sintaksa_id,info,aktivno,dnevnik_id) VALUES ("&amp;BD408&amp;","&amp;IF(DK408="","Null",BD408)&amp;",1,'"&amp;IF(AV408&lt;&gt;"",AV408,AK408)&amp;"','"&amp;IF(AW408&lt;&gt;"",AW408,AL408)&amp;"',(SELECT id FROM klub WHERE naziv = '"&amp;CR408&amp;"'),Null,1,'',1,"&amp;data_dnevnik_id&amp;");")</f>
        <v/>
      </c>
      <c r="DM408" t="s">
        <v>0</v>
      </c>
      <c r="DN408" s="19" t="str">
        <f t="shared" si="406"/>
        <v/>
      </c>
      <c r="DO408" s="47" t="s">
        <v>0</v>
      </c>
      <c r="DP408" s="19" t="str">
        <f t="shared" si="407"/>
        <v/>
      </c>
      <c r="DQ408" s="47" t="s">
        <v>0</v>
      </c>
      <c r="DR408" s="52" t="str">
        <f>IF(AL408="","",DU408 &amp; IF(Q408="",""," – " &amp; Q408))</f>
        <v/>
      </c>
      <c r="DS408" s="53" t="str">
        <f t="shared" si="368"/>
        <v/>
      </c>
      <c r="DT408" s="47" t="s">
        <v>0</v>
      </c>
      <c r="DU408" s="52" t="str">
        <f>IF(AL408="","",DX408 &amp; IF(CR408="",""," – " &amp; CR408))</f>
        <v/>
      </c>
      <c r="DV408" s="53" t="str">
        <f t="shared" si="369"/>
        <v/>
      </c>
      <c r="DW408" s="47" t="s">
        <v>0</v>
      </c>
      <c r="DX408" s="52" t="str">
        <f>IF(BG408="","",BF408&amp;" – "&amp;BG408)</f>
        <v/>
      </c>
      <c r="DY408" s="53" t="str">
        <f t="shared" si="370"/>
        <v/>
      </c>
      <c r="DZ408" s="47" t="s">
        <v>0</v>
      </c>
      <c r="EA408" s="58" t="str">
        <f t="shared" si="399"/>
        <v/>
      </c>
      <c r="EB408" s="53" t="str" cm="1">
        <f t="array" ref="EB408">IF(EA408&lt;&gt;"",INDEX(regNatjecatelj_id,EA408,0),IF(BD408&lt;&gt;"",BD408,""))</f>
        <v/>
      </c>
      <c r="EC408" s="47" t="s">
        <v>0</v>
      </c>
      <c r="ED408" s="58" t="str">
        <f>IF(AL408="","",IF(BD408&lt;&gt;"","novo",IF(AN408="","imepre","imepre(ali)")))</f>
        <v/>
      </c>
      <c r="EE408" s="73" t="str">
        <f>IF(AL408="","",IF(BL408="",IF(IFERROR(INDEX(regNatjecatelj_klub,MATCH(EB408,regNatjecatelj_id,0)),"NEMA")="","klu",""),IF(OR(AND(BN408&lt;&gt;"",BN408&lt;&gt;"NEMA"),CD408&lt;&gt;""),"klu(ali)",IF(AND(BP408&lt;&gt;"",BP408&lt;&gt;BO408),"(raz-klu)","klu"))))</f>
        <v/>
      </c>
      <c r="EF408" s="73" t="str">
        <f>IF(AL408="","","kat"&amp;IF(AND(W408&lt;&gt;Q408,Q408&lt;&gt;"Open"),"(ali)",""))</f>
        <v/>
      </c>
      <c r="EG408" s="73" t="str">
        <f t="shared" si="371"/>
        <v/>
      </c>
      <c r="EH408" s="66" t="str">
        <f>IF(AL408="","",ED408&amp;IF(ED408="novo","","-"&amp;EE408&amp;"-"&amp;EF408)&amp;IF(EG408="","","-"&amp;EG408))</f>
        <v/>
      </c>
      <c r="EI408" s="47" t="s">
        <v>0</v>
      </c>
      <c r="EJ408" s="58" t="str">
        <f>IF(AL408="","",MAX(EJ$12:EJ407)+1)</f>
        <v/>
      </c>
      <c r="EK408" s="73" t="str">
        <f>IF(AO408="","",X408)</f>
        <v/>
      </c>
      <c r="EL408" s="73" t="str">
        <f t="shared" si="400"/>
        <v/>
      </c>
      <c r="EM408" s="73" t="str">
        <f t="shared" si="372"/>
        <v/>
      </c>
      <c r="EN408" s="73" t="str">
        <f t="shared" si="373"/>
        <v/>
      </c>
      <c r="EO408" s="73" t="str">
        <f t="shared" si="401"/>
        <v/>
      </c>
      <c r="EP408" s="73" t="str">
        <f t="shared" si="402"/>
        <v/>
      </c>
      <c r="EQ408" s="73" t="str">
        <f t="shared" si="374"/>
        <v/>
      </c>
      <c r="ER408" s="73" t="str">
        <f>IF(OR(AN408="",AN408="NEMA"),BB408,AN408)</f>
        <v/>
      </c>
      <c r="ES408" s="73" t="str">
        <f>IF(AND(BN408&lt;&gt;"",BN408&lt;&gt;"NEMA"),BN408,IF(CG408&lt;&gt;"",CG408,IF(AND(CL408&lt;&gt;"",CL408&lt;&gt;"NEMA"),CL408,IF(CM408&lt;&gt;"",CM408,""))))</f>
        <v/>
      </c>
      <c r="ET408" s="53" t="str">
        <f>IF(INDEX(natKategorija_alias_Id,MATCH(S408,natKategorija_katRegId,0))="","",INDEX(natKategorija_alias_Id,MATCH(S408,natKategorija_katRegId,0)))</f>
        <v/>
      </c>
      <c r="EU408" s="47" t="s">
        <v>0</v>
      </c>
      <c r="EV408" s="19" t="str">
        <f t="shared" si="403"/>
        <v/>
      </c>
      <c r="EW408" s="47" t="s">
        <v>0</v>
      </c>
      <c r="EX408" s="19" t="str">
        <f t="shared" si="404"/>
        <v/>
      </c>
      <c r="EY408" s="47" t="s">
        <v>0</v>
      </c>
      <c r="EZ408" s="180" t="str">
        <f>AG408&amp;IF(CP408="","","
")&amp;CP408&amp;IF(CI408="","","
")&amp;CI408&amp;IF(DN408="","","
")&amp;DN408&amp;IF(DP408="","","
")&amp;DP408&amp;IF(EV408="","","
")&amp;EV408&amp;IF(EX408="","","
")&amp;EX408</f>
        <v/>
      </c>
      <c r="FA408" s="47" t="s">
        <v>0</v>
      </c>
    </row>
    <row r="409" spans="1:157" x14ac:dyDescent="0.25">
      <c r="A409" t="s">
        <v>0</v>
      </c>
      <c r="B409" s="52" t="str">
        <f>IF(csv!F399="","",csv!T399)</f>
        <v/>
      </c>
      <c r="C409" s="31" t="s">
        <v>0</v>
      </c>
      <c r="D409" s="31" t="str">
        <f>IF(csv!F399="","",csv!F399)</f>
        <v/>
      </c>
      <c r="E409" s="31" t="str">
        <f>IF(csv!E399="","",csv!E399)</f>
        <v/>
      </c>
      <c r="F409" s="31" t="s">
        <v>0</v>
      </c>
      <c r="G409" s="73" t="str">
        <f>IF(csv!M399="","",csv!M399)</f>
        <v/>
      </c>
      <c r="H409" s="73" t="str">
        <f>IF(csv!N399="","",csv!N399)</f>
        <v/>
      </c>
      <c r="I409" s="31" t="s">
        <v>0</v>
      </c>
      <c r="J409" s="31" t="str">
        <f>IF(csv!P399="","",csv!P399)</f>
        <v/>
      </c>
      <c r="K409" s="31" t="str">
        <f>IF(csv!Q399="","",csv!Q399)</f>
        <v/>
      </c>
      <c r="L409" s="31" t="s">
        <v>0</v>
      </c>
      <c r="M409" s="66" t="str">
        <f>IF(csv!R399="","",csv!R399)</f>
        <v/>
      </c>
      <c r="N409" s="47" t="s">
        <v>0</v>
      </c>
      <c r="O409" s="243" t="str">
        <f t="shared" si="375"/>
        <v/>
      </c>
      <c r="P409" s="47"/>
      <c r="Q409" s="52" t="str">
        <f t="shared" si="376"/>
        <v/>
      </c>
      <c r="R409" s="73" t="str">
        <f>IF(Q409="","",IF(COUNTIF(Q$12:Q408,Q409)=0,R408+1,R408))</f>
        <v/>
      </c>
      <c r="S409" s="73" t="str">
        <f t="shared" si="377"/>
        <v/>
      </c>
      <c r="T409" s="73" t="str">
        <f t="shared" si="353"/>
        <v/>
      </c>
      <c r="U409" s="66" t="str">
        <f t="shared" si="354"/>
        <v/>
      </c>
      <c r="V409" s="47" t="s">
        <v>0</v>
      </c>
      <c r="W409" s="222" t="str">
        <f t="shared" si="355"/>
        <v/>
      </c>
      <c r="X409" s="223" t="str">
        <f t="shared" si="356"/>
        <v/>
      </c>
      <c r="Y409" s="47" t="s">
        <v>0</v>
      </c>
      <c r="Z409" s="52" t="str">
        <f t="shared" si="378"/>
        <v/>
      </c>
      <c r="AA409" s="73" t="str">
        <f t="shared" si="357"/>
        <v/>
      </c>
      <c r="AB409" s="31" t="str">
        <f t="shared" si="379"/>
        <v/>
      </c>
      <c r="AC409" s="66" t="str">
        <f>IF(AB409="","",MAX(AC$12:AC408)+1)</f>
        <v/>
      </c>
      <c r="AD409" s="47" t="s">
        <v>0</v>
      </c>
      <c r="AE409" s="125"/>
      <c r="AF409" s="47" t="s">
        <v>0</v>
      </c>
      <c r="AG409" s="19" t="str">
        <f t="shared" si="380"/>
        <v/>
      </c>
      <c r="AH409" s="47" t="s">
        <v>0</v>
      </c>
      <c r="AI409" s="143" t="str">
        <f t="shared" si="381"/>
        <v/>
      </c>
      <c r="AJ409" s="47"/>
      <c r="AK409" s="52" t="str">
        <f t="shared" si="382"/>
        <v/>
      </c>
      <c r="AL409" s="31" t="str">
        <f t="shared" si="383"/>
        <v/>
      </c>
      <c r="AM409" s="73" t="str">
        <f t="shared" si="384"/>
        <v/>
      </c>
      <c r="AN409" s="73" t="str">
        <f t="shared" si="385"/>
        <v/>
      </c>
      <c r="AO409" s="31" t="str">
        <f t="shared" si="358"/>
        <v/>
      </c>
      <c r="AP409" s="66" t="str">
        <f t="shared" si="359"/>
        <v/>
      </c>
      <c r="AQ409" s="47" t="s">
        <v>0</v>
      </c>
      <c r="AR409" s="82" t="str">
        <f t="shared" si="386"/>
        <v/>
      </c>
      <c r="AS409" s="47" t="s">
        <v>0</v>
      </c>
      <c r="AT409" s="19" t="str">
        <f t="shared" si="387"/>
        <v/>
      </c>
      <c r="AU409" s="47" t="s">
        <v>0</v>
      </c>
      <c r="AV409" s="103"/>
      <c r="AW409" s="105"/>
      <c r="AX409" s="47" t="s">
        <v>0</v>
      </c>
      <c r="AY409" s="256" t="str">
        <f t="shared" si="405"/>
        <v/>
      </c>
      <c r="AZ409" s="47" t="s">
        <v>0</v>
      </c>
      <c r="BA409" s="52" t="str">
        <f t="shared" si="352"/>
        <v/>
      </c>
      <c r="BB409" s="73" t="str">
        <f>IF(AV409&amp;AW409="","",MAX(BB$12:BB408)+1)</f>
        <v/>
      </c>
      <c r="BC409" s="268" t="str">
        <f t="shared" si="360"/>
        <v/>
      </c>
      <c r="BD409" s="53" t="str">
        <f>IF(AND(AM409="NEMA",AN409="NEMA",OR(AV409&amp;AW409="",BC409="NEMA")),MAX(BD$12:BD408)+1,"")</f>
        <v/>
      </c>
      <c r="BE409" s="47" t="s">
        <v>0</v>
      </c>
      <c r="BF409" s="52" t="str">
        <f t="shared" si="361"/>
        <v/>
      </c>
      <c r="BG409" s="31" t="str">
        <f t="shared" si="362"/>
        <v/>
      </c>
      <c r="BH409" s="73" t="str">
        <f t="shared" si="388"/>
        <v/>
      </c>
      <c r="BI409" s="53" t="str">
        <f t="shared" si="389"/>
        <v/>
      </c>
      <c r="BJ409" s="47" t="s">
        <v>0</v>
      </c>
      <c r="BK409" s="52" t="str">
        <f t="shared" si="363"/>
        <v/>
      </c>
      <c r="BL409" s="31" t="str">
        <f t="shared" si="364"/>
        <v/>
      </c>
      <c r="BM409" s="73" t="str">
        <f t="shared" si="365"/>
        <v/>
      </c>
      <c r="BN409" s="73" t="str">
        <f t="shared" si="366"/>
        <v/>
      </c>
      <c r="BO409" s="31" t="str" cm="1">
        <f t="array" ref="BO409">IF(BN409="",""&amp;BL409,IF(BN409="NEMA",BL409,INDEX(regKlub_naziv,MATCH(INDEX(regKlub_alias_klubId,BN409),regKlub_id,0))))</f>
        <v/>
      </c>
      <c r="BP409" s="31" t="str" cm="1">
        <f t="array" ref="BP409">IFERROR(""&amp;INDEX(regNatjecatelj_klub,DY409),"")</f>
        <v/>
      </c>
      <c r="BQ409" s="88" t="str">
        <f t="shared" si="390"/>
        <v/>
      </c>
      <c r="BR409" s="66" t="str">
        <f t="shared" si="391"/>
        <v/>
      </c>
      <c r="BS409" s="47" t="s">
        <v>0</v>
      </c>
      <c r="BT409" s="82" t="str">
        <f>IF(BN409&lt;&gt;"NEMA","",IF(IFERROR(MATCH(BL409,BL$12:BL408,0),0)&lt;&gt;0,"",BL409))</f>
        <v/>
      </c>
      <c r="BU409" s="47" t="s">
        <v>0</v>
      </c>
      <c r="BV409" s="125"/>
      <c r="BW409" s="47" t="s">
        <v>0</v>
      </c>
      <c r="BX409" s="58" t="str">
        <f t="shared" si="392"/>
        <v/>
      </c>
      <c r="BY409" s="31" t="str">
        <f t="shared" si="393"/>
        <v/>
      </c>
      <c r="BZ409" s="31" t="str">
        <f>IF(BY409="","",MAX(BZ$12:BZ408)+1)</f>
        <v/>
      </c>
      <c r="CA409" s="31" t="str">
        <f>IF(BY409="","",IF(AA409="","",IF(AA409="NEMA",AC409,AA409)))</f>
        <v/>
      </c>
      <c r="CB409" s="31" t="str">
        <f t="shared" si="394"/>
        <v/>
      </c>
      <c r="CC409" s="31" t="str">
        <f>IF(BV409="","",MAX(CC$12:CC408)+1)</f>
        <v/>
      </c>
      <c r="CD409" s="31" t="str">
        <f t="shared" si="395"/>
        <v/>
      </c>
      <c r="CE409" s="66" t="str">
        <f t="shared" si="396"/>
        <v/>
      </c>
      <c r="CF409" s="47" t="s">
        <v>0</v>
      </c>
      <c r="CG409" s="73" t="str">
        <f>IF(BN409="","",IF(BN409&lt;&gt;"NEMA","",IFERROR(INDEX(nat_klubAliasId,MATCH(BL409,nat_noviKluboviAliasi,0)),"")))</f>
        <v/>
      </c>
      <c r="CH409" s="47"/>
      <c r="CI409" s="19" t="str">
        <f t="shared" si="397"/>
        <v/>
      </c>
      <c r="CJ409" s="47" t="s">
        <v>0</v>
      </c>
      <c r="CK409" s="52" t="str">
        <f>IF(X409&lt;&gt;"NEMA","",IF(IFERROR(MATCH(W409,W$12:W408,0),0)&lt;&gt;0,"",W409))</f>
        <v/>
      </c>
      <c r="CL409" s="73" t="str">
        <f>IF(CK409="","",IFERROR(INDEX(regKlub_alias_id,MATCH(CK409,regKlub_alias_alias,0)),"NEMA"))</f>
        <v/>
      </c>
      <c r="CM409" s="31" t="str">
        <f>IF(OR(CL409="",CL409&lt;&gt;"NEMA"),"",MAX(CM$12:CM408)+1)</f>
        <v/>
      </c>
      <c r="CN409" s="66" t="str">
        <f>IF(OR(CL409="",CL409&lt;&gt;"NEMA"),"",INDEX(regKlub_id,MATCH(CK409,regKlub_naziv,0)))</f>
        <v/>
      </c>
      <c r="CO409" s="47" t="s">
        <v>0</v>
      </c>
      <c r="CP409" s="19" t="str">
        <f>IF(OR(CL409="",CL409&lt;&gt;"NEMA"),"","INSERT INTO klub_alias(id,alias,klub_id) VALUES ("&amp;CM409&amp;",'"&amp;CK409&amp;"',"&amp;CN409&amp;");")</f>
        <v/>
      </c>
      <c r="CQ409" s="47" t="s">
        <v>0</v>
      </c>
      <c r="CR409" s="143" t="str">
        <f>IF(BR409="","",IF(BV409="",IF(IFERROR(MATCH(BR409,nat_noviKluboviAliasi,0),0)&gt;0,INDEX(nat_kluboviAliasi,MATCH(BR409,nat_noviKluboviAliasi,0)),BR409),BV409))</f>
        <v/>
      </c>
      <c r="CS409" s="47" t="s">
        <v>0</v>
      </c>
      <c r="CT409" s="58" t="str">
        <f>IF(G409="","",G409)</f>
        <v/>
      </c>
      <c r="CU409" s="73" t="str">
        <f>IF(H409="","",H409)</f>
        <v/>
      </c>
      <c r="CV409" s="229" t="str">
        <f>IF(CT409="",IF(OR(AL409="",CU409&lt;&gt;"0"),"","GREŠKA"),IF(AND(65535&gt;=VALUE(LEFT(CT409,SEARCH(":",CT409)-1))*60+VALUE(RIGHT(CT409,2)),OR(CU409="0",CU409="1",CU409="2",CU409="3",CU409="4")),"","GREŠKA"))</f>
        <v/>
      </c>
      <c r="CW409" s="230" t="str">
        <f t="shared" si="351"/>
        <v/>
      </c>
      <c r="CX409" s="163" t="str">
        <f t="shared" si="367"/>
        <v/>
      </c>
      <c r="CY409" s="47" t="s">
        <v>0</v>
      </c>
      <c r="CZ409" s="222" t="str">
        <f>IF(CV409&lt;&gt;"GREŠKA","",AK409&amp;" "&amp;AL409&amp;" – Molim u OEventu provjeriti i ispraviti rezultat – vrijeme ("&amp;IF(CT409="","nije upisano",CT409)&amp;") i classifier ("&amp;CU409&amp;").")&amp;IF(OR(CV409&lt;&gt;"GREŠKA",CX409&lt;&gt;5),"
","")&amp;IF(CX409&lt;&gt;5,"",AK409&amp;" "&amp;AL409&amp;" – Molim u provjeriti je li natjecatelj zaista diskvalificiran. Ako je koje je obrazloženje, ako nije molim u OEventu ispraviti rezultat")</f>
        <v xml:space="preserve">
</v>
      </c>
      <c r="DA409" s="223" t="str">
        <f t="shared" si="398"/>
        <v/>
      </c>
      <c r="DB409" s="47" t="s">
        <v>0</v>
      </c>
      <c r="DC409" s="47"/>
      <c r="DD409" s="47"/>
      <c r="DE409" s="47"/>
      <c r="DF409" s="47" t="s">
        <v>0</v>
      </c>
      <c r="DG409" s="53" t="str">
        <f>IF(BD409="","",IF(DI409="O",1,""))</f>
        <v/>
      </c>
      <c r="DH409" t="s">
        <v>0</v>
      </c>
      <c r="DI409" s="128" t="str">
        <f>IF(Q409="","",LEFT(INDEX(regKategorija_oznaka,MATCH(S409,regKategorija_id,0)),1))</f>
        <v/>
      </c>
      <c r="DJ409" t="s">
        <v>0</v>
      </c>
      <c r="DK409" s="52" t="str">
        <f>IF(BD409="","",IF(M409&lt;&gt;"CRO","","INSERT INTO osoba (id,reg_broj,oib,spol_id,dat_rodjenja) VALUES ("&amp;BD409&amp;",(SELECT max(os.reg_broj)+1 FROM osoba AS os),Null,'"&amp;DI409&amp;"',Null); INSERT INTO osoba_log (id,reg_broj,oib,spol_id,dat_rodjenja,dnevnik_id) SELECT id,reg_broj,oib,spol_id,dat_rodjenja,"&amp;data_dnevnik_id&amp;" FROM osoba WHERE id = "&amp;BD409&amp;";"))</f>
        <v/>
      </c>
      <c r="DL409" s="66" t="str">
        <f>IF(BD409="","","INSERT INTO imeprezime (id,osoba_id,rbr,ime,prezime,klub_id,identitet_id,sintaksa_id,info,aktivno,dnevnik_id) VALUES ("&amp;BD409&amp;","&amp;IF(DK409="","Null",BD409)&amp;",1,'"&amp;IF(AV409&lt;&gt;"",AV409,AK409)&amp;"','"&amp;IF(AW409&lt;&gt;"",AW409,AL409)&amp;"',(SELECT id FROM klub WHERE naziv = '"&amp;CR409&amp;"'),Null,1,'',1,"&amp;data_dnevnik_id&amp;");")</f>
        <v/>
      </c>
      <c r="DM409" t="s">
        <v>0</v>
      </c>
      <c r="DN409" s="19" t="str">
        <f t="shared" si="406"/>
        <v/>
      </c>
      <c r="DO409" s="47" t="s">
        <v>0</v>
      </c>
      <c r="DP409" s="19" t="str">
        <f t="shared" si="407"/>
        <v/>
      </c>
      <c r="DQ409" s="47" t="s">
        <v>0</v>
      </c>
      <c r="DR409" s="52" t="str">
        <f>IF(AL409="","",DU409 &amp; IF(Q409="",""," – " &amp; Q409))</f>
        <v/>
      </c>
      <c r="DS409" s="53" t="str">
        <f t="shared" si="368"/>
        <v/>
      </c>
      <c r="DT409" s="47" t="s">
        <v>0</v>
      </c>
      <c r="DU409" s="52" t="str">
        <f>IF(AL409="","",DX409 &amp; IF(CR409="",""," – " &amp; CR409))</f>
        <v/>
      </c>
      <c r="DV409" s="53" t="str">
        <f t="shared" si="369"/>
        <v/>
      </c>
      <c r="DW409" s="47" t="s">
        <v>0</v>
      </c>
      <c r="DX409" s="52" t="str">
        <f>IF(BG409="","",BF409&amp;" – "&amp;BG409)</f>
        <v/>
      </c>
      <c r="DY409" s="53" t="str">
        <f t="shared" si="370"/>
        <v/>
      </c>
      <c r="DZ409" s="47" t="s">
        <v>0</v>
      </c>
      <c r="EA409" s="58" t="str">
        <f t="shared" si="399"/>
        <v/>
      </c>
      <c r="EB409" s="53" t="str" cm="1">
        <f t="array" ref="EB409">IF(EA409&lt;&gt;"",INDEX(regNatjecatelj_id,EA409,0),IF(BD409&lt;&gt;"",BD409,""))</f>
        <v/>
      </c>
      <c r="EC409" s="47" t="s">
        <v>0</v>
      </c>
      <c r="ED409" s="58" t="str">
        <f>IF(AL409="","",IF(BD409&lt;&gt;"","novo",IF(AN409="","imepre","imepre(ali)")))</f>
        <v/>
      </c>
      <c r="EE409" s="73" t="str">
        <f>IF(AL409="","",IF(BL409="",IF(IFERROR(INDEX(regNatjecatelj_klub,MATCH(EB409,regNatjecatelj_id,0)),"NEMA")="","klu",""),IF(OR(AND(BN409&lt;&gt;"",BN409&lt;&gt;"NEMA"),CD409&lt;&gt;""),"klu(ali)",IF(AND(BP409&lt;&gt;"",BP409&lt;&gt;BO409),"(raz-klu)","klu"))))</f>
        <v/>
      </c>
      <c r="EF409" s="73" t="str">
        <f>IF(AL409="","","kat"&amp;IF(AND(W409&lt;&gt;Q409,Q409&lt;&gt;"Open"),"(ali)",""))</f>
        <v/>
      </c>
      <c r="EG409" s="73" t="str">
        <f t="shared" si="371"/>
        <v/>
      </c>
      <c r="EH409" s="66" t="str">
        <f>IF(AL409="","",ED409&amp;IF(ED409="novo","","-"&amp;EE409&amp;"-"&amp;EF409)&amp;IF(EG409="","","-"&amp;EG409))</f>
        <v/>
      </c>
      <c r="EI409" s="47" t="s">
        <v>0</v>
      </c>
      <c r="EJ409" s="58" t="str">
        <f>IF(AL409="","",MAX(EJ$12:EJ408)+1)</f>
        <v/>
      </c>
      <c r="EK409" s="73" t="str">
        <f>IF(AO409="","",X409)</f>
        <v/>
      </c>
      <c r="EL409" s="73" t="str">
        <f t="shared" si="400"/>
        <v/>
      </c>
      <c r="EM409" s="73" t="str">
        <f t="shared" si="372"/>
        <v/>
      </c>
      <c r="EN409" s="73" t="str">
        <f t="shared" si="373"/>
        <v/>
      </c>
      <c r="EO409" s="73" t="str">
        <f t="shared" si="401"/>
        <v/>
      </c>
      <c r="EP409" s="73" t="str">
        <f t="shared" si="402"/>
        <v/>
      </c>
      <c r="EQ409" s="73" t="str">
        <f t="shared" si="374"/>
        <v/>
      </c>
      <c r="ER409" s="73" t="str">
        <f>IF(OR(AN409="",AN409="NEMA"),BB409,AN409)</f>
        <v/>
      </c>
      <c r="ES409" s="73" t="str">
        <f>IF(AND(BN409&lt;&gt;"",BN409&lt;&gt;"NEMA"),BN409,IF(CG409&lt;&gt;"",CG409,IF(AND(CL409&lt;&gt;"",CL409&lt;&gt;"NEMA"),CL409,IF(CM409&lt;&gt;"",CM409,""))))</f>
        <v/>
      </c>
      <c r="ET409" s="53" t="str">
        <f>IF(INDEX(natKategorija_alias_Id,MATCH(S409,natKategorija_katRegId,0))="","",INDEX(natKategorija_alias_Id,MATCH(S409,natKategorija_katRegId,0)))</f>
        <v/>
      </c>
      <c r="EU409" s="47" t="s">
        <v>0</v>
      </c>
      <c r="EV409" s="19" t="str">
        <f t="shared" si="403"/>
        <v/>
      </c>
      <c r="EW409" s="47" t="s">
        <v>0</v>
      </c>
      <c r="EX409" s="19" t="str">
        <f t="shared" si="404"/>
        <v/>
      </c>
      <c r="EY409" s="47" t="s">
        <v>0</v>
      </c>
      <c r="EZ409" s="180" t="str">
        <f>AG409&amp;IF(CP409="","","
")&amp;CP409&amp;IF(CI409="","","
")&amp;CI409&amp;IF(DN409="","","
")&amp;DN409&amp;IF(DP409="","","
")&amp;DP409&amp;IF(EV409="","","
")&amp;EV409&amp;IF(EX409="","","
")&amp;EX409</f>
        <v/>
      </c>
      <c r="FA409" s="47" t="s">
        <v>0</v>
      </c>
    </row>
    <row r="410" spans="1:157" x14ac:dyDescent="0.25">
      <c r="A410" t="s">
        <v>0</v>
      </c>
      <c r="B410" s="52" t="str">
        <f>IF(csv!F400="","",csv!T400)</f>
        <v/>
      </c>
      <c r="C410" s="31" t="s">
        <v>0</v>
      </c>
      <c r="D410" s="31" t="str">
        <f>IF(csv!F400="","",csv!F400)</f>
        <v/>
      </c>
      <c r="E410" s="31" t="str">
        <f>IF(csv!E400="","",csv!E400)</f>
        <v/>
      </c>
      <c r="F410" s="31" t="s">
        <v>0</v>
      </c>
      <c r="G410" s="73" t="str">
        <f>IF(csv!M400="","",csv!M400)</f>
        <v/>
      </c>
      <c r="H410" s="73" t="str">
        <f>IF(csv!N400="","",csv!N400)</f>
        <v/>
      </c>
      <c r="I410" s="31" t="s">
        <v>0</v>
      </c>
      <c r="J410" s="31" t="str">
        <f>IF(csv!P400="","",csv!P400)</f>
        <v/>
      </c>
      <c r="K410" s="31" t="str">
        <f>IF(csv!Q400="","",csv!Q400)</f>
        <v/>
      </c>
      <c r="L410" s="31" t="s">
        <v>0</v>
      </c>
      <c r="M410" s="66" t="str">
        <f>IF(csv!R400="","",csv!R400)</f>
        <v/>
      </c>
      <c r="N410" s="47" t="s">
        <v>0</v>
      </c>
      <c r="O410" s="243" t="str">
        <f t="shared" si="375"/>
        <v/>
      </c>
      <c r="P410" s="47"/>
      <c r="Q410" s="52" t="str">
        <f t="shared" si="376"/>
        <v/>
      </c>
      <c r="R410" s="73" t="str">
        <f>IF(Q410="","",IF(COUNTIF(Q$12:Q409,Q410)=0,R409+1,R409))</f>
        <v/>
      </c>
      <c r="S410" s="73" t="str">
        <f t="shared" si="377"/>
        <v/>
      </c>
      <c r="T410" s="73" t="str">
        <f t="shared" si="353"/>
        <v/>
      </c>
      <c r="U410" s="66" t="str">
        <f t="shared" si="354"/>
        <v/>
      </c>
      <c r="V410" s="47" t="s">
        <v>0</v>
      </c>
      <c r="W410" s="222" t="str">
        <f t="shared" si="355"/>
        <v/>
      </c>
      <c r="X410" s="223" t="str">
        <f t="shared" si="356"/>
        <v/>
      </c>
      <c r="Y410" s="47" t="s">
        <v>0</v>
      </c>
      <c r="Z410" s="52" t="str">
        <f t="shared" si="378"/>
        <v/>
      </c>
      <c r="AA410" s="73" t="str">
        <f t="shared" si="357"/>
        <v/>
      </c>
      <c r="AB410" s="31" t="str">
        <f t="shared" si="379"/>
        <v/>
      </c>
      <c r="AC410" s="66" t="str">
        <f>IF(AB410="","",MAX(AC$12:AC409)+1)</f>
        <v/>
      </c>
      <c r="AD410" s="47" t="s">
        <v>0</v>
      </c>
      <c r="AE410" s="125"/>
      <c r="AF410" s="47" t="s">
        <v>0</v>
      </c>
      <c r="AG410" s="19" t="str">
        <f t="shared" si="380"/>
        <v/>
      </c>
      <c r="AH410" s="47" t="s">
        <v>0</v>
      </c>
      <c r="AI410" s="143" t="str">
        <f t="shared" si="381"/>
        <v/>
      </c>
      <c r="AJ410" s="47"/>
      <c r="AK410" s="52" t="str">
        <f t="shared" si="382"/>
        <v/>
      </c>
      <c r="AL410" s="31" t="str">
        <f t="shared" si="383"/>
        <v/>
      </c>
      <c r="AM410" s="73" t="str">
        <f t="shared" si="384"/>
        <v/>
      </c>
      <c r="AN410" s="73" t="str">
        <f t="shared" si="385"/>
        <v/>
      </c>
      <c r="AO410" s="31" t="str">
        <f t="shared" si="358"/>
        <v/>
      </c>
      <c r="AP410" s="66" t="str">
        <f t="shared" si="359"/>
        <v/>
      </c>
      <c r="AQ410" s="47" t="s">
        <v>0</v>
      </c>
      <c r="AR410" s="82" t="str">
        <f t="shared" si="386"/>
        <v/>
      </c>
      <c r="AS410" s="47" t="s">
        <v>0</v>
      </c>
      <c r="AT410" s="19" t="str">
        <f t="shared" si="387"/>
        <v/>
      </c>
      <c r="AU410" s="47" t="s">
        <v>0</v>
      </c>
      <c r="AV410" s="103"/>
      <c r="AW410" s="105"/>
      <c r="AX410" s="47" t="s">
        <v>0</v>
      </c>
      <c r="AY410" s="256" t="str">
        <f t="shared" si="405"/>
        <v/>
      </c>
      <c r="AZ410" s="47" t="s">
        <v>0</v>
      </c>
      <c r="BA410" s="52" t="str">
        <f t="shared" si="352"/>
        <v/>
      </c>
      <c r="BB410" s="73" t="str">
        <f>IF(AV410&amp;AW410="","",MAX(BB$12:BB409)+1)</f>
        <v/>
      </c>
      <c r="BC410" s="268" t="str">
        <f t="shared" si="360"/>
        <v/>
      </c>
      <c r="BD410" s="53" t="str">
        <f>IF(AND(AM410="NEMA",AN410="NEMA",OR(AV410&amp;AW410="",BC410="NEMA")),MAX(BD$12:BD409)+1,"")</f>
        <v/>
      </c>
      <c r="BE410" s="47" t="s">
        <v>0</v>
      </c>
      <c r="BF410" s="52" t="str">
        <f t="shared" si="361"/>
        <v/>
      </c>
      <c r="BG410" s="31" t="str">
        <f t="shared" si="362"/>
        <v/>
      </c>
      <c r="BH410" s="73" t="str">
        <f t="shared" si="388"/>
        <v/>
      </c>
      <c r="BI410" s="53" t="str">
        <f t="shared" si="389"/>
        <v/>
      </c>
      <c r="BJ410" s="47" t="s">
        <v>0</v>
      </c>
      <c r="BK410" s="52" t="str">
        <f t="shared" si="363"/>
        <v/>
      </c>
      <c r="BL410" s="31" t="str">
        <f t="shared" si="364"/>
        <v/>
      </c>
      <c r="BM410" s="73" t="str">
        <f t="shared" si="365"/>
        <v/>
      </c>
      <c r="BN410" s="73" t="str">
        <f t="shared" si="366"/>
        <v/>
      </c>
      <c r="BO410" s="31" t="str" cm="1">
        <f t="array" ref="BO410">IF(BN410="",""&amp;BL410,IF(BN410="NEMA",BL410,INDEX(regKlub_naziv,MATCH(INDEX(regKlub_alias_klubId,BN410),regKlub_id,0))))</f>
        <v/>
      </c>
      <c r="BP410" s="31" t="str" cm="1">
        <f t="array" ref="BP410">IFERROR(""&amp;INDEX(regNatjecatelj_klub,DY410),"")</f>
        <v/>
      </c>
      <c r="BQ410" s="88" t="str">
        <f t="shared" si="390"/>
        <v/>
      </c>
      <c r="BR410" s="66" t="str">
        <f t="shared" si="391"/>
        <v/>
      </c>
      <c r="BS410" s="47" t="s">
        <v>0</v>
      </c>
      <c r="BT410" s="82" t="str">
        <f>IF(BN410&lt;&gt;"NEMA","",IF(IFERROR(MATCH(BL410,BL$12:BL409,0),0)&lt;&gt;0,"",BL410))</f>
        <v/>
      </c>
      <c r="BU410" s="47" t="s">
        <v>0</v>
      </c>
      <c r="BV410" s="125"/>
      <c r="BW410" s="47" t="s">
        <v>0</v>
      </c>
      <c r="BX410" s="58" t="str">
        <f t="shared" si="392"/>
        <v/>
      </c>
      <c r="BY410" s="31" t="str">
        <f t="shared" si="393"/>
        <v/>
      </c>
      <c r="BZ410" s="31" t="str">
        <f>IF(BY410="","",MAX(BZ$12:BZ409)+1)</f>
        <v/>
      </c>
      <c r="CA410" s="31" t="str">
        <f>IF(BY410="","",IF(AA410="","",IF(AA410="NEMA",AC410,AA410)))</f>
        <v/>
      </c>
      <c r="CB410" s="31" t="str">
        <f t="shared" si="394"/>
        <v/>
      </c>
      <c r="CC410" s="31" t="str">
        <f>IF(BV410="","",MAX(CC$12:CC409)+1)</f>
        <v/>
      </c>
      <c r="CD410" s="31" t="str">
        <f t="shared" si="395"/>
        <v/>
      </c>
      <c r="CE410" s="66" t="str">
        <f t="shared" si="396"/>
        <v/>
      </c>
      <c r="CF410" s="47" t="s">
        <v>0</v>
      </c>
      <c r="CG410" s="73" t="str">
        <f>IF(BN410="","",IF(BN410&lt;&gt;"NEMA","",IFERROR(INDEX(nat_klubAliasId,MATCH(BL410,nat_noviKluboviAliasi,0)),"")))</f>
        <v/>
      </c>
      <c r="CH410" s="47"/>
      <c r="CI410" s="19" t="str">
        <f t="shared" si="397"/>
        <v/>
      </c>
      <c r="CJ410" s="47" t="s">
        <v>0</v>
      </c>
      <c r="CK410" s="52" t="str">
        <f>IF(X410&lt;&gt;"NEMA","",IF(IFERROR(MATCH(W410,W$12:W409,0),0)&lt;&gt;0,"",W410))</f>
        <v/>
      </c>
      <c r="CL410" s="73" t="str">
        <f>IF(CK410="","",IFERROR(INDEX(regKlub_alias_id,MATCH(CK410,regKlub_alias_alias,0)),"NEMA"))</f>
        <v/>
      </c>
      <c r="CM410" s="31" t="str">
        <f>IF(OR(CL410="",CL410&lt;&gt;"NEMA"),"",MAX(CM$12:CM409)+1)</f>
        <v/>
      </c>
      <c r="CN410" s="66" t="str">
        <f>IF(OR(CL410="",CL410&lt;&gt;"NEMA"),"",INDEX(regKlub_id,MATCH(CK410,regKlub_naziv,0)))</f>
        <v/>
      </c>
      <c r="CO410" s="47" t="s">
        <v>0</v>
      </c>
      <c r="CP410" s="19" t="str">
        <f>IF(OR(CL410="",CL410&lt;&gt;"NEMA"),"","INSERT INTO klub_alias(id,alias,klub_id) VALUES ("&amp;CM410&amp;",'"&amp;CK410&amp;"',"&amp;CN410&amp;");")</f>
        <v/>
      </c>
      <c r="CQ410" s="47" t="s">
        <v>0</v>
      </c>
      <c r="CR410" s="143" t="str">
        <f>IF(BR410="","",IF(BV410="",IF(IFERROR(MATCH(BR410,nat_noviKluboviAliasi,0),0)&gt;0,INDEX(nat_kluboviAliasi,MATCH(BR410,nat_noviKluboviAliasi,0)),BR410),BV410))</f>
        <v/>
      </c>
      <c r="CS410" s="47" t="s">
        <v>0</v>
      </c>
      <c r="CT410" s="58" t="str">
        <f>IF(G410="","",G410)</f>
        <v/>
      </c>
      <c r="CU410" s="73" t="str">
        <f>IF(H410="","",H410)</f>
        <v/>
      </c>
      <c r="CV410" s="229" t="str">
        <f>IF(CT410="",IF(OR(AL410="",CU410&lt;&gt;"0"),"","GREŠKA"),IF(AND(65535&gt;=VALUE(LEFT(CT410,SEARCH(":",CT410)-1))*60+VALUE(RIGHT(CT410,2)),OR(CU410="0",CU410="1",CU410="2",CU410="3",CU410="4")),"","GREŠKA"))</f>
        <v/>
      </c>
      <c r="CW410" s="230" t="str">
        <f t="shared" si="351"/>
        <v/>
      </c>
      <c r="CX410" s="163" t="str">
        <f t="shared" si="367"/>
        <v/>
      </c>
      <c r="CY410" s="47" t="s">
        <v>0</v>
      </c>
      <c r="CZ410" s="222" t="str">
        <f>IF(CV410&lt;&gt;"GREŠKA","",AK410&amp;" "&amp;AL410&amp;" – Molim u OEventu provjeriti i ispraviti rezultat – vrijeme ("&amp;IF(CT410="","nije upisano",CT410)&amp;") i classifier ("&amp;CU410&amp;").")&amp;IF(OR(CV410&lt;&gt;"GREŠKA",CX410&lt;&gt;5),"
","")&amp;IF(CX410&lt;&gt;5,"",AK410&amp;" "&amp;AL410&amp;" – Molim u provjeriti je li natjecatelj zaista diskvalificiran. Ako je koje je obrazloženje, ako nije molim u OEventu ispraviti rezultat")</f>
        <v xml:space="preserve">
</v>
      </c>
      <c r="DA410" s="223" t="str">
        <f t="shared" si="398"/>
        <v/>
      </c>
      <c r="DB410" s="47" t="s">
        <v>0</v>
      </c>
      <c r="DC410" s="47"/>
      <c r="DD410" s="47"/>
      <c r="DE410" s="47"/>
      <c r="DF410" s="47" t="s">
        <v>0</v>
      </c>
      <c r="DG410" s="53" t="str">
        <f>IF(BD410="","",IF(DI410="O",1,""))</f>
        <v/>
      </c>
      <c r="DH410" t="s">
        <v>0</v>
      </c>
      <c r="DI410" s="128" t="str">
        <f>IF(Q410="","",LEFT(INDEX(regKategorija_oznaka,MATCH(S410,regKategorija_id,0)),1))</f>
        <v/>
      </c>
      <c r="DJ410" t="s">
        <v>0</v>
      </c>
      <c r="DK410" s="52" t="str">
        <f>IF(BD410="","",IF(M410&lt;&gt;"CRO","","INSERT INTO osoba (id,reg_broj,oib,spol_id,dat_rodjenja) VALUES ("&amp;BD410&amp;",(SELECT max(os.reg_broj)+1 FROM osoba AS os),Null,'"&amp;DI410&amp;"',Null); INSERT INTO osoba_log (id,reg_broj,oib,spol_id,dat_rodjenja,dnevnik_id) SELECT id,reg_broj,oib,spol_id,dat_rodjenja,"&amp;data_dnevnik_id&amp;" FROM osoba WHERE id = "&amp;BD410&amp;";"))</f>
        <v/>
      </c>
      <c r="DL410" s="66" t="str">
        <f>IF(BD410="","","INSERT INTO imeprezime (id,osoba_id,rbr,ime,prezime,klub_id,identitet_id,sintaksa_id,info,aktivno,dnevnik_id) VALUES ("&amp;BD410&amp;","&amp;IF(DK410="","Null",BD410)&amp;",1,'"&amp;IF(AV410&lt;&gt;"",AV410,AK410)&amp;"','"&amp;IF(AW410&lt;&gt;"",AW410,AL410)&amp;"',(SELECT id FROM klub WHERE naziv = '"&amp;CR410&amp;"'),Null,1,'',1,"&amp;data_dnevnik_id&amp;");")</f>
        <v/>
      </c>
      <c r="DM410" t="s">
        <v>0</v>
      </c>
      <c r="DN410" s="19" t="str">
        <f t="shared" si="406"/>
        <v/>
      </c>
      <c r="DO410" s="47" t="s">
        <v>0</v>
      </c>
      <c r="DP410" s="19" t="str">
        <f t="shared" si="407"/>
        <v/>
      </c>
      <c r="DQ410" s="47" t="s">
        <v>0</v>
      </c>
      <c r="DR410" s="52" t="str">
        <f>IF(AL410="","",DU410 &amp; IF(Q410="",""," – " &amp; Q410))</f>
        <v/>
      </c>
      <c r="DS410" s="53" t="str">
        <f t="shared" si="368"/>
        <v/>
      </c>
      <c r="DT410" s="47" t="s">
        <v>0</v>
      </c>
      <c r="DU410" s="52" t="str">
        <f>IF(AL410="","",DX410 &amp; IF(CR410="",""," – " &amp; CR410))</f>
        <v/>
      </c>
      <c r="DV410" s="53" t="str">
        <f t="shared" si="369"/>
        <v/>
      </c>
      <c r="DW410" s="47" t="s">
        <v>0</v>
      </c>
      <c r="DX410" s="52" t="str">
        <f>IF(BG410="","",BF410&amp;" – "&amp;BG410)</f>
        <v/>
      </c>
      <c r="DY410" s="53" t="str">
        <f t="shared" si="370"/>
        <v/>
      </c>
      <c r="DZ410" s="47" t="s">
        <v>0</v>
      </c>
      <c r="EA410" s="58" t="str">
        <f t="shared" si="399"/>
        <v/>
      </c>
      <c r="EB410" s="53" t="str" cm="1">
        <f t="array" ref="EB410">IF(EA410&lt;&gt;"",INDEX(regNatjecatelj_id,EA410,0),IF(BD410&lt;&gt;"",BD410,""))</f>
        <v/>
      </c>
      <c r="EC410" s="47" t="s">
        <v>0</v>
      </c>
      <c r="ED410" s="58" t="str">
        <f>IF(AL410="","",IF(BD410&lt;&gt;"","novo",IF(AN410="","imepre","imepre(ali)")))</f>
        <v/>
      </c>
      <c r="EE410" s="73" t="str">
        <f>IF(AL410="","",IF(BL410="",IF(IFERROR(INDEX(regNatjecatelj_klub,MATCH(EB410,regNatjecatelj_id,0)),"NEMA")="","klu",""),IF(OR(AND(BN410&lt;&gt;"",BN410&lt;&gt;"NEMA"),CD410&lt;&gt;""),"klu(ali)",IF(AND(BP410&lt;&gt;"",BP410&lt;&gt;BO410),"(raz-klu)","klu"))))</f>
        <v/>
      </c>
      <c r="EF410" s="73" t="str">
        <f>IF(AL410="","","kat"&amp;IF(AND(W410&lt;&gt;Q410,Q410&lt;&gt;"Open"),"(ali)",""))</f>
        <v/>
      </c>
      <c r="EG410" s="73" t="str">
        <f t="shared" si="371"/>
        <v/>
      </c>
      <c r="EH410" s="66" t="str">
        <f>IF(AL410="","",ED410&amp;IF(ED410="novo","","-"&amp;EE410&amp;"-"&amp;EF410)&amp;IF(EG410="","","-"&amp;EG410))</f>
        <v/>
      </c>
      <c r="EI410" s="47" t="s">
        <v>0</v>
      </c>
      <c r="EJ410" s="58" t="str">
        <f>IF(AL410="","",MAX(EJ$12:EJ409)+1)</f>
        <v/>
      </c>
      <c r="EK410" s="73" t="str">
        <f>IF(AO410="","",X410)</f>
        <v/>
      </c>
      <c r="EL410" s="73" t="str">
        <f t="shared" si="400"/>
        <v/>
      </c>
      <c r="EM410" s="73" t="str">
        <f t="shared" si="372"/>
        <v/>
      </c>
      <c r="EN410" s="73" t="str">
        <f t="shared" si="373"/>
        <v/>
      </c>
      <c r="EO410" s="73" t="str">
        <f t="shared" si="401"/>
        <v/>
      </c>
      <c r="EP410" s="73" t="str">
        <f t="shared" si="402"/>
        <v/>
      </c>
      <c r="EQ410" s="73" t="str">
        <f t="shared" si="374"/>
        <v/>
      </c>
      <c r="ER410" s="73" t="str">
        <f>IF(OR(AN410="",AN410="NEMA"),BB410,AN410)</f>
        <v/>
      </c>
      <c r="ES410" s="73" t="str">
        <f>IF(AND(BN410&lt;&gt;"",BN410&lt;&gt;"NEMA"),BN410,IF(CG410&lt;&gt;"",CG410,IF(AND(CL410&lt;&gt;"",CL410&lt;&gt;"NEMA"),CL410,IF(CM410&lt;&gt;"",CM410,""))))</f>
        <v/>
      </c>
      <c r="ET410" s="53" t="str">
        <f>IF(INDEX(natKategorija_alias_Id,MATCH(S410,natKategorija_katRegId,0))="","",INDEX(natKategorija_alias_Id,MATCH(S410,natKategorija_katRegId,0)))</f>
        <v/>
      </c>
      <c r="EU410" s="47" t="s">
        <v>0</v>
      </c>
      <c r="EV410" s="19" t="str">
        <f t="shared" si="403"/>
        <v/>
      </c>
      <c r="EW410" s="47" t="s">
        <v>0</v>
      </c>
      <c r="EX410" s="19" t="str">
        <f t="shared" si="404"/>
        <v/>
      </c>
      <c r="EY410" s="47" t="s">
        <v>0</v>
      </c>
      <c r="EZ410" s="180" t="str">
        <f>AG410&amp;IF(CP410="","","
")&amp;CP410&amp;IF(CI410="","","
")&amp;CI410&amp;IF(DN410="","","
")&amp;DN410&amp;IF(DP410="","","
")&amp;DP410&amp;IF(EV410="","","
")&amp;EV410&amp;IF(EX410="","","
")&amp;EX410</f>
        <v/>
      </c>
      <c r="FA410" s="47" t="s">
        <v>0</v>
      </c>
    </row>
    <row r="411" spans="1:157" x14ac:dyDescent="0.25">
      <c r="A411" t="s">
        <v>0</v>
      </c>
      <c r="B411" s="52" t="str">
        <f>IF(csv!F401="","",csv!T401)</f>
        <v/>
      </c>
      <c r="C411" s="31" t="s">
        <v>0</v>
      </c>
      <c r="D411" s="31" t="str">
        <f>IF(csv!F401="","",csv!F401)</f>
        <v/>
      </c>
      <c r="E411" s="31" t="str">
        <f>IF(csv!E401="","",csv!E401)</f>
        <v/>
      </c>
      <c r="F411" s="31" t="s">
        <v>0</v>
      </c>
      <c r="G411" s="73" t="str">
        <f>IF(csv!M401="","",csv!M401)</f>
        <v/>
      </c>
      <c r="H411" s="73" t="str">
        <f>IF(csv!N401="","",csv!N401)</f>
        <v/>
      </c>
      <c r="I411" s="31" t="s">
        <v>0</v>
      </c>
      <c r="J411" s="31" t="str">
        <f>IF(csv!P401="","",csv!P401)</f>
        <v/>
      </c>
      <c r="K411" s="31" t="str">
        <f>IF(csv!Q401="","",csv!Q401)</f>
        <v/>
      </c>
      <c r="L411" s="31" t="s">
        <v>0</v>
      </c>
      <c r="M411" s="66" t="str">
        <f>IF(csv!R401="","",csv!R401)</f>
        <v/>
      </c>
      <c r="N411" s="47" t="s">
        <v>0</v>
      </c>
      <c r="O411" s="243" t="str">
        <f t="shared" si="375"/>
        <v/>
      </c>
      <c r="P411" s="47"/>
      <c r="Q411" s="52" t="str">
        <f t="shared" si="376"/>
        <v/>
      </c>
      <c r="R411" s="73" t="str">
        <f>IF(Q411="","",IF(COUNTIF(Q$12:Q410,Q411)=0,R410+1,R410))</f>
        <v/>
      </c>
      <c r="S411" s="73" t="str">
        <f t="shared" si="377"/>
        <v/>
      </c>
      <c r="T411" s="73" t="str">
        <f t="shared" si="353"/>
        <v/>
      </c>
      <c r="U411" s="66" t="str">
        <f t="shared" si="354"/>
        <v/>
      </c>
      <c r="V411" s="47" t="s">
        <v>0</v>
      </c>
      <c r="W411" s="222" t="str">
        <f t="shared" si="355"/>
        <v/>
      </c>
      <c r="X411" s="223" t="str">
        <f t="shared" si="356"/>
        <v/>
      </c>
      <c r="Y411" s="47" t="s">
        <v>0</v>
      </c>
      <c r="Z411" s="52" t="str">
        <f t="shared" si="378"/>
        <v/>
      </c>
      <c r="AA411" s="73" t="str">
        <f t="shared" si="357"/>
        <v/>
      </c>
      <c r="AB411" s="31" t="str">
        <f t="shared" si="379"/>
        <v/>
      </c>
      <c r="AC411" s="66" t="str">
        <f>IF(AB411="","",MAX(AC$12:AC410)+1)</f>
        <v/>
      </c>
      <c r="AD411" s="47" t="s">
        <v>0</v>
      </c>
      <c r="AE411" s="125"/>
      <c r="AF411" s="47" t="s">
        <v>0</v>
      </c>
      <c r="AG411" s="19" t="str">
        <f t="shared" si="380"/>
        <v/>
      </c>
      <c r="AH411" s="47" t="s">
        <v>0</v>
      </c>
      <c r="AI411" s="143" t="str">
        <f t="shared" si="381"/>
        <v/>
      </c>
      <c r="AJ411" s="47"/>
      <c r="AK411" s="52" t="str">
        <f t="shared" si="382"/>
        <v/>
      </c>
      <c r="AL411" s="31" t="str">
        <f t="shared" si="383"/>
        <v/>
      </c>
      <c r="AM411" s="73" t="str">
        <f t="shared" si="384"/>
        <v/>
      </c>
      <c r="AN411" s="73" t="str">
        <f t="shared" si="385"/>
        <v/>
      </c>
      <c r="AO411" s="31" t="str">
        <f t="shared" si="358"/>
        <v/>
      </c>
      <c r="AP411" s="66" t="str">
        <f t="shared" si="359"/>
        <v/>
      </c>
      <c r="AQ411" s="47" t="s">
        <v>0</v>
      </c>
      <c r="AR411" s="82" t="str">
        <f t="shared" si="386"/>
        <v/>
      </c>
      <c r="AS411" s="47" t="s">
        <v>0</v>
      </c>
      <c r="AT411" s="19" t="str">
        <f t="shared" si="387"/>
        <v/>
      </c>
      <c r="AU411" s="47" t="s">
        <v>0</v>
      </c>
      <c r="AV411" s="103"/>
      <c r="AW411" s="105"/>
      <c r="AX411" s="47" t="s">
        <v>0</v>
      </c>
      <c r="AY411" s="256" t="str">
        <f t="shared" si="405"/>
        <v/>
      </c>
      <c r="AZ411" s="47" t="s">
        <v>0</v>
      </c>
      <c r="BA411" s="52" t="str">
        <f t="shared" si="352"/>
        <v/>
      </c>
      <c r="BB411" s="73" t="str">
        <f>IF(AV411&amp;AW411="","",MAX(BB$12:BB410)+1)</f>
        <v/>
      </c>
      <c r="BC411" s="268" t="str">
        <f t="shared" si="360"/>
        <v/>
      </c>
      <c r="BD411" s="53" t="str">
        <f>IF(AND(AM411="NEMA",AN411="NEMA",OR(AV411&amp;AW411="",BC411="NEMA")),MAX(BD$12:BD410)+1,"")</f>
        <v/>
      </c>
      <c r="BE411" s="47" t="s">
        <v>0</v>
      </c>
      <c r="BF411" s="52" t="str">
        <f t="shared" si="361"/>
        <v/>
      </c>
      <c r="BG411" s="31" t="str">
        <f t="shared" si="362"/>
        <v/>
      </c>
      <c r="BH411" s="73" t="str">
        <f t="shared" si="388"/>
        <v/>
      </c>
      <c r="BI411" s="53" t="str">
        <f t="shared" si="389"/>
        <v/>
      </c>
      <c r="BJ411" s="47" t="s">
        <v>0</v>
      </c>
      <c r="BK411" s="52" t="str">
        <f t="shared" si="363"/>
        <v/>
      </c>
      <c r="BL411" s="31" t="str">
        <f t="shared" si="364"/>
        <v/>
      </c>
      <c r="BM411" s="73" t="str">
        <f t="shared" si="365"/>
        <v/>
      </c>
      <c r="BN411" s="73" t="str">
        <f t="shared" si="366"/>
        <v/>
      </c>
      <c r="BO411" s="31" t="str" cm="1">
        <f t="array" ref="BO411">IF(BN411="",""&amp;BL411,IF(BN411="NEMA",BL411,INDEX(regKlub_naziv,MATCH(INDEX(regKlub_alias_klubId,BN411),regKlub_id,0))))</f>
        <v/>
      </c>
      <c r="BP411" s="31" t="str" cm="1">
        <f t="array" ref="BP411">IFERROR(""&amp;INDEX(regNatjecatelj_klub,DY411),"")</f>
        <v/>
      </c>
      <c r="BQ411" s="88" t="str">
        <f t="shared" si="390"/>
        <v/>
      </c>
      <c r="BR411" s="66" t="str">
        <f t="shared" si="391"/>
        <v/>
      </c>
      <c r="BS411" s="47" t="s">
        <v>0</v>
      </c>
      <c r="BT411" s="82" t="str">
        <f>IF(BN411&lt;&gt;"NEMA","",IF(IFERROR(MATCH(BL411,BL$12:BL410,0),0)&lt;&gt;0,"",BL411))</f>
        <v/>
      </c>
      <c r="BU411" s="47" t="s">
        <v>0</v>
      </c>
      <c r="BV411" s="125"/>
      <c r="BW411" s="47" t="s">
        <v>0</v>
      </c>
      <c r="BX411" s="58" t="str">
        <f t="shared" si="392"/>
        <v/>
      </c>
      <c r="BY411" s="31" t="str">
        <f t="shared" si="393"/>
        <v/>
      </c>
      <c r="BZ411" s="31" t="str">
        <f>IF(BY411="","",MAX(BZ$12:BZ410)+1)</f>
        <v/>
      </c>
      <c r="CA411" s="31" t="str">
        <f>IF(BY411="","",IF(AA411="","",IF(AA411="NEMA",AC411,AA411)))</f>
        <v/>
      </c>
      <c r="CB411" s="31" t="str">
        <f t="shared" si="394"/>
        <v/>
      </c>
      <c r="CC411" s="31" t="str">
        <f>IF(BV411="","",MAX(CC$12:CC410)+1)</f>
        <v/>
      </c>
      <c r="CD411" s="31" t="str">
        <f t="shared" si="395"/>
        <v/>
      </c>
      <c r="CE411" s="66" t="str">
        <f t="shared" si="396"/>
        <v/>
      </c>
      <c r="CF411" s="47" t="s">
        <v>0</v>
      </c>
      <c r="CG411" s="73" t="str">
        <f>IF(BN411="","",IF(BN411&lt;&gt;"NEMA","",IFERROR(INDEX(nat_klubAliasId,MATCH(BL411,nat_noviKluboviAliasi,0)),"")))</f>
        <v/>
      </c>
      <c r="CH411" s="47"/>
      <c r="CI411" s="19" t="str">
        <f t="shared" si="397"/>
        <v/>
      </c>
      <c r="CJ411" s="47" t="s">
        <v>0</v>
      </c>
      <c r="CK411" s="52" t="str">
        <f>IF(X411&lt;&gt;"NEMA","",IF(IFERROR(MATCH(W411,W$12:W410,0),0)&lt;&gt;0,"",W411))</f>
        <v/>
      </c>
      <c r="CL411" s="73" t="str">
        <f>IF(CK411="","",IFERROR(INDEX(regKlub_alias_id,MATCH(CK411,regKlub_alias_alias,0)),"NEMA"))</f>
        <v/>
      </c>
      <c r="CM411" s="31" t="str">
        <f>IF(OR(CL411="",CL411&lt;&gt;"NEMA"),"",MAX(CM$12:CM410)+1)</f>
        <v/>
      </c>
      <c r="CN411" s="66" t="str">
        <f>IF(OR(CL411="",CL411&lt;&gt;"NEMA"),"",INDEX(regKlub_id,MATCH(CK411,regKlub_naziv,0)))</f>
        <v/>
      </c>
      <c r="CO411" s="47" t="s">
        <v>0</v>
      </c>
      <c r="CP411" s="19" t="str">
        <f>IF(OR(CL411="",CL411&lt;&gt;"NEMA"),"","INSERT INTO klub_alias(id,alias,klub_id) VALUES ("&amp;CM411&amp;",'"&amp;CK411&amp;"',"&amp;CN411&amp;");")</f>
        <v/>
      </c>
      <c r="CQ411" s="47" t="s">
        <v>0</v>
      </c>
      <c r="CR411" s="143" t="str">
        <f>IF(BR411="","",IF(BV411="",IF(IFERROR(MATCH(BR411,nat_noviKluboviAliasi,0),0)&gt;0,INDEX(nat_kluboviAliasi,MATCH(BR411,nat_noviKluboviAliasi,0)),BR411),BV411))</f>
        <v/>
      </c>
      <c r="CS411" s="47" t="s">
        <v>0</v>
      </c>
      <c r="CT411" s="58" t="str">
        <f>IF(G411="","",G411)</f>
        <v/>
      </c>
      <c r="CU411" s="73" t="str">
        <f>IF(H411="","",H411)</f>
        <v/>
      </c>
      <c r="CV411" s="229" t="str">
        <f>IF(CT411="",IF(OR(AL411="",CU411&lt;&gt;"0"),"","GREŠKA"),IF(AND(65535&gt;=VALUE(LEFT(CT411,SEARCH(":",CT411)-1))*60+VALUE(RIGHT(CT411,2)),OR(CU411="0",CU411="1",CU411="2",CU411="3",CU411="4")),"","GREŠKA"))</f>
        <v/>
      </c>
      <c r="CW411" s="230" t="str">
        <f t="shared" si="351"/>
        <v/>
      </c>
      <c r="CX411" s="163" t="str">
        <f t="shared" si="367"/>
        <v/>
      </c>
      <c r="CY411" s="47" t="s">
        <v>0</v>
      </c>
      <c r="CZ411" s="222" t="str">
        <f>IF(CV411&lt;&gt;"GREŠKA","",AK411&amp;" "&amp;AL411&amp;" – Molim u OEventu provjeriti i ispraviti rezultat – vrijeme ("&amp;IF(CT411="","nije upisano",CT411)&amp;") i classifier ("&amp;CU411&amp;").")&amp;IF(OR(CV411&lt;&gt;"GREŠKA",CX411&lt;&gt;5),"
","")&amp;IF(CX411&lt;&gt;5,"",AK411&amp;" "&amp;AL411&amp;" – Molim u provjeriti je li natjecatelj zaista diskvalificiran. Ako je koje je obrazloženje, ako nije molim u OEventu ispraviti rezultat")</f>
        <v xml:space="preserve">
</v>
      </c>
      <c r="DA411" s="223" t="str">
        <f t="shared" si="398"/>
        <v/>
      </c>
      <c r="DB411" s="47" t="s">
        <v>0</v>
      </c>
      <c r="DC411" s="47"/>
      <c r="DD411" s="47"/>
      <c r="DE411" s="47"/>
      <c r="DF411" s="47" t="s">
        <v>0</v>
      </c>
      <c r="DG411" s="53" t="str">
        <f>IF(BD411="","",IF(DI411="O",1,""))</f>
        <v/>
      </c>
      <c r="DH411" t="s">
        <v>0</v>
      </c>
      <c r="DI411" s="128" t="str">
        <f>IF(Q411="","",LEFT(INDEX(regKategorija_oznaka,MATCH(S411,regKategorija_id,0)),1))</f>
        <v/>
      </c>
      <c r="DJ411" t="s">
        <v>0</v>
      </c>
      <c r="DK411" s="52" t="str">
        <f>IF(BD411="","",IF(M411&lt;&gt;"CRO","","INSERT INTO osoba (id,reg_broj,oib,spol_id,dat_rodjenja) VALUES ("&amp;BD411&amp;",(SELECT max(os.reg_broj)+1 FROM osoba AS os),Null,'"&amp;DI411&amp;"',Null); INSERT INTO osoba_log (id,reg_broj,oib,spol_id,dat_rodjenja,dnevnik_id) SELECT id,reg_broj,oib,spol_id,dat_rodjenja,"&amp;data_dnevnik_id&amp;" FROM osoba WHERE id = "&amp;BD411&amp;";"))</f>
        <v/>
      </c>
      <c r="DL411" s="66" t="str">
        <f>IF(BD411="","","INSERT INTO imeprezime (id,osoba_id,rbr,ime,prezime,klub_id,identitet_id,sintaksa_id,info,aktivno,dnevnik_id) VALUES ("&amp;BD411&amp;","&amp;IF(DK411="","Null",BD411)&amp;",1,'"&amp;IF(AV411&lt;&gt;"",AV411,AK411)&amp;"','"&amp;IF(AW411&lt;&gt;"",AW411,AL411)&amp;"',(SELECT id FROM klub WHERE naziv = '"&amp;CR411&amp;"'),Null,1,'',1,"&amp;data_dnevnik_id&amp;");")</f>
        <v/>
      </c>
      <c r="DM411" t="s">
        <v>0</v>
      </c>
      <c r="DN411" s="19" t="str">
        <f t="shared" si="406"/>
        <v/>
      </c>
      <c r="DO411" s="47" t="s">
        <v>0</v>
      </c>
      <c r="DP411" s="19" t="str">
        <f t="shared" si="407"/>
        <v/>
      </c>
      <c r="DQ411" s="47" t="s">
        <v>0</v>
      </c>
      <c r="DR411" s="52" t="str">
        <f>IF(AL411="","",DU411 &amp; IF(Q411="",""," – " &amp; Q411))</f>
        <v/>
      </c>
      <c r="DS411" s="53" t="str">
        <f t="shared" si="368"/>
        <v/>
      </c>
      <c r="DT411" s="47" t="s">
        <v>0</v>
      </c>
      <c r="DU411" s="52" t="str">
        <f>IF(AL411="","",DX411 &amp; IF(CR411="",""," – " &amp; CR411))</f>
        <v/>
      </c>
      <c r="DV411" s="53" t="str">
        <f t="shared" si="369"/>
        <v/>
      </c>
      <c r="DW411" s="47" t="s">
        <v>0</v>
      </c>
      <c r="DX411" s="52" t="str">
        <f>IF(BG411="","",BF411&amp;" – "&amp;BG411)</f>
        <v/>
      </c>
      <c r="DY411" s="53" t="str">
        <f t="shared" si="370"/>
        <v/>
      </c>
      <c r="DZ411" s="47" t="s">
        <v>0</v>
      </c>
      <c r="EA411" s="58" t="str">
        <f t="shared" si="399"/>
        <v/>
      </c>
      <c r="EB411" s="53" t="str" cm="1">
        <f t="array" ref="EB411">IF(EA411&lt;&gt;"",INDEX(regNatjecatelj_id,EA411,0),IF(BD411&lt;&gt;"",BD411,""))</f>
        <v/>
      </c>
      <c r="EC411" s="47" t="s">
        <v>0</v>
      </c>
      <c r="ED411" s="58" t="str">
        <f>IF(AL411="","",IF(BD411&lt;&gt;"","novo",IF(AN411="","imepre","imepre(ali)")))</f>
        <v/>
      </c>
      <c r="EE411" s="73" t="str">
        <f>IF(AL411="","",IF(BL411="",IF(IFERROR(INDEX(regNatjecatelj_klub,MATCH(EB411,regNatjecatelj_id,0)),"NEMA")="","klu",""),IF(OR(AND(BN411&lt;&gt;"",BN411&lt;&gt;"NEMA"),CD411&lt;&gt;""),"klu(ali)",IF(AND(BP411&lt;&gt;"",BP411&lt;&gt;BO411),"(raz-klu)","klu"))))</f>
        <v/>
      </c>
      <c r="EF411" s="73" t="str">
        <f>IF(AL411="","","kat"&amp;IF(AND(W411&lt;&gt;Q411,Q411&lt;&gt;"Open"),"(ali)",""))</f>
        <v/>
      </c>
      <c r="EG411" s="73" t="str">
        <f t="shared" si="371"/>
        <v/>
      </c>
      <c r="EH411" s="66" t="str">
        <f>IF(AL411="","",ED411&amp;IF(ED411="novo","","-"&amp;EE411&amp;"-"&amp;EF411)&amp;IF(EG411="","","-"&amp;EG411))</f>
        <v/>
      </c>
      <c r="EI411" s="47" t="s">
        <v>0</v>
      </c>
      <c r="EJ411" s="58" t="str">
        <f>IF(AL411="","",MAX(EJ$12:EJ410)+1)</f>
        <v/>
      </c>
      <c r="EK411" s="73" t="str">
        <f>IF(AO411="","",X411)</f>
        <v/>
      </c>
      <c r="EL411" s="73" t="str">
        <f t="shared" si="400"/>
        <v/>
      </c>
      <c r="EM411" s="73" t="str">
        <f t="shared" si="372"/>
        <v/>
      </c>
      <c r="EN411" s="73" t="str">
        <f t="shared" si="373"/>
        <v/>
      </c>
      <c r="EO411" s="73" t="str">
        <f t="shared" si="401"/>
        <v/>
      </c>
      <c r="EP411" s="73" t="str">
        <f t="shared" si="402"/>
        <v/>
      </c>
      <c r="EQ411" s="73" t="str">
        <f t="shared" si="374"/>
        <v/>
      </c>
      <c r="ER411" s="73" t="str">
        <f>IF(OR(AN411="",AN411="NEMA"),BB411,AN411)</f>
        <v/>
      </c>
      <c r="ES411" s="73" t="str">
        <f>IF(AND(BN411&lt;&gt;"",BN411&lt;&gt;"NEMA"),BN411,IF(CG411&lt;&gt;"",CG411,IF(AND(CL411&lt;&gt;"",CL411&lt;&gt;"NEMA"),CL411,IF(CM411&lt;&gt;"",CM411,""))))</f>
        <v/>
      </c>
      <c r="ET411" s="53" t="str">
        <f>IF(INDEX(natKategorija_alias_Id,MATCH(S411,natKategorija_katRegId,0))="","",INDEX(natKategorija_alias_Id,MATCH(S411,natKategorija_katRegId,0)))</f>
        <v/>
      </c>
      <c r="EU411" s="47" t="s">
        <v>0</v>
      </c>
      <c r="EV411" s="19" t="str">
        <f t="shared" si="403"/>
        <v/>
      </c>
      <c r="EW411" s="47" t="s">
        <v>0</v>
      </c>
      <c r="EX411" s="19" t="str">
        <f t="shared" si="404"/>
        <v/>
      </c>
      <c r="EY411" s="47" t="s">
        <v>0</v>
      </c>
      <c r="EZ411" s="180" t="str">
        <f>AG411&amp;IF(CP411="","","
")&amp;CP411&amp;IF(CI411="","","
")&amp;CI411&amp;IF(DN411="","","
")&amp;DN411&amp;IF(DP411="","","
")&amp;DP411&amp;IF(EV411="","","
")&amp;EV411&amp;IF(EX411="","","
")&amp;EX411</f>
        <v/>
      </c>
      <c r="FA411" s="47" t="s">
        <v>0</v>
      </c>
    </row>
    <row r="412" spans="1:157" s="47" customFormat="1" ht="15.75" thickBot="1" x14ac:dyDescent="0.3">
      <c r="A412" s="47" t="s">
        <v>0</v>
      </c>
      <c r="B412" s="54" t="str">
        <f>IF(csv!F402="","",csv!T402)</f>
        <v/>
      </c>
      <c r="C412" s="34" t="s">
        <v>0</v>
      </c>
      <c r="D412" s="34" t="str">
        <f>IF(csv!F402="","",csv!F402)</f>
        <v/>
      </c>
      <c r="E412" s="34" t="str">
        <f>IF(csv!E402="","",csv!E402)</f>
        <v/>
      </c>
      <c r="F412" s="34" t="s">
        <v>0</v>
      </c>
      <c r="G412" s="74" t="str">
        <f>IF(csv!M402="","",csv!M402)</f>
        <v/>
      </c>
      <c r="H412" s="74" t="str">
        <f>IF(csv!N402="","",csv!N402)</f>
        <v/>
      </c>
      <c r="I412" s="34" t="s">
        <v>0</v>
      </c>
      <c r="J412" s="34" t="str">
        <f>IF(csv!P402="","",csv!P402)</f>
        <v/>
      </c>
      <c r="K412" s="34" t="str">
        <f>IF(csv!Q402="","",csv!Q402)</f>
        <v/>
      </c>
      <c r="L412" s="34" t="s">
        <v>0</v>
      </c>
      <c r="M412" s="67" t="str">
        <f>IF(csv!R402="","",csv!R402)</f>
        <v/>
      </c>
      <c r="N412" s="47" t="s">
        <v>0</v>
      </c>
      <c r="O412" s="244" t="str">
        <f t="shared" si="375"/>
        <v/>
      </c>
      <c r="Q412" s="54" t="str">
        <f t="shared" si="376"/>
        <v/>
      </c>
      <c r="R412" s="74" t="str">
        <f>IF(Q412="","",IF(COUNTIF(Q$12:Q411,Q412)=0,R411+1,R411))</f>
        <v/>
      </c>
      <c r="S412" s="74" t="str">
        <f t="shared" si="377"/>
        <v/>
      </c>
      <c r="T412" s="74" t="str">
        <f t="shared" si="353"/>
        <v/>
      </c>
      <c r="U412" s="67" t="str">
        <f t="shared" si="354"/>
        <v/>
      </c>
      <c r="V412" s="47" t="s">
        <v>0</v>
      </c>
      <c r="W412" s="224" t="str">
        <f t="shared" si="355"/>
        <v/>
      </c>
      <c r="X412" s="225" t="str">
        <f t="shared" si="356"/>
        <v/>
      </c>
      <c r="Y412" s="47" t="s">
        <v>0</v>
      </c>
      <c r="Z412" s="54" t="str">
        <f t="shared" si="378"/>
        <v/>
      </c>
      <c r="AA412" s="74" t="str">
        <f t="shared" si="357"/>
        <v/>
      </c>
      <c r="AB412" s="34" t="str">
        <f t="shared" si="379"/>
        <v/>
      </c>
      <c r="AC412" s="67" t="str">
        <f>IF(AB412="","",MAX(AC$12:AC411)+1)</f>
        <v/>
      </c>
      <c r="AD412" s="47" t="s">
        <v>0</v>
      </c>
      <c r="AE412" s="126"/>
      <c r="AF412" s="47" t="s">
        <v>0</v>
      </c>
      <c r="AG412" s="20" t="str">
        <f t="shared" si="380"/>
        <v/>
      </c>
      <c r="AH412" s="47" t="s">
        <v>0</v>
      </c>
      <c r="AI412" s="144" t="str">
        <f t="shared" si="381"/>
        <v/>
      </c>
      <c r="AK412" s="54" t="str">
        <f t="shared" si="382"/>
        <v/>
      </c>
      <c r="AL412" s="34" t="str">
        <f t="shared" si="383"/>
        <v/>
      </c>
      <c r="AM412" s="74" t="str">
        <f t="shared" si="384"/>
        <v/>
      </c>
      <c r="AN412" s="74" t="str">
        <f t="shared" si="385"/>
        <v/>
      </c>
      <c r="AO412" s="34" t="str">
        <f t="shared" si="358"/>
        <v/>
      </c>
      <c r="AP412" s="67" t="str">
        <f t="shared" si="359"/>
        <v/>
      </c>
      <c r="AQ412" s="47" t="s">
        <v>0</v>
      </c>
      <c r="AR412" s="83" t="str">
        <f t="shared" si="386"/>
        <v/>
      </c>
      <c r="AS412" s="47" t="s">
        <v>0</v>
      </c>
      <c r="AT412" s="20" t="str">
        <f t="shared" si="387"/>
        <v/>
      </c>
      <c r="AU412" s="47" t="s">
        <v>0</v>
      </c>
      <c r="AV412" s="106"/>
      <c r="AW412" s="108"/>
      <c r="AX412" s="47" t="s">
        <v>0</v>
      </c>
      <c r="AY412" s="259" t="str">
        <f t="shared" si="405"/>
        <v/>
      </c>
      <c r="AZ412" s="47" t="s">
        <v>0</v>
      </c>
      <c r="BA412" s="54" t="str">
        <f t="shared" si="352"/>
        <v/>
      </c>
      <c r="BB412" s="74" t="str">
        <f>IF(AV412&amp;AW412="","",MAX(BB$12:BB411)+1)</f>
        <v/>
      </c>
      <c r="BC412" s="269" t="str">
        <f t="shared" si="360"/>
        <v/>
      </c>
      <c r="BD412" s="55" t="str">
        <f>IF(AND(AM412="NEMA",AN412="NEMA",OR(AV412&amp;AW412="",BC412="NEMA")),MAX(BD$12:BD411)+1,"")</f>
        <v/>
      </c>
      <c r="BE412" s="47" t="s">
        <v>0</v>
      </c>
      <c r="BF412" s="54" t="str">
        <f t="shared" si="361"/>
        <v/>
      </c>
      <c r="BG412" s="34" t="str">
        <f t="shared" si="362"/>
        <v/>
      </c>
      <c r="BH412" s="74" t="str">
        <f t="shared" si="388"/>
        <v/>
      </c>
      <c r="BI412" s="55" t="str">
        <f t="shared" si="389"/>
        <v/>
      </c>
      <c r="BJ412" s="47" t="s">
        <v>0</v>
      </c>
      <c r="BK412" s="54" t="str">
        <f t="shared" si="363"/>
        <v/>
      </c>
      <c r="BL412" s="34" t="str">
        <f t="shared" si="364"/>
        <v/>
      </c>
      <c r="BM412" s="74" t="str">
        <f t="shared" si="365"/>
        <v/>
      </c>
      <c r="BN412" s="74" t="str">
        <f t="shared" si="366"/>
        <v/>
      </c>
      <c r="BO412" s="34" t="str" cm="1">
        <f t="array" ref="BO412">IF(BN412="",""&amp;BL412,IF(BN412="NEMA",BL412,INDEX(regKlub_naziv,MATCH(INDEX(regKlub_alias_klubId,BN412),regKlub_id,0))))</f>
        <v/>
      </c>
      <c r="BP412" s="34" t="str" cm="1">
        <f t="array" ref="BP412">IFERROR(""&amp;INDEX(regNatjecatelj_klub,DY412),"")</f>
        <v/>
      </c>
      <c r="BQ412" s="89" t="str">
        <f t="shared" si="390"/>
        <v/>
      </c>
      <c r="BR412" s="67" t="str">
        <f t="shared" si="391"/>
        <v/>
      </c>
      <c r="BS412" s="47" t="s">
        <v>0</v>
      </c>
      <c r="BT412" s="83" t="str">
        <f>IF(BN412&lt;&gt;"NEMA","",IF(IFERROR(MATCH(BL412,BL$12:BL411,0),0)&lt;&gt;0,"",BL412))</f>
        <v/>
      </c>
      <c r="BU412" s="47" t="s">
        <v>0</v>
      </c>
      <c r="BV412" s="126"/>
      <c r="BW412" s="47" t="s">
        <v>0</v>
      </c>
      <c r="BX412" s="59" t="str">
        <f t="shared" si="392"/>
        <v/>
      </c>
      <c r="BY412" s="34" t="str">
        <f t="shared" si="393"/>
        <v/>
      </c>
      <c r="BZ412" s="34" t="str">
        <f>IF(BY412="","",MAX(BZ$12:BZ411)+1)</f>
        <v/>
      </c>
      <c r="CA412" s="34" t="str">
        <f>IF(BY412="","",IF(AA412="","",IF(AA412="NEMA",AC412,AA412)))</f>
        <v/>
      </c>
      <c r="CB412" s="34" t="str">
        <f t="shared" si="394"/>
        <v/>
      </c>
      <c r="CC412" s="34" t="str">
        <f>IF(BV412="","",MAX(CC$12:CC411)+1)</f>
        <v/>
      </c>
      <c r="CD412" s="34" t="str">
        <f t="shared" si="395"/>
        <v/>
      </c>
      <c r="CE412" s="67" t="str">
        <f t="shared" si="396"/>
        <v/>
      </c>
      <c r="CF412" s="47" t="s">
        <v>0</v>
      </c>
      <c r="CG412" s="74" t="str">
        <f>IF(BN412="","",IF(BN412&lt;&gt;"NEMA","",IFERROR(INDEX(nat_klubAliasId,MATCH(BL412,nat_noviKluboviAliasi,0)),"")))</f>
        <v/>
      </c>
      <c r="CI412" s="20" t="str">
        <f t="shared" si="397"/>
        <v/>
      </c>
      <c r="CJ412" s="47" t="s">
        <v>0</v>
      </c>
      <c r="CK412" s="54" t="str">
        <f>IF(X412&lt;&gt;"NEMA","",IF(IFERROR(MATCH(W412,W$12:W411,0),0)&lt;&gt;0,"",W412))</f>
        <v/>
      </c>
      <c r="CL412" s="74" t="str">
        <f>IF(CK412="","",IFERROR(INDEX(regKlub_alias_id,MATCH(CK412,regKlub_alias_alias,0)),"NEMA"))</f>
        <v/>
      </c>
      <c r="CM412" s="34" t="str">
        <f>IF(OR(CL412="",CL412&lt;&gt;"NEMA"),"",MAX(CM$12:CM411)+1)</f>
        <v/>
      </c>
      <c r="CN412" s="67" t="str">
        <f>IF(OR(CL412="",CL412&lt;&gt;"NEMA"),"",INDEX(regKlub_id,MATCH(CK412,regKlub_naziv,0)))</f>
        <v/>
      </c>
      <c r="CO412" s="47" t="s">
        <v>0</v>
      </c>
      <c r="CP412" s="20" t="str">
        <f>IF(OR(CL412="",CL412&lt;&gt;"NEMA"),"","INSERT INTO klub_alias(id,alias,klub_id) VALUES ("&amp;CM412&amp;",'"&amp;CK412&amp;"',"&amp;CN412&amp;");")</f>
        <v/>
      </c>
      <c r="CQ412" s="47" t="s">
        <v>0</v>
      </c>
      <c r="CR412" s="144" t="str">
        <f>IF(BR412="","",IF(BV412="",IF(IFERROR(MATCH(BR412,nat_noviKluboviAliasi,0),0)&gt;0,INDEX(nat_kluboviAliasi,MATCH(BR412,nat_noviKluboviAliasi,0)),BR412),BV412))</f>
        <v/>
      </c>
      <c r="CS412" s="47" t="s">
        <v>0</v>
      </c>
      <c r="CT412" s="59" t="str">
        <f>IF(G412="","",G412)</f>
        <v/>
      </c>
      <c r="CU412" s="74" t="str">
        <f>IF(H412="","",H412)</f>
        <v/>
      </c>
      <c r="CV412" s="231" t="str">
        <f>IF(CT412="",IF(OR(AL412="",CU412&lt;&gt;"0"),"","GREŠKA"),IF(AND(65535&gt;=VALUE(LEFT(CT412,SEARCH(":",CT412)-1))*60+VALUE(RIGHT(CT412,2)),OR(CU412="0",CU412="1",CU412="2",CU412="3",CU412="4")),"","GREŠKA"))</f>
        <v/>
      </c>
      <c r="CW412" s="232" t="str">
        <f t="shared" si="351"/>
        <v/>
      </c>
      <c r="CX412" s="164" t="str">
        <f t="shared" si="367"/>
        <v/>
      </c>
      <c r="CY412" s="47" t="s">
        <v>0</v>
      </c>
      <c r="CZ412" s="224" t="str">
        <f>IF(CV412&lt;&gt;"GREŠKA","",AK412&amp;" "&amp;AL412&amp;" – Molim u OEventu provjeriti i ispraviti rezultat – vrijeme ("&amp;IF(CT412="","nije upisano",CT412)&amp;") i classifier ("&amp;CU412&amp;").")&amp;IF(OR(CV412&lt;&gt;"GREŠKA",CX412&lt;&gt;5),"
","")&amp;IF(CX412&lt;&gt;5,"",AK412&amp;" "&amp;AL412&amp;" – Molim u provjeriti je li natjecatelj zaista diskvalificiran. Ako je koje je obrazloženje, ako nije molim u OEventu ispraviti rezultat")</f>
        <v xml:space="preserve">
</v>
      </c>
      <c r="DA412" s="225" t="str">
        <f t="shared" si="398"/>
        <v/>
      </c>
      <c r="DB412" s="47" t="s">
        <v>0</v>
      </c>
      <c r="DF412" s="47" t="s">
        <v>0</v>
      </c>
      <c r="DG412" s="55" t="str">
        <f>IF(BD412="","",IF(DI412="O",1,""))</f>
        <v/>
      </c>
      <c r="DH412" s="47" t="s">
        <v>0</v>
      </c>
      <c r="DI412" s="129" t="str">
        <f>IF(Q412="","",LEFT(INDEX(regKategorija_oznaka,MATCH(S412,regKategorija_id,0)),1))</f>
        <v/>
      </c>
      <c r="DJ412" s="47" t="s">
        <v>0</v>
      </c>
      <c r="DK412" s="54" t="str">
        <f>IF(BD412="","",IF(M412&lt;&gt;"CRO","","INSERT INTO osoba (id,reg_broj,oib,spol_id,dat_rodjenja) VALUES ("&amp;BD412&amp;",(SELECT max(os.reg_broj)+1 FROM osoba AS os),Null,'"&amp;DI412&amp;"',Null); INSERT INTO osoba_log (id,reg_broj,oib,spol_id,dat_rodjenja,dnevnik_id) SELECT id,reg_broj,oib,spol_id,dat_rodjenja,"&amp;data_dnevnik_id&amp;" FROM osoba WHERE id = "&amp;BD412&amp;";"))</f>
        <v/>
      </c>
      <c r="DL412" s="67" t="str">
        <f>IF(BD412="","","INSERT INTO imeprezime (id,osoba_id,rbr,ime,prezime,klub_id,identitet_id,sintaksa_id,info,aktivno,dnevnik_id) VALUES ("&amp;BD412&amp;","&amp;IF(DK412="","Null",BD412)&amp;",1,'"&amp;IF(AV412&lt;&gt;"",AV412,AK412)&amp;"','"&amp;IF(AW412&lt;&gt;"",AW412,AL412)&amp;"',(SELECT id FROM klub WHERE naziv = '"&amp;CR412&amp;"'),Null,1,'',1,"&amp;data_dnevnik_id&amp;");")</f>
        <v/>
      </c>
      <c r="DM412" s="47" t="s">
        <v>0</v>
      </c>
      <c r="DN412" s="20" t="str">
        <f t="shared" si="406"/>
        <v/>
      </c>
      <c r="DO412" s="47" t="s">
        <v>0</v>
      </c>
      <c r="DP412" s="20" t="str">
        <f t="shared" si="407"/>
        <v/>
      </c>
      <c r="DQ412" s="47" t="s">
        <v>0</v>
      </c>
      <c r="DR412" s="54" t="str">
        <f>IF(AL412="","",DU412 &amp; IF(Q412="",""," – " &amp; Q412))</f>
        <v/>
      </c>
      <c r="DS412" s="55" t="str">
        <f t="shared" si="368"/>
        <v/>
      </c>
      <c r="DT412" s="47" t="s">
        <v>0</v>
      </c>
      <c r="DU412" s="54" t="str">
        <f>IF(AL412="","",DX412 &amp; IF(CR412="",""," – " &amp; CR412))</f>
        <v/>
      </c>
      <c r="DV412" s="55" t="str">
        <f t="shared" si="369"/>
        <v/>
      </c>
      <c r="DW412" s="47" t="s">
        <v>0</v>
      </c>
      <c r="DX412" s="54" t="str">
        <f>IF(BG412="","",BF412&amp;" – "&amp;BG412)</f>
        <v/>
      </c>
      <c r="DY412" s="55" t="str">
        <f t="shared" si="370"/>
        <v/>
      </c>
      <c r="DZ412" s="47" t="s">
        <v>0</v>
      </c>
      <c r="EA412" s="59" t="str">
        <f t="shared" si="399"/>
        <v/>
      </c>
      <c r="EB412" s="55" t="str" cm="1">
        <f t="array" ref="EB412">IF(EA412&lt;&gt;"",INDEX(regNatjecatelj_id,EA412,0),IF(BD412&lt;&gt;"",BD412,""))</f>
        <v/>
      </c>
      <c r="EC412" s="47" t="s">
        <v>0</v>
      </c>
      <c r="ED412" s="59" t="str">
        <f>IF(AL412="","",IF(BD412&lt;&gt;"","novo",IF(AN412="","imepre","imepre(ali)")))</f>
        <v/>
      </c>
      <c r="EE412" s="74" t="str">
        <f>IF(AL412="","",IF(BL412="",IF(IFERROR(INDEX(regNatjecatelj_klub,MATCH(EB412,regNatjecatelj_id,0)),"NEMA")="","klu",""),IF(OR(AND(BN412&lt;&gt;"",BN412&lt;&gt;"NEMA"),CD412&lt;&gt;""),"klu(ali)",IF(AND(BP412&lt;&gt;"",BP412&lt;&gt;BO412),"(raz-klu)","klu"))))</f>
        <v/>
      </c>
      <c r="EF412" s="74" t="str">
        <f>IF(AL412="","","kat"&amp;IF(AND(W412&lt;&gt;Q412,Q412&lt;&gt;"Open"),"(ali)",""))</f>
        <v/>
      </c>
      <c r="EG412" s="74" t="str">
        <f t="shared" si="371"/>
        <v/>
      </c>
      <c r="EH412" s="67" t="str">
        <f>IF(AL412="","",ED412&amp;IF(ED412="novo","","-"&amp;EE412&amp;"-"&amp;EF412)&amp;IF(EG412="","","-"&amp;EG412))</f>
        <v/>
      </c>
      <c r="EI412" s="47" t="s">
        <v>0</v>
      </c>
      <c r="EJ412" s="59" t="str">
        <f>IF(AL412="","",MAX(EJ$12:EJ411)+1)</f>
        <v/>
      </c>
      <c r="EK412" s="74" t="str">
        <f>IF(AO412="","",X412)</f>
        <v/>
      </c>
      <c r="EL412" s="74" t="str">
        <f t="shared" si="400"/>
        <v/>
      </c>
      <c r="EM412" s="74" t="str">
        <f t="shared" si="372"/>
        <v/>
      </c>
      <c r="EN412" s="74" t="str">
        <f t="shared" si="373"/>
        <v/>
      </c>
      <c r="EO412" s="74" t="str">
        <f t="shared" si="401"/>
        <v/>
      </c>
      <c r="EP412" s="74" t="str">
        <f t="shared" si="402"/>
        <v/>
      </c>
      <c r="EQ412" s="74" t="str">
        <f t="shared" si="374"/>
        <v/>
      </c>
      <c r="ER412" s="74" t="str">
        <f>IF(OR(AN412="",AN412="NEMA"),BB412,AN412)</f>
        <v/>
      </c>
      <c r="ES412" s="74" t="str">
        <f>IF(AND(BN412&lt;&gt;"",BN412&lt;&gt;"NEMA"),BN412,IF(CG412&lt;&gt;"",CG412,IF(AND(CL412&lt;&gt;"",CL412&lt;&gt;"NEMA"),CL412,IF(CM412&lt;&gt;"",CM412,""))))</f>
        <v/>
      </c>
      <c r="ET412" s="55" t="str">
        <f>IF(INDEX(natKategorija_alias_Id,MATCH(S412,natKategorija_katRegId,0))="","",INDEX(natKategorija_alias_Id,MATCH(S412,natKategorija_katRegId,0)))</f>
        <v/>
      </c>
      <c r="EU412" s="47" t="s">
        <v>0</v>
      </c>
      <c r="EV412" s="20" t="str">
        <f t="shared" si="403"/>
        <v/>
      </c>
      <c r="EW412" s="47" t="s">
        <v>0</v>
      </c>
      <c r="EX412" s="20" t="str">
        <f t="shared" si="404"/>
        <v/>
      </c>
      <c r="EY412" s="47" t="s">
        <v>0</v>
      </c>
      <c r="EZ412" s="181" t="str">
        <f>AG412&amp;IF(CP412="","","
")&amp;CP412&amp;IF(CI412="","","
")&amp;CI412&amp;IF(DN412="","","
")&amp;DN412&amp;IF(DP412="","","
")&amp;DP412&amp;IF(EV412="","","
")&amp;EV412&amp;IF(EX412="","","
")&amp;EX412</f>
        <v/>
      </c>
      <c r="FA412" s="47" t="s">
        <v>0</v>
      </c>
    </row>
    <row r="413" spans="1:157" s="47" customFormat="1" x14ac:dyDescent="0.25">
      <c r="B413" s="5"/>
      <c r="C413" s="5"/>
      <c r="D413" s="5"/>
      <c r="E413" s="5"/>
      <c r="F413" s="5"/>
      <c r="G413" s="11"/>
      <c r="H413" s="11"/>
      <c r="I413" s="5"/>
      <c r="J413" s="5"/>
      <c r="K413" s="5"/>
      <c r="L413" s="5"/>
      <c r="M413" s="5"/>
      <c r="O413" s="1"/>
      <c r="Q413" s="5"/>
      <c r="R413" s="11"/>
      <c r="S413" s="11"/>
      <c r="T413" s="11"/>
      <c r="U413" s="5"/>
      <c r="W413" s="3"/>
      <c r="X413" s="3"/>
      <c r="Z413" s="5"/>
      <c r="AA413" s="11"/>
      <c r="AB413" s="5"/>
      <c r="AC413" s="5"/>
      <c r="AE413" s="5"/>
      <c r="AI413" s="5"/>
      <c r="AK413" s="5"/>
      <c r="AL413" s="5"/>
      <c r="AM413" s="11"/>
      <c r="AN413" s="11"/>
      <c r="AO413" s="5"/>
      <c r="AP413" s="5"/>
      <c r="AR413" s="5"/>
      <c r="AT413" s="11"/>
      <c r="AV413" s="5"/>
      <c r="AW413" s="5"/>
      <c r="AY413" s="11"/>
      <c r="BA413" s="5"/>
      <c r="BB413" s="11"/>
      <c r="BC413" s="11"/>
      <c r="BD413" s="11"/>
      <c r="BF413" s="5"/>
      <c r="BG413" s="5"/>
      <c r="BH413" s="11"/>
      <c r="BI413" s="11"/>
      <c r="BK413" s="5"/>
      <c r="BL413" s="5"/>
      <c r="BM413" s="11"/>
      <c r="BN413" s="11"/>
      <c r="BO413" s="5"/>
      <c r="BP413" s="5"/>
      <c r="BQ413" s="11"/>
      <c r="BR413" s="5"/>
      <c r="BT413" s="5"/>
      <c r="BV413" s="5"/>
      <c r="BX413" s="11"/>
      <c r="BY413" s="5"/>
      <c r="BZ413" s="5"/>
      <c r="CA413" s="5"/>
      <c r="CB413" s="5"/>
      <c r="CC413" s="5"/>
      <c r="CD413" s="5"/>
      <c r="CE413" s="5"/>
      <c r="CG413" s="11"/>
      <c r="CK413" s="5"/>
      <c r="CL413" s="11"/>
      <c r="CM413" s="5"/>
      <c r="CN413" s="5"/>
      <c r="CR413" s="5"/>
      <c r="CT413" s="1"/>
      <c r="CU413" s="1"/>
      <c r="CV413" s="1"/>
      <c r="CW413" s="1"/>
      <c r="CX413" s="1"/>
      <c r="CZ413" s="1"/>
      <c r="DA413" s="1"/>
      <c r="DG413" s="11"/>
      <c r="DI413" s="11"/>
      <c r="DR413" s="5"/>
      <c r="DS413" s="11"/>
      <c r="DU413" s="5"/>
      <c r="DV413" s="11"/>
      <c r="DX413" s="5"/>
      <c r="DY413" s="11"/>
      <c r="EA413" s="11"/>
      <c r="EB413" s="11"/>
      <c r="ED413" s="11"/>
      <c r="EE413" s="11"/>
      <c r="EF413" s="11"/>
      <c r="EG413" s="11"/>
      <c r="EH413" s="5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V413" s="11"/>
      <c r="EX413" s="11"/>
      <c r="EZ413" s="11"/>
    </row>
  </sheetData>
  <mergeCells count="35">
    <mergeCell ref="AV2:AW2"/>
    <mergeCell ref="B9:M9"/>
    <mergeCell ref="AK9:AP9"/>
    <mergeCell ref="DR9:EB9"/>
    <mergeCell ref="EJ9:ET9"/>
    <mergeCell ref="Q9:U9"/>
    <mergeCell ref="Z9:AG9"/>
    <mergeCell ref="W9:X9"/>
    <mergeCell ref="CK9:CP9"/>
    <mergeCell ref="CZ9:DA9"/>
    <mergeCell ref="DG9:DN9"/>
    <mergeCell ref="AV4:AW4"/>
    <mergeCell ref="DK5:DL5"/>
    <mergeCell ref="ED9:EH9"/>
    <mergeCell ref="CT9:CX9"/>
    <mergeCell ref="BA9:BD9"/>
    <mergeCell ref="FB22:FM22"/>
    <mergeCell ref="FB23:FM23"/>
    <mergeCell ref="EV4:EZ4"/>
    <mergeCell ref="FB14:FM14"/>
    <mergeCell ref="FB17:FM17"/>
    <mergeCell ref="FB16:FM16"/>
    <mergeCell ref="FB15:FM15"/>
    <mergeCell ref="FB20:FM20"/>
    <mergeCell ref="FB21:FM21"/>
    <mergeCell ref="AR9:AY9"/>
    <mergeCell ref="CZ5:DA5"/>
    <mergeCell ref="CZ6:DA6"/>
    <mergeCell ref="CZ4:DA4"/>
    <mergeCell ref="CZ7:DA7"/>
    <mergeCell ref="DK6:DL6"/>
    <mergeCell ref="DK7:DL7"/>
    <mergeCell ref="BK9:BR9"/>
    <mergeCell ref="BT9:CI9"/>
    <mergeCell ref="BF9:BI9"/>
  </mergeCells>
  <conditionalFormatting sqref="DT10:DT12 AM6:AM7 AM10 AM4 AA6:AA7 AA10 BX6:BY7 BX10:BY10 BX4:BY4 AM12:AM1048576 AO12:AQ1048576 AO4:AQ4 AO10:AQ10 AO6:AQ7">
    <cfRule type="cellIs" dxfId="92" priority="108" operator="equal">
      <formula>"NEMA"</formula>
    </cfRule>
  </conditionalFormatting>
  <conditionalFormatting sqref="DT8">
    <cfRule type="cellIs" dxfId="91" priority="100" operator="equal">
      <formula>"NEMA"</formula>
    </cfRule>
  </conditionalFormatting>
  <conditionalFormatting sqref="DT230:DT1048576 DT14:DT129">
    <cfRule type="cellIs" dxfId="90" priority="106" operator="equal">
      <formula>"NEMA"</formula>
    </cfRule>
  </conditionalFormatting>
  <conditionalFormatting sqref="DT130:DT229">
    <cfRule type="cellIs" dxfId="89" priority="105" operator="equal">
      <formula>"NEMA"</formula>
    </cfRule>
  </conditionalFormatting>
  <conditionalFormatting sqref="DT13">
    <cfRule type="cellIs" dxfId="88" priority="104" operator="equal">
      <formula>"NEMA"</formula>
    </cfRule>
  </conditionalFormatting>
  <conditionalFormatting sqref="DQ10:DQ12">
    <cfRule type="cellIs" dxfId="87" priority="94" operator="equal">
      <formula>"NEMA"</formula>
    </cfRule>
  </conditionalFormatting>
  <conditionalFormatting sqref="DQ230:DQ1048576 DQ14:DQ129">
    <cfRule type="cellIs" dxfId="86" priority="93" operator="equal">
      <formula>"NEMA"</formula>
    </cfRule>
  </conditionalFormatting>
  <conditionalFormatting sqref="DQ130:DQ229">
    <cfRule type="cellIs" dxfId="85" priority="92" operator="equal">
      <formula>"NEMA"</formula>
    </cfRule>
  </conditionalFormatting>
  <conditionalFormatting sqref="DQ13">
    <cfRule type="cellIs" dxfId="84" priority="91" operator="equal">
      <formula>"NEMA"</formula>
    </cfRule>
  </conditionalFormatting>
  <conditionalFormatting sqref="DQ8">
    <cfRule type="cellIs" dxfId="83" priority="89" operator="equal">
      <formula>"NEMA"</formula>
    </cfRule>
  </conditionalFormatting>
  <conditionalFormatting sqref="DL10:DL12">
    <cfRule type="cellIs" dxfId="82" priority="88" operator="equal">
      <formula>"NEMA"</formula>
    </cfRule>
  </conditionalFormatting>
  <conditionalFormatting sqref="DL230:DL1048576 DL14:DL129">
    <cfRule type="cellIs" dxfId="81" priority="87" operator="equal">
      <formula>"NEMA"</formula>
    </cfRule>
  </conditionalFormatting>
  <conditionalFormatting sqref="DL130:DL229">
    <cfRule type="cellIs" dxfId="80" priority="86" operator="equal">
      <formula>"NEMA"</formula>
    </cfRule>
  </conditionalFormatting>
  <conditionalFormatting sqref="DL13">
    <cfRule type="cellIs" dxfId="79" priority="85" operator="equal">
      <formula>"NEMA"</formula>
    </cfRule>
  </conditionalFormatting>
  <conditionalFormatting sqref="DL8">
    <cfRule type="cellIs" dxfId="78" priority="83" operator="equal">
      <formula>"NEMA"</formula>
    </cfRule>
  </conditionalFormatting>
  <conditionalFormatting sqref="DW11">
    <cfRule type="cellIs" dxfId="77" priority="82" operator="equal">
      <formula>"NEMA"</formula>
    </cfRule>
  </conditionalFormatting>
  <conditionalFormatting sqref="AM11 AO11:AQ11">
    <cfRule type="cellIs" dxfId="76" priority="79" operator="equal">
      <formula>"NEMA"</formula>
    </cfRule>
  </conditionalFormatting>
  <conditionalFormatting sqref="AA12:AA1048576">
    <cfRule type="cellIs" dxfId="75" priority="77" operator="equal">
      <formula>"NEMA"</formula>
    </cfRule>
  </conditionalFormatting>
  <conditionalFormatting sqref="AA11">
    <cfRule type="cellIs" dxfId="74" priority="76" operator="equal">
      <formula>"NEMA"</formula>
    </cfRule>
  </conditionalFormatting>
  <conditionalFormatting sqref="DT4">
    <cfRule type="cellIs" dxfId="73" priority="74" operator="equal">
      <formula>"NEMA"</formula>
    </cfRule>
  </conditionalFormatting>
  <conditionalFormatting sqref="DQ4">
    <cfRule type="cellIs" dxfId="72" priority="73" operator="equal">
      <formula>"NEMA"</formula>
    </cfRule>
  </conditionalFormatting>
  <conditionalFormatting sqref="DL4">
    <cfRule type="cellIs" dxfId="71" priority="72" operator="equal">
      <formula>"NEMA"</formula>
    </cfRule>
  </conditionalFormatting>
  <conditionalFormatting sqref="BY12:BY1048576">
    <cfRule type="cellIs" dxfId="70" priority="70" operator="equal">
      <formula>"NEMA"</formula>
    </cfRule>
  </conditionalFormatting>
  <conditionalFormatting sqref="BY11">
    <cfRule type="cellIs" dxfId="69" priority="69" operator="equal">
      <formula>"NEMA"</formula>
    </cfRule>
  </conditionalFormatting>
  <conditionalFormatting sqref="BX12:BX1048576">
    <cfRule type="cellIs" dxfId="68" priority="67" operator="equal">
      <formula>"NEMA"</formula>
    </cfRule>
  </conditionalFormatting>
  <conditionalFormatting sqref="BX11">
    <cfRule type="cellIs" dxfId="67" priority="66" operator="equal">
      <formula>"NEMA"</formula>
    </cfRule>
  </conditionalFormatting>
  <conditionalFormatting sqref="CE6:CE7">
    <cfRule type="cellIs" dxfId="66" priority="64" operator="equal">
      <formula>"NEMA"</formula>
    </cfRule>
  </conditionalFormatting>
  <conditionalFormatting sqref="CE11">
    <cfRule type="cellIs" dxfId="65" priority="63" operator="equal">
      <formula>"NEMA"</formula>
    </cfRule>
  </conditionalFormatting>
  <conditionalFormatting sqref="AR13:AR412">
    <cfRule type="cellIs" dxfId="64" priority="109" operator="notEqual">
      <formula>$AO13</formula>
    </cfRule>
  </conditionalFormatting>
  <conditionalFormatting sqref="DY10:EB12">
    <cfRule type="cellIs" dxfId="63" priority="59" operator="equal">
      <formula>"NEMA"</formula>
    </cfRule>
  </conditionalFormatting>
  <conditionalFormatting sqref="DY230:EB1048576 DY14:EB129">
    <cfRule type="cellIs" dxfId="62" priority="58" operator="equal">
      <formula>"NEMA"</formula>
    </cfRule>
  </conditionalFormatting>
  <conditionalFormatting sqref="DY130:EB229">
    <cfRule type="cellIs" dxfId="61" priority="57" operator="equal">
      <formula>"NEMA"</formula>
    </cfRule>
  </conditionalFormatting>
  <conditionalFormatting sqref="DY13:EB13">
    <cfRule type="cellIs" dxfId="60" priority="56" operator="equal">
      <formula>"NEMA"</formula>
    </cfRule>
  </conditionalFormatting>
  <conditionalFormatting sqref="DY8:EB8">
    <cfRule type="cellIs" dxfId="59" priority="55" operator="equal">
      <formula>"NEMA"</formula>
    </cfRule>
  </conditionalFormatting>
  <conditionalFormatting sqref="DY4:EB4">
    <cfRule type="cellIs" dxfId="58" priority="54" operator="equal">
      <formula>"NEMA"</formula>
    </cfRule>
  </conditionalFormatting>
  <conditionalFormatting sqref="EQ6:EQ7">
    <cfRule type="cellIs" dxfId="57" priority="53" operator="equal">
      <formula>"NEMA"</formula>
    </cfRule>
  </conditionalFormatting>
  <conditionalFormatting sqref="EQ11">
    <cfRule type="cellIs" dxfId="56" priority="52" operator="equal">
      <formula>"NEMA"</formula>
    </cfRule>
  </conditionalFormatting>
  <conditionalFormatting sqref="ES6:ES7">
    <cfRule type="cellIs" dxfId="55" priority="51" operator="equal">
      <formula>"NEMA"</formula>
    </cfRule>
  </conditionalFormatting>
  <conditionalFormatting sqref="ES11">
    <cfRule type="cellIs" dxfId="54" priority="50" operator="equal">
      <formula>"NEMA"</formula>
    </cfRule>
  </conditionalFormatting>
  <conditionalFormatting sqref="EU6:EU7">
    <cfRule type="cellIs" dxfId="53" priority="49" operator="equal">
      <formula>"NEMA"</formula>
    </cfRule>
  </conditionalFormatting>
  <conditionalFormatting sqref="AM3 AO3:AQ3">
    <cfRule type="cellIs" dxfId="52" priority="47" operator="equal">
      <formula>"NEMA"</formula>
    </cfRule>
  </conditionalFormatting>
  <conditionalFormatting sqref="DT3">
    <cfRule type="cellIs" dxfId="51" priority="46" operator="equal">
      <formula>"NEMA"</formula>
    </cfRule>
  </conditionalFormatting>
  <conditionalFormatting sqref="DQ3">
    <cfRule type="cellIs" dxfId="50" priority="45" operator="equal">
      <formula>"NEMA"</formula>
    </cfRule>
  </conditionalFormatting>
  <conditionalFormatting sqref="DL3">
    <cfRule type="cellIs" dxfId="49" priority="44" operator="equal">
      <formula>"NEMA"</formula>
    </cfRule>
  </conditionalFormatting>
  <conditionalFormatting sqref="AA3">
    <cfRule type="cellIs" dxfId="48" priority="43" operator="equal">
      <formula>"NEMA"</formula>
    </cfRule>
  </conditionalFormatting>
  <conditionalFormatting sqref="BY3">
    <cfRule type="cellIs" dxfId="47" priority="42" operator="equal">
      <formula>"NEMA"</formula>
    </cfRule>
  </conditionalFormatting>
  <conditionalFormatting sqref="BX3">
    <cfRule type="cellIs" dxfId="46" priority="41" operator="equal">
      <formula>"NEMA"</formula>
    </cfRule>
  </conditionalFormatting>
  <conditionalFormatting sqref="DY3:EB3">
    <cfRule type="cellIs" dxfId="45" priority="40" operator="equal">
      <formula>"NEMA"</formula>
    </cfRule>
  </conditionalFormatting>
  <conditionalFormatting sqref="AN10 AN12:AN1048576">
    <cfRule type="cellIs" dxfId="44" priority="39" operator="equal">
      <formula>"NEMA"</formula>
    </cfRule>
  </conditionalFormatting>
  <conditionalFormatting sqref="AN11">
    <cfRule type="cellIs" dxfId="43" priority="38" operator="equal">
      <formula>"NEMA"</formula>
    </cfRule>
  </conditionalFormatting>
  <conditionalFormatting sqref="AN3">
    <cfRule type="cellIs" dxfId="42" priority="35" operator="equal">
      <formula>"NEMA"</formula>
    </cfRule>
  </conditionalFormatting>
  <conditionalFormatting sqref="AN4 AN6:AN7">
    <cfRule type="cellIs" dxfId="41" priority="36" operator="equal">
      <formula>"NEMA"</formula>
    </cfRule>
  </conditionalFormatting>
  <conditionalFormatting sqref="CR13:CR412">
    <cfRule type="cellIs" dxfId="40" priority="34" operator="equal">
      <formula>"NEMA"</formula>
    </cfRule>
  </conditionalFormatting>
  <conditionalFormatting sqref="AW10 AW4 AW12:AW1048576">
    <cfRule type="cellIs" dxfId="39" priority="33" operator="equal">
      <formula>"NEMA"</formula>
    </cfRule>
  </conditionalFormatting>
  <conditionalFormatting sqref="AW11">
    <cfRule type="cellIs" dxfId="38" priority="32" operator="equal">
      <formula>"NEMA"</formula>
    </cfRule>
  </conditionalFormatting>
  <conditionalFormatting sqref="AW3">
    <cfRule type="cellIs" dxfId="37" priority="31" operator="equal">
      <formula>"NEMA"</formula>
    </cfRule>
  </conditionalFormatting>
  <conditionalFormatting sqref="EJ7">
    <cfRule type="cellIs" dxfId="36" priority="30" operator="equal">
      <formula>"NEMA"</formula>
    </cfRule>
  </conditionalFormatting>
  <conditionalFormatting sqref="EJ5">
    <cfRule type="cellIs" dxfId="35" priority="29" operator="equal">
      <formula>"NEMA"</formula>
    </cfRule>
  </conditionalFormatting>
  <conditionalFormatting sqref="EJ6">
    <cfRule type="cellIs" dxfId="34" priority="28" operator="equal">
      <formula>"NEMA"</formula>
    </cfRule>
  </conditionalFormatting>
  <conditionalFormatting sqref="AX6:AX7 AX10 AX4 AX12:AX1048576">
    <cfRule type="cellIs" dxfId="33" priority="27" operator="equal">
      <formula>"NEMA"</formula>
    </cfRule>
  </conditionalFormatting>
  <conditionalFormatting sqref="AX11">
    <cfRule type="cellIs" dxfId="32" priority="26" operator="equal">
      <formula>"NEMA"</formula>
    </cfRule>
  </conditionalFormatting>
  <conditionalFormatting sqref="AX3">
    <cfRule type="cellIs" dxfId="31" priority="25" operator="equal">
      <formula>"NEMA"</formula>
    </cfRule>
  </conditionalFormatting>
  <conditionalFormatting sqref="CO5">
    <cfRule type="cellIs" dxfId="30" priority="22" operator="equal">
      <formula>"NEMA"</formula>
    </cfRule>
  </conditionalFormatting>
  <conditionalFormatting sqref="CO6">
    <cfRule type="cellIs" dxfId="29" priority="21" operator="equal">
      <formula>"NEMA"</formula>
    </cfRule>
  </conditionalFormatting>
  <conditionalFormatting sqref="BS6">
    <cfRule type="cellIs" dxfId="28" priority="19" operator="equal">
      <formula>"NEMA"</formula>
    </cfRule>
  </conditionalFormatting>
  <conditionalFormatting sqref="BS5">
    <cfRule type="cellIs" dxfId="27" priority="20" operator="equal">
      <formula>"NEMA"</formula>
    </cfRule>
  </conditionalFormatting>
  <conditionalFormatting sqref="CO13:CO412">
    <cfRule type="cellIs" dxfId="26" priority="18" operator="equal">
      <formula>5</formula>
    </cfRule>
  </conditionalFormatting>
  <conditionalFormatting sqref="DO10:DO12">
    <cfRule type="cellIs" dxfId="25" priority="17" operator="equal">
      <formula>"NEMA"</formula>
    </cfRule>
  </conditionalFormatting>
  <conditionalFormatting sqref="DO230:DO1048576 DO14:DO129">
    <cfRule type="cellIs" dxfId="24" priority="16" operator="equal">
      <formula>"NEMA"</formula>
    </cfRule>
  </conditionalFormatting>
  <conditionalFormatting sqref="DO130:DO229">
    <cfRule type="cellIs" dxfId="23" priority="15" operator="equal">
      <formula>"NEMA"</formula>
    </cfRule>
  </conditionalFormatting>
  <conditionalFormatting sqref="DO13">
    <cfRule type="cellIs" dxfId="22" priority="14" operator="equal">
      <formula>"NEMA"</formula>
    </cfRule>
  </conditionalFormatting>
  <conditionalFormatting sqref="DO8">
    <cfRule type="cellIs" dxfId="21" priority="13" operator="equal">
      <formula>"NEMA"</formula>
    </cfRule>
  </conditionalFormatting>
  <conditionalFormatting sqref="DO4">
    <cfRule type="cellIs" dxfId="20" priority="12" operator="equal">
      <formula>"NEMA"</formula>
    </cfRule>
  </conditionalFormatting>
  <conditionalFormatting sqref="DO3">
    <cfRule type="cellIs" dxfId="19" priority="11" operator="equal">
      <formula>"NEMA"</formula>
    </cfRule>
  </conditionalFormatting>
  <conditionalFormatting sqref="BC13:BD412">
    <cfRule type="cellIs" dxfId="18" priority="10" operator="equal">
      <formula>"NEMA"</formula>
    </cfRule>
  </conditionalFormatting>
  <conditionalFormatting sqref="AY13:AY412">
    <cfRule type="cellIs" dxfId="17" priority="9" operator="notEqual">
      <formula>$AO13</formula>
    </cfRule>
  </conditionalFormatting>
  <conditionalFormatting sqref="BN6:BN7 BN10 BN4 BN12:BN1048576">
    <cfRule type="cellIs" dxfId="16" priority="8" operator="equal">
      <formula>"NEMA"</formula>
    </cfRule>
  </conditionalFormatting>
  <conditionalFormatting sqref="BN11">
    <cfRule type="cellIs" dxfId="15" priority="7" operator="equal">
      <formula>"NEMA"</formula>
    </cfRule>
  </conditionalFormatting>
  <conditionalFormatting sqref="BN3">
    <cfRule type="cellIs" dxfId="14" priority="6" operator="equal">
      <formula>"NEMA"</formula>
    </cfRule>
  </conditionalFormatting>
  <conditionalFormatting sqref="BR13:BR412">
    <cfRule type="expression" dxfId="13" priority="5">
      <formula>$BQ13=1</formula>
    </cfRule>
  </conditionalFormatting>
  <conditionalFormatting sqref="BH13:BI412">
    <cfRule type="cellIs" dxfId="12" priority="4" operator="equal">
      <formula>"NEMA"</formula>
    </cfRule>
  </conditionalFormatting>
  <conditionalFormatting sqref="BM6:BM7 BM10 BM4 BM12:BM1048576">
    <cfRule type="cellIs" dxfId="11" priority="3" operator="equal">
      <formula>"NEMA"</formula>
    </cfRule>
  </conditionalFormatting>
  <conditionalFormatting sqref="BM11">
    <cfRule type="cellIs" dxfId="10" priority="2" operator="equal">
      <formula>"NEMA"</formula>
    </cfRule>
  </conditionalFormatting>
  <conditionalFormatting sqref="BM3">
    <cfRule type="cellIs" dxfId="9" priority="1" operator="equal">
      <formula>"NEMA"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29BCA-3333-4156-85A7-C2CC5CE270A5}">
  <dimension ref="A1:Z411"/>
  <sheetViews>
    <sheetView workbookViewId="0">
      <selection activeCell="G8" sqref="G8:H29"/>
    </sheetView>
  </sheetViews>
  <sheetFormatPr defaultRowHeight="15" x14ac:dyDescent="0.25"/>
  <cols>
    <col min="1" max="1" width="2.85546875" customWidth="1"/>
    <col min="2" max="4" width="11.42578125" style="3" customWidth="1"/>
    <col min="5" max="5" width="22.85546875" style="3" customWidth="1"/>
    <col min="6" max="6" width="2.85546875" customWidth="1"/>
    <col min="7" max="7" width="25.7109375" style="3" bestFit="1" customWidth="1"/>
    <col min="8" max="8" width="17.140625" style="3" customWidth="1"/>
    <col min="9" max="9" width="2.85546875" customWidth="1"/>
    <col min="10" max="10" width="5.7109375" style="1" customWidth="1"/>
    <col min="11" max="11" width="2.85546875" customWidth="1"/>
    <col min="12" max="12" width="11.42578125" style="3" customWidth="1"/>
    <col min="13" max="13" width="9.140625" style="1" customWidth="1"/>
    <col min="14" max="15" width="10.28515625" style="1" customWidth="1"/>
    <col min="16" max="16" width="20.5703125" style="3" customWidth="1"/>
    <col min="17" max="21" width="8" style="4" customWidth="1"/>
    <col min="22" max="22" width="2.85546875" customWidth="1"/>
    <col min="23" max="23" width="17.140625" style="3" customWidth="1"/>
    <col min="24" max="24" width="2.85546875" customWidth="1"/>
    <col min="25" max="25" width="22.85546875" style="3" customWidth="1"/>
    <col min="26" max="26" width="2.85546875" customWidth="1"/>
  </cols>
  <sheetData>
    <row r="1" spans="1:26" ht="15.75" thickBot="1" x14ac:dyDescent="0.3"/>
    <row r="2" spans="1:26" ht="32.25" thickBot="1" x14ac:dyDescent="0.55000000000000004">
      <c r="B2" s="309" t="s">
        <v>46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0"/>
      <c r="Q2" s="310"/>
      <c r="R2" s="310"/>
      <c r="S2" s="310"/>
      <c r="T2" s="310"/>
      <c r="U2" s="310"/>
      <c r="V2" s="310"/>
      <c r="W2" s="310"/>
      <c r="X2" s="310"/>
      <c r="Y2" s="311"/>
    </row>
    <row r="3" spans="1:26" ht="15.75" thickBot="1" x14ac:dyDescent="0.3"/>
    <row r="4" spans="1:26" ht="21.75" thickBot="1" x14ac:dyDescent="0.4">
      <c r="B4" s="312" t="s">
        <v>147</v>
      </c>
      <c r="C4" s="313"/>
      <c r="D4" s="313"/>
      <c r="E4" s="314"/>
      <c r="F4" t="s">
        <v>0</v>
      </c>
      <c r="G4" s="318" t="s">
        <v>148</v>
      </c>
      <c r="H4" s="319"/>
      <c r="J4" s="312" t="s">
        <v>163</v>
      </c>
      <c r="K4" s="313"/>
      <c r="L4" s="313"/>
      <c r="M4" s="313"/>
      <c r="N4" s="313"/>
      <c r="O4" s="313"/>
      <c r="P4" s="313"/>
      <c r="Q4" s="313"/>
      <c r="R4" s="313"/>
      <c r="S4" s="313"/>
      <c r="T4" s="313"/>
      <c r="U4" s="314"/>
      <c r="W4" s="315" t="s">
        <v>47</v>
      </c>
      <c r="X4" s="316"/>
      <c r="Y4" s="317"/>
    </row>
    <row r="5" spans="1:26" x14ac:dyDescent="0.25">
      <c r="F5" t="s">
        <v>0</v>
      </c>
      <c r="X5" t="s">
        <v>0</v>
      </c>
    </row>
    <row r="6" spans="1:26" x14ac:dyDescent="0.25">
      <c r="B6" s="63" t="s">
        <v>75</v>
      </c>
      <c r="C6" s="71" t="s">
        <v>34</v>
      </c>
      <c r="D6" s="71" t="s">
        <v>143</v>
      </c>
      <c r="E6" s="64" t="s">
        <v>144</v>
      </c>
      <c r="F6" t="s">
        <v>0</v>
      </c>
      <c r="G6" s="25" t="s">
        <v>146</v>
      </c>
      <c r="H6" s="26" t="s">
        <v>37</v>
      </c>
      <c r="J6" s="77" t="s">
        <v>229</v>
      </c>
      <c r="L6" s="63" t="s">
        <v>157</v>
      </c>
      <c r="M6" s="68" t="s">
        <v>228</v>
      </c>
      <c r="N6" s="68" t="s">
        <v>35</v>
      </c>
      <c r="O6" s="68" t="s">
        <v>35</v>
      </c>
      <c r="P6" s="71" t="s">
        <v>36</v>
      </c>
      <c r="Q6" s="246" t="s">
        <v>38</v>
      </c>
      <c r="R6" s="246" t="s">
        <v>39</v>
      </c>
      <c r="S6" s="246" t="s">
        <v>145</v>
      </c>
      <c r="T6" s="246" t="s">
        <v>40</v>
      </c>
      <c r="U6" s="217" t="s">
        <v>16</v>
      </c>
      <c r="W6" s="247" t="s">
        <v>50</v>
      </c>
      <c r="X6" t="s">
        <v>0</v>
      </c>
      <c r="Y6" s="247" t="s">
        <v>219</v>
      </c>
      <c r="Z6" t="s">
        <v>0</v>
      </c>
    </row>
    <row r="7" spans="1:26" ht="7.5" customHeight="1" thickBot="1" x14ac:dyDescent="0.3">
      <c r="F7" t="s">
        <v>0</v>
      </c>
      <c r="G7" s="248"/>
      <c r="H7" s="248"/>
      <c r="N7" s="249">
        <f>data_max_staza_id</f>
        <v>12</v>
      </c>
      <c r="O7" s="249">
        <f>data_max_staza_id</f>
        <v>12</v>
      </c>
      <c r="Q7" s="250"/>
      <c r="R7" s="250"/>
      <c r="S7" s="250"/>
      <c r="T7" s="250"/>
      <c r="W7" s="248"/>
      <c r="X7" t="s">
        <v>0</v>
      </c>
      <c r="Y7" s="251"/>
      <c r="Z7" t="s">
        <v>0</v>
      </c>
    </row>
    <row r="8" spans="1:26" ht="16.5" thickTop="1" thickBot="1" x14ac:dyDescent="0.3">
      <c r="B8" s="50" t="str">
        <f>IF(csv!F3="","",csv!T3)</f>
        <v>M12</v>
      </c>
      <c r="C8" s="28" t="str">
        <f>IF(csv!F3="","",csv!AO3)</f>
        <v>M12</v>
      </c>
      <c r="D8" s="28" t="str">
        <f>IF(csv!F3="","",csv!AP3&amp;"–"&amp;csv!AQ3&amp;"–"&amp;csv!AR3)</f>
        <v>1.93–30–7</v>
      </c>
      <c r="E8" s="65" t="str">
        <f>IF(B8="","",csv!AV3&amp;"–"&amp;csv!AX3&amp;"–"&amp;csv!AZ3&amp;"–"&amp;csv!BB3&amp;"–"&amp;csv!BD3&amp;"–"&amp;csv!BF3&amp;"–"&amp;csv!BH3&amp;"–"&amp;csv!BJ3&amp;"–"&amp;csv!BL3&amp;"–"&amp;csv!BN3&amp;"–"&amp;csv!BP3&amp;"–"&amp;csv!BR3&amp;"–"&amp;csv!BT3&amp;"–"&amp;csv!BV3&amp;"–"&amp;csv!BX3&amp;"–"&amp;csv!BZ3&amp;"–"&amp;csv!CB3&amp;"–"&amp;csv!CD3&amp;"–"&amp;csv!CF3&amp;"–"&amp;csv!CH3&amp;"–"&amp;csv!CJ3&amp;"–"&amp;csv!CL3&amp;"–"&amp;csv!CN3&amp;"–"&amp;csv!CP3&amp;"–"&amp;csv!CR3&amp;"–"&amp;csv!CT3&amp;"–"&amp;csv!CV3&amp;"–"&amp;csv!CX2&amp;"–"&amp;csv!CZ2)</f>
        <v>35–59–60–66–34–38–100––––––––––––––––––––––</v>
      </c>
      <c r="F8" t="s">
        <v>0</v>
      </c>
      <c r="G8" s="100" t="s">
        <v>885</v>
      </c>
      <c r="H8" s="102">
        <v>11</v>
      </c>
      <c r="J8" s="252">
        <f t="shared" ref="J8:J39" si="0">IF(U8="","",IF(H8=H7,J7,U8))</f>
        <v>1</v>
      </c>
      <c r="L8" s="50" t="str">
        <f t="shared" ref="L8:L39" si="1">IF(G8="","",INDEX(regKategorija_oznaka,MATCH(INDEX(natKategorija_katRegId,MATCH(G8,natKategorija_kategorija,0)),regKategorija_id,0)))</f>
        <v>M21A</v>
      </c>
      <c r="M8" s="72">
        <f t="shared" ref="M8:M39" si="2">IF(L8="","",INDEX(regKategorija_rbr,MATCH(L8,regKategorija_oznaka,0)))</f>
        <v>1</v>
      </c>
      <c r="N8" s="72">
        <f>IF(H8="","",IF(COUNTIF(H$7:H7,H8)=0,MAX(N$7:N7)+1,MAX(N$7:N7)))</f>
        <v>13</v>
      </c>
      <c r="O8" s="72">
        <f>IF(N8="","",IF(N8&lt;&gt;N7,N8,""))</f>
        <v>13</v>
      </c>
      <c r="P8" s="28" t="str">
        <f t="shared" ref="P8:P39" si="3">IF(L8="","",IF(H8&lt;&gt;H9,L8,L8&amp;" – "&amp;P9))</f>
        <v>M21A</v>
      </c>
      <c r="Q8" s="253" t="str">
        <f t="shared" ref="Q8:Q39" si="4">IF(O8="","",INDEX(csv,MATCH($G8,nat_kategorija,0),41))</f>
        <v>9.14</v>
      </c>
      <c r="R8" s="253">
        <f>IF(Q8="","",VALUE(SUBSTITUTE(Q8,".",","))*1000)</f>
        <v>9140</v>
      </c>
      <c r="S8" s="253" t="str">
        <f t="shared" ref="S8:S39" si="5">IF(O8="","",INDEX(csv,MATCH($G8,nat_kategorija,0),42))</f>
        <v>460</v>
      </c>
      <c r="T8" s="253" t="str">
        <f t="shared" ref="T8:T39" si="6">IF(O8="","",INDEX(csv,MATCH($G8,nat_kategorija,0),43))</f>
        <v>17</v>
      </c>
      <c r="U8" s="29">
        <f t="shared" ref="U8:U39" si="7">IF(L8="","",IF(H8&lt;&gt;H9,M8,MIN(M8,IF(U9="",9999,U9))))</f>
        <v>1</v>
      </c>
      <c r="W8" s="254" t="str">
        <f t="shared" ref="W8:W39" si="8">IF(O8="","","INSERT INTO staza (id,trka_id,naziv,duljina,uspon,broj_kontrola,rbr) VALUES ("&amp;O8&amp;","&amp;data_trka_id&amp;",'"&amp;P8&amp;"',"&amp;R8&amp;","&amp;S8&amp;","&amp;T8&amp;","&amp;U8&amp;");")</f>
        <v>INSERT INTO staza (id,trka_id,naziv,duljina,uspon,broj_kontrola,rbr) VALUES (13,1002,'M21A',9140,460,17,1);</v>
      </c>
      <c r="X8" t="s">
        <v>0</v>
      </c>
      <c r="Y8" s="255" t="str">
        <f t="shared" ref="Y8:Y56" si="9">W8&amp;IF(Y9="","","
"&amp;Y9)</f>
        <v>INSERT INTO staza (id,trka_id,naziv,duljina,uspon,broj_kontrola,rbr) VALUES (13,1002,'M21A',9140,460,17,1);
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8" t="s">
        <v>0</v>
      </c>
    </row>
    <row r="9" spans="1:26" ht="15.75" thickTop="1" x14ac:dyDescent="0.25">
      <c r="B9" s="52" t="str">
        <f>IF(csv!F4="","",csv!T4)</f>
        <v>M12</v>
      </c>
      <c r="C9" s="31" t="str">
        <f>IF(csv!F4="","",csv!AO4)</f>
        <v>M12</v>
      </c>
      <c r="D9" s="31" t="str">
        <f>IF(csv!F4="","",csv!AP4&amp;"–"&amp;csv!AQ4&amp;"–"&amp;csv!AR4)</f>
        <v>1.93–30–7</v>
      </c>
      <c r="E9" s="66" t="str">
        <f>IF(csv!AV4&amp;csv!AX4&amp;csv!AZ4&amp;csv!BB4&amp;csv!BD4="","",csv!AV4&amp;"–"&amp;csv!AX4&amp;"–"&amp;csv!AZ4&amp;"–"&amp;csv!BB4&amp;"–"&amp;csv!BD4&amp;"–"&amp;csv!BF4&amp;"–"&amp;csv!BH4&amp;"–"&amp;csv!BJ4&amp;"–"&amp;csv!BL4&amp;"–"&amp;csv!BN4&amp;"–"&amp;csv!BP4&amp;"–"&amp;csv!BR4&amp;"–"&amp;csv!BT4&amp;"–"&amp;csv!BV4&amp;"–"&amp;csv!BX4&amp;"–"&amp;csv!BZ4&amp;"–"&amp;csv!CB4&amp;"–"&amp;csv!CD4&amp;"–"&amp;csv!CF4&amp;"–"&amp;csv!CH4&amp;"–"&amp;csv!CJ4&amp;"–"&amp;csv!CL4&amp;"–"&amp;csv!CN4&amp;"–"&amp;csv!CP4&amp;"–"&amp;csv!CR4&amp;"–"&amp;csv!CT4&amp;"–"&amp;csv!CV4&amp;"–"&amp;csv!CX3&amp;"–"&amp;csv!CZ3)</f>
        <v>35–59–60–66–34–38–100––––––––––––––––––––––</v>
      </c>
      <c r="F9" t="s">
        <v>0</v>
      </c>
      <c r="G9" s="103" t="s">
        <v>3000</v>
      </c>
      <c r="H9" s="105">
        <v>7</v>
      </c>
      <c r="J9" s="256">
        <f t="shared" si="0"/>
        <v>2</v>
      </c>
      <c r="L9" s="52" t="str">
        <f t="shared" si="1"/>
        <v>Ž21A</v>
      </c>
      <c r="M9" s="73">
        <f t="shared" si="2"/>
        <v>2</v>
      </c>
      <c r="N9" s="73">
        <f>IF(H9="","",IF(COUNTIF(H$7:H8,H9)=0,MAX(N$7:N8)+1,MAX(N$7:N8)))</f>
        <v>14</v>
      </c>
      <c r="O9" s="73">
        <f t="shared" ref="O9:O72" si="10">IF(N9="","",IF(N9&lt;&gt;N8,N9,""))</f>
        <v>14</v>
      </c>
      <c r="P9" s="31" t="str">
        <f t="shared" si="3"/>
        <v>Ž21A</v>
      </c>
      <c r="Q9" s="257" t="str">
        <f t="shared" si="4"/>
        <v>5.91</v>
      </c>
      <c r="R9" s="257">
        <f t="shared" ref="R9:R57" si="11">IF(Q9="","",VALUE(SUBSTITUTE(Q9,".",","))*1000)</f>
        <v>5910</v>
      </c>
      <c r="S9" s="257" t="str">
        <f t="shared" si="5"/>
        <v>270</v>
      </c>
      <c r="T9" s="257" t="str">
        <f t="shared" si="6"/>
        <v>12</v>
      </c>
      <c r="U9" s="32">
        <f t="shared" si="7"/>
        <v>2</v>
      </c>
      <c r="W9" s="19" t="str">
        <f t="shared" si="8"/>
        <v>INSERT INTO staza (id,trka_id,naziv,duljina,uspon,broj_kontrola,rbr) VALUES (14,1002,'Ž21A',5910,270,12,2);</v>
      </c>
      <c r="X9" t="s">
        <v>0</v>
      </c>
      <c r="Y9" s="258" t="str">
        <f t="shared" si="9"/>
        <v>INSERT INTO staza (id,trka_id,naziv,duljina,uspon,broj_kontrola,rbr) VALUES (14,1002,'Ž21A',5910,270,12,2);
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9" t="s">
        <v>0</v>
      </c>
    </row>
    <row r="10" spans="1:26" x14ac:dyDescent="0.25">
      <c r="A10" s="21"/>
      <c r="B10" s="52" t="str">
        <f>IF(csv!F5="","",csv!T5)</f>
        <v>M12</v>
      </c>
      <c r="C10" s="31" t="str">
        <f>IF(csv!F5="","",csv!AO5)</f>
        <v>M12</v>
      </c>
      <c r="D10" s="31" t="str">
        <f>IF(csv!F5="","",csv!AP5&amp;"–"&amp;csv!AQ5&amp;"–"&amp;csv!AR5)</f>
        <v>1.93–30–7</v>
      </c>
      <c r="E10" s="66" t="str">
        <f>IF(csv!AV5&amp;csv!AX5&amp;csv!AZ5&amp;csv!BB5&amp;csv!BD5="","",csv!AV5&amp;"–"&amp;csv!AX5&amp;"–"&amp;csv!AZ5&amp;"–"&amp;csv!BB5&amp;"–"&amp;csv!BD5&amp;"–"&amp;csv!BF5&amp;"–"&amp;csv!BH5&amp;"–"&amp;csv!BJ5&amp;"–"&amp;csv!BL5&amp;"–"&amp;csv!BN5&amp;"–"&amp;csv!BP5&amp;"–"&amp;csv!BR5&amp;"–"&amp;csv!BT5&amp;"–"&amp;csv!BV5&amp;"–"&amp;csv!BX5&amp;"–"&amp;csv!BZ5&amp;"–"&amp;csv!CB5&amp;"–"&amp;csv!CD5&amp;"–"&amp;csv!CF5&amp;"–"&amp;csv!CH5&amp;"–"&amp;csv!CJ5&amp;"–"&amp;csv!CL5&amp;"–"&amp;csv!CN5&amp;"–"&amp;csv!CP5&amp;"–"&amp;csv!CR5&amp;"–"&amp;csv!CT5&amp;"–"&amp;csv!CV5&amp;"–"&amp;csv!CX4&amp;"–"&amp;csv!CZ4)</f>
        <v>35–59–60–66–34–38–100––––––––––––––––––––––</v>
      </c>
      <c r="F10" t="s">
        <v>0</v>
      </c>
      <c r="G10" s="103" t="s">
        <v>2402</v>
      </c>
      <c r="H10" s="105">
        <v>14</v>
      </c>
      <c r="J10" s="256">
        <f t="shared" si="0"/>
        <v>3</v>
      </c>
      <c r="L10" s="52" t="str">
        <f t="shared" si="1"/>
        <v>M70</v>
      </c>
      <c r="M10" s="73">
        <f t="shared" si="2"/>
        <v>3</v>
      </c>
      <c r="N10" s="73">
        <f>IF(H10="","",IF(COUNTIF(H$7:H9,H10)=0,MAX(N$7:N9)+1,MAX(N$7:N9)))</f>
        <v>15</v>
      </c>
      <c r="O10" s="73">
        <f t="shared" si="10"/>
        <v>15</v>
      </c>
      <c r="P10" s="31" t="str">
        <f t="shared" si="3"/>
        <v>M70 – M65</v>
      </c>
      <c r="Q10" s="257" t="str">
        <f t="shared" si="4"/>
        <v>3.17</v>
      </c>
      <c r="R10" s="257">
        <f t="shared" si="11"/>
        <v>3170</v>
      </c>
      <c r="S10" s="257" t="str">
        <f t="shared" si="5"/>
        <v>95</v>
      </c>
      <c r="T10" s="257" t="str">
        <f t="shared" si="6"/>
        <v>6</v>
      </c>
      <c r="U10" s="32">
        <f t="shared" si="7"/>
        <v>3</v>
      </c>
      <c r="W10" s="19" t="str">
        <f t="shared" si="8"/>
        <v>INSERT INTO staza (id,trka_id,naziv,duljina,uspon,broj_kontrola,rbr) VALUES (15,1002,'M70 – M65',3170,95,6,3);</v>
      </c>
      <c r="X10" t="s">
        <v>0</v>
      </c>
      <c r="Y10" s="19" t="str">
        <f t="shared" si="9"/>
        <v>INSERT INTO staza (id,trka_id,naziv,duljina,uspon,broj_kontrola,rbr) VALUES (15,1002,'M70 – M65',3170,95,6,3);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0" t="s">
        <v>0</v>
      </c>
    </row>
    <row r="11" spans="1:26" x14ac:dyDescent="0.25">
      <c r="B11" s="52" t="str">
        <f>IF(csv!F6="","",csv!T6)</f>
        <v>M12</v>
      </c>
      <c r="C11" s="31" t="str">
        <f>IF(csv!F6="","",csv!AO6)</f>
        <v>M12</v>
      </c>
      <c r="D11" s="31" t="str">
        <f>IF(csv!F6="","",csv!AP6&amp;"–"&amp;csv!AQ6&amp;"–"&amp;csv!AR6)</f>
        <v>1.93–30–7</v>
      </c>
      <c r="E11" s="66" t="str">
        <f>IF(csv!AV6&amp;csv!AX6&amp;csv!AZ6&amp;csv!BB6&amp;csv!BD6="","",csv!AV6&amp;"–"&amp;csv!AX6&amp;"–"&amp;csv!AZ6&amp;"–"&amp;csv!BB6&amp;"–"&amp;csv!BD6&amp;"–"&amp;csv!BF6&amp;"–"&amp;csv!BH6&amp;"–"&amp;csv!BJ6&amp;"–"&amp;csv!BL6&amp;"–"&amp;csv!BN6&amp;"–"&amp;csv!BP6&amp;"–"&amp;csv!BR6&amp;"–"&amp;csv!BT6&amp;"–"&amp;csv!BV6&amp;"–"&amp;csv!BX6&amp;"–"&amp;csv!BZ6&amp;"–"&amp;csv!CB6&amp;"–"&amp;csv!CD6&amp;"–"&amp;csv!CF6&amp;"–"&amp;csv!CH6&amp;"–"&amp;csv!CJ6&amp;"–"&amp;csv!CL6&amp;"–"&amp;csv!CN6&amp;"–"&amp;csv!CP6&amp;"–"&amp;csv!CR6&amp;"–"&amp;csv!CT6&amp;"–"&amp;csv!CV6&amp;"–"&amp;csv!CX5&amp;"–"&amp;csv!CZ5)</f>
        <v>35–59–60–66–34–38–100––––––––––––––––––––––</v>
      </c>
      <c r="F11" t="s">
        <v>0</v>
      </c>
      <c r="G11" s="103" t="s">
        <v>2366</v>
      </c>
      <c r="H11" s="105">
        <v>14</v>
      </c>
      <c r="J11" s="256">
        <f t="shared" si="0"/>
        <v>3</v>
      </c>
      <c r="L11" s="52" t="str">
        <f t="shared" si="1"/>
        <v>M65</v>
      </c>
      <c r="M11" s="73">
        <f t="shared" si="2"/>
        <v>4</v>
      </c>
      <c r="N11" s="73">
        <f>IF(H11="","",IF(COUNTIF(H$7:H10,H11)=0,MAX(N$7:N10)+1,MAX(N$7:N10)))</f>
        <v>15</v>
      </c>
      <c r="O11" s="73" t="str">
        <f t="shared" si="10"/>
        <v/>
      </c>
      <c r="P11" s="31" t="str">
        <f t="shared" si="3"/>
        <v>M65</v>
      </c>
      <c r="Q11" s="257" t="str">
        <f t="shared" ref="Q11:Q15" si="12">IF(O11="","",INDEX(csv,MATCH($G11,nat_kategorija,0),41))</f>
        <v/>
      </c>
      <c r="R11" s="257" t="str">
        <f t="shared" ref="R11:R15" si="13">IF(Q11="","",VALUE(SUBSTITUTE(Q11,".",","))*1000)</f>
        <v/>
      </c>
      <c r="S11" s="257" t="str">
        <f t="shared" ref="S11:S15" si="14">IF(O11="","",INDEX(csv,MATCH($G11,nat_kategorija,0),42))</f>
        <v/>
      </c>
      <c r="T11" s="257" t="str">
        <f t="shared" si="6"/>
        <v/>
      </c>
      <c r="U11" s="32">
        <f t="shared" si="7"/>
        <v>4</v>
      </c>
      <c r="W11" s="19" t="str">
        <f t="shared" si="8"/>
        <v/>
      </c>
      <c r="X11" t="s">
        <v>0</v>
      </c>
      <c r="Y11" s="19" t="str">
        <f t="shared" si="9"/>
        <v xml:space="preserve">
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1" t="s">
        <v>0</v>
      </c>
    </row>
    <row r="12" spans="1:26" x14ac:dyDescent="0.25">
      <c r="A12" t="s">
        <v>0</v>
      </c>
      <c r="B12" s="52" t="str">
        <f>IF(csv!F7="","",csv!T7)</f>
        <v>M12</v>
      </c>
      <c r="C12" s="31" t="str">
        <f>IF(csv!F7="","",csv!AO7)</f>
        <v>M12</v>
      </c>
      <c r="D12" s="31" t="str">
        <f>IF(csv!F7="","",csv!AP7&amp;"–"&amp;csv!AQ7&amp;"–"&amp;csv!AR7)</f>
        <v>1.93–30–7</v>
      </c>
      <c r="E12" s="66" t="str">
        <f>IF(csv!AV7&amp;csv!AX7&amp;csv!AZ7&amp;csv!BB7&amp;csv!BD7="","",csv!AV7&amp;"–"&amp;csv!AX7&amp;"–"&amp;csv!AZ7&amp;"–"&amp;csv!BB7&amp;"–"&amp;csv!BD7&amp;"–"&amp;csv!BF7&amp;"–"&amp;csv!BH7&amp;"–"&amp;csv!BJ7&amp;"–"&amp;csv!BL7&amp;"–"&amp;csv!BN7&amp;"–"&amp;csv!BP7&amp;"–"&amp;csv!BR7&amp;"–"&amp;csv!BT7&amp;"–"&amp;csv!BV7&amp;"–"&amp;csv!BX7&amp;"–"&amp;csv!BZ7&amp;"–"&amp;csv!CB7&amp;"–"&amp;csv!CD7&amp;"–"&amp;csv!CF7&amp;"–"&amp;csv!CH7&amp;"–"&amp;csv!CJ7&amp;"–"&amp;csv!CL7&amp;"–"&amp;csv!CN7&amp;"–"&amp;csv!CP7&amp;"–"&amp;csv!CR7&amp;"–"&amp;csv!CT7&amp;"–"&amp;csv!CV7&amp;"–"&amp;csv!CX6&amp;"–"&amp;csv!CZ6)</f>
        <v>35–59–60–66–34–38–100––––––––––––––––––––––</v>
      </c>
      <c r="F12" t="s">
        <v>0</v>
      </c>
      <c r="G12" s="103" t="s">
        <v>2194</v>
      </c>
      <c r="H12" s="105">
        <v>1</v>
      </c>
      <c r="J12" s="256">
        <f t="shared" si="0"/>
        <v>5</v>
      </c>
      <c r="L12" s="52" t="str">
        <f t="shared" si="1"/>
        <v>M55</v>
      </c>
      <c r="M12" s="73">
        <f t="shared" si="2"/>
        <v>5</v>
      </c>
      <c r="N12" s="73">
        <f>IF(H12="","",IF(COUNTIF(H$7:H11,H12)=0,MAX(N$7:N11)+1,MAX(N$7:N11)))</f>
        <v>16</v>
      </c>
      <c r="O12" s="73">
        <f t="shared" si="10"/>
        <v>16</v>
      </c>
      <c r="P12" s="31" t="str">
        <f t="shared" si="3"/>
        <v>M55</v>
      </c>
      <c r="Q12" s="257" t="str">
        <f t="shared" si="12"/>
        <v>3.63</v>
      </c>
      <c r="R12" s="257">
        <f t="shared" si="13"/>
        <v>3630</v>
      </c>
      <c r="S12" s="257" t="str">
        <f t="shared" si="14"/>
        <v>150</v>
      </c>
      <c r="T12" s="257" t="str">
        <f t="shared" si="6"/>
        <v>7</v>
      </c>
      <c r="U12" s="32">
        <f t="shared" si="7"/>
        <v>5</v>
      </c>
      <c r="W12" s="19" t="str">
        <f t="shared" si="8"/>
        <v>INSERT INTO staza (id,trka_id,naziv,duljina,uspon,broj_kontrola,rbr) VALUES (16,1002,'M55',3630,150,7,5);</v>
      </c>
      <c r="X12" t="s">
        <v>0</v>
      </c>
      <c r="Y12" s="19" t="str">
        <f t="shared" si="9"/>
        <v>INSERT INTO staza (id,trka_id,naziv,duljina,uspon,broj_kontrola,rbr) VALUES (16,1002,'M55',3630,150,7,5);
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2" t="s">
        <v>0</v>
      </c>
    </row>
    <row r="13" spans="1:26" x14ac:dyDescent="0.25">
      <c r="A13" t="s">
        <v>0</v>
      </c>
      <c r="B13" s="52" t="str">
        <f>IF(csv!F8="","",csv!T8)</f>
        <v>M12</v>
      </c>
      <c r="C13" s="31" t="str">
        <f>IF(csv!F8="","",csv!AO8)</f>
        <v>M12</v>
      </c>
      <c r="D13" s="31" t="str">
        <f>IF(csv!F8="","",csv!AP8&amp;"–"&amp;csv!AQ8&amp;"–"&amp;csv!AR8)</f>
        <v>1.93–30–7</v>
      </c>
      <c r="E13" s="66" t="str">
        <f>IF(csv!AV8&amp;csv!AX8&amp;csv!AZ8&amp;csv!BB8&amp;csv!BD8="","",csv!AV8&amp;"–"&amp;csv!AX8&amp;"–"&amp;csv!AZ8&amp;"–"&amp;csv!BB8&amp;"–"&amp;csv!BD8&amp;"–"&amp;csv!BF8&amp;"–"&amp;csv!BH8&amp;"–"&amp;csv!BJ8&amp;"–"&amp;csv!BL8&amp;"–"&amp;csv!BN8&amp;"–"&amp;csv!BP8&amp;"–"&amp;csv!BR8&amp;"–"&amp;csv!BT8&amp;"–"&amp;csv!BV8&amp;"–"&amp;csv!BX8&amp;"–"&amp;csv!BZ8&amp;"–"&amp;csv!CB8&amp;"–"&amp;csv!CD8&amp;"–"&amp;csv!CF8&amp;"–"&amp;csv!CH8&amp;"–"&amp;csv!CJ8&amp;"–"&amp;csv!CL8&amp;"–"&amp;csv!CN8&amp;"–"&amp;csv!CP8&amp;"–"&amp;csv!CR8&amp;"–"&amp;csv!CT8&amp;"–"&amp;csv!CV8&amp;"–"&amp;csv!CX7&amp;"–"&amp;csv!CZ7)</f>
        <v/>
      </c>
      <c r="F13" t="s">
        <v>0</v>
      </c>
      <c r="G13" s="103" t="s">
        <v>1908</v>
      </c>
      <c r="H13" s="105">
        <v>12</v>
      </c>
      <c r="J13" s="256">
        <f t="shared" si="0"/>
        <v>6</v>
      </c>
      <c r="L13" s="52" t="str">
        <f t="shared" si="1"/>
        <v>M45</v>
      </c>
      <c r="M13" s="73">
        <f t="shared" si="2"/>
        <v>6</v>
      </c>
      <c r="N13" s="73">
        <f>IF(H13="","",IF(COUNTIF(H$7:H12,H13)=0,MAX(N$7:N12)+1,MAX(N$7:N12)))</f>
        <v>17</v>
      </c>
      <c r="O13" s="73">
        <f t="shared" si="10"/>
        <v>17</v>
      </c>
      <c r="P13" s="31" t="str">
        <f t="shared" si="3"/>
        <v>M45</v>
      </c>
      <c r="Q13" s="257" t="str">
        <f t="shared" si="12"/>
        <v>4.77</v>
      </c>
      <c r="R13" s="257">
        <f t="shared" si="13"/>
        <v>4770</v>
      </c>
      <c r="S13" s="257" t="str">
        <f t="shared" si="14"/>
        <v>240</v>
      </c>
      <c r="T13" s="257" t="str">
        <f t="shared" si="6"/>
        <v>8</v>
      </c>
      <c r="U13" s="32">
        <f t="shared" si="7"/>
        <v>6</v>
      </c>
      <c r="W13" s="19" t="str">
        <f t="shared" si="8"/>
        <v>INSERT INTO staza (id,trka_id,naziv,duljina,uspon,broj_kontrola,rbr) VALUES (17,1002,'M45',4770,240,8,6);</v>
      </c>
      <c r="X13" t="s">
        <v>0</v>
      </c>
      <c r="Y13" s="19" t="str">
        <f t="shared" si="9"/>
        <v>INSERT INTO staza (id,trka_id,naziv,duljina,uspon,broj_kontrola,rbr) VALUES (17,1002,'M45',4770,240,8,6);
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3" t="s">
        <v>0</v>
      </c>
    </row>
    <row r="14" spans="1:26" x14ac:dyDescent="0.25">
      <c r="A14" t="s">
        <v>0</v>
      </c>
      <c r="B14" s="52" t="str">
        <f>IF(csv!F9="","",csv!T9)</f>
        <v>M12</v>
      </c>
      <c r="C14" s="31" t="str">
        <f>IF(csv!F9="","",csv!AO9)</f>
        <v>M12</v>
      </c>
      <c r="D14" s="31" t="str">
        <f>IF(csv!F9="","",csv!AP9&amp;"–"&amp;csv!AQ9&amp;"–"&amp;csv!AR9)</f>
        <v>1.93–30–7</v>
      </c>
      <c r="E14" s="66" t="str">
        <f>IF(csv!AV9&amp;csv!AX9&amp;csv!AZ9&amp;csv!BB9&amp;csv!BD9="","",csv!AV9&amp;"–"&amp;csv!AX9&amp;"–"&amp;csv!AZ9&amp;"–"&amp;csv!BB9&amp;"–"&amp;csv!BD9&amp;"–"&amp;csv!BF9&amp;"–"&amp;csv!BH9&amp;"–"&amp;csv!BJ9&amp;"–"&amp;csv!BL9&amp;"–"&amp;csv!BN9&amp;"–"&amp;csv!BP9&amp;"–"&amp;csv!BR9&amp;"–"&amp;csv!BT9&amp;"–"&amp;csv!BV9&amp;"–"&amp;csv!BX9&amp;"–"&amp;csv!BZ9&amp;"–"&amp;csv!CB9&amp;"–"&amp;csv!CD9&amp;"–"&amp;csv!CF9&amp;"–"&amp;csv!CH9&amp;"–"&amp;csv!CJ9&amp;"–"&amp;csv!CL9&amp;"–"&amp;csv!CN9&amp;"–"&amp;csv!CP9&amp;"–"&amp;csv!CR9&amp;"–"&amp;csv!CT9&amp;"–"&amp;csv!CV9&amp;"–"&amp;csv!CX8&amp;"–"&amp;csv!CZ8)</f>
        <v/>
      </c>
      <c r="F14" t="s">
        <v>0</v>
      </c>
      <c r="G14" s="103" t="s">
        <v>1574</v>
      </c>
      <c r="H14" s="105">
        <v>6</v>
      </c>
      <c r="J14" s="256">
        <f t="shared" si="0"/>
        <v>7</v>
      </c>
      <c r="L14" s="52" t="str">
        <f t="shared" si="1"/>
        <v>M35</v>
      </c>
      <c r="M14" s="73">
        <f t="shared" si="2"/>
        <v>7</v>
      </c>
      <c r="N14" s="73">
        <f>IF(H14="","",IF(COUNTIF(H$7:H13,H14)=0,MAX(N$7:N13)+1,MAX(N$7:N13)))</f>
        <v>18</v>
      </c>
      <c r="O14" s="73">
        <f t="shared" si="10"/>
        <v>18</v>
      </c>
      <c r="P14" s="31" t="str">
        <f t="shared" si="3"/>
        <v>M35</v>
      </c>
      <c r="Q14" s="257" t="str">
        <f t="shared" si="12"/>
        <v>6.38</v>
      </c>
      <c r="R14" s="257">
        <f t="shared" si="13"/>
        <v>6380</v>
      </c>
      <c r="S14" s="257" t="str">
        <f t="shared" si="14"/>
        <v>325</v>
      </c>
      <c r="T14" s="257" t="str">
        <f t="shared" si="6"/>
        <v>13</v>
      </c>
      <c r="U14" s="32">
        <f t="shared" si="7"/>
        <v>7</v>
      </c>
      <c r="W14" s="19" t="str">
        <f t="shared" si="8"/>
        <v>INSERT INTO staza (id,trka_id,naziv,duljina,uspon,broj_kontrola,rbr) VALUES (18,1002,'M35',6380,325,13,7);</v>
      </c>
      <c r="X14" t="s">
        <v>0</v>
      </c>
      <c r="Y14" s="19" t="str">
        <f t="shared" si="9"/>
        <v>INSERT INTO staza (id,trka_id,naziv,duljina,uspon,broj_kontrola,rbr) VALUES (18,1002,'M35',6380,325,13,7);
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4" t="s">
        <v>0</v>
      </c>
    </row>
    <row r="15" spans="1:26" x14ac:dyDescent="0.25">
      <c r="A15" t="s">
        <v>0</v>
      </c>
      <c r="B15" s="52" t="str">
        <f>IF(csv!F10="","",csv!T10)</f>
        <v>M12</v>
      </c>
      <c r="C15" s="31" t="str">
        <f>IF(csv!F10="","",csv!AO10)</f>
        <v>M12</v>
      </c>
      <c r="D15" s="31" t="str">
        <f>IF(csv!F10="","",csv!AP10&amp;"–"&amp;csv!AQ10&amp;"–"&amp;csv!AR10)</f>
        <v>1.93–30–7</v>
      </c>
      <c r="E15" s="66" t="str">
        <f>IF(csv!AV10&amp;csv!AX10&amp;csv!AZ10&amp;csv!BB10&amp;csv!BD10="","",csv!AV10&amp;"–"&amp;csv!AX10&amp;"–"&amp;csv!AZ10&amp;"–"&amp;csv!BB10&amp;"–"&amp;csv!BD10&amp;"–"&amp;csv!BF10&amp;"–"&amp;csv!BH10&amp;"–"&amp;csv!BJ10&amp;"–"&amp;csv!BL10&amp;"–"&amp;csv!BN10&amp;"–"&amp;csv!BP10&amp;"–"&amp;csv!BR10&amp;"–"&amp;csv!BT10&amp;"–"&amp;csv!BV10&amp;"–"&amp;csv!BX10&amp;"–"&amp;csv!BZ10&amp;"–"&amp;csv!CB10&amp;"–"&amp;csv!CD10&amp;"–"&amp;csv!CF10&amp;"–"&amp;csv!CH10&amp;"–"&amp;csv!CJ10&amp;"–"&amp;csv!CL10&amp;"–"&amp;csv!CN10&amp;"–"&amp;csv!CP10&amp;"–"&amp;csv!CR10&amp;"–"&amp;csv!CT10&amp;"–"&amp;csv!CV10&amp;"–"&amp;csv!CX9&amp;"–"&amp;csv!CZ9)</f>
        <v/>
      </c>
      <c r="F15" t="s">
        <v>0</v>
      </c>
      <c r="G15" s="103" t="s">
        <v>1129</v>
      </c>
      <c r="H15" s="105">
        <v>13</v>
      </c>
      <c r="J15" s="256">
        <f t="shared" si="0"/>
        <v>8</v>
      </c>
      <c r="L15" s="52" t="str">
        <f t="shared" si="1"/>
        <v>M21B</v>
      </c>
      <c r="M15" s="73">
        <f t="shared" si="2"/>
        <v>8</v>
      </c>
      <c r="N15" s="73">
        <f>IF(H15="","",IF(COUNTIF(H$7:H14,H15)=0,MAX(N$7:N14)+1,MAX(N$7:N14)))</f>
        <v>19</v>
      </c>
      <c r="O15" s="73">
        <f t="shared" si="10"/>
        <v>19</v>
      </c>
      <c r="P15" s="31" t="str">
        <f t="shared" si="3"/>
        <v>M21B – M16</v>
      </c>
      <c r="Q15" s="257" t="str">
        <f t="shared" si="12"/>
        <v>3.91</v>
      </c>
      <c r="R15" s="257">
        <f t="shared" si="13"/>
        <v>3910</v>
      </c>
      <c r="S15" s="257" t="str">
        <f t="shared" si="14"/>
        <v>125</v>
      </c>
      <c r="T15" s="257" t="str">
        <f t="shared" si="6"/>
        <v>8</v>
      </c>
      <c r="U15" s="32">
        <f t="shared" si="7"/>
        <v>8</v>
      </c>
      <c r="W15" s="19" t="str">
        <f t="shared" si="8"/>
        <v>INSERT INTO staza (id,trka_id,naziv,duljina,uspon,broj_kontrola,rbr) VALUES (19,1002,'M21B – M16',3910,125,8,8);</v>
      </c>
      <c r="X15" t="s">
        <v>0</v>
      </c>
      <c r="Y15" s="19" t="str">
        <f t="shared" si="9"/>
        <v>INSERT INTO staza (id,trka_id,naziv,duljina,uspon,broj_kontrola,rbr) VALUES (19,1002,'M21B – M16',3910,125,8,8);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5" t="s">
        <v>0</v>
      </c>
    </row>
    <row r="16" spans="1:26" x14ac:dyDescent="0.25">
      <c r="A16" t="s">
        <v>0</v>
      </c>
      <c r="B16" s="52" t="str">
        <f>IF(csv!F11="","",csv!T11)</f>
        <v>M12</v>
      </c>
      <c r="C16" s="31" t="str">
        <f>IF(csv!F11="","",csv!AO11)</f>
        <v>M12</v>
      </c>
      <c r="D16" s="31" t="str">
        <f>IF(csv!F11="","",csv!AP11&amp;"–"&amp;csv!AQ11&amp;"–"&amp;csv!AR11)</f>
        <v>1.93–30–7</v>
      </c>
      <c r="E16" s="66" t="str">
        <f>IF(csv!AV11&amp;csv!AX11&amp;csv!AZ11&amp;csv!BB11&amp;csv!BD11="","",csv!AV11&amp;"–"&amp;csv!AX11&amp;"–"&amp;csv!AZ11&amp;"–"&amp;csv!BB11&amp;"–"&amp;csv!BD11&amp;"–"&amp;csv!BF11&amp;"–"&amp;csv!BH11&amp;"–"&amp;csv!BJ11&amp;"–"&amp;csv!BL11&amp;"–"&amp;csv!BN11&amp;"–"&amp;csv!BP11&amp;"–"&amp;csv!BR11&amp;"–"&amp;csv!BT11&amp;"–"&amp;csv!BV11&amp;"–"&amp;csv!BX11&amp;"–"&amp;csv!BZ11&amp;"–"&amp;csv!CB11&amp;"–"&amp;csv!CD11&amp;"–"&amp;csv!CF11&amp;"–"&amp;csv!CH11&amp;"–"&amp;csv!CJ11&amp;"–"&amp;csv!CL11&amp;"–"&amp;csv!CN11&amp;"–"&amp;csv!CP11&amp;"–"&amp;csv!CR11&amp;"–"&amp;csv!CT11&amp;"–"&amp;csv!CV11&amp;"–"&amp;csv!CX10&amp;"–"&amp;csv!CZ10)</f>
        <v/>
      </c>
      <c r="F16" t="s">
        <v>0</v>
      </c>
      <c r="G16" s="103" t="s">
        <v>651</v>
      </c>
      <c r="H16" s="105">
        <v>13</v>
      </c>
      <c r="J16" s="256">
        <f t="shared" si="0"/>
        <v>8</v>
      </c>
      <c r="L16" s="52" t="str">
        <f t="shared" si="1"/>
        <v>M16</v>
      </c>
      <c r="M16" s="73">
        <f t="shared" si="2"/>
        <v>10</v>
      </c>
      <c r="N16" s="73">
        <f>IF(H16="","",IF(COUNTIF(H$7:H15,H16)=0,MAX(N$7:N15)+1,MAX(N$7:N15)))</f>
        <v>19</v>
      </c>
      <c r="O16" s="73" t="str">
        <f t="shared" si="10"/>
        <v/>
      </c>
      <c r="P16" s="31" t="str">
        <f t="shared" si="3"/>
        <v>M16</v>
      </c>
      <c r="Q16" s="257" t="str">
        <f t="shared" si="4"/>
        <v/>
      </c>
      <c r="R16" s="257" t="str">
        <f t="shared" si="11"/>
        <v/>
      </c>
      <c r="S16" s="257" t="str">
        <f t="shared" si="5"/>
        <v/>
      </c>
      <c r="T16" s="257" t="str">
        <f t="shared" si="6"/>
        <v/>
      </c>
      <c r="U16" s="32">
        <f t="shared" si="7"/>
        <v>10</v>
      </c>
      <c r="W16" s="19" t="str">
        <f t="shared" si="8"/>
        <v/>
      </c>
      <c r="X16" t="s">
        <v>0</v>
      </c>
      <c r="Y16" s="19" t="str">
        <f t="shared" si="9"/>
        <v xml:space="preserve">
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6" t="s">
        <v>0</v>
      </c>
    </row>
    <row r="17" spans="1:26" x14ac:dyDescent="0.25">
      <c r="A17" t="s">
        <v>0</v>
      </c>
      <c r="B17" s="52" t="str">
        <f>IF(csv!F12="","",csv!T12)</f>
        <v>M12</v>
      </c>
      <c r="C17" s="31" t="str">
        <f>IF(csv!F12="","",csv!AO12)</f>
        <v>M12</v>
      </c>
      <c r="D17" s="31" t="str">
        <f>IF(csv!F12="","",csv!AP12&amp;"–"&amp;csv!AQ12&amp;"–"&amp;csv!AR12)</f>
        <v>1.93–30–7</v>
      </c>
      <c r="E17" s="66" t="str">
        <f>IF(csv!AV12&amp;csv!AX12&amp;csv!AZ12&amp;csv!BB12&amp;csv!BD12="","",csv!AV12&amp;"–"&amp;csv!AX12&amp;"–"&amp;csv!AZ12&amp;"–"&amp;csv!BB12&amp;"–"&amp;csv!BD12&amp;"–"&amp;csv!BF12&amp;"–"&amp;csv!BH12&amp;"–"&amp;csv!BJ12&amp;"–"&amp;csv!BL12&amp;"–"&amp;csv!BN12&amp;"–"&amp;csv!BP12&amp;"–"&amp;csv!BR12&amp;"–"&amp;csv!BT12&amp;"–"&amp;csv!BV12&amp;"–"&amp;csv!BX12&amp;"–"&amp;csv!BZ12&amp;"–"&amp;csv!CB12&amp;"–"&amp;csv!CD12&amp;"–"&amp;csv!CF12&amp;"–"&amp;csv!CH12&amp;"–"&amp;csv!CJ12&amp;"–"&amp;csv!CL12&amp;"–"&amp;csv!CN12&amp;"–"&amp;csv!CP12&amp;"–"&amp;csv!CR12&amp;"–"&amp;csv!CT12&amp;"–"&amp;csv!CV12&amp;"–"&amp;csv!CX11&amp;"–"&amp;csv!CZ11)</f>
        <v/>
      </c>
      <c r="F17" t="s">
        <v>0</v>
      </c>
      <c r="G17" s="103" t="s">
        <v>768</v>
      </c>
      <c r="H17" s="105">
        <v>9</v>
      </c>
      <c r="J17" s="256">
        <f t="shared" si="0"/>
        <v>9</v>
      </c>
      <c r="L17" s="52" t="str">
        <f t="shared" si="1"/>
        <v>M20</v>
      </c>
      <c r="M17" s="73">
        <f t="shared" si="2"/>
        <v>9</v>
      </c>
      <c r="N17" s="73">
        <f>IF(H17="","",IF(COUNTIF(H$7:H16,H17)=0,MAX(N$7:N16)+1,MAX(N$7:N16)))</f>
        <v>20</v>
      </c>
      <c r="O17" s="73">
        <f t="shared" si="10"/>
        <v>20</v>
      </c>
      <c r="P17" s="31" t="str">
        <f t="shared" si="3"/>
        <v>M20</v>
      </c>
      <c r="Q17" s="257" t="str">
        <f t="shared" si="4"/>
        <v>5.91</v>
      </c>
      <c r="R17" s="257">
        <f t="shared" si="11"/>
        <v>5910</v>
      </c>
      <c r="S17" s="257" t="str">
        <f t="shared" si="5"/>
        <v>290</v>
      </c>
      <c r="T17" s="257" t="str">
        <f t="shared" si="6"/>
        <v>10</v>
      </c>
      <c r="U17" s="32">
        <f t="shared" si="7"/>
        <v>9</v>
      </c>
      <c r="W17" s="19" t="str">
        <f t="shared" si="8"/>
        <v>INSERT INTO staza (id,trka_id,naziv,duljina,uspon,broj_kontrola,rbr) VALUES (20,1002,'M20',5910,290,10,9);</v>
      </c>
      <c r="X17" t="s">
        <v>0</v>
      </c>
      <c r="Y17" s="19" t="str">
        <f t="shared" si="9"/>
        <v>INSERT INTO staza (id,trka_id,naziv,duljina,uspon,broj_kontrola,rbr) VALUES (20,1002,'M20',5910,290,10,9);
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7" t="s">
        <v>0</v>
      </c>
    </row>
    <row r="18" spans="1:26" x14ac:dyDescent="0.25">
      <c r="A18" t="s">
        <v>0</v>
      </c>
      <c r="B18" s="52" t="str">
        <f>IF(csv!F13="","",csv!T13)</f>
        <v>M12</v>
      </c>
      <c r="C18" s="31" t="str">
        <f>IF(csv!F13="","",csv!AO13)</f>
        <v>M12</v>
      </c>
      <c r="D18" s="31" t="str">
        <f>IF(csv!F13="","",csv!AP13&amp;"–"&amp;csv!AQ13&amp;"–"&amp;csv!AR13)</f>
        <v>1.93–30–7</v>
      </c>
      <c r="E18" s="66" t="str">
        <f>IF(csv!AV13&amp;csv!AX13&amp;csv!AZ13&amp;csv!BB13&amp;csv!BD13="","",csv!AV13&amp;"–"&amp;csv!AX13&amp;"–"&amp;csv!AZ13&amp;"–"&amp;csv!BB13&amp;"–"&amp;csv!BD13&amp;"–"&amp;csv!BF13&amp;"–"&amp;csv!BH13&amp;"–"&amp;csv!BJ13&amp;"–"&amp;csv!BL13&amp;"–"&amp;csv!BN13&amp;"–"&amp;csv!BP13&amp;"–"&amp;csv!BR13&amp;"–"&amp;csv!BT13&amp;"–"&amp;csv!BV13&amp;"–"&amp;csv!BX13&amp;"–"&amp;csv!BZ13&amp;"–"&amp;csv!CB13&amp;"–"&amp;csv!CD13&amp;"–"&amp;csv!CF13&amp;"–"&amp;csv!CH13&amp;"–"&amp;csv!CJ13&amp;"–"&amp;csv!CL13&amp;"–"&amp;csv!CN13&amp;"–"&amp;csv!CP13&amp;"–"&amp;csv!CR13&amp;"–"&amp;csv!CT13&amp;"–"&amp;csv!CV13&amp;"–"&amp;csv!CX12&amp;"–"&amp;csv!CZ12)</f>
        <v/>
      </c>
      <c r="F18" t="s">
        <v>0</v>
      </c>
      <c r="G18" s="103" t="s">
        <v>486</v>
      </c>
      <c r="H18" s="105">
        <v>15</v>
      </c>
      <c r="J18" s="256">
        <f t="shared" si="0"/>
        <v>11</v>
      </c>
      <c r="L18" s="52" t="str">
        <f t="shared" si="1"/>
        <v>M14</v>
      </c>
      <c r="M18" s="73">
        <f t="shared" si="2"/>
        <v>11</v>
      </c>
      <c r="N18" s="73">
        <f>IF(H18="","",IF(COUNTIF(H$7:H17,H18)=0,MAX(N$7:N17)+1,MAX(N$7:N17)))</f>
        <v>21</v>
      </c>
      <c r="O18" s="73">
        <f t="shared" si="10"/>
        <v>21</v>
      </c>
      <c r="P18" s="31" t="str">
        <f t="shared" si="3"/>
        <v>M14 – Ž14</v>
      </c>
      <c r="Q18" s="257" t="str">
        <f t="shared" si="4"/>
        <v>2.77</v>
      </c>
      <c r="R18" s="257">
        <f t="shared" si="11"/>
        <v>2770</v>
      </c>
      <c r="S18" s="257" t="str">
        <f t="shared" si="5"/>
        <v>65</v>
      </c>
      <c r="T18" s="257" t="str">
        <f t="shared" si="6"/>
        <v>9</v>
      </c>
      <c r="U18" s="32">
        <f t="shared" si="7"/>
        <v>11</v>
      </c>
      <c r="W18" s="19" t="str">
        <f t="shared" si="8"/>
        <v>INSERT INTO staza (id,trka_id,naziv,duljina,uspon,broj_kontrola,rbr) VALUES (21,1002,'M14 – Ž14',2770,65,9,11);</v>
      </c>
      <c r="X18" t="s">
        <v>0</v>
      </c>
      <c r="Y18" s="19" t="str">
        <f t="shared" si="9"/>
        <v>INSERT INTO staza (id,trka_id,naziv,duljina,uspon,broj_kontrola,rbr) VALUES (21,1002,'M14 – Ž14',2770,65,9,11);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8" t="s">
        <v>0</v>
      </c>
    </row>
    <row r="19" spans="1:26" x14ac:dyDescent="0.25">
      <c r="A19" t="s">
        <v>0</v>
      </c>
      <c r="B19" s="52" t="str">
        <f>IF(csv!F14="","",csv!T14)</f>
        <v>M14</v>
      </c>
      <c r="C19" s="31" t="str">
        <f>IF(csv!F14="","",csv!AO14)</f>
        <v>M14</v>
      </c>
      <c r="D19" s="31" t="str">
        <f>IF(csv!F14="","",csv!AP14&amp;"–"&amp;csv!AQ14&amp;"–"&amp;csv!AR14)</f>
        <v>2.77–65–9</v>
      </c>
      <c r="E19" s="66" t="str">
        <f>IF(csv!AV14&amp;csv!AX14&amp;csv!AZ14&amp;csv!BB14&amp;csv!BD14="","",csv!AV14&amp;"–"&amp;csv!AX14&amp;"–"&amp;csv!AZ14&amp;"–"&amp;csv!BB14&amp;"–"&amp;csv!BD14&amp;"–"&amp;csv!BF14&amp;"–"&amp;csv!BH14&amp;"–"&amp;csv!BJ14&amp;"–"&amp;csv!BL14&amp;"–"&amp;csv!BN14&amp;"–"&amp;csv!BP14&amp;"–"&amp;csv!BR14&amp;"–"&amp;csv!BT14&amp;"–"&amp;csv!BV14&amp;"–"&amp;csv!BX14&amp;"–"&amp;csv!BZ14&amp;"–"&amp;csv!CB14&amp;"–"&amp;csv!CD14&amp;"–"&amp;csv!CF14&amp;"–"&amp;csv!CH14&amp;"–"&amp;csv!CJ14&amp;"–"&amp;csv!CL14&amp;"–"&amp;csv!CN14&amp;"–"&amp;csv!CP14&amp;"–"&amp;csv!CR14&amp;"–"&amp;csv!CT14&amp;"–"&amp;csv!CV14&amp;"–"&amp;csv!CX13&amp;"–"&amp;csv!CZ13)</f>
        <v>65–59–72–69–67–68–70–38–100––––––––––––––––––––</v>
      </c>
      <c r="F19" t="s">
        <v>0</v>
      </c>
      <c r="G19" s="103" t="s">
        <v>2731</v>
      </c>
      <c r="H19" s="105">
        <v>15</v>
      </c>
      <c r="J19" s="256">
        <f t="shared" si="0"/>
        <v>11</v>
      </c>
      <c r="L19" s="52" t="str">
        <f t="shared" si="1"/>
        <v>Ž14</v>
      </c>
      <c r="M19" s="73">
        <f t="shared" si="2"/>
        <v>21</v>
      </c>
      <c r="N19" s="73">
        <f>IF(H19="","",IF(COUNTIF(H$7:H18,H19)=0,MAX(N$7:N18)+1,MAX(N$7:N18)))</f>
        <v>21</v>
      </c>
      <c r="O19" s="73" t="str">
        <f t="shared" si="10"/>
        <v/>
      </c>
      <c r="P19" s="31" t="str">
        <f t="shared" si="3"/>
        <v>Ž14</v>
      </c>
      <c r="Q19" s="257" t="str">
        <f t="shared" si="4"/>
        <v/>
      </c>
      <c r="R19" s="257" t="str">
        <f t="shared" si="11"/>
        <v/>
      </c>
      <c r="S19" s="257" t="str">
        <f t="shared" si="5"/>
        <v/>
      </c>
      <c r="T19" s="257" t="str">
        <f t="shared" si="6"/>
        <v/>
      </c>
      <c r="U19" s="32">
        <f t="shared" si="7"/>
        <v>21</v>
      </c>
      <c r="W19" s="19" t="str">
        <f t="shared" si="8"/>
        <v/>
      </c>
      <c r="X19" t="s">
        <v>0</v>
      </c>
      <c r="Y19" s="19" t="str">
        <f t="shared" si="9"/>
        <v xml:space="preserve">
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19" t="s">
        <v>0</v>
      </c>
    </row>
    <row r="20" spans="1:26" x14ac:dyDescent="0.25">
      <c r="A20" t="s">
        <v>0</v>
      </c>
      <c r="B20" s="52" t="str">
        <f>IF(csv!F15="","",csv!T15)</f>
        <v>M14</v>
      </c>
      <c r="C20" s="31" t="str">
        <f>IF(csv!F15="","",csv!AO15)</f>
        <v>M14</v>
      </c>
      <c r="D20" s="31" t="str">
        <f>IF(csv!F15="","",csv!AP15&amp;"–"&amp;csv!AQ15&amp;"–"&amp;csv!AR15)</f>
        <v>2.77–65–9</v>
      </c>
      <c r="E20" s="66" t="str">
        <f>IF(csv!AV15&amp;csv!AX15&amp;csv!AZ15&amp;csv!BB15&amp;csv!BD15="","",csv!AV15&amp;"–"&amp;csv!AX15&amp;"–"&amp;csv!AZ15&amp;"–"&amp;csv!BB15&amp;"–"&amp;csv!BD15&amp;"–"&amp;csv!BF15&amp;"–"&amp;csv!BH15&amp;"–"&amp;csv!BJ15&amp;"–"&amp;csv!BL15&amp;"–"&amp;csv!BN15&amp;"–"&amp;csv!BP15&amp;"–"&amp;csv!BR15&amp;"–"&amp;csv!BT15&amp;"–"&amp;csv!BV15&amp;"–"&amp;csv!BX15&amp;"–"&amp;csv!BZ15&amp;"–"&amp;csv!CB15&amp;"–"&amp;csv!CD15&amp;"–"&amp;csv!CF15&amp;"–"&amp;csv!CH15&amp;"–"&amp;csv!CJ15&amp;"–"&amp;csv!CL15&amp;"–"&amp;csv!CN15&amp;"–"&amp;csv!CP15&amp;"–"&amp;csv!CR15&amp;"–"&amp;csv!CT15&amp;"–"&amp;csv!CV15&amp;"–"&amp;csv!CX14&amp;"–"&amp;csv!CZ14)</f>
        <v>65–59–72–69–67–68–70–38–100––––––––––––––––––––</v>
      </c>
      <c r="F20" t="s">
        <v>0</v>
      </c>
      <c r="G20" s="103" t="s">
        <v>363</v>
      </c>
      <c r="H20" s="105">
        <v>3</v>
      </c>
      <c r="J20" s="256">
        <f t="shared" si="0"/>
        <v>12</v>
      </c>
      <c r="L20" s="52" t="str">
        <f t="shared" si="1"/>
        <v>M12</v>
      </c>
      <c r="M20" s="73">
        <f t="shared" si="2"/>
        <v>12</v>
      </c>
      <c r="N20" s="73">
        <f>IF(H20="","",IF(COUNTIF(H$7:H19,H20)=0,MAX(N$7:N19)+1,MAX(N$7:N19)))</f>
        <v>22</v>
      </c>
      <c r="O20" s="73">
        <f t="shared" si="10"/>
        <v>22</v>
      </c>
      <c r="P20" s="31" t="str">
        <f t="shared" si="3"/>
        <v>M12 – Ž12</v>
      </c>
      <c r="Q20" s="257" t="str">
        <f t="shared" si="4"/>
        <v>1.93</v>
      </c>
      <c r="R20" s="257">
        <f t="shared" si="11"/>
        <v>1930</v>
      </c>
      <c r="S20" s="257" t="str">
        <f t="shared" si="5"/>
        <v>30</v>
      </c>
      <c r="T20" s="257" t="str">
        <f t="shared" si="6"/>
        <v>7</v>
      </c>
      <c r="U20" s="32">
        <f t="shared" si="7"/>
        <v>12</v>
      </c>
      <c r="W20" s="19" t="str">
        <f t="shared" si="8"/>
        <v>INSERT INTO staza (id,trka_id,naziv,duljina,uspon,broj_kontrola,rbr) VALUES (22,1002,'M12 – Ž12',1930,30,7,12);</v>
      </c>
      <c r="X20" t="s">
        <v>0</v>
      </c>
      <c r="Y20" s="19" t="str">
        <f t="shared" si="9"/>
        <v>INSERT INTO staza (id,trka_id,naziv,duljina,uspon,broj_kontrola,rbr) VALUES (22,1002,'M12 – Ž12',1930,30,7,12);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0" t="s">
        <v>0</v>
      </c>
    </row>
    <row r="21" spans="1:26" x14ac:dyDescent="0.25">
      <c r="A21" t="s">
        <v>0</v>
      </c>
      <c r="B21" s="52" t="str">
        <f>IF(csv!F16="","",csv!T16)</f>
        <v>M14</v>
      </c>
      <c r="C21" s="31" t="str">
        <f>IF(csv!F16="","",csv!AO16)</f>
        <v>M14</v>
      </c>
      <c r="D21" s="31" t="str">
        <f>IF(csv!F16="","",csv!AP16&amp;"–"&amp;csv!AQ16&amp;"–"&amp;csv!AR16)</f>
        <v>2.77–65–9</v>
      </c>
      <c r="E21" s="66" t="str">
        <f>IF(csv!AV16&amp;csv!AX16&amp;csv!AZ16&amp;csv!BB16&amp;csv!BD16="","",csv!AV16&amp;"–"&amp;csv!AX16&amp;"–"&amp;csv!AZ16&amp;"–"&amp;csv!BB16&amp;"–"&amp;csv!BD16&amp;"–"&amp;csv!BF16&amp;"–"&amp;csv!BH16&amp;"–"&amp;csv!BJ16&amp;"–"&amp;csv!BL16&amp;"–"&amp;csv!BN16&amp;"–"&amp;csv!BP16&amp;"–"&amp;csv!BR16&amp;"–"&amp;csv!BT16&amp;"–"&amp;csv!BV16&amp;"–"&amp;csv!BX16&amp;"–"&amp;csv!BZ16&amp;"–"&amp;csv!CB16&amp;"–"&amp;csv!CD16&amp;"–"&amp;csv!CF16&amp;"–"&amp;csv!CH16&amp;"–"&amp;csv!CJ16&amp;"–"&amp;csv!CL16&amp;"–"&amp;csv!CN16&amp;"–"&amp;csv!CP16&amp;"–"&amp;csv!CR16&amp;"–"&amp;csv!CT16&amp;"–"&amp;csv!CV16&amp;"–"&amp;csv!CX15&amp;"–"&amp;csv!CZ15)</f>
        <v>65–59–72–69–67–68–70–38–100––––––––––––––––––––</v>
      </c>
      <c r="F21" t="s">
        <v>0</v>
      </c>
      <c r="G21" s="103" t="s">
        <v>2636</v>
      </c>
      <c r="H21" s="105">
        <v>3</v>
      </c>
      <c r="J21" s="256">
        <f t="shared" si="0"/>
        <v>12</v>
      </c>
      <c r="L21" s="52" t="str">
        <f t="shared" si="1"/>
        <v>Ž12</v>
      </c>
      <c r="M21" s="73">
        <f t="shared" si="2"/>
        <v>22</v>
      </c>
      <c r="N21" s="73">
        <f>IF(H21="","",IF(COUNTIF(H$7:H20,H21)=0,MAX(N$7:N20)+1,MAX(N$7:N20)))</f>
        <v>22</v>
      </c>
      <c r="O21" s="73" t="str">
        <f t="shared" si="10"/>
        <v/>
      </c>
      <c r="P21" s="31" t="str">
        <f t="shared" si="3"/>
        <v>Ž12</v>
      </c>
      <c r="Q21" s="257" t="str">
        <f t="shared" si="4"/>
        <v/>
      </c>
      <c r="R21" s="257" t="str">
        <f t="shared" si="11"/>
        <v/>
      </c>
      <c r="S21" s="257" t="str">
        <f t="shared" si="5"/>
        <v/>
      </c>
      <c r="T21" s="257" t="str">
        <f t="shared" si="6"/>
        <v/>
      </c>
      <c r="U21" s="32">
        <f t="shared" si="7"/>
        <v>22</v>
      </c>
      <c r="W21" s="19" t="str">
        <f t="shared" si="8"/>
        <v/>
      </c>
      <c r="X21" t="s">
        <v>0</v>
      </c>
      <c r="Y21" s="19" t="str">
        <f t="shared" si="9"/>
        <v xml:space="preserve">
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1" t="s">
        <v>0</v>
      </c>
    </row>
    <row r="22" spans="1:26" x14ac:dyDescent="0.25">
      <c r="A22" t="s">
        <v>0</v>
      </c>
      <c r="B22" s="52" t="str">
        <f>IF(csv!F17="","",csv!T17)</f>
        <v>M14</v>
      </c>
      <c r="C22" s="31" t="str">
        <f>IF(csv!F17="","",csv!AO17)</f>
        <v>M14</v>
      </c>
      <c r="D22" s="31" t="str">
        <f>IF(csv!F17="","",csv!AP17&amp;"–"&amp;csv!AQ17&amp;"–"&amp;csv!AR17)</f>
        <v>2.77–65–9</v>
      </c>
      <c r="E22" s="66" t="str">
        <f>IF(csv!AV17&amp;csv!AX17&amp;csv!AZ17&amp;csv!BB17&amp;csv!BD17="","",csv!AV17&amp;"–"&amp;csv!AX17&amp;"–"&amp;csv!AZ17&amp;"–"&amp;csv!BB17&amp;"–"&amp;csv!BD17&amp;"–"&amp;csv!BF17&amp;"–"&amp;csv!BH17&amp;"–"&amp;csv!BJ17&amp;"–"&amp;csv!BL17&amp;"–"&amp;csv!BN17&amp;"–"&amp;csv!BP17&amp;"–"&amp;csv!BR17&amp;"–"&amp;csv!BT17&amp;"–"&amp;csv!BV17&amp;"–"&amp;csv!BX17&amp;"–"&amp;csv!BZ17&amp;"–"&amp;csv!CB17&amp;"–"&amp;csv!CD17&amp;"–"&amp;csv!CF17&amp;"–"&amp;csv!CH17&amp;"–"&amp;csv!CJ17&amp;"–"&amp;csv!CL17&amp;"–"&amp;csv!CN17&amp;"–"&amp;csv!CP17&amp;"–"&amp;csv!CR17&amp;"–"&amp;csv!CT17&amp;"–"&amp;csv!CV17&amp;"–"&amp;csv!CX16&amp;"–"&amp;csv!CZ16)</f>
        <v>65–59–72–69–67–68–70–38–100––––––––––––––––––––</v>
      </c>
      <c r="F22" t="s">
        <v>0</v>
      </c>
      <c r="G22" s="103" t="s">
        <v>3679</v>
      </c>
      <c r="H22" s="105">
        <v>10</v>
      </c>
      <c r="J22" s="256">
        <f t="shared" si="0"/>
        <v>14</v>
      </c>
      <c r="L22" s="52" t="str">
        <f t="shared" si="1"/>
        <v>Ž65</v>
      </c>
      <c r="M22" s="73">
        <f t="shared" si="2"/>
        <v>14</v>
      </c>
      <c r="N22" s="73">
        <f>IF(H22="","",IF(COUNTIF(H$7:H21,H22)=0,MAX(N$7:N21)+1,MAX(N$7:N21)))</f>
        <v>23</v>
      </c>
      <c r="O22" s="73">
        <f t="shared" si="10"/>
        <v>23</v>
      </c>
      <c r="P22" s="31" t="str">
        <f t="shared" si="3"/>
        <v>Ž65</v>
      </c>
      <c r="Q22" s="257" t="str">
        <f t="shared" si="4"/>
        <v>2.33</v>
      </c>
      <c r="R22" s="257">
        <f t="shared" si="11"/>
        <v>2330</v>
      </c>
      <c r="S22" s="257" t="str">
        <f t="shared" si="5"/>
        <v>50</v>
      </c>
      <c r="T22" s="257" t="str">
        <f t="shared" si="6"/>
        <v>6</v>
      </c>
      <c r="U22" s="32">
        <f t="shared" si="7"/>
        <v>14</v>
      </c>
      <c r="W22" s="19" t="str">
        <f t="shared" si="8"/>
        <v>INSERT INTO staza (id,trka_id,naziv,duljina,uspon,broj_kontrola,rbr) VALUES (23,1002,'Ž65',2330,50,6,14);</v>
      </c>
      <c r="X22" t="s">
        <v>0</v>
      </c>
      <c r="Y22" s="19" t="str">
        <f t="shared" si="9"/>
        <v>INSERT INTO staza (id,trka_id,naziv,duljina,uspon,broj_kontrola,rbr) VALUES (23,1002,'Ž65',2330,50,6,14);
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2" t="s">
        <v>0</v>
      </c>
    </row>
    <row r="23" spans="1:26" x14ac:dyDescent="0.25">
      <c r="A23" t="s">
        <v>0</v>
      </c>
      <c r="B23" s="52" t="str">
        <f>IF(csv!F18="","",csv!T18)</f>
        <v>M14</v>
      </c>
      <c r="C23" s="31" t="str">
        <f>IF(csv!F18="","",csv!AO18)</f>
        <v>M14</v>
      </c>
      <c r="D23" s="31" t="str">
        <f>IF(csv!F18="","",csv!AP18&amp;"–"&amp;csv!AQ18&amp;"–"&amp;csv!AR18)</f>
        <v>2.77–65–9</v>
      </c>
      <c r="E23" s="66" t="str">
        <f>IF(csv!AV18&amp;csv!AX18&amp;csv!AZ18&amp;csv!BB18&amp;csv!BD18="","",csv!AV18&amp;"–"&amp;csv!AX18&amp;"–"&amp;csv!AZ18&amp;"–"&amp;csv!BB18&amp;"–"&amp;csv!BD18&amp;"–"&amp;csv!BF18&amp;"–"&amp;csv!BH18&amp;"–"&amp;csv!BJ18&amp;"–"&amp;csv!BL18&amp;"–"&amp;csv!BN18&amp;"–"&amp;csv!BP18&amp;"–"&amp;csv!BR18&amp;"–"&amp;csv!BT18&amp;"–"&amp;csv!BV18&amp;"–"&amp;csv!BX18&amp;"–"&amp;csv!BZ18&amp;"–"&amp;csv!CB18&amp;"–"&amp;csv!CD18&amp;"–"&amp;csv!CF18&amp;"–"&amp;csv!CH18&amp;"–"&amp;csv!CJ18&amp;"–"&amp;csv!CL18&amp;"–"&amp;csv!CN18&amp;"–"&amp;csv!CP18&amp;"–"&amp;csv!CR18&amp;"–"&amp;csv!CT18&amp;"–"&amp;csv!CV18&amp;"–"&amp;csv!CX17&amp;"–"&amp;csv!CZ17)</f>
        <v>65–59–72–69–67–68–70–38–100––––––––––––––––––––</v>
      </c>
      <c r="F23" t="s">
        <v>0</v>
      </c>
      <c r="G23" s="103" t="s">
        <v>3618</v>
      </c>
      <c r="H23" s="105">
        <v>2</v>
      </c>
      <c r="J23" s="256">
        <f t="shared" si="0"/>
        <v>15</v>
      </c>
      <c r="L23" s="52" t="str">
        <f t="shared" si="1"/>
        <v>Ž55</v>
      </c>
      <c r="M23" s="73">
        <f t="shared" si="2"/>
        <v>15</v>
      </c>
      <c r="N23" s="73">
        <f>IF(H23="","",IF(COUNTIF(H$7:H22,H23)=0,MAX(N$7:N22)+1,MAX(N$7:N22)))</f>
        <v>24</v>
      </c>
      <c r="O23" s="73">
        <f t="shared" si="10"/>
        <v>24</v>
      </c>
      <c r="P23" s="31" t="str">
        <f t="shared" si="3"/>
        <v>Ž55</v>
      </c>
      <c r="Q23" s="257" t="str">
        <f t="shared" si="4"/>
        <v>2.81</v>
      </c>
      <c r="R23" s="257">
        <f t="shared" si="11"/>
        <v>2810</v>
      </c>
      <c r="S23" s="257" t="str">
        <f t="shared" si="5"/>
        <v>90</v>
      </c>
      <c r="T23" s="257" t="str">
        <f t="shared" si="6"/>
        <v>7</v>
      </c>
      <c r="U23" s="32">
        <f t="shared" si="7"/>
        <v>15</v>
      </c>
      <c r="W23" s="19" t="str">
        <f t="shared" si="8"/>
        <v>INSERT INTO staza (id,trka_id,naziv,duljina,uspon,broj_kontrola,rbr) VALUES (24,1002,'Ž55',2810,90,7,15);</v>
      </c>
      <c r="X23" t="s">
        <v>0</v>
      </c>
      <c r="Y23" s="19" t="str">
        <f t="shared" si="9"/>
        <v>INSERT INTO staza (id,trka_id,naziv,duljina,uspon,broj_kontrola,rbr) VALUES (24,1002,'Ž55',2810,90,7,15);
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3" t="s">
        <v>0</v>
      </c>
    </row>
    <row r="24" spans="1:26" x14ac:dyDescent="0.25">
      <c r="A24" t="s">
        <v>0</v>
      </c>
      <c r="B24" s="52" t="str">
        <f>IF(csv!F19="","",csv!T19)</f>
        <v>M14</v>
      </c>
      <c r="C24" s="31" t="str">
        <f>IF(csv!F19="","",csv!AO19)</f>
        <v>M14</v>
      </c>
      <c r="D24" s="31" t="str">
        <f>IF(csv!F19="","",csv!AP19&amp;"–"&amp;csv!AQ19&amp;"–"&amp;csv!AR19)</f>
        <v>2.77–65–9</v>
      </c>
      <c r="E24" s="66" t="str">
        <f>IF(csv!AV19&amp;csv!AX19&amp;csv!AZ19&amp;csv!BB19&amp;csv!BD19="","",csv!AV19&amp;"–"&amp;csv!AX19&amp;"–"&amp;csv!AZ19&amp;"–"&amp;csv!BB19&amp;"–"&amp;csv!BD19&amp;"–"&amp;csv!BF19&amp;"–"&amp;csv!BH19&amp;"–"&amp;csv!BJ19&amp;"–"&amp;csv!BL19&amp;"–"&amp;csv!BN19&amp;"–"&amp;csv!BP19&amp;"–"&amp;csv!BR19&amp;"–"&amp;csv!BT19&amp;"–"&amp;csv!BV19&amp;"–"&amp;csv!BX19&amp;"–"&amp;csv!BZ19&amp;"–"&amp;csv!CB19&amp;"–"&amp;csv!CD19&amp;"–"&amp;csv!CF19&amp;"–"&amp;csv!CH19&amp;"–"&amp;csv!CJ19&amp;"–"&amp;csv!CL19&amp;"–"&amp;csv!CN19&amp;"–"&amp;csv!CP19&amp;"–"&amp;csv!CR19&amp;"–"&amp;csv!CT19&amp;"–"&amp;csv!CV19&amp;"–"&amp;csv!CX18&amp;"–"&amp;csv!CZ18)</f>
        <v>65–59–72–69–67–68–70–38–100––––––––––––––––––––</v>
      </c>
      <c r="F24" t="s">
        <v>0</v>
      </c>
      <c r="G24" s="103" t="s">
        <v>3442</v>
      </c>
      <c r="H24" s="105">
        <v>8</v>
      </c>
      <c r="J24" s="256">
        <f t="shared" si="0"/>
        <v>16</v>
      </c>
      <c r="L24" s="52" t="str">
        <f t="shared" si="1"/>
        <v>Ž45</v>
      </c>
      <c r="M24" s="73">
        <f t="shared" si="2"/>
        <v>16</v>
      </c>
      <c r="N24" s="73">
        <f>IF(H24="","",IF(COUNTIF(H$7:H23,H24)=0,MAX(N$7:N23)+1,MAX(N$7:N23)))</f>
        <v>25</v>
      </c>
      <c r="O24" s="73">
        <f t="shared" si="10"/>
        <v>25</v>
      </c>
      <c r="P24" s="31" t="str">
        <f t="shared" si="3"/>
        <v>Ž45</v>
      </c>
      <c r="Q24" s="257" t="str">
        <f t="shared" si="4"/>
        <v>3.39</v>
      </c>
      <c r="R24" s="257">
        <f t="shared" si="11"/>
        <v>3390</v>
      </c>
      <c r="S24" s="257" t="str">
        <f t="shared" si="5"/>
        <v>110</v>
      </c>
      <c r="T24" s="257" t="str">
        <f t="shared" si="6"/>
        <v>8</v>
      </c>
      <c r="U24" s="32">
        <f t="shared" si="7"/>
        <v>16</v>
      </c>
      <c r="W24" s="19" t="str">
        <f t="shared" si="8"/>
        <v>INSERT INTO staza (id,trka_id,naziv,duljina,uspon,broj_kontrola,rbr) VALUES (25,1002,'Ž45',3390,110,8,16);</v>
      </c>
      <c r="X24" t="s">
        <v>0</v>
      </c>
      <c r="Y24" s="19" t="str">
        <f t="shared" si="9"/>
        <v>INSERT INTO staza (id,trka_id,naziv,duljina,uspon,broj_kontrola,rbr) VALUES (25,1002,'Ž45',3390,110,8,16);
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4" t="s">
        <v>0</v>
      </c>
    </row>
    <row r="25" spans="1:26" x14ac:dyDescent="0.25">
      <c r="A25" t="s">
        <v>0</v>
      </c>
      <c r="B25" s="52" t="str">
        <f>IF(csv!F20="","",csv!T20)</f>
        <v>M14</v>
      </c>
      <c r="C25" s="31" t="str">
        <f>IF(csv!F20="","",csv!AO20)</f>
        <v>M14</v>
      </c>
      <c r="D25" s="31" t="str">
        <f>IF(csv!F20="","",csv!AP20&amp;"–"&amp;csv!AQ20&amp;"–"&amp;csv!AR20)</f>
        <v>2.77–65–9</v>
      </c>
      <c r="E25" s="66" t="str">
        <f>IF(csv!AV20&amp;csv!AX20&amp;csv!AZ20&amp;csv!BB20&amp;csv!BD20="","",csv!AV20&amp;"–"&amp;csv!AX20&amp;"–"&amp;csv!AZ20&amp;"–"&amp;csv!BB20&amp;"–"&amp;csv!BD20&amp;"–"&amp;csv!BF20&amp;"–"&amp;csv!BH20&amp;"–"&amp;csv!BJ20&amp;"–"&amp;csv!BL20&amp;"–"&amp;csv!BN20&amp;"–"&amp;csv!BP20&amp;"–"&amp;csv!BR20&amp;"–"&amp;csv!BT20&amp;"–"&amp;csv!BV20&amp;"–"&amp;csv!BX20&amp;"–"&amp;csv!BZ20&amp;"–"&amp;csv!CB20&amp;"–"&amp;csv!CD20&amp;"–"&amp;csv!CF20&amp;"–"&amp;csv!CH20&amp;"–"&amp;csv!CJ20&amp;"–"&amp;csv!CL20&amp;"–"&amp;csv!CN20&amp;"–"&amp;csv!CP20&amp;"–"&amp;csv!CR20&amp;"–"&amp;csv!CT20&amp;"–"&amp;csv!CV20&amp;"–"&amp;csv!CX19&amp;"–"&amp;csv!CZ19)</f>
        <v>65–59–72–69–67–68–70–38–100––––––––––––––––––––</v>
      </c>
      <c r="F25" t="s">
        <v>0</v>
      </c>
      <c r="G25" s="103" t="s">
        <v>3264</v>
      </c>
      <c r="H25" s="105">
        <v>4</v>
      </c>
      <c r="J25" s="256">
        <f t="shared" si="0"/>
        <v>17</v>
      </c>
      <c r="L25" s="52" t="str">
        <f t="shared" si="1"/>
        <v>Ž35</v>
      </c>
      <c r="M25" s="73">
        <f t="shared" si="2"/>
        <v>17</v>
      </c>
      <c r="N25" s="73">
        <f>IF(H25="","",IF(COUNTIF(H$7:H24,H25)=0,MAX(N$7:N24)+1,MAX(N$7:N24)))</f>
        <v>26</v>
      </c>
      <c r="O25" s="73">
        <f t="shared" si="10"/>
        <v>26</v>
      </c>
      <c r="P25" s="31" t="str">
        <f t="shared" si="3"/>
        <v>Ž35</v>
      </c>
      <c r="Q25" s="257" t="str">
        <f t="shared" si="4"/>
        <v>3.82</v>
      </c>
      <c r="R25" s="257">
        <f t="shared" si="11"/>
        <v>3820</v>
      </c>
      <c r="S25" s="257" t="str">
        <f t="shared" si="5"/>
        <v>155</v>
      </c>
      <c r="T25" s="257" t="str">
        <f t="shared" si="6"/>
        <v>8</v>
      </c>
      <c r="U25" s="32">
        <f t="shared" si="7"/>
        <v>17</v>
      </c>
      <c r="W25" s="19" t="str">
        <f t="shared" si="8"/>
        <v>INSERT INTO staza (id,trka_id,naziv,duljina,uspon,broj_kontrola,rbr) VALUES (26,1002,'Ž35',3820,155,8,17);</v>
      </c>
      <c r="X25" t="s">
        <v>0</v>
      </c>
      <c r="Y25" s="19" t="str">
        <f t="shared" si="9"/>
        <v>INSERT INTO staza (id,trka_id,naziv,duljina,uspon,broj_kontrola,rbr) VALUES (26,1002,'Ž35',3820,155,8,17);
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5" t="s">
        <v>0</v>
      </c>
    </row>
    <row r="26" spans="1:26" x14ac:dyDescent="0.25">
      <c r="A26" t="s">
        <v>0</v>
      </c>
      <c r="B26" s="52" t="str">
        <f>IF(csv!F21="","",csv!T21)</f>
        <v>M14</v>
      </c>
      <c r="C26" s="31" t="str">
        <f>IF(csv!F21="","",csv!AO21)</f>
        <v>M14</v>
      </c>
      <c r="D26" s="31" t="str">
        <f>IF(csv!F21="","",csv!AP21&amp;"–"&amp;csv!AQ21&amp;"–"&amp;csv!AR21)</f>
        <v>2.77–65–9</v>
      </c>
      <c r="E26" s="66" t="str">
        <f>IF(csv!AV21&amp;csv!AX21&amp;csv!AZ21&amp;csv!BB21&amp;csv!BD21="","",csv!AV21&amp;"–"&amp;csv!AX21&amp;"–"&amp;csv!AZ21&amp;"–"&amp;csv!BB21&amp;"–"&amp;csv!BD21&amp;"–"&amp;csv!BF21&amp;"–"&amp;csv!BH21&amp;"–"&amp;csv!BJ21&amp;"–"&amp;csv!BL21&amp;"–"&amp;csv!BN21&amp;"–"&amp;csv!BP21&amp;"–"&amp;csv!BR21&amp;"–"&amp;csv!BT21&amp;"–"&amp;csv!BV21&amp;"–"&amp;csv!BX21&amp;"–"&amp;csv!BZ21&amp;"–"&amp;csv!CB21&amp;"–"&amp;csv!CD21&amp;"–"&amp;csv!CF21&amp;"–"&amp;csv!CH21&amp;"–"&amp;csv!CJ21&amp;"–"&amp;csv!CL21&amp;"–"&amp;csv!CN21&amp;"–"&amp;csv!CP21&amp;"–"&amp;csv!CR21&amp;"–"&amp;csv!CT21&amp;"–"&amp;csv!CV21&amp;"–"&amp;csv!CX20&amp;"–"&amp;csv!CZ20)</f>
        <v>65–59–72–69–67–68–70–38–100––––––––––––––––––––</v>
      </c>
      <c r="F26" t="s">
        <v>0</v>
      </c>
      <c r="G26" s="103" t="s">
        <v>3093</v>
      </c>
      <c r="H26" s="105">
        <v>17</v>
      </c>
      <c r="J26" s="256">
        <f t="shared" si="0"/>
        <v>18</v>
      </c>
      <c r="L26" s="52" t="str">
        <f t="shared" si="1"/>
        <v>Ž21B</v>
      </c>
      <c r="M26" s="73">
        <f t="shared" si="2"/>
        <v>18</v>
      </c>
      <c r="N26" s="73">
        <f>IF(H26="","",IF(COUNTIF(H$7:H25,H26)=0,MAX(N$7:N25)+1,MAX(N$7:N25)))</f>
        <v>27</v>
      </c>
      <c r="O26" s="73">
        <f t="shared" si="10"/>
        <v>27</v>
      </c>
      <c r="P26" s="31" t="str">
        <f t="shared" si="3"/>
        <v>Ž21B – Ž16</v>
      </c>
      <c r="Q26" s="257" t="str">
        <f t="shared" si="4"/>
        <v>3.31</v>
      </c>
      <c r="R26" s="257">
        <f t="shared" si="11"/>
        <v>3310</v>
      </c>
      <c r="S26" s="257" t="str">
        <f t="shared" si="5"/>
        <v>115</v>
      </c>
      <c r="T26" s="257" t="str">
        <f t="shared" si="6"/>
        <v>8</v>
      </c>
      <c r="U26" s="32">
        <f t="shared" si="7"/>
        <v>18</v>
      </c>
      <c r="W26" s="19" t="str">
        <f t="shared" si="8"/>
        <v>INSERT INTO staza (id,trka_id,naziv,duljina,uspon,broj_kontrola,rbr) VALUES (27,1002,'Ž21B – Ž16',3310,115,8,18);</v>
      </c>
      <c r="X26" t="s">
        <v>0</v>
      </c>
      <c r="Y26" s="19" t="str">
        <f t="shared" si="9"/>
        <v>INSERT INTO staza (id,trka_id,naziv,duljina,uspon,broj_kontrola,rbr) VALUES (27,1002,'Ž21B – Ž16',3310,115,8,18);
INSERT INTO staza (id,trka_id,naziv,duljina,uspon,broj_kontrola,rbr) VALUES (28,1002,'Ž20',4330,155,9,19);
INSERT INTO staza (id,trka_id,naziv,duljina,uspon,broj_kontrola,rbr) VALUES (29,1002,'Otvorena',3310,125,9,23);</v>
      </c>
      <c r="Z26" t="s">
        <v>0</v>
      </c>
    </row>
    <row r="27" spans="1:26" x14ac:dyDescent="0.25">
      <c r="A27" t="s">
        <v>0</v>
      </c>
      <c r="B27" s="52" t="str">
        <f>IF(csv!F22="","",csv!T22)</f>
        <v>M14</v>
      </c>
      <c r="C27" s="31" t="str">
        <f>IF(csv!F22="","",csv!AO22)</f>
        <v>M14</v>
      </c>
      <c r="D27" s="31" t="str">
        <f>IF(csv!F22="","",csv!AP22&amp;"–"&amp;csv!AQ22&amp;"–"&amp;csv!AR22)</f>
        <v>2.77–65–9</v>
      </c>
      <c r="E27" s="66" t="str">
        <f>IF(csv!AV22&amp;csv!AX22&amp;csv!AZ22&amp;csv!BB22&amp;csv!BD22="","",csv!AV22&amp;"–"&amp;csv!AX22&amp;"–"&amp;csv!AZ22&amp;"–"&amp;csv!BB22&amp;"–"&amp;csv!BD22&amp;"–"&amp;csv!BF22&amp;"–"&amp;csv!BH22&amp;"–"&amp;csv!BJ22&amp;"–"&amp;csv!BL22&amp;"–"&amp;csv!BN22&amp;"–"&amp;csv!BP22&amp;"–"&amp;csv!BR22&amp;"–"&amp;csv!BT22&amp;"–"&amp;csv!BV22&amp;"–"&amp;csv!BX22&amp;"–"&amp;csv!BZ22&amp;"–"&amp;csv!CB22&amp;"–"&amp;csv!CD22&amp;"–"&amp;csv!CF22&amp;"–"&amp;csv!CH22&amp;"–"&amp;csv!CJ22&amp;"–"&amp;csv!CL22&amp;"–"&amp;csv!CN22&amp;"–"&amp;csv!CP22&amp;"–"&amp;csv!CR22&amp;"–"&amp;csv!CT22&amp;"–"&amp;csv!CV22&amp;"–"&amp;csv!CX21&amp;"–"&amp;csv!CZ21)</f>
        <v>65–59–72–69–67–68–70–38–100––––––––––––––––––––</v>
      </c>
      <c r="F27" t="s">
        <v>0</v>
      </c>
      <c r="G27" s="103" t="s">
        <v>2765</v>
      </c>
      <c r="H27" s="105">
        <v>17</v>
      </c>
      <c r="J27" s="256">
        <f t="shared" si="0"/>
        <v>18</v>
      </c>
      <c r="L27" s="52" t="str">
        <f t="shared" si="1"/>
        <v>Ž16</v>
      </c>
      <c r="M27" s="73">
        <f t="shared" si="2"/>
        <v>20</v>
      </c>
      <c r="N27" s="73">
        <f>IF(H27="","",IF(COUNTIF(H$7:H26,H27)=0,MAX(N$7:N26)+1,MAX(N$7:N26)))</f>
        <v>27</v>
      </c>
      <c r="O27" s="73" t="str">
        <f t="shared" si="10"/>
        <v/>
      </c>
      <c r="P27" s="31" t="str">
        <f t="shared" si="3"/>
        <v>Ž16</v>
      </c>
      <c r="Q27" s="257" t="str">
        <f t="shared" si="4"/>
        <v/>
      </c>
      <c r="R27" s="257" t="str">
        <f t="shared" si="11"/>
        <v/>
      </c>
      <c r="S27" s="257" t="str">
        <f t="shared" si="5"/>
        <v/>
      </c>
      <c r="T27" s="257" t="str">
        <f t="shared" si="6"/>
        <v/>
      </c>
      <c r="U27" s="32">
        <f t="shared" si="7"/>
        <v>20</v>
      </c>
      <c r="W27" s="19" t="str">
        <f t="shared" si="8"/>
        <v/>
      </c>
      <c r="X27" t="s">
        <v>0</v>
      </c>
      <c r="Y27" s="19" t="str">
        <f t="shared" si="9"/>
        <v xml:space="preserve">
INSERT INTO staza (id,trka_id,naziv,duljina,uspon,broj_kontrola,rbr) VALUES (28,1002,'Ž20',4330,155,9,19);
INSERT INTO staza (id,trka_id,naziv,duljina,uspon,broj_kontrola,rbr) VALUES (29,1002,'Otvorena',3310,125,9,23);</v>
      </c>
      <c r="Z27" t="s">
        <v>0</v>
      </c>
    </row>
    <row r="28" spans="1:26" x14ac:dyDescent="0.25">
      <c r="A28" t="s">
        <v>0</v>
      </c>
      <c r="B28" s="52" t="str">
        <f>IF(csv!F23="","",csv!T23)</f>
        <v>M14</v>
      </c>
      <c r="C28" s="31" t="str">
        <f>IF(csv!F23="","",csv!AO23)</f>
        <v>M14</v>
      </c>
      <c r="D28" s="31" t="str">
        <f>IF(csv!F23="","",csv!AP23&amp;"–"&amp;csv!AQ23&amp;"–"&amp;csv!AR23)</f>
        <v>2.77–65–9</v>
      </c>
      <c r="E28" s="66" t="str">
        <f>IF(csv!AV23&amp;csv!AX23&amp;csv!AZ23&amp;csv!BB23&amp;csv!BD23="","",csv!AV23&amp;"–"&amp;csv!AX23&amp;"–"&amp;csv!AZ23&amp;"–"&amp;csv!BB23&amp;"–"&amp;csv!BD23&amp;"–"&amp;csv!BF23&amp;"–"&amp;csv!BH23&amp;"–"&amp;csv!BJ23&amp;"–"&amp;csv!BL23&amp;"–"&amp;csv!BN23&amp;"–"&amp;csv!BP23&amp;"–"&amp;csv!BR23&amp;"–"&amp;csv!BT23&amp;"–"&amp;csv!BV23&amp;"–"&amp;csv!BX23&amp;"–"&amp;csv!BZ23&amp;"–"&amp;csv!CB23&amp;"–"&amp;csv!CD23&amp;"–"&amp;csv!CF23&amp;"–"&amp;csv!CH23&amp;"–"&amp;csv!CJ23&amp;"–"&amp;csv!CL23&amp;"–"&amp;csv!CN23&amp;"–"&amp;csv!CP23&amp;"–"&amp;csv!CR23&amp;"–"&amp;csv!CT23&amp;"–"&amp;csv!CV23&amp;"–"&amp;csv!CX22&amp;"–"&amp;csv!CZ22)</f>
        <v/>
      </c>
      <c r="F28" t="s">
        <v>0</v>
      </c>
      <c r="G28" s="103" t="s">
        <v>2927</v>
      </c>
      <c r="H28" s="105">
        <v>5</v>
      </c>
      <c r="J28" s="256">
        <f t="shared" si="0"/>
        <v>19</v>
      </c>
      <c r="L28" s="52" t="str">
        <f t="shared" si="1"/>
        <v>Ž20</v>
      </c>
      <c r="M28" s="73">
        <f t="shared" si="2"/>
        <v>19</v>
      </c>
      <c r="N28" s="73">
        <f>IF(H28="","",IF(COUNTIF(H$7:H27,H28)=0,MAX(N$7:N27)+1,MAX(N$7:N27)))</f>
        <v>28</v>
      </c>
      <c r="O28" s="73">
        <f t="shared" si="10"/>
        <v>28</v>
      </c>
      <c r="P28" s="31" t="str">
        <f t="shared" si="3"/>
        <v>Ž20</v>
      </c>
      <c r="Q28" s="257" t="str">
        <f t="shared" si="4"/>
        <v>4.33</v>
      </c>
      <c r="R28" s="257">
        <f t="shared" si="11"/>
        <v>4330</v>
      </c>
      <c r="S28" s="257" t="str">
        <f t="shared" si="5"/>
        <v>155</v>
      </c>
      <c r="T28" s="257" t="str">
        <f t="shared" si="6"/>
        <v>9</v>
      </c>
      <c r="U28" s="32">
        <f t="shared" si="7"/>
        <v>19</v>
      </c>
      <c r="W28" s="19" t="str">
        <f t="shared" si="8"/>
        <v>INSERT INTO staza (id,trka_id,naziv,duljina,uspon,broj_kontrola,rbr) VALUES (28,1002,'Ž20',4330,155,9,19);</v>
      </c>
      <c r="X28" t="s">
        <v>0</v>
      </c>
      <c r="Y28" s="19" t="str">
        <f t="shared" si="9"/>
        <v>INSERT INTO staza (id,trka_id,naziv,duljina,uspon,broj_kontrola,rbr) VALUES (28,1002,'Ž20',4330,155,9,19);
INSERT INTO staza (id,trka_id,naziv,duljina,uspon,broj_kontrola,rbr) VALUES (29,1002,'Otvorena',3310,125,9,23);</v>
      </c>
      <c r="Z28" t="s">
        <v>0</v>
      </c>
    </row>
    <row r="29" spans="1:26" x14ac:dyDescent="0.25">
      <c r="A29" t="s">
        <v>0</v>
      </c>
      <c r="B29" s="52" t="str">
        <f>IF(csv!F24="","",csv!T24)</f>
        <v>M14</v>
      </c>
      <c r="C29" s="31" t="str">
        <f>IF(csv!F24="","",csv!AO24)</f>
        <v>M14</v>
      </c>
      <c r="D29" s="31" t="str">
        <f>IF(csv!F24="","",csv!AP24&amp;"–"&amp;csv!AQ24&amp;"–"&amp;csv!AR24)</f>
        <v>2.77–65–9</v>
      </c>
      <c r="E29" s="66" t="str">
        <f>IF(csv!AV24&amp;csv!AX24&amp;csv!AZ24&amp;csv!BB24&amp;csv!BD24="","",csv!AV24&amp;"–"&amp;csv!AX24&amp;"–"&amp;csv!AZ24&amp;"–"&amp;csv!BB24&amp;"–"&amp;csv!BD24&amp;"–"&amp;csv!BF24&amp;"–"&amp;csv!BH24&amp;"–"&amp;csv!BJ24&amp;"–"&amp;csv!BL24&amp;"–"&amp;csv!BN24&amp;"–"&amp;csv!BP24&amp;"–"&amp;csv!BR24&amp;"–"&amp;csv!BT24&amp;"–"&amp;csv!BV24&amp;"–"&amp;csv!BX24&amp;"–"&amp;csv!BZ24&amp;"–"&amp;csv!CB24&amp;"–"&amp;csv!CD24&amp;"–"&amp;csv!CF24&amp;"–"&amp;csv!CH24&amp;"–"&amp;csv!CJ24&amp;"–"&amp;csv!CL24&amp;"–"&amp;csv!CN24&amp;"–"&amp;csv!CP24&amp;"–"&amp;csv!CR24&amp;"–"&amp;csv!CT24&amp;"–"&amp;csv!CV24&amp;"–"&amp;csv!CX23&amp;"–"&amp;csv!CZ23)</f>
        <v/>
      </c>
      <c r="F29" t="s">
        <v>0</v>
      </c>
      <c r="G29" s="103" t="s">
        <v>2426</v>
      </c>
      <c r="H29" s="105">
        <v>16</v>
      </c>
      <c r="J29" s="256">
        <f t="shared" si="0"/>
        <v>23</v>
      </c>
      <c r="L29" s="52" t="str">
        <f t="shared" si="1"/>
        <v>Otvorena</v>
      </c>
      <c r="M29" s="73">
        <f t="shared" si="2"/>
        <v>23</v>
      </c>
      <c r="N29" s="73">
        <f>IF(H29="","",IF(COUNTIF(H$7:H28,H29)=0,MAX(N$7:N28)+1,MAX(N$7:N28)))</f>
        <v>29</v>
      </c>
      <c r="O29" s="73">
        <f t="shared" si="10"/>
        <v>29</v>
      </c>
      <c r="P29" s="31" t="str">
        <f t="shared" si="3"/>
        <v>Otvorena</v>
      </c>
      <c r="Q29" s="257" t="str">
        <f t="shared" si="4"/>
        <v>3.31</v>
      </c>
      <c r="R29" s="257">
        <f t="shared" si="11"/>
        <v>3310</v>
      </c>
      <c r="S29" s="257" t="str">
        <f t="shared" si="5"/>
        <v>125</v>
      </c>
      <c r="T29" s="257" t="str">
        <f t="shared" si="6"/>
        <v>9</v>
      </c>
      <c r="U29" s="32">
        <f t="shared" si="7"/>
        <v>23</v>
      </c>
      <c r="W29" s="19" t="str">
        <f t="shared" si="8"/>
        <v>INSERT INTO staza (id,trka_id,naziv,duljina,uspon,broj_kontrola,rbr) VALUES (29,1002,'Otvorena',3310,125,9,23);</v>
      </c>
      <c r="X29" t="s">
        <v>0</v>
      </c>
      <c r="Y29" s="19" t="str">
        <f t="shared" si="9"/>
        <v>INSERT INTO staza (id,trka_id,naziv,duljina,uspon,broj_kontrola,rbr) VALUES (29,1002,'Otvorena',3310,125,9,23);</v>
      </c>
      <c r="Z29" t="s">
        <v>0</v>
      </c>
    </row>
    <row r="30" spans="1:26" x14ac:dyDescent="0.25">
      <c r="A30" t="s">
        <v>0</v>
      </c>
      <c r="B30" s="52" t="str">
        <f>IF(csv!F25="","",csv!T25)</f>
        <v>M14</v>
      </c>
      <c r="C30" s="31" t="str">
        <f>IF(csv!F25="","",csv!AO25)</f>
        <v>M14</v>
      </c>
      <c r="D30" s="31" t="str">
        <f>IF(csv!F25="","",csv!AP25&amp;"–"&amp;csv!AQ25&amp;"–"&amp;csv!AR25)</f>
        <v>2.77–65–9</v>
      </c>
      <c r="E30" s="66" t="str">
        <f>IF(csv!AV25&amp;csv!AX25&amp;csv!AZ25&amp;csv!BB25&amp;csv!BD25="","",csv!AV25&amp;"–"&amp;csv!AX25&amp;"–"&amp;csv!AZ25&amp;"–"&amp;csv!BB25&amp;"–"&amp;csv!BD25&amp;"–"&amp;csv!BF25&amp;"–"&amp;csv!BH25&amp;"–"&amp;csv!BJ25&amp;"–"&amp;csv!BL25&amp;"–"&amp;csv!BN25&amp;"–"&amp;csv!BP25&amp;"–"&amp;csv!BR25&amp;"–"&amp;csv!BT25&amp;"–"&amp;csv!BV25&amp;"–"&amp;csv!BX25&amp;"–"&amp;csv!BZ25&amp;"–"&amp;csv!CB25&amp;"–"&amp;csv!CD25&amp;"–"&amp;csv!CF25&amp;"–"&amp;csv!CH25&amp;"–"&amp;csv!CJ25&amp;"–"&amp;csv!CL25&amp;"–"&amp;csv!CN25&amp;"–"&amp;csv!CP25&amp;"–"&amp;csv!CR25&amp;"–"&amp;csv!CT25&amp;"–"&amp;csv!CV25&amp;"–"&amp;csv!CX24&amp;"–"&amp;csv!CZ24)</f>
        <v/>
      </c>
      <c r="F30" t="s">
        <v>0</v>
      </c>
      <c r="G30" s="103"/>
      <c r="H30" s="105"/>
      <c r="J30" s="256" t="str">
        <f t="shared" si="0"/>
        <v/>
      </c>
      <c r="L30" s="52" t="str">
        <f t="shared" si="1"/>
        <v/>
      </c>
      <c r="M30" s="73" t="str">
        <f t="shared" si="2"/>
        <v/>
      </c>
      <c r="N30" s="73" t="str">
        <f>IF(H30="","",IF(COUNTIF(H$7:H29,H30)=0,MAX(N$7:N29)+1,MAX(N$7:N29)))</f>
        <v/>
      </c>
      <c r="O30" s="73" t="str">
        <f t="shared" si="10"/>
        <v/>
      </c>
      <c r="P30" s="31" t="str">
        <f t="shared" si="3"/>
        <v/>
      </c>
      <c r="Q30" s="257" t="str">
        <f t="shared" si="4"/>
        <v/>
      </c>
      <c r="R30" s="257" t="str">
        <f t="shared" si="11"/>
        <v/>
      </c>
      <c r="S30" s="257" t="str">
        <f t="shared" si="5"/>
        <v/>
      </c>
      <c r="T30" s="257" t="str">
        <f t="shared" si="6"/>
        <v/>
      </c>
      <c r="U30" s="32" t="str">
        <f t="shared" si="7"/>
        <v/>
      </c>
      <c r="W30" s="19" t="str">
        <f t="shared" si="8"/>
        <v/>
      </c>
      <c r="X30" t="s">
        <v>0</v>
      </c>
      <c r="Y30" s="19" t="str">
        <f t="shared" si="9"/>
        <v/>
      </c>
      <c r="Z30" t="s">
        <v>0</v>
      </c>
    </row>
    <row r="31" spans="1:26" x14ac:dyDescent="0.25">
      <c r="A31" t="s">
        <v>0</v>
      </c>
      <c r="B31" s="52" t="str">
        <f>IF(csv!F26="","",csv!T26)</f>
        <v>M14</v>
      </c>
      <c r="C31" s="31" t="str">
        <f>IF(csv!F26="","",csv!AO26)</f>
        <v>M14</v>
      </c>
      <c r="D31" s="31" t="str">
        <f>IF(csv!F26="","",csv!AP26&amp;"–"&amp;csv!AQ26&amp;"–"&amp;csv!AR26)</f>
        <v>2.77–65–9</v>
      </c>
      <c r="E31" s="66" t="str">
        <f>IF(csv!AV26&amp;csv!AX26&amp;csv!AZ26&amp;csv!BB26&amp;csv!BD26="","",csv!AV26&amp;"–"&amp;csv!AX26&amp;"–"&amp;csv!AZ26&amp;"–"&amp;csv!BB26&amp;"–"&amp;csv!BD26&amp;"–"&amp;csv!BF26&amp;"–"&amp;csv!BH26&amp;"–"&amp;csv!BJ26&amp;"–"&amp;csv!BL26&amp;"–"&amp;csv!BN26&amp;"–"&amp;csv!BP26&amp;"–"&amp;csv!BR26&amp;"–"&amp;csv!BT26&amp;"–"&amp;csv!BV26&amp;"–"&amp;csv!BX26&amp;"–"&amp;csv!BZ26&amp;"–"&amp;csv!CB26&amp;"–"&amp;csv!CD26&amp;"–"&amp;csv!CF26&amp;"–"&amp;csv!CH26&amp;"–"&amp;csv!CJ26&amp;"–"&amp;csv!CL26&amp;"–"&amp;csv!CN26&amp;"–"&amp;csv!CP26&amp;"–"&amp;csv!CR26&amp;"–"&amp;csv!CT26&amp;"–"&amp;csv!CV26&amp;"–"&amp;csv!CX25&amp;"–"&amp;csv!CZ25)</f>
        <v/>
      </c>
      <c r="F31" t="s">
        <v>0</v>
      </c>
      <c r="G31" s="103"/>
      <c r="H31" s="105"/>
      <c r="J31" s="256" t="str">
        <f t="shared" si="0"/>
        <v/>
      </c>
      <c r="L31" s="52" t="str">
        <f t="shared" si="1"/>
        <v/>
      </c>
      <c r="M31" s="73" t="str">
        <f t="shared" si="2"/>
        <v/>
      </c>
      <c r="N31" s="73" t="str">
        <f>IF(H31="","",IF(COUNTIF(H$7:H30,H31)=0,MAX(N$7:N30)+1,MAX(N$7:N30)))</f>
        <v/>
      </c>
      <c r="O31" s="73" t="str">
        <f t="shared" si="10"/>
        <v/>
      </c>
      <c r="P31" s="31" t="str">
        <f t="shared" si="3"/>
        <v/>
      </c>
      <c r="Q31" s="257" t="str">
        <f t="shared" si="4"/>
        <v/>
      </c>
      <c r="R31" s="257" t="str">
        <f t="shared" si="11"/>
        <v/>
      </c>
      <c r="S31" s="257" t="str">
        <f t="shared" si="5"/>
        <v/>
      </c>
      <c r="T31" s="257" t="str">
        <f t="shared" si="6"/>
        <v/>
      </c>
      <c r="U31" s="32" t="str">
        <f t="shared" si="7"/>
        <v/>
      </c>
      <c r="W31" s="19" t="str">
        <f t="shared" si="8"/>
        <v/>
      </c>
      <c r="X31" t="s">
        <v>0</v>
      </c>
      <c r="Y31" s="19" t="str">
        <f t="shared" si="9"/>
        <v/>
      </c>
      <c r="Z31" t="s">
        <v>0</v>
      </c>
    </row>
    <row r="32" spans="1:26" x14ac:dyDescent="0.25">
      <c r="A32" t="s">
        <v>0</v>
      </c>
      <c r="B32" s="52" t="str">
        <f>IF(csv!F27="","",csv!T27)</f>
        <v>M16</v>
      </c>
      <c r="C32" s="31" t="str">
        <f>IF(csv!F27="","",csv!AO27)</f>
        <v>M16</v>
      </c>
      <c r="D32" s="31" t="str">
        <f>IF(csv!F27="","",csv!AP27&amp;"–"&amp;csv!AQ27&amp;"–"&amp;csv!AR27)</f>
        <v>3.91–125–8</v>
      </c>
      <c r="E32" s="66" t="str">
        <f>IF(csv!AV27&amp;csv!AX27&amp;csv!AZ27&amp;csv!BB27&amp;csv!BD27="","",csv!AV27&amp;"–"&amp;csv!AX27&amp;"–"&amp;csv!AZ27&amp;"–"&amp;csv!BB27&amp;"–"&amp;csv!BD27&amp;"–"&amp;csv!BF27&amp;"–"&amp;csv!BH27&amp;"–"&amp;csv!BJ27&amp;"–"&amp;csv!BL27&amp;"–"&amp;csv!BN27&amp;"–"&amp;csv!BP27&amp;"–"&amp;csv!BR27&amp;"–"&amp;csv!BT27&amp;"–"&amp;csv!BV27&amp;"–"&amp;csv!BX27&amp;"–"&amp;csv!BZ27&amp;"–"&amp;csv!CB27&amp;"–"&amp;csv!CD27&amp;"–"&amp;csv!CF27&amp;"–"&amp;csv!CH27&amp;"–"&amp;csv!CJ27&amp;"–"&amp;csv!CL27&amp;"–"&amp;csv!CN27&amp;"–"&amp;csv!CP27&amp;"–"&amp;csv!CR27&amp;"–"&amp;csv!CT27&amp;"–"&amp;csv!CV27&amp;"–"&amp;csv!CX26&amp;"–"&amp;csv!CZ26)</f>
        <v>61–64–39–63–67–34–38–100–––––––––––––––––––––</v>
      </c>
      <c r="F32" t="s">
        <v>0</v>
      </c>
      <c r="G32" s="103"/>
      <c r="H32" s="105"/>
      <c r="J32" s="256" t="str">
        <f t="shared" si="0"/>
        <v/>
      </c>
      <c r="L32" s="52" t="str">
        <f t="shared" si="1"/>
        <v/>
      </c>
      <c r="M32" s="73" t="str">
        <f t="shared" si="2"/>
        <v/>
      </c>
      <c r="N32" s="73" t="str">
        <f>IF(H32="","",IF(COUNTIF(H$7:H31,H32)=0,MAX(N$7:N31)+1,MAX(N$7:N31)))</f>
        <v/>
      </c>
      <c r="O32" s="73" t="str">
        <f t="shared" si="10"/>
        <v/>
      </c>
      <c r="P32" s="31" t="str">
        <f t="shared" si="3"/>
        <v/>
      </c>
      <c r="Q32" s="257" t="str">
        <f t="shared" si="4"/>
        <v/>
      </c>
      <c r="R32" s="257" t="str">
        <f t="shared" si="11"/>
        <v/>
      </c>
      <c r="S32" s="257" t="str">
        <f t="shared" si="5"/>
        <v/>
      </c>
      <c r="T32" s="257" t="str">
        <f t="shared" si="6"/>
        <v/>
      </c>
      <c r="U32" s="32" t="str">
        <f t="shared" si="7"/>
        <v/>
      </c>
      <c r="W32" s="19" t="str">
        <f t="shared" si="8"/>
        <v/>
      </c>
      <c r="X32" t="s">
        <v>0</v>
      </c>
      <c r="Y32" s="19" t="str">
        <f t="shared" si="9"/>
        <v/>
      </c>
      <c r="Z32" t="s">
        <v>0</v>
      </c>
    </row>
    <row r="33" spans="1:26" x14ac:dyDescent="0.25">
      <c r="A33" t="s">
        <v>0</v>
      </c>
      <c r="B33" s="52" t="str">
        <f>IF(csv!F28="","",csv!T28)</f>
        <v>M16</v>
      </c>
      <c r="C33" s="31" t="str">
        <f>IF(csv!F28="","",csv!AO28)</f>
        <v>M16</v>
      </c>
      <c r="D33" s="31" t="str">
        <f>IF(csv!F28="","",csv!AP28&amp;"–"&amp;csv!AQ28&amp;"–"&amp;csv!AR28)</f>
        <v>3.91–125–8</v>
      </c>
      <c r="E33" s="66" t="str">
        <f>IF(csv!AV28&amp;csv!AX28&amp;csv!AZ28&amp;csv!BB28&amp;csv!BD28="","",csv!AV28&amp;"–"&amp;csv!AX28&amp;"–"&amp;csv!AZ28&amp;"–"&amp;csv!BB28&amp;"–"&amp;csv!BD28&amp;"–"&amp;csv!BF28&amp;"–"&amp;csv!BH28&amp;"–"&amp;csv!BJ28&amp;"–"&amp;csv!BL28&amp;"–"&amp;csv!BN28&amp;"–"&amp;csv!BP28&amp;"–"&amp;csv!BR28&amp;"–"&amp;csv!BT28&amp;"–"&amp;csv!BV28&amp;"–"&amp;csv!BX28&amp;"–"&amp;csv!BZ28&amp;"–"&amp;csv!CB28&amp;"–"&amp;csv!CD28&amp;"–"&amp;csv!CF28&amp;"–"&amp;csv!CH28&amp;"–"&amp;csv!CJ28&amp;"–"&amp;csv!CL28&amp;"–"&amp;csv!CN28&amp;"–"&amp;csv!CP28&amp;"–"&amp;csv!CR28&amp;"–"&amp;csv!CT28&amp;"–"&amp;csv!CV28&amp;"–"&amp;csv!CX27&amp;"–"&amp;csv!CZ27)</f>
        <v>61–64–39–63–67–34–38–100–––––––––––––––––––––</v>
      </c>
      <c r="F33" t="s">
        <v>0</v>
      </c>
      <c r="G33" s="103"/>
      <c r="H33" s="105"/>
      <c r="J33" s="256" t="str">
        <f t="shared" si="0"/>
        <v/>
      </c>
      <c r="L33" s="52" t="str">
        <f t="shared" si="1"/>
        <v/>
      </c>
      <c r="M33" s="73" t="str">
        <f t="shared" si="2"/>
        <v/>
      </c>
      <c r="N33" s="73" t="str">
        <f>IF(H33="","",IF(COUNTIF(H$7:H32,H33)=0,MAX(N$7:N32)+1,MAX(N$7:N32)))</f>
        <v/>
      </c>
      <c r="O33" s="73" t="str">
        <f t="shared" si="10"/>
        <v/>
      </c>
      <c r="P33" s="31" t="str">
        <f t="shared" si="3"/>
        <v/>
      </c>
      <c r="Q33" s="257" t="str">
        <f t="shared" si="4"/>
        <v/>
      </c>
      <c r="R33" s="257" t="str">
        <f t="shared" si="11"/>
        <v/>
      </c>
      <c r="S33" s="257" t="str">
        <f t="shared" si="5"/>
        <v/>
      </c>
      <c r="T33" s="257" t="str">
        <f t="shared" si="6"/>
        <v/>
      </c>
      <c r="U33" s="32" t="str">
        <f t="shared" si="7"/>
        <v/>
      </c>
      <c r="W33" s="19" t="str">
        <f t="shared" si="8"/>
        <v/>
      </c>
      <c r="X33" t="s">
        <v>0</v>
      </c>
      <c r="Y33" s="19" t="str">
        <f t="shared" si="9"/>
        <v/>
      </c>
      <c r="Z33" t="s">
        <v>0</v>
      </c>
    </row>
    <row r="34" spans="1:26" x14ac:dyDescent="0.25">
      <c r="A34" t="s">
        <v>0</v>
      </c>
      <c r="B34" s="52" t="str">
        <f>IF(csv!F29="","",csv!T29)</f>
        <v>M16</v>
      </c>
      <c r="C34" s="31" t="str">
        <f>IF(csv!F29="","",csv!AO29)</f>
        <v>M16</v>
      </c>
      <c r="D34" s="31" t="str">
        <f>IF(csv!F29="","",csv!AP29&amp;"–"&amp;csv!AQ29&amp;"–"&amp;csv!AR29)</f>
        <v>3.91–125–8</v>
      </c>
      <c r="E34" s="66" t="str">
        <f>IF(csv!AV29&amp;csv!AX29&amp;csv!AZ29&amp;csv!BB29&amp;csv!BD29="","",csv!AV29&amp;"–"&amp;csv!AX29&amp;"–"&amp;csv!AZ29&amp;"–"&amp;csv!BB29&amp;"–"&amp;csv!BD29&amp;"–"&amp;csv!BF29&amp;"–"&amp;csv!BH29&amp;"–"&amp;csv!BJ29&amp;"–"&amp;csv!BL29&amp;"–"&amp;csv!BN29&amp;"–"&amp;csv!BP29&amp;"–"&amp;csv!BR29&amp;"–"&amp;csv!BT29&amp;"–"&amp;csv!BV29&amp;"–"&amp;csv!BX29&amp;"–"&amp;csv!BZ29&amp;"–"&amp;csv!CB29&amp;"–"&amp;csv!CD29&amp;"–"&amp;csv!CF29&amp;"–"&amp;csv!CH29&amp;"–"&amp;csv!CJ29&amp;"–"&amp;csv!CL29&amp;"–"&amp;csv!CN29&amp;"–"&amp;csv!CP29&amp;"–"&amp;csv!CR29&amp;"–"&amp;csv!CT29&amp;"–"&amp;csv!CV29&amp;"–"&amp;csv!CX28&amp;"–"&amp;csv!CZ28)</f>
        <v>61–64–39–63–67–34–38–100–––––––––––––––––––––</v>
      </c>
      <c r="F34" t="s">
        <v>0</v>
      </c>
      <c r="G34" s="103"/>
      <c r="H34" s="105"/>
      <c r="J34" s="256" t="str">
        <f t="shared" si="0"/>
        <v/>
      </c>
      <c r="L34" s="52" t="str">
        <f t="shared" si="1"/>
        <v/>
      </c>
      <c r="M34" s="73" t="str">
        <f t="shared" si="2"/>
        <v/>
      </c>
      <c r="N34" s="73" t="str">
        <f>IF(H34="","",IF(COUNTIF(H$7:H33,H34)=0,MAX(N$7:N33)+1,MAX(N$7:N33)))</f>
        <v/>
      </c>
      <c r="O34" s="73" t="str">
        <f t="shared" si="10"/>
        <v/>
      </c>
      <c r="P34" s="31" t="str">
        <f t="shared" si="3"/>
        <v/>
      </c>
      <c r="Q34" s="257" t="str">
        <f t="shared" si="4"/>
        <v/>
      </c>
      <c r="R34" s="257" t="str">
        <f t="shared" si="11"/>
        <v/>
      </c>
      <c r="S34" s="257" t="str">
        <f t="shared" si="5"/>
        <v/>
      </c>
      <c r="T34" s="257" t="str">
        <f t="shared" si="6"/>
        <v/>
      </c>
      <c r="U34" s="32" t="str">
        <f t="shared" si="7"/>
        <v/>
      </c>
      <c r="W34" s="19" t="str">
        <f t="shared" si="8"/>
        <v/>
      </c>
      <c r="X34" t="s">
        <v>0</v>
      </c>
      <c r="Y34" s="19" t="str">
        <f t="shared" si="9"/>
        <v/>
      </c>
      <c r="Z34" t="s">
        <v>0</v>
      </c>
    </row>
    <row r="35" spans="1:26" x14ac:dyDescent="0.25">
      <c r="A35" t="s">
        <v>0</v>
      </c>
      <c r="B35" s="52" t="str">
        <f>IF(csv!F30="","",csv!T30)</f>
        <v>M16</v>
      </c>
      <c r="C35" s="31" t="str">
        <f>IF(csv!F30="","",csv!AO30)</f>
        <v>M16</v>
      </c>
      <c r="D35" s="31" t="str">
        <f>IF(csv!F30="","",csv!AP30&amp;"–"&amp;csv!AQ30&amp;"–"&amp;csv!AR30)</f>
        <v>3.91–125–8</v>
      </c>
      <c r="E35" s="66" t="str">
        <f>IF(csv!AV30&amp;csv!AX30&amp;csv!AZ30&amp;csv!BB30&amp;csv!BD30="","",csv!AV30&amp;"–"&amp;csv!AX30&amp;"–"&amp;csv!AZ30&amp;"–"&amp;csv!BB30&amp;"–"&amp;csv!BD30&amp;"–"&amp;csv!BF30&amp;"–"&amp;csv!BH30&amp;"–"&amp;csv!BJ30&amp;"–"&amp;csv!BL30&amp;"–"&amp;csv!BN30&amp;"–"&amp;csv!BP30&amp;"–"&amp;csv!BR30&amp;"–"&amp;csv!BT30&amp;"–"&amp;csv!BV30&amp;"–"&amp;csv!BX30&amp;"–"&amp;csv!BZ30&amp;"–"&amp;csv!CB30&amp;"–"&amp;csv!CD30&amp;"–"&amp;csv!CF30&amp;"–"&amp;csv!CH30&amp;"–"&amp;csv!CJ30&amp;"–"&amp;csv!CL30&amp;"–"&amp;csv!CN30&amp;"–"&amp;csv!CP30&amp;"–"&amp;csv!CR30&amp;"–"&amp;csv!CT30&amp;"–"&amp;csv!CV30&amp;"–"&amp;csv!CX29&amp;"–"&amp;csv!CZ29)</f>
        <v>61–64–39–63–67–34–38–100–––––––––––––––––––––</v>
      </c>
      <c r="F35" t="s">
        <v>0</v>
      </c>
      <c r="G35" s="103"/>
      <c r="H35" s="105"/>
      <c r="J35" s="256" t="str">
        <f t="shared" si="0"/>
        <v/>
      </c>
      <c r="L35" s="52" t="str">
        <f t="shared" si="1"/>
        <v/>
      </c>
      <c r="M35" s="73" t="str">
        <f t="shared" si="2"/>
        <v/>
      </c>
      <c r="N35" s="73" t="str">
        <f>IF(H35="","",IF(COUNTIF(H$7:H34,H35)=0,MAX(N$7:N34)+1,MAX(N$7:N34)))</f>
        <v/>
      </c>
      <c r="O35" s="73" t="str">
        <f t="shared" si="10"/>
        <v/>
      </c>
      <c r="P35" s="31" t="str">
        <f t="shared" si="3"/>
        <v/>
      </c>
      <c r="Q35" s="257" t="str">
        <f t="shared" si="4"/>
        <v/>
      </c>
      <c r="R35" s="257" t="str">
        <f t="shared" si="11"/>
        <v/>
      </c>
      <c r="S35" s="257" t="str">
        <f t="shared" si="5"/>
        <v/>
      </c>
      <c r="T35" s="257" t="str">
        <f t="shared" si="6"/>
        <v/>
      </c>
      <c r="U35" s="32" t="str">
        <f t="shared" si="7"/>
        <v/>
      </c>
      <c r="W35" s="19" t="str">
        <f t="shared" si="8"/>
        <v/>
      </c>
      <c r="X35" t="s">
        <v>0</v>
      </c>
      <c r="Y35" s="19" t="str">
        <f t="shared" si="9"/>
        <v/>
      </c>
      <c r="Z35" t="s">
        <v>0</v>
      </c>
    </row>
    <row r="36" spans="1:26" x14ac:dyDescent="0.25">
      <c r="A36" t="s">
        <v>0</v>
      </c>
      <c r="B36" s="52" t="str">
        <f>IF(csv!F31="","",csv!T31)</f>
        <v>M16</v>
      </c>
      <c r="C36" s="31" t="str">
        <f>IF(csv!F31="","",csv!AO31)</f>
        <v>M16</v>
      </c>
      <c r="D36" s="31" t="str">
        <f>IF(csv!F31="","",csv!AP31&amp;"–"&amp;csv!AQ31&amp;"–"&amp;csv!AR31)</f>
        <v>3.91–125–8</v>
      </c>
      <c r="E36" s="66" t="str">
        <f>IF(csv!AV31&amp;csv!AX31&amp;csv!AZ31&amp;csv!BB31&amp;csv!BD31="","",csv!AV31&amp;"–"&amp;csv!AX31&amp;"–"&amp;csv!AZ31&amp;"–"&amp;csv!BB31&amp;"–"&amp;csv!BD31&amp;"–"&amp;csv!BF31&amp;"–"&amp;csv!BH31&amp;"–"&amp;csv!BJ31&amp;"–"&amp;csv!BL31&amp;"–"&amp;csv!BN31&amp;"–"&amp;csv!BP31&amp;"–"&amp;csv!BR31&amp;"–"&amp;csv!BT31&amp;"–"&amp;csv!BV31&amp;"–"&amp;csv!BX31&amp;"–"&amp;csv!BZ31&amp;"–"&amp;csv!CB31&amp;"–"&amp;csv!CD31&amp;"–"&amp;csv!CF31&amp;"–"&amp;csv!CH31&amp;"–"&amp;csv!CJ31&amp;"–"&amp;csv!CL31&amp;"–"&amp;csv!CN31&amp;"–"&amp;csv!CP31&amp;"–"&amp;csv!CR31&amp;"–"&amp;csv!CT31&amp;"–"&amp;csv!CV31&amp;"–"&amp;csv!CX30&amp;"–"&amp;csv!CZ30)</f>
        <v>61–64–39–63–67–34–38–100–––––––––––––––––––––</v>
      </c>
      <c r="F36" t="s">
        <v>0</v>
      </c>
      <c r="G36" s="103"/>
      <c r="H36" s="105"/>
      <c r="J36" s="256" t="str">
        <f t="shared" si="0"/>
        <v/>
      </c>
      <c r="L36" s="52" t="str">
        <f t="shared" si="1"/>
        <v/>
      </c>
      <c r="M36" s="73" t="str">
        <f t="shared" si="2"/>
        <v/>
      </c>
      <c r="N36" s="73" t="str">
        <f>IF(H36="","",IF(COUNTIF(H$7:H35,H36)=0,MAX(N$7:N35)+1,MAX(N$7:N35)))</f>
        <v/>
      </c>
      <c r="O36" s="73" t="str">
        <f t="shared" si="10"/>
        <v/>
      </c>
      <c r="P36" s="31" t="str">
        <f t="shared" si="3"/>
        <v/>
      </c>
      <c r="Q36" s="257" t="str">
        <f t="shared" si="4"/>
        <v/>
      </c>
      <c r="R36" s="257" t="str">
        <f t="shared" si="11"/>
        <v/>
      </c>
      <c r="S36" s="257" t="str">
        <f t="shared" si="5"/>
        <v/>
      </c>
      <c r="T36" s="257" t="str">
        <f t="shared" si="6"/>
        <v/>
      </c>
      <c r="U36" s="32" t="str">
        <f t="shared" si="7"/>
        <v/>
      </c>
      <c r="W36" s="19" t="str">
        <f t="shared" si="8"/>
        <v/>
      </c>
      <c r="X36" t="s">
        <v>0</v>
      </c>
      <c r="Y36" s="19" t="str">
        <f t="shared" si="9"/>
        <v/>
      </c>
      <c r="Z36" t="s">
        <v>0</v>
      </c>
    </row>
    <row r="37" spans="1:26" x14ac:dyDescent="0.25">
      <c r="A37" t="s">
        <v>0</v>
      </c>
      <c r="B37" s="52" t="str">
        <f>IF(csv!F32="","",csv!T32)</f>
        <v>M16</v>
      </c>
      <c r="C37" s="31" t="str">
        <f>IF(csv!F32="","",csv!AO32)</f>
        <v>M16</v>
      </c>
      <c r="D37" s="31" t="str">
        <f>IF(csv!F32="","",csv!AP32&amp;"–"&amp;csv!AQ32&amp;"–"&amp;csv!AR32)</f>
        <v>3.91–125–8</v>
      </c>
      <c r="E37" s="66" t="str">
        <f>IF(csv!AV32&amp;csv!AX32&amp;csv!AZ32&amp;csv!BB32&amp;csv!BD32="","",csv!AV32&amp;"–"&amp;csv!AX32&amp;"–"&amp;csv!AZ32&amp;"–"&amp;csv!BB32&amp;"–"&amp;csv!BD32&amp;"–"&amp;csv!BF32&amp;"–"&amp;csv!BH32&amp;"–"&amp;csv!BJ32&amp;"–"&amp;csv!BL32&amp;"–"&amp;csv!BN32&amp;"–"&amp;csv!BP32&amp;"–"&amp;csv!BR32&amp;"–"&amp;csv!BT32&amp;"–"&amp;csv!BV32&amp;"–"&amp;csv!BX32&amp;"–"&amp;csv!BZ32&amp;"–"&amp;csv!CB32&amp;"–"&amp;csv!CD32&amp;"–"&amp;csv!CF32&amp;"–"&amp;csv!CH32&amp;"–"&amp;csv!CJ32&amp;"–"&amp;csv!CL32&amp;"–"&amp;csv!CN32&amp;"–"&amp;csv!CP32&amp;"–"&amp;csv!CR32&amp;"–"&amp;csv!CT32&amp;"–"&amp;csv!CV32&amp;"–"&amp;csv!CX31&amp;"–"&amp;csv!CZ31)</f>
        <v/>
      </c>
      <c r="F37" t="s">
        <v>0</v>
      </c>
      <c r="G37" s="103"/>
      <c r="H37" s="105"/>
      <c r="J37" s="256" t="str">
        <f t="shared" si="0"/>
        <v/>
      </c>
      <c r="L37" s="52" t="str">
        <f t="shared" si="1"/>
        <v/>
      </c>
      <c r="M37" s="73" t="str">
        <f t="shared" si="2"/>
        <v/>
      </c>
      <c r="N37" s="73" t="str">
        <f>IF(H37="","",IF(COUNTIF(H$7:H36,H37)=0,MAX(N$7:N36)+1,MAX(N$7:N36)))</f>
        <v/>
      </c>
      <c r="O37" s="73" t="str">
        <f t="shared" si="10"/>
        <v/>
      </c>
      <c r="P37" s="31" t="str">
        <f t="shared" si="3"/>
        <v/>
      </c>
      <c r="Q37" s="257" t="str">
        <f t="shared" si="4"/>
        <v/>
      </c>
      <c r="R37" s="257" t="str">
        <f t="shared" si="11"/>
        <v/>
      </c>
      <c r="S37" s="257" t="str">
        <f t="shared" si="5"/>
        <v/>
      </c>
      <c r="T37" s="257" t="str">
        <f t="shared" si="6"/>
        <v/>
      </c>
      <c r="U37" s="32" t="str">
        <f t="shared" si="7"/>
        <v/>
      </c>
      <c r="W37" s="19" t="str">
        <f t="shared" si="8"/>
        <v/>
      </c>
      <c r="X37" t="s">
        <v>0</v>
      </c>
      <c r="Y37" s="19" t="str">
        <f t="shared" si="9"/>
        <v/>
      </c>
      <c r="Z37" t="s">
        <v>0</v>
      </c>
    </row>
    <row r="38" spans="1:26" x14ac:dyDescent="0.25">
      <c r="A38" t="s">
        <v>0</v>
      </c>
      <c r="B38" s="52" t="str">
        <f>IF(csv!F33="","",csv!T33)</f>
        <v>M16</v>
      </c>
      <c r="C38" s="31" t="str">
        <f>IF(csv!F33="","",csv!AO33)</f>
        <v>M16</v>
      </c>
      <c r="D38" s="31" t="str">
        <f>IF(csv!F33="","",csv!AP33&amp;"–"&amp;csv!AQ33&amp;"–"&amp;csv!AR33)</f>
        <v>3.91–125–8</v>
      </c>
      <c r="E38" s="66" t="str">
        <f>IF(csv!AV33&amp;csv!AX33&amp;csv!AZ33&amp;csv!BB33&amp;csv!BD33="","",csv!AV33&amp;"–"&amp;csv!AX33&amp;"–"&amp;csv!AZ33&amp;"–"&amp;csv!BB33&amp;"–"&amp;csv!BD33&amp;"–"&amp;csv!BF33&amp;"–"&amp;csv!BH33&amp;"–"&amp;csv!BJ33&amp;"–"&amp;csv!BL33&amp;"–"&amp;csv!BN33&amp;"–"&amp;csv!BP33&amp;"–"&amp;csv!BR33&amp;"–"&amp;csv!BT33&amp;"–"&amp;csv!BV33&amp;"–"&amp;csv!BX33&amp;"–"&amp;csv!BZ33&amp;"–"&amp;csv!CB33&amp;"–"&amp;csv!CD33&amp;"–"&amp;csv!CF33&amp;"–"&amp;csv!CH33&amp;"–"&amp;csv!CJ33&amp;"–"&amp;csv!CL33&amp;"–"&amp;csv!CN33&amp;"–"&amp;csv!CP33&amp;"–"&amp;csv!CR33&amp;"–"&amp;csv!CT33&amp;"–"&amp;csv!CV33&amp;"–"&amp;csv!CX32&amp;"–"&amp;csv!CZ32)</f>
        <v/>
      </c>
      <c r="F38" t="s">
        <v>0</v>
      </c>
      <c r="G38" s="103"/>
      <c r="H38" s="105"/>
      <c r="J38" s="256" t="str">
        <f t="shared" si="0"/>
        <v/>
      </c>
      <c r="L38" s="52" t="str">
        <f t="shared" si="1"/>
        <v/>
      </c>
      <c r="M38" s="73" t="str">
        <f t="shared" si="2"/>
        <v/>
      </c>
      <c r="N38" s="73" t="str">
        <f>IF(H38="","",IF(COUNTIF(H$7:H37,H38)=0,MAX(N$7:N37)+1,MAX(N$7:N37)))</f>
        <v/>
      </c>
      <c r="O38" s="73" t="str">
        <f t="shared" si="10"/>
        <v/>
      </c>
      <c r="P38" s="31" t="str">
        <f t="shared" si="3"/>
        <v/>
      </c>
      <c r="Q38" s="257" t="str">
        <f t="shared" si="4"/>
        <v/>
      </c>
      <c r="R38" s="257" t="str">
        <f t="shared" si="11"/>
        <v/>
      </c>
      <c r="S38" s="257" t="str">
        <f t="shared" si="5"/>
        <v/>
      </c>
      <c r="T38" s="257" t="str">
        <f t="shared" si="6"/>
        <v/>
      </c>
      <c r="U38" s="32" t="str">
        <f t="shared" si="7"/>
        <v/>
      </c>
      <c r="W38" s="19" t="str">
        <f t="shared" si="8"/>
        <v/>
      </c>
      <c r="X38" t="s">
        <v>0</v>
      </c>
      <c r="Y38" s="19" t="str">
        <f t="shared" si="9"/>
        <v/>
      </c>
      <c r="Z38" t="s">
        <v>0</v>
      </c>
    </row>
    <row r="39" spans="1:26" x14ac:dyDescent="0.25">
      <c r="A39" t="s">
        <v>0</v>
      </c>
      <c r="B39" s="52" t="str">
        <f>IF(csv!F34="","",csv!T34)</f>
        <v>M16</v>
      </c>
      <c r="C39" s="31" t="str">
        <f>IF(csv!F34="","",csv!AO34)</f>
        <v>M16</v>
      </c>
      <c r="D39" s="31" t="str">
        <f>IF(csv!F34="","",csv!AP34&amp;"–"&amp;csv!AQ34&amp;"–"&amp;csv!AR34)</f>
        <v>3.91–125–8</v>
      </c>
      <c r="E39" s="66" t="str">
        <f>IF(csv!AV34&amp;csv!AX34&amp;csv!AZ34&amp;csv!BB34&amp;csv!BD34="","",csv!AV34&amp;"–"&amp;csv!AX34&amp;"–"&amp;csv!AZ34&amp;"–"&amp;csv!BB34&amp;"–"&amp;csv!BD34&amp;"–"&amp;csv!BF34&amp;"–"&amp;csv!BH34&amp;"–"&amp;csv!BJ34&amp;"–"&amp;csv!BL34&amp;"–"&amp;csv!BN34&amp;"–"&amp;csv!BP34&amp;"–"&amp;csv!BR34&amp;"–"&amp;csv!BT34&amp;"–"&amp;csv!BV34&amp;"–"&amp;csv!BX34&amp;"–"&amp;csv!BZ34&amp;"–"&amp;csv!CB34&amp;"–"&amp;csv!CD34&amp;"–"&amp;csv!CF34&amp;"–"&amp;csv!CH34&amp;"–"&amp;csv!CJ34&amp;"–"&amp;csv!CL34&amp;"–"&amp;csv!CN34&amp;"–"&amp;csv!CP34&amp;"–"&amp;csv!CR34&amp;"–"&amp;csv!CT34&amp;"–"&amp;csv!CV34&amp;"–"&amp;csv!CX33&amp;"–"&amp;csv!CZ33)</f>
        <v/>
      </c>
      <c r="F39" t="s">
        <v>0</v>
      </c>
      <c r="G39" s="103"/>
      <c r="H39" s="105"/>
      <c r="J39" s="256" t="str">
        <f t="shared" si="0"/>
        <v/>
      </c>
      <c r="L39" s="52" t="str">
        <f t="shared" si="1"/>
        <v/>
      </c>
      <c r="M39" s="73" t="str">
        <f t="shared" si="2"/>
        <v/>
      </c>
      <c r="N39" s="73" t="str">
        <f>IF(H39="","",IF(COUNTIF(H$7:H38,H39)=0,MAX(N$7:N38)+1,MAX(N$7:N38)))</f>
        <v/>
      </c>
      <c r="O39" s="73" t="str">
        <f t="shared" si="10"/>
        <v/>
      </c>
      <c r="P39" s="31" t="str">
        <f t="shared" si="3"/>
        <v/>
      </c>
      <c r="Q39" s="257" t="str">
        <f t="shared" si="4"/>
        <v/>
      </c>
      <c r="R39" s="257" t="str">
        <f t="shared" si="11"/>
        <v/>
      </c>
      <c r="S39" s="257" t="str">
        <f t="shared" si="5"/>
        <v/>
      </c>
      <c r="T39" s="257" t="str">
        <f t="shared" si="6"/>
        <v/>
      </c>
      <c r="U39" s="32" t="str">
        <f t="shared" si="7"/>
        <v/>
      </c>
      <c r="W39" s="19" t="str">
        <f t="shared" si="8"/>
        <v/>
      </c>
      <c r="X39" t="s">
        <v>0</v>
      </c>
      <c r="Y39" s="19" t="str">
        <f t="shared" si="9"/>
        <v/>
      </c>
      <c r="Z39" t="s">
        <v>0</v>
      </c>
    </row>
    <row r="40" spans="1:26" x14ac:dyDescent="0.25">
      <c r="A40" t="s">
        <v>0</v>
      </c>
      <c r="B40" s="52" t="str">
        <f>IF(csv!F35="","",csv!T35)</f>
        <v>M16</v>
      </c>
      <c r="C40" s="31" t="str">
        <f>IF(csv!F35="","",csv!AO35)</f>
        <v>M16</v>
      </c>
      <c r="D40" s="31" t="str">
        <f>IF(csv!F35="","",csv!AP35&amp;"–"&amp;csv!AQ35&amp;"–"&amp;csv!AR35)</f>
        <v>3.91–125–8</v>
      </c>
      <c r="E40" s="66" t="str">
        <f>IF(csv!AV35&amp;csv!AX35&amp;csv!AZ35&amp;csv!BB35&amp;csv!BD35="","",csv!AV35&amp;"–"&amp;csv!AX35&amp;"–"&amp;csv!AZ35&amp;"–"&amp;csv!BB35&amp;"–"&amp;csv!BD35&amp;"–"&amp;csv!BF35&amp;"–"&amp;csv!BH35&amp;"–"&amp;csv!BJ35&amp;"–"&amp;csv!BL35&amp;"–"&amp;csv!BN35&amp;"–"&amp;csv!BP35&amp;"–"&amp;csv!BR35&amp;"–"&amp;csv!BT35&amp;"–"&amp;csv!BV35&amp;"–"&amp;csv!BX35&amp;"–"&amp;csv!BZ35&amp;"–"&amp;csv!CB35&amp;"–"&amp;csv!CD35&amp;"–"&amp;csv!CF35&amp;"–"&amp;csv!CH35&amp;"–"&amp;csv!CJ35&amp;"–"&amp;csv!CL35&amp;"–"&amp;csv!CN35&amp;"–"&amp;csv!CP35&amp;"–"&amp;csv!CR35&amp;"–"&amp;csv!CT35&amp;"–"&amp;csv!CV35&amp;"–"&amp;csv!CX34&amp;"–"&amp;csv!CZ34)</f>
        <v>61–64–39––67–34–38–100–––––––––––––––––––––</v>
      </c>
      <c r="F40" t="s">
        <v>0</v>
      </c>
      <c r="G40" s="103"/>
      <c r="H40" s="105"/>
      <c r="J40" s="256" t="str">
        <f t="shared" ref="J40:J57" si="15">IF(U40="","",IF(H40=H39,J39,U40))</f>
        <v/>
      </c>
      <c r="L40" s="52" t="str">
        <f t="shared" ref="L40:L57" si="16">IF(G40="","",INDEX(regKategorija_oznaka,MATCH(INDEX(natKategorija_katRegId,MATCH(G40,natKategorija_kategorija,0)),regKategorija_id,0)))</f>
        <v/>
      </c>
      <c r="M40" s="73" t="str">
        <f t="shared" ref="M40:M57" si="17">IF(L40="","",INDEX(regKategorija_rbr,MATCH(L40,regKategorija_oznaka,0)))</f>
        <v/>
      </c>
      <c r="N40" s="73" t="str">
        <f>IF(H40="","",IF(COUNTIF(H$7:H39,H40)=0,MAX(N$7:N39)+1,MAX(N$7:N39)))</f>
        <v/>
      </c>
      <c r="O40" s="73" t="str">
        <f t="shared" si="10"/>
        <v/>
      </c>
      <c r="P40" s="31" t="str">
        <f t="shared" ref="P40:P57" si="18">IF(L40="","",IF(H40&lt;&gt;H41,L40,L40&amp;" – "&amp;P41))</f>
        <v/>
      </c>
      <c r="Q40" s="257" t="str">
        <f t="shared" ref="Q40:Q57" si="19">IF(O40="","",INDEX(csv,MATCH($G40,nat_kategorija,0),41))</f>
        <v/>
      </c>
      <c r="R40" s="257" t="str">
        <f t="shared" si="11"/>
        <v/>
      </c>
      <c r="S40" s="257" t="str">
        <f t="shared" ref="S40:S57" si="20">IF(O40="","",INDEX(csv,MATCH($G40,nat_kategorija,0),42))</f>
        <v/>
      </c>
      <c r="T40" s="257" t="str">
        <f t="shared" ref="T40:T57" si="21">IF(O40="","",INDEX(csv,MATCH($G40,nat_kategorija,0),43))</f>
        <v/>
      </c>
      <c r="U40" s="32" t="str">
        <f t="shared" ref="U40:U57" si="22">IF(L40="","",IF(H40&lt;&gt;H41,M40,MIN(M40,IF(U41="",9999,U41))))</f>
        <v/>
      </c>
      <c r="W40" s="19" t="str">
        <f t="shared" ref="W40:W57" si="23">IF(O40="","","INSERT INTO staza (id,trka_id,naziv,duljina,uspon,broj_kontrola,rbr) VALUES ("&amp;O40&amp;","&amp;data_trka_id&amp;",'"&amp;P40&amp;"',"&amp;R40&amp;","&amp;S40&amp;","&amp;T40&amp;","&amp;U40&amp;");")</f>
        <v/>
      </c>
      <c r="X40" t="s">
        <v>0</v>
      </c>
      <c r="Y40" s="19" t="str">
        <f t="shared" si="9"/>
        <v/>
      </c>
      <c r="Z40" t="s">
        <v>0</v>
      </c>
    </row>
    <row r="41" spans="1:26" x14ac:dyDescent="0.25">
      <c r="A41" t="s">
        <v>0</v>
      </c>
      <c r="B41" s="52" t="str">
        <f>IF(csv!F36="","",csv!T36)</f>
        <v>M16</v>
      </c>
      <c r="C41" s="31" t="str">
        <f>IF(csv!F36="","",csv!AO36)</f>
        <v>M16</v>
      </c>
      <c r="D41" s="31" t="str">
        <f>IF(csv!F36="","",csv!AP36&amp;"–"&amp;csv!AQ36&amp;"–"&amp;csv!AR36)</f>
        <v>3.91–125–8</v>
      </c>
      <c r="E41" s="66" t="str">
        <f>IF(csv!AV36&amp;csv!AX36&amp;csv!AZ36&amp;csv!BB36&amp;csv!BD36="","",csv!AV36&amp;"–"&amp;csv!AX36&amp;"–"&amp;csv!AZ36&amp;"–"&amp;csv!BB36&amp;"–"&amp;csv!BD36&amp;"–"&amp;csv!BF36&amp;"–"&amp;csv!BH36&amp;"–"&amp;csv!BJ36&amp;"–"&amp;csv!BL36&amp;"–"&amp;csv!BN36&amp;"–"&amp;csv!BP36&amp;"–"&amp;csv!BR36&amp;"–"&amp;csv!BT36&amp;"–"&amp;csv!BV36&amp;"–"&amp;csv!BX36&amp;"–"&amp;csv!BZ36&amp;"–"&amp;csv!CB36&amp;"–"&amp;csv!CD36&amp;"–"&amp;csv!CF36&amp;"–"&amp;csv!CH36&amp;"–"&amp;csv!CJ36&amp;"–"&amp;csv!CL36&amp;"–"&amp;csv!CN36&amp;"–"&amp;csv!CP36&amp;"–"&amp;csv!CR36&amp;"–"&amp;csv!CT36&amp;"–"&amp;csv!CV36&amp;"–"&amp;csv!CX35&amp;"–"&amp;csv!CZ35)</f>
        <v>61–64––––––100–––––––––––––––––––––</v>
      </c>
      <c r="F41" t="s">
        <v>0</v>
      </c>
      <c r="G41" s="103"/>
      <c r="H41" s="105"/>
      <c r="J41" s="256" t="str">
        <f t="shared" si="15"/>
        <v/>
      </c>
      <c r="L41" s="52" t="str">
        <f t="shared" si="16"/>
        <v/>
      </c>
      <c r="M41" s="73" t="str">
        <f t="shared" si="17"/>
        <v/>
      </c>
      <c r="N41" s="73" t="str">
        <f>IF(H41="","",IF(COUNTIF(H$7:H40,H41)=0,MAX(N$7:N40)+1,MAX(N$7:N40)))</f>
        <v/>
      </c>
      <c r="O41" s="73" t="str">
        <f t="shared" si="10"/>
        <v/>
      </c>
      <c r="P41" s="31" t="str">
        <f t="shared" si="18"/>
        <v/>
      </c>
      <c r="Q41" s="257" t="str">
        <f t="shared" si="19"/>
        <v/>
      </c>
      <c r="R41" s="257" t="str">
        <f t="shared" si="11"/>
        <v/>
      </c>
      <c r="S41" s="257" t="str">
        <f t="shared" si="20"/>
        <v/>
      </c>
      <c r="T41" s="257" t="str">
        <f t="shared" si="21"/>
        <v/>
      </c>
      <c r="U41" s="32" t="str">
        <f t="shared" si="22"/>
        <v/>
      </c>
      <c r="W41" s="19" t="str">
        <f t="shared" si="23"/>
        <v/>
      </c>
      <c r="X41" t="s">
        <v>0</v>
      </c>
      <c r="Y41" s="19" t="str">
        <f t="shared" si="9"/>
        <v/>
      </c>
      <c r="Z41" t="s">
        <v>0</v>
      </c>
    </row>
    <row r="42" spans="1:26" x14ac:dyDescent="0.25">
      <c r="A42" t="s">
        <v>0</v>
      </c>
      <c r="B42" s="52" t="str">
        <f>IF(csv!F37="","",csv!T37)</f>
        <v>M16</v>
      </c>
      <c r="C42" s="31" t="str">
        <f>IF(csv!F37="","",csv!AO37)</f>
        <v>M16</v>
      </c>
      <c r="D42" s="31" t="str">
        <f>IF(csv!F37="","",csv!AP37&amp;"–"&amp;csv!AQ37&amp;"–"&amp;csv!AR37)</f>
        <v>3.91–125–8</v>
      </c>
      <c r="E42" s="66" t="str">
        <f>IF(csv!AV37&amp;csv!AX37&amp;csv!AZ37&amp;csv!BB37&amp;csv!BD37="","",csv!AV37&amp;"–"&amp;csv!AX37&amp;"–"&amp;csv!AZ37&amp;"–"&amp;csv!BB37&amp;"–"&amp;csv!BD37&amp;"–"&amp;csv!BF37&amp;"–"&amp;csv!BH37&amp;"–"&amp;csv!BJ37&amp;"–"&amp;csv!BL37&amp;"–"&amp;csv!BN37&amp;"–"&amp;csv!BP37&amp;"–"&amp;csv!BR37&amp;"–"&amp;csv!BT37&amp;"–"&amp;csv!BV37&amp;"–"&amp;csv!BX37&amp;"–"&amp;csv!BZ37&amp;"–"&amp;csv!CB37&amp;"–"&amp;csv!CD37&amp;"–"&amp;csv!CF37&amp;"–"&amp;csv!CH37&amp;"–"&amp;csv!CJ37&amp;"–"&amp;csv!CL37&amp;"–"&amp;csv!CN37&amp;"–"&amp;csv!CP37&amp;"–"&amp;csv!CR37&amp;"–"&amp;csv!CT37&amp;"–"&amp;csv!CV37&amp;"–"&amp;csv!CX36&amp;"–"&amp;csv!CZ36)</f>
        <v/>
      </c>
      <c r="F42" t="s">
        <v>0</v>
      </c>
      <c r="G42" s="103"/>
      <c r="H42" s="105"/>
      <c r="J42" s="256" t="str">
        <f t="shared" si="15"/>
        <v/>
      </c>
      <c r="L42" s="52" t="str">
        <f t="shared" si="16"/>
        <v/>
      </c>
      <c r="M42" s="73" t="str">
        <f t="shared" si="17"/>
        <v/>
      </c>
      <c r="N42" s="73" t="str">
        <f>IF(H42="","",IF(COUNTIF(H$7:H41,H42)=0,MAX(N$7:N41)+1,MAX(N$7:N41)))</f>
        <v/>
      </c>
      <c r="O42" s="73" t="str">
        <f t="shared" si="10"/>
        <v/>
      </c>
      <c r="P42" s="31" t="str">
        <f t="shared" si="18"/>
        <v/>
      </c>
      <c r="Q42" s="257" t="str">
        <f t="shared" si="19"/>
        <v/>
      </c>
      <c r="R42" s="257" t="str">
        <f t="shared" si="11"/>
        <v/>
      </c>
      <c r="S42" s="257" t="str">
        <f t="shared" si="20"/>
        <v/>
      </c>
      <c r="T42" s="257" t="str">
        <f t="shared" si="21"/>
        <v/>
      </c>
      <c r="U42" s="32" t="str">
        <f t="shared" si="22"/>
        <v/>
      </c>
      <c r="W42" s="19" t="str">
        <f t="shared" si="23"/>
        <v/>
      </c>
      <c r="X42" t="s">
        <v>0</v>
      </c>
      <c r="Y42" s="19" t="str">
        <f t="shared" si="9"/>
        <v/>
      </c>
      <c r="Z42" t="s">
        <v>0</v>
      </c>
    </row>
    <row r="43" spans="1:26" x14ac:dyDescent="0.25">
      <c r="A43" t="s">
        <v>0</v>
      </c>
      <c r="B43" s="52" t="str">
        <f>IF(csv!F38="","",csv!T38)</f>
        <v>M20</v>
      </c>
      <c r="C43" s="31" t="str">
        <f>IF(csv!F38="","",csv!AO38)</f>
        <v>M20</v>
      </c>
      <c r="D43" s="31" t="str">
        <f>IF(csv!F38="","",csv!AP38&amp;"–"&amp;csv!AQ38&amp;"–"&amp;csv!AR38)</f>
        <v>5.91–290–10</v>
      </c>
      <c r="E43" s="66" t="str">
        <f>IF(csv!AV38&amp;csv!AX38&amp;csv!AZ38&amp;csv!BB38&amp;csv!BD38="","",csv!AV38&amp;"–"&amp;csv!AX38&amp;"–"&amp;csv!AZ38&amp;"–"&amp;csv!BB38&amp;"–"&amp;csv!BD38&amp;"–"&amp;csv!BF38&amp;"–"&amp;csv!BH38&amp;"–"&amp;csv!BJ38&amp;"–"&amp;csv!BL38&amp;"–"&amp;csv!BN38&amp;"–"&amp;csv!BP38&amp;"–"&amp;csv!BR38&amp;"–"&amp;csv!BT38&amp;"–"&amp;csv!BV38&amp;"–"&amp;csv!BX38&amp;"–"&amp;csv!BZ38&amp;"–"&amp;csv!CB38&amp;"–"&amp;csv!CD38&amp;"–"&amp;csv!CF38&amp;"–"&amp;csv!CH38&amp;"–"&amp;csv!CJ38&amp;"–"&amp;csv!CL38&amp;"–"&amp;csv!CN38&amp;"–"&amp;csv!CP38&amp;"–"&amp;csv!CR38&amp;"–"&amp;csv!CT38&amp;"–"&amp;csv!CV38&amp;"–"&amp;csv!CX37&amp;"–"&amp;csv!CZ37)</f>
        <v>41–71–47–45–50–46–49–62–55–100–––––––––––––––––––</v>
      </c>
      <c r="F43" t="s">
        <v>0</v>
      </c>
      <c r="G43" s="103"/>
      <c r="H43" s="105"/>
      <c r="J43" s="256" t="str">
        <f t="shared" si="15"/>
        <v/>
      </c>
      <c r="L43" s="52" t="str">
        <f t="shared" si="16"/>
        <v/>
      </c>
      <c r="M43" s="73" t="str">
        <f t="shared" si="17"/>
        <v/>
      </c>
      <c r="N43" s="73" t="str">
        <f>IF(H43="","",IF(COUNTIF(H$7:H42,H43)=0,MAX(N$7:N42)+1,MAX(N$7:N42)))</f>
        <v/>
      </c>
      <c r="O43" s="73" t="str">
        <f t="shared" si="10"/>
        <v/>
      </c>
      <c r="P43" s="31" t="str">
        <f t="shared" si="18"/>
        <v/>
      </c>
      <c r="Q43" s="257" t="str">
        <f t="shared" si="19"/>
        <v/>
      </c>
      <c r="R43" s="257" t="str">
        <f t="shared" si="11"/>
        <v/>
      </c>
      <c r="S43" s="257" t="str">
        <f t="shared" si="20"/>
        <v/>
      </c>
      <c r="T43" s="257" t="str">
        <f t="shared" si="21"/>
        <v/>
      </c>
      <c r="U43" s="32" t="str">
        <f t="shared" si="22"/>
        <v/>
      </c>
      <c r="W43" s="19" t="str">
        <f t="shared" si="23"/>
        <v/>
      </c>
      <c r="X43" t="s">
        <v>0</v>
      </c>
      <c r="Y43" s="19" t="str">
        <f t="shared" si="9"/>
        <v/>
      </c>
      <c r="Z43" t="s">
        <v>0</v>
      </c>
    </row>
    <row r="44" spans="1:26" x14ac:dyDescent="0.25">
      <c r="A44" t="s">
        <v>0</v>
      </c>
      <c r="B44" s="52" t="str">
        <f>IF(csv!F39="","",csv!T39)</f>
        <v>M20</v>
      </c>
      <c r="C44" s="31" t="str">
        <f>IF(csv!F39="","",csv!AO39)</f>
        <v>M20</v>
      </c>
      <c r="D44" s="31" t="str">
        <f>IF(csv!F39="","",csv!AP39&amp;"–"&amp;csv!AQ39&amp;"–"&amp;csv!AR39)</f>
        <v>5.91–290–10</v>
      </c>
      <c r="E44" s="66" t="str">
        <f>IF(csv!AV39&amp;csv!AX39&amp;csv!AZ39&amp;csv!BB39&amp;csv!BD39="","",csv!AV39&amp;"–"&amp;csv!AX39&amp;"–"&amp;csv!AZ39&amp;"–"&amp;csv!BB39&amp;"–"&amp;csv!BD39&amp;"–"&amp;csv!BF39&amp;"–"&amp;csv!BH39&amp;"–"&amp;csv!BJ39&amp;"–"&amp;csv!BL39&amp;"–"&amp;csv!BN39&amp;"–"&amp;csv!BP39&amp;"–"&amp;csv!BR39&amp;"–"&amp;csv!BT39&amp;"–"&amp;csv!BV39&amp;"–"&amp;csv!BX39&amp;"–"&amp;csv!BZ39&amp;"–"&amp;csv!CB39&amp;"–"&amp;csv!CD39&amp;"–"&amp;csv!CF39&amp;"–"&amp;csv!CH39&amp;"–"&amp;csv!CJ39&amp;"–"&amp;csv!CL39&amp;"–"&amp;csv!CN39&amp;"–"&amp;csv!CP39&amp;"–"&amp;csv!CR39&amp;"–"&amp;csv!CT39&amp;"–"&amp;csv!CV39&amp;"–"&amp;csv!CX38&amp;"–"&amp;csv!CZ38)</f>
        <v>41–71–47–45–50–46–49–62–55–100–––––––––––––––––––</v>
      </c>
      <c r="F44" t="s">
        <v>0</v>
      </c>
      <c r="G44" s="103"/>
      <c r="H44" s="105"/>
      <c r="J44" s="256" t="str">
        <f t="shared" si="15"/>
        <v/>
      </c>
      <c r="L44" s="52" t="str">
        <f t="shared" si="16"/>
        <v/>
      </c>
      <c r="M44" s="73" t="str">
        <f t="shared" si="17"/>
        <v/>
      </c>
      <c r="N44" s="73" t="str">
        <f>IF(H44="","",IF(COUNTIF(H$7:H43,H44)=0,MAX(N$7:N43)+1,MAX(N$7:N43)))</f>
        <v/>
      </c>
      <c r="O44" s="73" t="str">
        <f t="shared" si="10"/>
        <v/>
      </c>
      <c r="P44" s="31" t="str">
        <f t="shared" si="18"/>
        <v/>
      </c>
      <c r="Q44" s="257" t="str">
        <f t="shared" si="19"/>
        <v/>
      </c>
      <c r="R44" s="257" t="str">
        <f t="shared" si="11"/>
        <v/>
      </c>
      <c r="S44" s="257" t="str">
        <f t="shared" si="20"/>
        <v/>
      </c>
      <c r="T44" s="257" t="str">
        <f t="shared" si="21"/>
        <v/>
      </c>
      <c r="U44" s="32" t="str">
        <f t="shared" si="22"/>
        <v/>
      </c>
      <c r="W44" s="19" t="str">
        <f t="shared" si="23"/>
        <v/>
      </c>
      <c r="X44" t="s">
        <v>0</v>
      </c>
      <c r="Y44" s="19" t="str">
        <f t="shared" si="9"/>
        <v/>
      </c>
      <c r="Z44" t="s">
        <v>0</v>
      </c>
    </row>
    <row r="45" spans="1:26" x14ac:dyDescent="0.25">
      <c r="A45" t="s">
        <v>0</v>
      </c>
      <c r="B45" s="52" t="str">
        <f>IF(csv!F40="","",csv!T40)</f>
        <v>M20</v>
      </c>
      <c r="C45" s="31" t="str">
        <f>IF(csv!F40="","",csv!AO40)</f>
        <v>M20</v>
      </c>
      <c r="D45" s="31" t="str">
        <f>IF(csv!F40="","",csv!AP40&amp;"–"&amp;csv!AQ40&amp;"–"&amp;csv!AR40)</f>
        <v>5.91–290–10</v>
      </c>
      <c r="E45" s="66" t="str">
        <f>IF(csv!AV40&amp;csv!AX40&amp;csv!AZ40&amp;csv!BB40&amp;csv!BD40="","",csv!AV40&amp;"–"&amp;csv!AX40&amp;"–"&amp;csv!AZ40&amp;"–"&amp;csv!BB40&amp;"–"&amp;csv!BD40&amp;"–"&amp;csv!BF40&amp;"–"&amp;csv!BH40&amp;"–"&amp;csv!BJ40&amp;"–"&amp;csv!BL40&amp;"–"&amp;csv!BN40&amp;"–"&amp;csv!BP40&amp;"–"&amp;csv!BR40&amp;"–"&amp;csv!BT40&amp;"–"&amp;csv!BV40&amp;"–"&amp;csv!BX40&amp;"–"&amp;csv!BZ40&amp;"–"&amp;csv!CB40&amp;"–"&amp;csv!CD40&amp;"–"&amp;csv!CF40&amp;"–"&amp;csv!CH40&amp;"–"&amp;csv!CJ40&amp;"–"&amp;csv!CL40&amp;"–"&amp;csv!CN40&amp;"–"&amp;csv!CP40&amp;"–"&amp;csv!CR40&amp;"–"&amp;csv!CT40&amp;"–"&amp;csv!CV40&amp;"–"&amp;csv!CX39&amp;"–"&amp;csv!CZ39)</f>
        <v>41–71–47–45–50–46–49–62–55–100–––––––––––––––––––</v>
      </c>
      <c r="F45" t="s">
        <v>0</v>
      </c>
      <c r="G45" s="103"/>
      <c r="H45" s="105"/>
      <c r="J45" s="256" t="str">
        <f t="shared" si="15"/>
        <v/>
      </c>
      <c r="L45" s="52" t="str">
        <f t="shared" si="16"/>
        <v/>
      </c>
      <c r="M45" s="73" t="str">
        <f t="shared" si="17"/>
        <v/>
      </c>
      <c r="N45" s="73" t="str">
        <f>IF(H45="","",IF(COUNTIF(H$7:H44,H45)=0,MAX(N$7:N44)+1,MAX(N$7:N44)))</f>
        <v/>
      </c>
      <c r="O45" s="73" t="str">
        <f t="shared" si="10"/>
        <v/>
      </c>
      <c r="P45" s="31" t="str">
        <f t="shared" si="18"/>
        <v/>
      </c>
      <c r="Q45" s="257" t="str">
        <f t="shared" si="19"/>
        <v/>
      </c>
      <c r="R45" s="257" t="str">
        <f t="shared" si="11"/>
        <v/>
      </c>
      <c r="S45" s="257" t="str">
        <f t="shared" si="20"/>
        <v/>
      </c>
      <c r="T45" s="257" t="str">
        <f t="shared" si="21"/>
        <v/>
      </c>
      <c r="U45" s="32" t="str">
        <f t="shared" si="22"/>
        <v/>
      </c>
      <c r="W45" s="19" t="str">
        <f t="shared" si="23"/>
        <v/>
      </c>
      <c r="X45" t="s">
        <v>0</v>
      </c>
      <c r="Y45" s="19" t="str">
        <f t="shared" si="9"/>
        <v/>
      </c>
      <c r="Z45" t="s">
        <v>0</v>
      </c>
    </row>
    <row r="46" spans="1:26" x14ac:dyDescent="0.25">
      <c r="A46" t="s">
        <v>0</v>
      </c>
      <c r="B46" s="52" t="str">
        <f>IF(csv!F41="","",csv!T41)</f>
        <v>M20</v>
      </c>
      <c r="C46" s="31" t="str">
        <f>IF(csv!F41="","",csv!AO41)</f>
        <v>M20</v>
      </c>
      <c r="D46" s="31" t="str">
        <f>IF(csv!F41="","",csv!AP41&amp;"–"&amp;csv!AQ41&amp;"–"&amp;csv!AR41)</f>
        <v>5.91–290–10</v>
      </c>
      <c r="E46" s="66" t="str">
        <f>IF(csv!AV41&amp;csv!AX41&amp;csv!AZ41&amp;csv!BB41&amp;csv!BD41="","",csv!AV41&amp;"–"&amp;csv!AX41&amp;"–"&amp;csv!AZ41&amp;"–"&amp;csv!BB41&amp;"–"&amp;csv!BD41&amp;"–"&amp;csv!BF41&amp;"–"&amp;csv!BH41&amp;"–"&amp;csv!BJ41&amp;"–"&amp;csv!BL41&amp;"–"&amp;csv!BN41&amp;"–"&amp;csv!BP41&amp;"–"&amp;csv!BR41&amp;"–"&amp;csv!BT41&amp;"–"&amp;csv!BV41&amp;"–"&amp;csv!BX41&amp;"–"&amp;csv!BZ41&amp;"–"&amp;csv!CB41&amp;"–"&amp;csv!CD41&amp;"–"&amp;csv!CF41&amp;"–"&amp;csv!CH41&amp;"–"&amp;csv!CJ41&amp;"–"&amp;csv!CL41&amp;"–"&amp;csv!CN41&amp;"–"&amp;csv!CP41&amp;"–"&amp;csv!CR41&amp;"–"&amp;csv!CT41&amp;"–"&amp;csv!CV41&amp;"–"&amp;csv!CX40&amp;"–"&amp;csv!CZ40)</f>
        <v>41–71–47–45–50–46–49–62–55–100–––––––––––––––––––</v>
      </c>
      <c r="F46" t="s">
        <v>0</v>
      </c>
      <c r="G46" s="103"/>
      <c r="H46" s="105"/>
      <c r="J46" s="256" t="str">
        <f t="shared" si="15"/>
        <v/>
      </c>
      <c r="L46" s="52" t="str">
        <f t="shared" si="16"/>
        <v/>
      </c>
      <c r="M46" s="73" t="str">
        <f t="shared" si="17"/>
        <v/>
      </c>
      <c r="N46" s="73" t="str">
        <f>IF(H46="","",IF(COUNTIF(H$7:H45,H46)=0,MAX(N$7:N45)+1,MAX(N$7:N45)))</f>
        <v/>
      </c>
      <c r="O46" s="73" t="str">
        <f t="shared" si="10"/>
        <v/>
      </c>
      <c r="P46" s="31" t="str">
        <f t="shared" si="18"/>
        <v/>
      </c>
      <c r="Q46" s="257" t="str">
        <f t="shared" si="19"/>
        <v/>
      </c>
      <c r="R46" s="257" t="str">
        <f t="shared" si="11"/>
        <v/>
      </c>
      <c r="S46" s="257" t="str">
        <f t="shared" si="20"/>
        <v/>
      </c>
      <c r="T46" s="257" t="str">
        <f t="shared" si="21"/>
        <v/>
      </c>
      <c r="U46" s="32" t="str">
        <f t="shared" si="22"/>
        <v/>
      </c>
      <c r="W46" s="19" t="str">
        <f t="shared" si="23"/>
        <v/>
      </c>
      <c r="X46" t="s">
        <v>0</v>
      </c>
      <c r="Y46" s="19" t="str">
        <f t="shared" si="9"/>
        <v/>
      </c>
      <c r="Z46" t="s">
        <v>0</v>
      </c>
    </row>
    <row r="47" spans="1:26" x14ac:dyDescent="0.25">
      <c r="A47" t="s">
        <v>0</v>
      </c>
      <c r="B47" s="52" t="str">
        <f>IF(csv!F42="","",csv!T42)</f>
        <v>M20</v>
      </c>
      <c r="C47" s="31" t="str">
        <f>IF(csv!F42="","",csv!AO42)</f>
        <v>M20</v>
      </c>
      <c r="D47" s="31" t="str">
        <f>IF(csv!F42="","",csv!AP42&amp;"–"&amp;csv!AQ42&amp;"–"&amp;csv!AR42)</f>
        <v>5.91–290–10</v>
      </c>
      <c r="E47" s="66" t="str">
        <f>IF(csv!AV42&amp;csv!AX42&amp;csv!AZ42&amp;csv!BB42&amp;csv!BD42="","",csv!AV42&amp;"–"&amp;csv!AX42&amp;"–"&amp;csv!AZ42&amp;"–"&amp;csv!BB42&amp;"–"&amp;csv!BD42&amp;"–"&amp;csv!BF42&amp;"–"&amp;csv!BH42&amp;"–"&amp;csv!BJ42&amp;"–"&amp;csv!BL42&amp;"–"&amp;csv!BN42&amp;"–"&amp;csv!BP42&amp;"–"&amp;csv!BR42&amp;"–"&amp;csv!BT42&amp;"–"&amp;csv!BV42&amp;"–"&amp;csv!BX42&amp;"–"&amp;csv!BZ42&amp;"–"&amp;csv!CB42&amp;"–"&amp;csv!CD42&amp;"–"&amp;csv!CF42&amp;"–"&amp;csv!CH42&amp;"–"&amp;csv!CJ42&amp;"–"&amp;csv!CL42&amp;"–"&amp;csv!CN42&amp;"–"&amp;csv!CP42&amp;"–"&amp;csv!CR42&amp;"–"&amp;csv!CT42&amp;"–"&amp;csv!CV42&amp;"–"&amp;csv!CX41&amp;"–"&amp;csv!CZ41)</f>
        <v>41–71–47–45–50–46–49–62–55–100–––––––––––––––––––</v>
      </c>
      <c r="F47" t="s">
        <v>0</v>
      </c>
      <c r="G47" s="103"/>
      <c r="H47" s="105"/>
      <c r="J47" s="256" t="str">
        <f t="shared" si="15"/>
        <v/>
      </c>
      <c r="L47" s="52" t="str">
        <f t="shared" si="16"/>
        <v/>
      </c>
      <c r="M47" s="73" t="str">
        <f t="shared" si="17"/>
        <v/>
      </c>
      <c r="N47" s="73" t="str">
        <f>IF(H47="","",IF(COUNTIF(H$7:H46,H47)=0,MAX(N$7:N46)+1,MAX(N$7:N46)))</f>
        <v/>
      </c>
      <c r="O47" s="73" t="str">
        <f t="shared" si="10"/>
        <v/>
      </c>
      <c r="P47" s="31" t="str">
        <f t="shared" si="18"/>
        <v/>
      </c>
      <c r="Q47" s="257" t="str">
        <f t="shared" si="19"/>
        <v/>
      </c>
      <c r="R47" s="257" t="str">
        <f t="shared" si="11"/>
        <v/>
      </c>
      <c r="S47" s="257" t="str">
        <f t="shared" si="20"/>
        <v/>
      </c>
      <c r="T47" s="257" t="str">
        <f t="shared" si="21"/>
        <v/>
      </c>
      <c r="U47" s="32" t="str">
        <f t="shared" si="22"/>
        <v/>
      </c>
      <c r="W47" s="19" t="str">
        <f t="shared" si="23"/>
        <v/>
      </c>
      <c r="X47" t="s">
        <v>0</v>
      </c>
      <c r="Y47" s="19" t="str">
        <f t="shared" si="9"/>
        <v/>
      </c>
      <c r="Z47" t="s">
        <v>0</v>
      </c>
    </row>
    <row r="48" spans="1:26" x14ac:dyDescent="0.25">
      <c r="A48" t="s">
        <v>0</v>
      </c>
      <c r="B48" s="52" t="str">
        <f>IF(csv!F43="","",csv!T43)</f>
        <v>M20</v>
      </c>
      <c r="C48" s="31" t="str">
        <f>IF(csv!F43="","",csv!AO43)</f>
        <v>M20</v>
      </c>
      <c r="D48" s="31" t="str">
        <f>IF(csv!F43="","",csv!AP43&amp;"–"&amp;csv!AQ43&amp;"–"&amp;csv!AR43)</f>
        <v>5.91–290–10</v>
      </c>
      <c r="E48" s="66" t="str">
        <f>IF(csv!AV43&amp;csv!AX43&amp;csv!AZ43&amp;csv!BB43&amp;csv!BD43="","",csv!AV43&amp;"–"&amp;csv!AX43&amp;"–"&amp;csv!AZ43&amp;"–"&amp;csv!BB43&amp;"–"&amp;csv!BD43&amp;"–"&amp;csv!BF43&amp;"–"&amp;csv!BH43&amp;"–"&amp;csv!BJ43&amp;"–"&amp;csv!BL43&amp;"–"&amp;csv!BN43&amp;"–"&amp;csv!BP43&amp;"–"&amp;csv!BR43&amp;"–"&amp;csv!BT43&amp;"–"&amp;csv!BV43&amp;"–"&amp;csv!BX43&amp;"–"&amp;csv!BZ43&amp;"–"&amp;csv!CB43&amp;"–"&amp;csv!CD43&amp;"–"&amp;csv!CF43&amp;"–"&amp;csv!CH43&amp;"–"&amp;csv!CJ43&amp;"–"&amp;csv!CL43&amp;"–"&amp;csv!CN43&amp;"–"&amp;csv!CP43&amp;"–"&amp;csv!CR43&amp;"–"&amp;csv!CT43&amp;"–"&amp;csv!CV43&amp;"–"&amp;csv!CX42&amp;"–"&amp;csv!CZ42)</f>
        <v>41–71–47–45–50–46–49–62–55–100–––––––––––––––––––</v>
      </c>
      <c r="F48" t="s">
        <v>0</v>
      </c>
      <c r="G48" s="103"/>
      <c r="H48" s="105"/>
      <c r="J48" s="256" t="str">
        <f t="shared" si="15"/>
        <v/>
      </c>
      <c r="L48" s="52" t="str">
        <f t="shared" si="16"/>
        <v/>
      </c>
      <c r="M48" s="73" t="str">
        <f t="shared" si="17"/>
        <v/>
      </c>
      <c r="N48" s="73" t="str">
        <f>IF(H48="","",IF(COUNTIF(H$7:H47,H48)=0,MAX(N$7:N47)+1,MAX(N$7:N47)))</f>
        <v/>
      </c>
      <c r="O48" s="73" t="str">
        <f t="shared" si="10"/>
        <v/>
      </c>
      <c r="P48" s="31" t="str">
        <f t="shared" si="18"/>
        <v/>
      </c>
      <c r="Q48" s="257" t="str">
        <f t="shared" si="19"/>
        <v/>
      </c>
      <c r="R48" s="257" t="str">
        <f t="shared" si="11"/>
        <v/>
      </c>
      <c r="S48" s="257" t="str">
        <f t="shared" si="20"/>
        <v/>
      </c>
      <c r="T48" s="257" t="str">
        <f t="shared" si="21"/>
        <v/>
      </c>
      <c r="U48" s="32" t="str">
        <f t="shared" si="22"/>
        <v/>
      </c>
      <c r="W48" s="19" t="str">
        <f t="shared" si="23"/>
        <v/>
      </c>
      <c r="X48" t="s">
        <v>0</v>
      </c>
      <c r="Y48" s="19" t="str">
        <f t="shared" si="9"/>
        <v/>
      </c>
      <c r="Z48" t="s">
        <v>0</v>
      </c>
    </row>
    <row r="49" spans="1:26" x14ac:dyDescent="0.25">
      <c r="A49" t="s">
        <v>0</v>
      </c>
      <c r="B49" s="52" t="str">
        <f>IF(csv!F44="","",csv!T44)</f>
        <v>M20</v>
      </c>
      <c r="C49" s="31" t="str">
        <f>IF(csv!F44="","",csv!AO44)</f>
        <v>M20</v>
      </c>
      <c r="D49" s="31" t="str">
        <f>IF(csv!F44="","",csv!AP44&amp;"–"&amp;csv!AQ44&amp;"–"&amp;csv!AR44)</f>
        <v>5.91–290–10</v>
      </c>
      <c r="E49" s="66" t="str">
        <f>IF(csv!AV44&amp;csv!AX44&amp;csv!AZ44&amp;csv!BB44&amp;csv!BD44="","",csv!AV44&amp;"–"&amp;csv!AX44&amp;"–"&amp;csv!AZ44&amp;"–"&amp;csv!BB44&amp;"–"&amp;csv!BD44&amp;"–"&amp;csv!BF44&amp;"–"&amp;csv!BH44&amp;"–"&amp;csv!BJ44&amp;"–"&amp;csv!BL44&amp;"–"&amp;csv!BN44&amp;"–"&amp;csv!BP44&amp;"–"&amp;csv!BR44&amp;"–"&amp;csv!BT44&amp;"–"&amp;csv!BV44&amp;"–"&amp;csv!BX44&amp;"–"&amp;csv!BZ44&amp;"–"&amp;csv!CB44&amp;"–"&amp;csv!CD44&amp;"–"&amp;csv!CF44&amp;"–"&amp;csv!CH44&amp;"–"&amp;csv!CJ44&amp;"–"&amp;csv!CL44&amp;"–"&amp;csv!CN44&amp;"–"&amp;csv!CP44&amp;"–"&amp;csv!CR44&amp;"–"&amp;csv!CT44&amp;"–"&amp;csv!CV44&amp;"–"&amp;csv!CX43&amp;"–"&amp;csv!CZ43)</f>
        <v/>
      </c>
      <c r="F49" t="s">
        <v>0</v>
      </c>
      <c r="G49" s="103"/>
      <c r="H49" s="105"/>
      <c r="J49" s="256" t="str">
        <f t="shared" si="15"/>
        <v/>
      </c>
      <c r="L49" s="52" t="str">
        <f t="shared" si="16"/>
        <v/>
      </c>
      <c r="M49" s="73" t="str">
        <f t="shared" si="17"/>
        <v/>
      </c>
      <c r="N49" s="73" t="str">
        <f>IF(H49="","",IF(COUNTIF(H$7:H48,H49)=0,MAX(N$7:N48)+1,MAX(N$7:N48)))</f>
        <v/>
      </c>
      <c r="O49" s="73" t="str">
        <f t="shared" si="10"/>
        <v/>
      </c>
      <c r="P49" s="31" t="str">
        <f t="shared" si="18"/>
        <v/>
      </c>
      <c r="Q49" s="257" t="str">
        <f t="shared" si="19"/>
        <v/>
      </c>
      <c r="R49" s="257" t="str">
        <f t="shared" si="11"/>
        <v/>
      </c>
      <c r="S49" s="257" t="str">
        <f t="shared" si="20"/>
        <v/>
      </c>
      <c r="T49" s="257" t="str">
        <f t="shared" si="21"/>
        <v/>
      </c>
      <c r="U49" s="32" t="str">
        <f t="shared" si="22"/>
        <v/>
      </c>
      <c r="W49" s="19" t="str">
        <f t="shared" si="23"/>
        <v/>
      </c>
      <c r="X49" t="s">
        <v>0</v>
      </c>
      <c r="Y49" s="19" t="str">
        <f t="shared" si="9"/>
        <v/>
      </c>
      <c r="Z49" t="s">
        <v>0</v>
      </c>
    </row>
    <row r="50" spans="1:26" x14ac:dyDescent="0.25">
      <c r="A50" t="s">
        <v>0</v>
      </c>
      <c r="B50" s="52" t="str">
        <f>IF(csv!F45="","",csv!T45)</f>
        <v>M20</v>
      </c>
      <c r="C50" s="31" t="str">
        <f>IF(csv!F45="","",csv!AO45)</f>
        <v>M20</v>
      </c>
      <c r="D50" s="31" t="str">
        <f>IF(csv!F45="","",csv!AP45&amp;"–"&amp;csv!AQ45&amp;"–"&amp;csv!AR45)</f>
        <v>5.91–290–10</v>
      </c>
      <c r="E50" s="66" t="str">
        <f>IF(csv!AV45&amp;csv!AX45&amp;csv!AZ45&amp;csv!BB45&amp;csv!BD45="","",csv!AV45&amp;"–"&amp;csv!AX45&amp;"–"&amp;csv!AZ45&amp;"–"&amp;csv!BB45&amp;"–"&amp;csv!BD45&amp;"–"&amp;csv!BF45&amp;"–"&amp;csv!BH45&amp;"–"&amp;csv!BJ45&amp;"–"&amp;csv!BL45&amp;"–"&amp;csv!BN45&amp;"–"&amp;csv!BP45&amp;"–"&amp;csv!BR45&amp;"–"&amp;csv!BT45&amp;"–"&amp;csv!BV45&amp;"–"&amp;csv!BX45&amp;"–"&amp;csv!BZ45&amp;"–"&amp;csv!CB45&amp;"–"&amp;csv!CD45&amp;"–"&amp;csv!CF45&amp;"–"&amp;csv!CH45&amp;"–"&amp;csv!CJ45&amp;"–"&amp;csv!CL45&amp;"–"&amp;csv!CN45&amp;"–"&amp;csv!CP45&amp;"–"&amp;csv!CR45&amp;"–"&amp;csv!CT45&amp;"–"&amp;csv!CV45&amp;"–"&amp;csv!CX44&amp;"–"&amp;csv!CZ44)</f>
        <v/>
      </c>
      <c r="F50" t="s">
        <v>0</v>
      </c>
      <c r="G50" s="103"/>
      <c r="H50" s="105"/>
      <c r="J50" s="256" t="str">
        <f t="shared" si="15"/>
        <v/>
      </c>
      <c r="L50" s="52" t="str">
        <f t="shared" si="16"/>
        <v/>
      </c>
      <c r="M50" s="73" t="str">
        <f t="shared" si="17"/>
        <v/>
      </c>
      <c r="N50" s="73" t="str">
        <f>IF(H50="","",IF(COUNTIF(H$7:H49,H50)=0,MAX(N$7:N49)+1,MAX(N$7:N49)))</f>
        <v/>
      </c>
      <c r="O50" s="73" t="str">
        <f t="shared" si="10"/>
        <v/>
      </c>
      <c r="P50" s="31" t="str">
        <f t="shared" si="18"/>
        <v/>
      </c>
      <c r="Q50" s="257" t="str">
        <f t="shared" si="19"/>
        <v/>
      </c>
      <c r="R50" s="257" t="str">
        <f t="shared" si="11"/>
        <v/>
      </c>
      <c r="S50" s="257" t="str">
        <f t="shared" si="20"/>
        <v/>
      </c>
      <c r="T50" s="257" t="str">
        <f t="shared" si="21"/>
        <v/>
      </c>
      <c r="U50" s="32" t="str">
        <f t="shared" si="22"/>
        <v/>
      </c>
      <c r="W50" s="19" t="str">
        <f t="shared" si="23"/>
        <v/>
      </c>
      <c r="X50" t="s">
        <v>0</v>
      </c>
      <c r="Y50" s="19" t="str">
        <f t="shared" si="9"/>
        <v/>
      </c>
      <c r="Z50" t="s">
        <v>0</v>
      </c>
    </row>
    <row r="51" spans="1:26" x14ac:dyDescent="0.25">
      <c r="A51" t="s">
        <v>0</v>
      </c>
      <c r="B51" s="52" t="str">
        <f>IF(csv!F46="","",csv!T46)</f>
        <v>M20</v>
      </c>
      <c r="C51" s="31" t="str">
        <f>IF(csv!F46="","",csv!AO46)</f>
        <v>M20</v>
      </c>
      <c r="D51" s="31" t="str">
        <f>IF(csv!F46="","",csv!AP46&amp;"–"&amp;csv!AQ46&amp;"–"&amp;csv!AR46)</f>
        <v>5.91–290–10</v>
      </c>
      <c r="E51" s="66" t="str">
        <f>IF(csv!AV46&amp;csv!AX46&amp;csv!AZ46&amp;csv!BB46&amp;csv!BD46="","",csv!AV46&amp;"–"&amp;csv!AX46&amp;"–"&amp;csv!AZ46&amp;"–"&amp;csv!BB46&amp;"–"&amp;csv!BD46&amp;"–"&amp;csv!BF46&amp;"–"&amp;csv!BH46&amp;"–"&amp;csv!BJ46&amp;"–"&amp;csv!BL46&amp;"–"&amp;csv!BN46&amp;"–"&amp;csv!BP46&amp;"–"&amp;csv!BR46&amp;"–"&amp;csv!BT46&amp;"–"&amp;csv!BV46&amp;"–"&amp;csv!BX46&amp;"–"&amp;csv!BZ46&amp;"–"&amp;csv!CB46&amp;"–"&amp;csv!CD46&amp;"–"&amp;csv!CF46&amp;"–"&amp;csv!CH46&amp;"–"&amp;csv!CJ46&amp;"–"&amp;csv!CL46&amp;"–"&amp;csv!CN46&amp;"–"&amp;csv!CP46&amp;"–"&amp;csv!CR46&amp;"–"&amp;csv!CT46&amp;"–"&amp;csv!CV46&amp;"–"&amp;csv!CX45&amp;"–"&amp;csv!CZ45)</f>
        <v/>
      </c>
      <c r="F51" t="s">
        <v>0</v>
      </c>
      <c r="G51" s="103"/>
      <c r="H51" s="105"/>
      <c r="J51" s="256" t="str">
        <f t="shared" si="15"/>
        <v/>
      </c>
      <c r="L51" s="52" t="str">
        <f t="shared" si="16"/>
        <v/>
      </c>
      <c r="M51" s="73" t="str">
        <f t="shared" si="17"/>
        <v/>
      </c>
      <c r="N51" s="73" t="str">
        <f>IF(H51="","",IF(COUNTIF(H$7:H50,H51)=0,MAX(N$7:N50)+1,MAX(N$7:N50)))</f>
        <v/>
      </c>
      <c r="O51" s="73" t="str">
        <f t="shared" si="10"/>
        <v/>
      </c>
      <c r="P51" s="31" t="str">
        <f t="shared" si="18"/>
        <v/>
      </c>
      <c r="Q51" s="257" t="str">
        <f t="shared" si="19"/>
        <v/>
      </c>
      <c r="R51" s="257" t="str">
        <f t="shared" si="11"/>
        <v/>
      </c>
      <c r="S51" s="257" t="str">
        <f t="shared" si="20"/>
        <v/>
      </c>
      <c r="T51" s="257" t="str">
        <f t="shared" si="21"/>
        <v/>
      </c>
      <c r="U51" s="32" t="str">
        <f t="shared" si="22"/>
        <v/>
      </c>
      <c r="W51" s="19" t="str">
        <f t="shared" si="23"/>
        <v/>
      </c>
      <c r="X51" t="s">
        <v>0</v>
      </c>
      <c r="Y51" s="19" t="str">
        <f t="shared" si="9"/>
        <v/>
      </c>
      <c r="Z51" t="s">
        <v>0</v>
      </c>
    </row>
    <row r="52" spans="1:26" x14ac:dyDescent="0.25">
      <c r="A52" t="s">
        <v>0</v>
      </c>
      <c r="B52" s="52" t="str">
        <f>IF(csv!F47="","",csv!T47)</f>
        <v>M20</v>
      </c>
      <c r="C52" s="31" t="str">
        <f>IF(csv!F47="","",csv!AO47)</f>
        <v>M20</v>
      </c>
      <c r="D52" s="31" t="str">
        <f>IF(csv!F47="","",csv!AP47&amp;"–"&amp;csv!AQ47&amp;"–"&amp;csv!AR47)</f>
        <v>5.91–290–10</v>
      </c>
      <c r="E52" s="66" t="str">
        <f>IF(csv!AV47&amp;csv!AX47&amp;csv!AZ47&amp;csv!BB47&amp;csv!BD47="","",csv!AV47&amp;"–"&amp;csv!AX47&amp;"–"&amp;csv!AZ47&amp;"–"&amp;csv!BB47&amp;"–"&amp;csv!BD47&amp;"–"&amp;csv!BF47&amp;"–"&amp;csv!BH47&amp;"–"&amp;csv!BJ47&amp;"–"&amp;csv!BL47&amp;"–"&amp;csv!BN47&amp;"–"&amp;csv!BP47&amp;"–"&amp;csv!BR47&amp;"–"&amp;csv!BT47&amp;"–"&amp;csv!BV47&amp;"–"&amp;csv!BX47&amp;"–"&amp;csv!BZ47&amp;"–"&amp;csv!CB47&amp;"–"&amp;csv!CD47&amp;"–"&amp;csv!CF47&amp;"–"&amp;csv!CH47&amp;"–"&amp;csv!CJ47&amp;"–"&amp;csv!CL47&amp;"–"&amp;csv!CN47&amp;"–"&amp;csv!CP47&amp;"–"&amp;csv!CR47&amp;"–"&amp;csv!CT47&amp;"–"&amp;csv!CV47&amp;"–"&amp;csv!CX46&amp;"–"&amp;csv!CZ46)</f>
        <v>41–––––––––100–––––––––––––––––––</v>
      </c>
      <c r="F52" t="s">
        <v>0</v>
      </c>
      <c r="G52" s="103"/>
      <c r="H52" s="105"/>
      <c r="J52" s="256" t="str">
        <f t="shared" si="15"/>
        <v/>
      </c>
      <c r="L52" s="52" t="str">
        <f t="shared" si="16"/>
        <v/>
      </c>
      <c r="M52" s="73" t="str">
        <f t="shared" si="17"/>
        <v/>
      </c>
      <c r="N52" s="73" t="str">
        <f>IF(H52="","",IF(COUNTIF(H$7:H51,H52)=0,MAX(N$7:N51)+1,MAX(N$7:N51)))</f>
        <v/>
      </c>
      <c r="O52" s="73" t="str">
        <f t="shared" si="10"/>
        <v/>
      </c>
      <c r="P52" s="31" t="str">
        <f t="shared" si="18"/>
        <v/>
      </c>
      <c r="Q52" s="257" t="str">
        <f t="shared" si="19"/>
        <v/>
      </c>
      <c r="R52" s="257" t="str">
        <f t="shared" si="11"/>
        <v/>
      </c>
      <c r="S52" s="257" t="str">
        <f t="shared" si="20"/>
        <v/>
      </c>
      <c r="T52" s="257" t="str">
        <f t="shared" si="21"/>
        <v/>
      </c>
      <c r="U52" s="32" t="str">
        <f t="shared" si="22"/>
        <v/>
      </c>
      <c r="W52" s="19" t="str">
        <f t="shared" si="23"/>
        <v/>
      </c>
      <c r="X52" t="s">
        <v>0</v>
      </c>
      <c r="Y52" s="19" t="str">
        <f t="shared" si="9"/>
        <v/>
      </c>
      <c r="Z52" t="s">
        <v>0</v>
      </c>
    </row>
    <row r="53" spans="1:26" x14ac:dyDescent="0.25">
      <c r="A53" t="s">
        <v>0</v>
      </c>
      <c r="B53" s="52" t="str">
        <f>IF(csv!F48="","",csv!T48)</f>
        <v>M21A</v>
      </c>
      <c r="C53" s="31" t="str">
        <f>IF(csv!F48="","",csv!AO48)</f>
        <v>M21A</v>
      </c>
      <c r="D53" s="31" t="str">
        <f>IF(csv!F48="","",csv!AP48&amp;"–"&amp;csv!AQ48&amp;"–"&amp;csv!AR48)</f>
        <v>9.14–460–17</v>
      </c>
      <c r="E53" s="66" t="str">
        <f>IF(csv!AV48&amp;csv!AX48&amp;csv!AZ48&amp;csv!BB48&amp;csv!BD48="","",csv!AV48&amp;"–"&amp;csv!AX48&amp;"–"&amp;csv!AZ48&amp;"–"&amp;csv!BB48&amp;"–"&amp;csv!BD48&amp;"–"&amp;csv!BF48&amp;"–"&amp;csv!BH48&amp;"–"&amp;csv!BJ48&amp;"–"&amp;csv!BL48&amp;"–"&amp;csv!BN48&amp;"–"&amp;csv!BP48&amp;"–"&amp;csv!BR48&amp;"–"&amp;csv!BT48&amp;"–"&amp;csv!BV48&amp;"–"&amp;csv!BX48&amp;"–"&amp;csv!BZ48&amp;"–"&amp;csv!CB48&amp;"–"&amp;csv!CD48&amp;"–"&amp;csv!CF48&amp;"–"&amp;csv!CH48&amp;"–"&amp;csv!CJ48&amp;"–"&amp;csv!CL48&amp;"–"&amp;csv!CN48&amp;"–"&amp;csv!CP48&amp;"–"&amp;csv!CR48&amp;"–"&amp;csv!CT48&amp;"–"&amp;csv!CV48&amp;"–"&amp;csv!CX47&amp;"–"&amp;csv!CZ47)</f>
        <v>43–56–71–45–50–46–48–49–31–51–32–33–52–53–54–55–100––––––––––––</v>
      </c>
      <c r="F53" t="s">
        <v>0</v>
      </c>
      <c r="G53" s="103"/>
      <c r="H53" s="105"/>
      <c r="J53" s="256" t="str">
        <f t="shared" si="15"/>
        <v/>
      </c>
      <c r="L53" s="52" t="str">
        <f t="shared" si="16"/>
        <v/>
      </c>
      <c r="M53" s="73" t="str">
        <f t="shared" si="17"/>
        <v/>
      </c>
      <c r="N53" s="73" t="str">
        <f>IF(H53="","",IF(COUNTIF(H$7:H52,H53)=0,MAX(N$7:N52)+1,MAX(N$7:N52)))</f>
        <v/>
      </c>
      <c r="O53" s="73" t="str">
        <f t="shared" si="10"/>
        <v/>
      </c>
      <c r="P53" s="31" t="str">
        <f t="shared" si="18"/>
        <v/>
      </c>
      <c r="Q53" s="257" t="str">
        <f t="shared" si="19"/>
        <v/>
      </c>
      <c r="R53" s="257" t="str">
        <f t="shared" si="11"/>
        <v/>
      </c>
      <c r="S53" s="257" t="str">
        <f t="shared" si="20"/>
        <v/>
      </c>
      <c r="T53" s="257" t="str">
        <f t="shared" si="21"/>
        <v/>
      </c>
      <c r="U53" s="32" t="str">
        <f t="shared" si="22"/>
        <v/>
      </c>
      <c r="W53" s="19" t="str">
        <f t="shared" si="23"/>
        <v/>
      </c>
      <c r="X53" t="s">
        <v>0</v>
      </c>
      <c r="Y53" s="19" t="str">
        <f t="shared" si="9"/>
        <v/>
      </c>
      <c r="Z53" t="s">
        <v>0</v>
      </c>
    </row>
    <row r="54" spans="1:26" x14ac:dyDescent="0.25">
      <c r="A54" t="s">
        <v>0</v>
      </c>
      <c r="B54" s="52" t="str">
        <f>IF(csv!F49="","",csv!T49)</f>
        <v>M21A</v>
      </c>
      <c r="C54" s="31" t="str">
        <f>IF(csv!F49="","",csv!AO49)</f>
        <v>M21A</v>
      </c>
      <c r="D54" s="31" t="str">
        <f>IF(csv!F49="","",csv!AP49&amp;"–"&amp;csv!AQ49&amp;"–"&amp;csv!AR49)</f>
        <v>9.14–460–17</v>
      </c>
      <c r="E54" s="66" t="str">
        <f>IF(csv!AV49&amp;csv!AX49&amp;csv!AZ49&amp;csv!BB49&amp;csv!BD49="","",csv!AV49&amp;"–"&amp;csv!AX49&amp;"–"&amp;csv!AZ49&amp;"–"&amp;csv!BB49&amp;"–"&amp;csv!BD49&amp;"–"&amp;csv!BF49&amp;"–"&amp;csv!BH49&amp;"–"&amp;csv!BJ49&amp;"–"&amp;csv!BL49&amp;"–"&amp;csv!BN49&amp;"–"&amp;csv!BP49&amp;"–"&amp;csv!BR49&amp;"–"&amp;csv!BT49&amp;"–"&amp;csv!BV49&amp;"–"&amp;csv!BX49&amp;"–"&amp;csv!BZ49&amp;"–"&amp;csv!CB49&amp;"–"&amp;csv!CD49&amp;"–"&amp;csv!CF49&amp;"–"&amp;csv!CH49&amp;"–"&amp;csv!CJ49&amp;"–"&amp;csv!CL49&amp;"–"&amp;csv!CN49&amp;"–"&amp;csv!CP49&amp;"–"&amp;csv!CR49&amp;"–"&amp;csv!CT49&amp;"–"&amp;csv!CV49&amp;"–"&amp;csv!CX48&amp;"–"&amp;csv!CZ48)</f>
        <v>43–56–71–45–50–46–48–49–31–51–32–33–52–53–54–55–100––––––––––––</v>
      </c>
      <c r="F54" t="s">
        <v>0</v>
      </c>
      <c r="G54" s="103"/>
      <c r="H54" s="105"/>
      <c r="J54" s="256" t="str">
        <f t="shared" si="15"/>
        <v/>
      </c>
      <c r="L54" s="52" t="str">
        <f t="shared" si="16"/>
        <v/>
      </c>
      <c r="M54" s="73" t="str">
        <f t="shared" si="17"/>
        <v/>
      </c>
      <c r="N54" s="73" t="str">
        <f>IF(H54="","",IF(COUNTIF(H$7:H53,H54)=0,MAX(N$7:N53)+1,MAX(N$7:N53)))</f>
        <v/>
      </c>
      <c r="O54" s="73" t="str">
        <f t="shared" si="10"/>
        <v/>
      </c>
      <c r="P54" s="31" t="str">
        <f t="shared" si="18"/>
        <v/>
      </c>
      <c r="Q54" s="257" t="str">
        <f t="shared" si="19"/>
        <v/>
      </c>
      <c r="R54" s="257" t="str">
        <f t="shared" si="11"/>
        <v/>
      </c>
      <c r="S54" s="257" t="str">
        <f t="shared" si="20"/>
        <v/>
      </c>
      <c r="T54" s="257" t="str">
        <f t="shared" si="21"/>
        <v/>
      </c>
      <c r="U54" s="32" t="str">
        <f t="shared" si="22"/>
        <v/>
      </c>
      <c r="W54" s="19" t="str">
        <f t="shared" si="23"/>
        <v/>
      </c>
      <c r="X54" t="s">
        <v>0</v>
      </c>
      <c r="Y54" s="19" t="str">
        <f t="shared" si="9"/>
        <v/>
      </c>
      <c r="Z54" t="s">
        <v>0</v>
      </c>
    </row>
    <row r="55" spans="1:26" x14ac:dyDescent="0.25">
      <c r="A55" t="s">
        <v>0</v>
      </c>
      <c r="B55" s="52" t="str">
        <f>IF(csv!F50="","",csv!T50)</f>
        <v>M21A</v>
      </c>
      <c r="C55" s="31" t="str">
        <f>IF(csv!F50="","",csv!AO50)</f>
        <v>M21A</v>
      </c>
      <c r="D55" s="31" t="str">
        <f>IF(csv!F50="","",csv!AP50&amp;"–"&amp;csv!AQ50&amp;"–"&amp;csv!AR50)</f>
        <v>9.14–460–17</v>
      </c>
      <c r="E55" s="66" t="str">
        <f>IF(csv!AV50&amp;csv!AX50&amp;csv!AZ50&amp;csv!BB50&amp;csv!BD50="","",csv!AV50&amp;"–"&amp;csv!AX50&amp;"–"&amp;csv!AZ50&amp;"–"&amp;csv!BB50&amp;"–"&amp;csv!BD50&amp;"–"&amp;csv!BF50&amp;"–"&amp;csv!BH50&amp;"–"&amp;csv!BJ50&amp;"–"&amp;csv!BL50&amp;"–"&amp;csv!BN50&amp;"–"&amp;csv!BP50&amp;"–"&amp;csv!BR50&amp;"–"&amp;csv!BT50&amp;"–"&amp;csv!BV50&amp;"–"&amp;csv!BX50&amp;"–"&amp;csv!BZ50&amp;"–"&amp;csv!CB50&amp;"–"&amp;csv!CD50&amp;"–"&amp;csv!CF50&amp;"–"&amp;csv!CH50&amp;"–"&amp;csv!CJ50&amp;"–"&amp;csv!CL50&amp;"–"&amp;csv!CN50&amp;"–"&amp;csv!CP50&amp;"–"&amp;csv!CR50&amp;"–"&amp;csv!CT50&amp;"–"&amp;csv!CV50&amp;"–"&amp;csv!CX49&amp;"–"&amp;csv!CZ49)</f>
        <v>43–56–71–45–50–46–48–49–31–51–32–33–52–53–54–55–100––––––––––––</v>
      </c>
      <c r="F55" t="s">
        <v>0</v>
      </c>
      <c r="G55" s="103"/>
      <c r="H55" s="105"/>
      <c r="J55" s="256" t="str">
        <f t="shared" si="15"/>
        <v/>
      </c>
      <c r="L55" s="52" t="str">
        <f t="shared" si="16"/>
        <v/>
      </c>
      <c r="M55" s="73" t="str">
        <f t="shared" si="17"/>
        <v/>
      </c>
      <c r="N55" s="73" t="str">
        <f>IF(H55="","",IF(COUNTIF(H$7:H54,H55)=0,MAX(N$7:N54)+1,MAX(N$7:N54)))</f>
        <v/>
      </c>
      <c r="O55" s="73" t="str">
        <f t="shared" si="10"/>
        <v/>
      </c>
      <c r="P55" s="31" t="str">
        <f t="shared" si="18"/>
        <v/>
      </c>
      <c r="Q55" s="257" t="str">
        <f t="shared" si="19"/>
        <v/>
      </c>
      <c r="R55" s="257" t="str">
        <f t="shared" si="11"/>
        <v/>
      </c>
      <c r="S55" s="257" t="str">
        <f t="shared" si="20"/>
        <v/>
      </c>
      <c r="T55" s="257" t="str">
        <f t="shared" si="21"/>
        <v/>
      </c>
      <c r="U55" s="32" t="str">
        <f t="shared" si="22"/>
        <v/>
      </c>
      <c r="W55" s="19" t="str">
        <f t="shared" si="23"/>
        <v/>
      </c>
      <c r="X55" t="s">
        <v>0</v>
      </c>
      <c r="Y55" s="19" t="str">
        <f t="shared" si="9"/>
        <v/>
      </c>
      <c r="Z55" t="s">
        <v>0</v>
      </c>
    </row>
    <row r="56" spans="1:26" x14ac:dyDescent="0.25">
      <c r="A56" t="s">
        <v>0</v>
      </c>
      <c r="B56" s="52" t="str">
        <f>IF(csv!F51="","",csv!T51)</f>
        <v>M21A</v>
      </c>
      <c r="C56" s="31" t="str">
        <f>IF(csv!F51="","",csv!AO51)</f>
        <v>M21A</v>
      </c>
      <c r="D56" s="31" t="str">
        <f>IF(csv!F51="","",csv!AP51&amp;"–"&amp;csv!AQ51&amp;"–"&amp;csv!AR51)</f>
        <v>9.14–460–17</v>
      </c>
      <c r="E56" s="66" t="str">
        <f>IF(csv!AV51&amp;csv!AX51&amp;csv!AZ51&amp;csv!BB51&amp;csv!BD51="","",csv!AV51&amp;"–"&amp;csv!AX51&amp;"–"&amp;csv!AZ51&amp;"–"&amp;csv!BB51&amp;"–"&amp;csv!BD51&amp;"–"&amp;csv!BF51&amp;"–"&amp;csv!BH51&amp;"–"&amp;csv!BJ51&amp;"–"&amp;csv!BL51&amp;"–"&amp;csv!BN51&amp;"–"&amp;csv!BP51&amp;"–"&amp;csv!BR51&amp;"–"&amp;csv!BT51&amp;"–"&amp;csv!BV51&amp;"–"&amp;csv!BX51&amp;"–"&amp;csv!BZ51&amp;"–"&amp;csv!CB51&amp;"–"&amp;csv!CD51&amp;"–"&amp;csv!CF51&amp;"–"&amp;csv!CH51&amp;"–"&amp;csv!CJ51&amp;"–"&amp;csv!CL51&amp;"–"&amp;csv!CN51&amp;"–"&amp;csv!CP51&amp;"–"&amp;csv!CR51&amp;"–"&amp;csv!CT51&amp;"–"&amp;csv!CV51&amp;"–"&amp;csv!CX50&amp;"–"&amp;csv!CZ50)</f>
        <v>43–56–71–45–50–46–48–49–31–51–32–33–52–53–54–55–100––––––––––––</v>
      </c>
      <c r="F56" t="s">
        <v>0</v>
      </c>
      <c r="G56" s="103"/>
      <c r="H56" s="105"/>
      <c r="J56" s="256" t="str">
        <f t="shared" si="15"/>
        <v/>
      </c>
      <c r="L56" s="52" t="str">
        <f t="shared" si="16"/>
        <v/>
      </c>
      <c r="M56" s="73" t="str">
        <f t="shared" si="17"/>
        <v/>
      </c>
      <c r="N56" s="73" t="str">
        <f>IF(H56="","",IF(COUNTIF(H$7:H55,H56)=0,MAX(N$7:N55)+1,MAX(N$7:N55)))</f>
        <v/>
      </c>
      <c r="O56" s="73" t="str">
        <f t="shared" si="10"/>
        <v/>
      </c>
      <c r="P56" s="31" t="str">
        <f t="shared" si="18"/>
        <v/>
      </c>
      <c r="Q56" s="257" t="str">
        <f t="shared" si="19"/>
        <v/>
      </c>
      <c r="R56" s="257" t="str">
        <f t="shared" si="11"/>
        <v/>
      </c>
      <c r="S56" s="257" t="str">
        <f t="shared" si="20"/>
        <v/>
      </c>
      <c r="T56" s="257" t="str">
        <f t="shared" si="21"/>
        <v/>
      </c>
      <c r="U56" s="32" t="str">
        <f t="shared" si="22"/>
        <v/>
      </c>
      <c r="W56" s="19" t="str">
        <f t="shared" si="23"/>
        <v/>
      </c>
      <c r="X56" t="s">
        <v>0</v>
      </c>
      <c r="Y56" s="19" t="str">
        <f t="shared" si="9"/>
        <v/>
      </c>
      <c r="Z56" t="s">
        <v>0</v>
      </c>
    </row>
    <row r="57" spans="1:26" ht="15.75" thickBot="1" x14ac:dyDescent="0.3">
      <c r="A57" t="s">
        <v>0</v>
      </c>
      <c r="B57" s="52" t="str">
        <f>IF(csv!F52="","",csv!T52)</f>
        <v>M21A</v>
      </c>
      <c r="C57" s="31" t="str">
        <f>IF(csv!F52="","",csv!AO52)</f>
        <v>M21A</v>
      </c>
      <c r="D57" s="31" t="str">
        <f>IF(csv!F52="","",csv!AP52&amp;"–"&amp;csv!AQ52&amp;"–"&amp;csv!AR52)</f>
        <v>9.14–460–17</v>
      </c>
      <c r="E57" s="66" t="str">
        <f>IF(csv!AV52&amp;csv!AX52&amp;csv!AZ52&amp;csv!BB52&amp;csv!BD52="","",csv!AV52&amp;"–"&amp;csv!AX52&amp;"–"&amp;csv!AZ52&amp;"–"&amp;csv!BB52&amp;"–"&amp;csv!BD52&amp;"–"&amp;csv!BF52&amp;"–"&amp;csv!BH52&amp;"–"&amp;csv!BJ52&amp;"–"&amp;csv!BL52&amp;"–"&amp;csv!BN52&amp;"–"&amp;csv!BP52&amp;"–"&amp;csv!BR52&amp;"–"&amp;csv!BT52&amp;"–"&amp;csv!BV52&amp;"–"&amp;csv!BX52&amp;"–"&amp;csv!BZ52&amp;"–"&amp;csv!CB52&amp;"–"&amp;csv!CD52&amp;"–"&amp;csv!CF52&amp;"–"&amp;csv!CH52&amp;"–"&amp;csv!CJ52&amp;"–"&amp;csv!CL52&amp;"–"&amp;csv!CN52&amp;"–"&amp;csv!CP52&amp;"–"&amp;csv!CR52&amp;"–"&amp;csv!CT52&amp;"–"&amp;csv!CV52&amp;"–"&amp;csv!CX51&amp;"–"&amp;csv!CZ51)</f>
        <v>43–56–71–45–50–46–48–49–31–51–32–33–52–53–54–55–100––––––––––––</v>
      </c>
      <c r="F57" t="s">
        <v>0</v>
      </c>
      <c r="G57" s="106"/>
      <c r="H57" s="108"/>
      <c r="J57" s="259" t="str">
        <f t="shared" si="15"/>
        <v/>
      </c>
      <c r="L57" s="54" t="str">
        <f t="shared" si="16"/>
        <v/>
      </c>
      <c r="M57" s="74" t="str">
        <f t="shared" si="17"/>
        <v/>
      </c>
      <c r="N57" s="74" t="str">
        <f>IF(H57="","",IF(COUNTIF(H$7:H56,H57)=0,MAX(N$7:N56)+1,MAX(N$7:N56)))</f>
        <v/>
      </c>
      <c r="O57" s="74" t="str">
        <f t="shared" si="10"/>
        <v/>
      </c>
      <c r="P57" s="34" t="str">
        <f t="shared" si="18"/>
        <v/>
      </c>
      <c r="Q57" s="260" t="str">
        <f t="shared" si="19"/>
        <v/>
      </c>
      <c r="R57" s="260" t="str">
        <f t="shared" si="11"/>
        <v/>
      </c>
      <c r="S57" s="260" t="str">
        <f t="shared" si="20"/>
        <v/>
      </c>
      <c r="T57" s="260" t="str">
        <f t="shared" si="21"/>
        <v/>
      </c>
      <c r="U57" s="35" t="str">
        <f t="shared" si="22"/>
        <v/>
      </c>
      <c r="W57" s="20" t="str">
        <f t="shared" si="23"/>
        <v/>
      </c>
      <c r="X57" t="s">
        <v>0</v>
      </c>
      <c r="Y57" s="20" t="str">
        <f>W57&amp;IF(Y58="","","
"&amp;Y58)</f>
        <v/>
      </c>
      <c r="Z57" t="s">
        <v>0</v>
      </c>
    </row>
    <row r="58" spans="1:26" x14ac:dyDescent="0.25">
      <c r="A58" t="s">
        <v>0</v>
      </c>
      <c r="B58" s="52" t="str">
        <f>IF(csv!F53="","",csv!T53)</f>
        <v>M21A</v>
      </c>
      <c r="C58" s="31" t="str">
        <f>IF(csv!F53="","",csv!AO53)</f>
        <v>M21A</v>
      </c>
      <c r="D58" s="31" t="str">
        <f>IF(csv!F53="","",csv!AP53&amp;"–"&amp;csv!AQ53&amp;"–"&amp;csv!AR53)</f>
        <v>9.14–460–17</v>
      </c>
      <c r="E58" s="66" t="str">
        <f>IF(csv!AV53&amp;csv!AX53&amp;csv!AZ53&amp;csv!BB53&amp;csv!BD53="","",csv!AV53&amp;"–"&amp;csv!AX53&amp;"–"&amp;csv!AZ53&amp;"–"&amp;csv!BB53&amp;"–"&amp;csv!BD53&amp;"–"&amp;csv!BF53&amp;"–"&amp;csv!BH53&amp;"–"&amp;csv!BJ53&amp;"–"&amp;csv!BL53&amp;"–"&amp;csv!BN53&amp;"–"&amp;csv!BP53&amp;"–"&amp;csv!BR53&amp;"–"&amp;csv!BT53&amp;"–"&amp;csv!BV53&amp;"–"&amp;csv!BX53&amp;"–"&amp;csv!BZ53&amp;"–"&amp;csv!CB53&amp;"–"&amp;csv!CD53&amp;"–"&amp;csv!CF53&amp;"–"&amp;csv!CH53&amp;"–"&amp;csv!CJ53&amp;"–"&amp;csv!CL53&amp;"–"&amp;csv!CN53&amp;"–"&amp;csv!CP53&amp;"–"&amp;csv!CR53&amp;"–"&amp;csv!CT53&amp;"–"&amp;csv!CV53&amp;"–"&amp;csv!CX52&amp;"–"&amp;csv!CZ52)</f>
        <v>43–56–71–45–50–46–48–49–31–51–32–33–52–53–54–55–100––––––––––––</v>
      </c>
      <c r="F58" t="s">
        <v>0</v>
      </c>
      <c r="O58" s="1" t="str">
        <f t="shared" si="10"/>
        <v/>
      </c>
      <c r="X58" t="s">
        <v>0</v>
      </c>
    </row>
    <row r="59" spans="1:26" x14ac:dyDescent="0.25">
      <c r="A59" t="s">
        <v>0</v>
      </c>
      <c r="B59" s="52" t="str">
        <f>IF(csv!F54="","",csv!T54)</f>
        <v>M21A</v>
      </c>
      <c r="C59" s="31" t="str">
        <f>IF(csv!F54="","",csv!AO54)</f>
        <v>M21A</v>
      </c>
      <c r="D59" s="31" t="str">
        <f>IF(csv!F54="","",csv!AP54&amp;"–"&amp;csv!AQ54&amp;"–"&amp;csv!AR54)</f>
        <v>9.14–460–17</v>
      </c>
      <c r="E59" s="66" t="str">
        <f>IF(csv!AV54&amp;csv!AX54&amp;csv!AZ54&amp;csv!BB54&amp;csv!BD54="","",csv!AV54&amp;"–"&amp;csv!AX54&amp;"–"&amp;csv!AZ54&amp;"–"&amp;csv!BB54&amp;"–"&amp;csv!BD54&amp;"–"&amp;csv!BF54&amp;"–"&amp;csv!BH54&amp;"–"&amp;csv!BJ54&amp;"–"&amp;csv!BL54&amp;"–"&amp;csv!BN54&amp;"–"&amp;csv!BP54&amp;"–"&amp;csv!BR54&amp;"–"&amp;csv!BT54&amp;"–"&amp;csv!BV54&amp;"–"&amp;csv!BX54&amp;"–"&amp;csv!BZ54&amp;"–"&amp;csv!CB54&amp;"–"&amp;csv!CD54&amp;"–"&amp;csv!CF54&amp;"–"&amp;csv!CH54&amp;"–"&amp;csv!CJ54&amp;"–"&amp;csv!CL54&amp;"–"&amp;csv!CN54&amp;"–"&amp;csv!CP54&amp;"–"&amp;csv!CR54&amp;"–"&amp;csv!CT54&amp;"–"&amp;csv!CV54&amp;"–"&amp;csv!CX53&amp;"–"&amp;csv!CZ53)</f>
        <v>43–56–71–45–50–46–48–49–31–51–32–33–52–53–54–55–100––––––––––––</v>
      </c>
      <c r="F59" t="s">
        <v>0</v>
      </c>
      <c r="O59" s="1" t="str">
        <f t="shared" si="10"/>
        <v/>
      </c>
      <c r="X59" t="s">
        <v>0</v>
      </c>
    </row>
    <row r="60" spans="1:26" x14ac:dyDescent="0.25">
      <c r="A60" t="s">
        <v>0</v>
      </c>
      <c r="B60" s="52" t="str">
        <f>IF(csv!F55="","",csv!T55)</f>
        <v>M21A</v>
      </c>
      <c r="C60" s="31" t="str">
        <f>IF(csv!F55="","",csv!AO55)</f>
        <v>M21A</v>
      </c>
      <c r="D60" s="31" t="str">
        <f>IF(csv!F55="","",csv!AP55&amp;"–"&amp;csv!AQ55&amp;"–"&amp;csv!AR55)</f>
        <v>9.14–460–17</v>
      </c>
      <c r="E60" s="66" t="str">
        <f>IF(csv!AV55&amp;csv!AX55&amp;csv!AZ55&amp;csv!BB55&amp;csv!BD55="","",csv!AV55&amp;"–"&amp;csv!AX55&amp;"–"&amp;csv!AZ55&amp;"–"&amp;csv!BB55&amp;"–"&amp;csv!BD55&amp;"–"&amp;csv!BF55&amp;"–"&amp;csv!BH55&amp;"–"&amp;csv!BJ55&amp;"–"&amp;csv!BL55&amp;"–"&amp;csv!BN55&amp;"–"&amp;csv!BP55&amp;"–"&amp;csv!BR55&amp;"–"&amp;csv!BT55&amp;"–"&amp;csv!BV55&amp;"–"&amp;csv!BX55&amp;"–"&amp;csv!BZ55&amp;"–"&amp;csv!CB55&amp;"–"&amp;csv!CD55&amp;"–"&amp;csv!CF55&amp;"–"&amp;csv!CH55&amp;"–"&amp;csv!CJ55&amp;"–"&amp;csv!CL55&amp;"–"&amp;csv!CN55&amp;"–"&amp;csv!CP55&amp;"–"&amp;csv!CR55&amp;"–"&amp;csv!CT55&amp;"–"&amp;csv!CV55&amp;"–"&amp;csv!CX54&amp;"–"&amp;csv!CZ54)</f>
        <v>43–56–71–45–50–46–48–49–31–51–32–33–52–53–54–55–100––––––––––––</v>
      </c>
      <c r="F60" t="s">
        <v>0</v>
      </c>
      <c r="O60" s="1" t="str">
        <f t="shared" si="10"/>
        <v/>
      </c>
      <c r="X60" t="s">
        <v>0</v>
      </c>
    </row>
    <row r="61" spans="1:26" x14ac:dyDescent="0.25">
      <c r="A61" t="s">
        <v>0</v>
      </c>
      <c r="B61" s="52" t="str">
        <f>IF(csv!F56="","",csv!T56)</f>
        <v>M21A</v>
      </c>
      <c r="C61" s="31" t="str">
        <f>IF(csv!F56="","",csv!AO56)</f>
        <v>M21A</v>
      </c>
      <c r="D61" s="31" t="str">
        <f>IF(csv!F56="","",csv!AP56&amp;"–"&amp;csv!AQ56&amp;"–"&amp;csv!AR56)</f>
        <v>9.14–460–17</v>
      </c>
      <c r="E61" s="66" t="str">
        <f>IF(csv!AV56&amp;csv!AX56&amp;csv!AZ56&amp;csv!BB56&amp;csv!BD56="","",csv!AV56&amp;"–"&amp;csv!AX56&amp;"–"&amp;csv!AZ56&amp;"–"&amp;csv!BB56&amp;"–"&amp;csv!BD56&amp;"–"&amp;csv!BF56&amp;"–"&amp;csv!BH56&amp;"–"&amp;csv!BJ56&amp;"–"&amp;csv!BL56&amp;"–"&amp;csv!BN56&amp;"–"&amp;csv!BP56&amp;"–"&amp;csv!BR56&amp;"–"&amp;csv!BT56&amp;"–"&amp;csv!BV56&amp;"–"&amp;csv!BX56&amp;"–"&amp;csv!BZ56&amp;"–"&amp;csv!CB56&amp;"–"&amp;csv!CD56&amp;"–"&amp;csv!CF56&amp;"–"&amp;csv!CH56&amp;"–"&amp;csv!CJ56&amp;"–"&amp;csv!CL56&amp;"–"&amp;csv!CN56&amp;"–"&amp;csv!CP56&amp;"–"&amp;csv!CR56&amp;"–"&amp;csv!CT56&amp;"–"&amp;csv!CV56&amp;"–"&amp;csv!CX55&amp;"–"&amp;csv!CZ55)</f>
        <v>43–56–71–45–50–46–48–49–31–51–32–33–52–53–54–55–100––––––––––––</v>
      </c>
      <c r="F61" t="s">
        <v>0</v>
      </c>
      <c r="O61" s="1" t="str">
        <f t="shared" si="10"/>
        <v/>
      </c>
      <c r="X61" t="s">
        <v>0</v>
      </c>
    </row>
    <row r="62" spans="1:26" x14ac:dyDescent="0.25">
      <c r="A62" t="s">
        <v>0</v>
      </c>
      <c r="B62" s="52" t="str">
        <f>IF(csv!F57="","",csv!T57)</f>
        <v>M21A</v>
      </c>
      <c r="C62" s="31" t="str">
        <f>IF(csv!F57="","",csv!AO57)</f>
        <v>M21A</v>
      </c>
      <c r="D62" s="31" t="str">
        <f>IF(csv!F57="","",csv!AP57&amp;"–"&amp;csv!AQ57&amp;"–"&amp;csv!AR57)</f>
        <v>9.14–460–17</v>
      </c>
      <c r="E62" s="66" t="str">
        <f>IF(csv!AV57&amp;csv!AX57&amp;csv!AZ57&amp;csv!BB57&amp;csv!BD57="","",csv!AV57&amp;"–"&amp;csv!AX57&amp;"–"&amp;csv!AZ57&amp;"–"&amp;csv!BB57&amp;"–"&amp;csv!BD57&amp;"–"&amp;csv!BF57&amp;"–"&amp;csv!BH57&amp;"–"&amp;csv!BJ57&amp;"–"&amp;csv!BL57&amp;"–"&amp;csv!BN57&amp;"–"&amp;csv!BP57&amp;"–"&amp;csv!BR57&amp;"–"&amp;csv!BT57&amp;"–"&amp;csv!BV57&amp;"–"&amp;csv!BX57&amp;"–"&amp;csv!BZ57&amp;"–"&amp;csv!CB57&amp;"–"&amp;csv!CD57&amp;"–"&amp;csv!CF57&amp;"–"&amp;csv!CH57&amp;"–"&amp;csv!CJ57&amp;"–"&amp;csv!CL57&amp;"–"&amp;csv!CN57&amp;"–"&amp;csv!CP57&amp;"–"&amp;csv!CR57&amp;"–"&amp;csv!CT57&amp;"–"&amp;csv!CV57&amp;"–"&amp;csv!CX56&amp;"–"&amp;csv!CZ56)</f>
        <v>43–56–71–45–50–46–48–49–31–51–32–33–52–53–54–55–100––––––––––––</v>
      </c>
      <c r="F62" t="s">
        <v>0</v>
      </c>
      <c r="O62" s="1" t="str">
        <f t="shared" si="10"/>
        <v/>
      </c>
      <c r="X62" t="s">
        <v>0</v>
      </c>
    </row>
    <row r="63" spans="1:26" x14ac:dyDescent="0.25">
      <c r="A63" t="s">
        <v>0</v>
      </c>
      <c r="B63" s="52" t="str">
        <f>IF(csv!F58="","",csv!T58)</f>
        <v>M21A</v>
      </c>
      <c r="C63" s="31" t="str">
        <f>IF(csv!F58="","",csv!AO58)</f>
        <v>M21A</v>
      </c>
      <c r="D63" s="31" t="str">
        <f>IF(csv!F58="","",csv!AP58&amp;"–"&amp;csv!AQ58&amp;"–"&amp;csv!AR58)</f>
        <v>9.14–460–17</v>
      </c>
      <c r="E63" s="66" t="str">
        <f>IF(csv!AV58&amp;csv!AX58&amp;csv!AZ58&amp;csv!BB58&amp;csv!BD58="","",csv!AV58&amp;"–"&amp;csv!AX58&amp;"–"&amp;csv!AZ58&amp;"–"&amp;csv!BB58&amp;"–"&amp;csv!BD58&amp;"–"&amp;csv!BF58&amp;"–"&amp;csv!BH58&amp;"–"&amp;csv!BJ58&amp;"–"&amp;csv!BL58&amp;"–"&amp;csv!BN58&amp;"–"&amp;csv!BP58&amp;"–"&amp;csv!BR58&amp;"–"&amp;csv!BT58&amp;"–"&amp;csv!BV58&amp;"–"&amp;csv!BX58&amp;"–"&amp;csv!BZ58&amp;"–"&amp;csv!CB58&amp;"–"&amp;csv!CD58&amp;"–"&amp;csv!CF58&amp;"–"&amp;csv!CH58&amp;"–"&amp;csv!CJ58&amp;"–"&amp;csv!CL58&amp;"–"&amp;csv!CN58&amp;"–"&amp;csv!CP58&amp;"–"&amp;csv!CR58&amp;"–"&amp;csv!CT58&amp;"–"&amp;csv!CV58&amp;"–"&amp;csv!CX57&amp;"–"&amp;csv!CZ57)</f>
        <v/>
      </c>
      <c r="F63" t="s">
        <v>0</v>
      </c>
      <c r="O63" s="1" t="str">
        <f t="shared" si="10"/>
        <v/>
      </c>
      <c r="X63" t="s">
        <v>0</v>
      </c>
    </row>
    <row r="64" spans="1:26" x14ac:dyDescent="0.25">
      <c r="A64" t="s">
        <v>0</v>
      </c>
      <c r="B64" s="52" t="str">
        <f>IF(csv!F59="","",csv!T59)</f>
        <v>M21A</v>
      </c>
      <c r="C64" s="31" t="str">
        <f>IF(csv!F59="","",csv!AO59)</f>
        <v>M21A</v>
      </c>
      <c r="D64" s="31" t="str">
        <f>IF(csv!F59="","",csv!AP59&amp;"–"&amp;csv!AQ59&amp;"–"&amp;csv!AR59)</f>
        <v>9.14–460–17</v>
      </c>
      <c r="E64" s="66" t="str">
        <f>IF(csv!AV59&amp;csv!AX59&amp;csv!AZ59&amp;csv!BB59&amp;csv!BD59="","",csv!AV59&amp;"–"&amp;csv!AX59&amp;"–"&amp;csv!AZ59&amp;"–"&amp;csv!BB59&amp;"–"&amp;csv!BD59&amp;"–"&amp;csv!BF59&amp;"–"&amp;csv!BH59&amp;"–"&amp;csv!BJ59&amp;"–"&amp;csv!BL59&amp;"–"&amp;csv!BN59&amp;"–"&amp;csv!BP59&amp;"–"&amp;csv!BR59&amp;"–"&amp;csv!BT59&amp;"–"&amp;csv!BV59&amp;"–"&amp;csv!BX59&amp;"–"&amp;csv!BZ59&amp;"–"&amp;csv!CB59&amp;"–"&amp;csv!CD59&amp;"–"&amp;csv!CF59&amp;"–"&amp;csv!CH59&amp;"–"&amp;csv!CJ59&amp;"–"&amp;csv!CL59&amp;"–"&amp;csv!CN59&amp;"–"&amp;csv!CP59&amp;"–"&amp;csv!CR59&amp;"–"&amp;csv!CT59&amp;"–"&amp;csv!CV59&amp;"–"&amp;csv!CX58&amp;"–"&amp;csv!CZ58)</f>
        <v/>
      </c>
      <c r="F64" t="s">
        <v>0</v>
      </c>
      <c r="O64" s="1" t="str">
        <f t="shared" si="10"/>
        <v/>
      </c>
      <c r="X64" t="s">
        <v>0</v>
      </c>
    </row>
    <row r="65" spans="1:24" x14ac:dyDescent="0.25">
      <c r="A65" t="s">
        <v>0</v>
      </c>
      <c r="B65" s="52" t="str">
        <f>IF(csv!F60="","",csv!T60)</f>
        <v>M21A</v>
      </c>
      <c r="C65" s="31" t="str">
        <f>IF(csv!F60="","",csv!AO60)</f>
        <v>M21A</v>
      </c>
      <c r="D65" s="31" t="str">
        <f>IF(csv!F60="","",csv!AP60&amp;"–"&amp;csv!AQ60&amp;"–"&amp;csv!AR60)</f>
        <v>9.14–460–17</v>
      </c>
      <c r="E65" s="66" t="str">
        <f>IF(csv!AV60&amp;csv!AX60&amp;csv!AZ60&amp;csv!BB60&amp;csv!BD60="","",csv!AV60&amp;"–"&amp;csv!AX60&amp;"–"&amp;csv!AZ60&amp;"–"&amp;csv!BB60&amp;"–"&amp;csv!BD60&amp;"–"&amp;csv!BF60&amp;"–"&amp;csv!BH60&amp;"–"&amp;csv!BJ60&amp;"–"&amp;csv!BL60&amp;"–"&amp;csv!BN60&amp;"–"&amp;csv!BP60&amp;"–"&amp;csv!BR60&amp;"–"&amp;csv!BT60&amp;"–"&amp;csv!BV60&amp;"–"&amp;csv!BX60&amp;"–"&amp;csv!BZ60&amp;"–"&amp;csv!CB60&amp;"–"&amp;csv!CD60&amp;"–"&amp;csv!CF60&amp;"–"&amp;csv!CH60&amp;"–"&amp;csv!CJ60&amp;"–"&amp;csv!CL60&amp;"–"&amp;csv!CN60&amp;"–"&amp;csv!CP60&amp;"–"&amp;csv!CR60&amp;"–"&amp;csv!CT60&amp;"–"&amp;csv!CV60&amp;"–"&amp;csv!CX59&amp;"–"&amp;csv!CZ59)</f>
        <v/>
      </c>
      <c r="F65" t="s">
        <v>0</v>
      </c>
      <c r="O65" s="1" t="str">
        <f t="shared" si="10"/>
        <v/>
      </c>
      <c r="X65" t="s">
        <v>0</v>
      </c>
    </row>
    <row r="66" spans="1:24" x14ac:dyDescent="0.25">
      <c r="A66" t="s">
        <v>0</v>
      </c>
      <c r="B66" s="52" t="str">
        <f>IF(csv!F61="","",csv!T61)</f>
        <v>M21B</v>
      </c>
      <c r="C66" s="31" t="str">
        <f>IF(csv!F61="","",csv!AO61)</f>
        <v>M21B</v>
      </c>
      <c r="D66" s="31" t="str">
        <f>IF(csv!F61="","",csv!AP61&amp;"–"&amp;csv!AQ61&amp;"–"&amp;csv!AR61)</f>
        <v>3.91–125–8</v>
      </c>
      <c r="E66" s="66" t="str">
        <f>IF(csv!AV61&amp;csv!AX61&amp;csv!AZ61&amp;csv!BB61&amp;csv!BD61="","",csv!AV61&amp;"–"&amp;csv!AX61&amp;"–"&amp;csv!AZ61&amp;"–"&amp;csv!BB61&amp;"–"&amp;csv!BD61&amp;"–"&amp;csv!BF61&amp;"–"&amp;csv!BH61&amp;"–"&amp;csv!BJ61&amp;"–"&amp;csv!BL61&amp;"–"&amp;csv!BN61&amp;"–"&amp;csv!BP61&amp;"–"&amp;csv!BR61&amp;"–"&amp;csv!BT61&amp;"–"&amp;csv!BV61&amp;"–"&amp;csv!BX61&amp;"–"&amp;csv!BZ61&amp;"–"&amp;csv!CB61&amp;"–"&amp;csv!CD61&amp;"–"&amp;csv!CF61&amp;"–"&amp;csv!CH61&amp;"–"&amp;csv!CJ61&amp;"–"&amp;csv!CL61&amp;"–"&amp;csv!CN61&amp;"–"&amp;csv!CP61&amp;"–"&amp;csv!CR61&amp;"–"&amp;csv!CT61&amp;"–"&amp;csv!CV61&amp;"–"&amp;csv!CX60&amp;"–"&amp;csv!CZ60)</f>
        <v>61–64–39–63–67–34–38–100–––––––––––––––––––––</v>
      </c>
      <c r="F66" t="s">
        <v>0</v>
      </c>
      <c r="O66" s="1" t="str">
        <f t="shared" si="10"/>
        <v/>
      </c>
      <c r="X66" t="s">
        <v>0</v>
      </c>
    </row>
    <row r="67" spans="1:24" x14ac:dyDescent="0.25">
      <c r="A67" t="s">
        <v>0</v>
      </c>
      <c r="B67" s="52" t="str">
        <f>IF(csv!F62="","",csv!T62)</f>
        <v>M21B</v>
      </c>
      <c r="C67" s="31" t="str">
        <f>IF(csv!F62="","",csv!AO62)</f>
        <v>M21B</v>
      </c>
      <c r="D67" s="31" t="str">
        <f>IF(csv!F62="","",csv!AP62&amp;"–"&amp;csv!AQ62&amp;"–"&amp;csv!AR62)</f>
        <v>3.91–125–8</v>
      </c>
      <c r="E67" s="66" t="str">
        <f>IF(csv!AV62&amp;csv!AX62&amp;csv!AZ62&amp;csv!BB62&amp;csv!BD62="","",csv!AV62&amp;"–"&amp;csv!AX62&amp;"–"&amp;csv!AZ62&amp;"–"&amp;csv!BB62&amp;"–"&amp;csv!BD62&amp;"–"&amp;csv!BF62&amp;"–"&amp;csv!BH62&amp;"–"&amp;csv!BJ62&amp;"–"&amp;csv!BL62&amp;"–"&amp;csv!BN62&amp;"–"&amp;csv!BP62&amp;"–"&amp;csv!BR62&amp;"–"&amp;csv!BT62&amp;"–"&amp;csv!BV62&amp;"–"&amp;csv!BX62&amp;"–"&amp;csv!BZ62&amp;"–"&amp;csv!CB62&amp;"–"&amp;csv!CD62&amp;"–"&amp;csv!CF62&amp;"–"&amp;csv!CH62&amp;"–"&amp;csv!CJ62&amp;"–"&amp;csv!CL62&amp;"–"&amp;csv!CN62&amp;"–"&amp;csv!CP62&amp;"–"&amp;csv!CR62&amp;"–"&amp;csv!CT62&amp;"–"&amp;csv!CV62&amp;"–"&amp;csv!CX61&amp;"–"&amp;csv!CZ61)</f>
        <v>61–64–39–63–67–34–38–100–––––––––––––––––––––</v>
      </c>
      <c r="F67" t="s">
        <v>0</v>
      </c>
      <c r="O67" s="1" t="str">
        <f t="shared" si="10"/>
        <v/>
      </c>
      <c r="X67" t="s">
        <v>0</v>
      </c>
    </row>
    <row r="68" spans="1:24" x14ac:dyDescent="0.25">
      <c r="A68" t="s">
        <v>0</v>
      </c>
      <c r="B68" s="52" t="str">
        <f>IF(csv!F63="","",csv!T63)</f>
        <v>M21B</v>
      </c>
      <c r="C68" s="31" t="str">
        <f>IF(csv!F63="","",csv!AO63)</f>
        <v>M21B</v>
      </c>
      <c r="D68" s="31" t="str">
        <f>IF(csv!F63="","",csv!AP63&amp;"–"&amp;csv!AQ63&amp;"–"&amp;csv!AR63)</f>
        <v>3.91–125–8</v>
      </c>
      <c r="E68" s="66" t="str">
        <f>IF(csv!AV63&amp;csv!AX63&amp;csv!AZ63&amp;csv!BB63&amp;csv!BD63="","",csv!AV63&amp;"–"&amp;csv!AX63&amp;"–"&amp;csv!AZ63&amp;"–"&amp;csv!BB63&amp;"–"&amp;csv!BD63&amp;"–"&amp;csv!BF63&amp;"–"&amp;csv!BH63&amp;"–"&amp;csv!BJ63&amp;"–"&amp;csv!BL63&amp;"–"&amp;csv!BN63&amp;"–"&amp;csv!BP63&amp;"–"&amp;csv!BR63&amp;"–"&amp;csv!BT63&amp;"–"&amp;csv!BV63&amp;"–"&amp;csv!BX63&amp;"–"&amp;csv!BZ63&amp;"–"&amp;csv!CB63&amp;"–"&amp;csv!CD63&amp;"–"&amp;csv!CF63&amp;"–"&amp;csv!CH63&amp;"–"&amp;csv!CJ63&amp;"–"&amp;csv!CL63&amp;"–"&amp;csv!CN63&amp;"–"&amp;csv!CP63&amp;"–"&amp;csv!CR63&amp;"–"&amp;csv!CT63&amp;"–"&amp;csv!CV63&amp;"–"&amp;csv!CX62&amp;"–"&amp;csv!CZ62)</f>
        <v>61–64–39–63–67–34–38–100–––––––––––––––––––––</v>
      </c>
      <c r="F68" t="s">
        <v>0</v>
      </c>
      <c r="O68" s="1" t="str">
        <f t="shared" si="10"/>
        <v/>
      </c>
      <c r="X68" t="s">
        <v>0</v>
      </c>
    </row>
    <row r="69" spans="1:24" x14ac:dyDescent="0.25">
      <c r="A69" t="s">
        <v>0</v>
      </c>
      <c r="B69" s="52" t="str">
        <f>IF(csv!F64="","",csv!T64)</f>
        <v>M21B</v>
      </c>
      <c r="C69" s="31" t="str">
        <f>IF(csv!F64="","",csv!AO64)</f>
        <v>M21B</v>
      </c>
      <c r="D69" s="31" t="str">
        <f>IF(csv!F64="","",csv!AP64&amp;"–"&amp;csv!AQ64&amp;"–"&amp;csv!AR64)</f>
        <v>3.91–125–8</v>
      </c>
      <c r="E69" s="66" t="str">
        <f>IF(csv!AV64&amp;csv!AX64&amp;csv!AZ64&amp;csv!BB64&amp;csv!BD64="","",csv!AV64&amp;"–"&amp;csv!AX64&amp;"–"&amp;csv!AZ64&amp;"–"&amp;csv!BB64&amp;"–"&amp;csv!BD64&amp;"–"&amp;csv!BF64&amp;"–"&amp;csv!BH64&amp;"–"&amp;csv!BJ64&amp;"–"&amp;csv!BL64&amp;"–"&amp;csv!BN64&amp;"–"&amp;csv!BP64&amp;"–"&amp;csv!BR64&amp;"–"&amp;csv!BT64&amp;"–"&amp;csv!BV64&amp;"–"&amp;csv!BX64&amp;"–"&amp;csv!BZ64&amp;"–"&amp;csv!CB64&amp;"–"&amp;csv!CD64&amp;"–"&amp;csv!CF64&amp;"–"&amp;csv!CH64&amp;"–"&amp;csv!CJ64&amp;"–"&amp;csv!CL64&amp;"–"&amp;csv!CN64&amp;"–"&amp;csv!CP64&amp;"–"&amp;csv!CR64&amp;"–"&amp;csv!CT64&amp;"–"&amp;csv!CV64&amp;"–"&amp;csv!CX63&amp;"–"&amp;csv!CZ63)</f>
        <v>61–64–39–63–67–34–38–100–––––––––––––––––––––</v>
      </c>
      <c r="F69" t="s">
        <v>0</v>
      </c>
      <c r="O69" s="1" t="str">
        <f t="shared" si="10"/>
        <v/>
      </c>
      <c r="X69" t="s">
        <v>0</v>
      </c>
    </row>
    <row r="70" spans="1:24" x14ac:dyDescent="0.25">
      <c r="A70" t="s">
        <v>0</v>
      </c>
      <c r="B70" s="52" t="str">
        <f>IF(csv!F65="","",csv!T65)</f>
        <v>M21B</v>
      </c>
      <c r="C70" s="31" t="str">
        <f>IF(csv!F65="","",csv!AO65)</f>
        <v>M21B</v>
      </c>
      <c r="D70" s="31" t="str">
        <f>IF(csv!F65="","",csv!AP65&amp;"–"&amp;csv!AQ65&amp;"–"&amp;csv!AR65)</f>
        <v>3.91–125–8</v>
      </c>
      <c r="E70" s="66" t="str">
        <f>IF(csv!AV65&amp;csv!AX65&amp;csv!AZ65&amp;csv!BB65&amp;csv!BD65="","",csv!AV65&amp;"–"&amp;csv!AX65&amp;"–"&amp;csv!AZ65&amp;"–"&amp;csv!BB65&amp;"–"&amp;csv!BD65&amp;"–"&amp;csv!BF65&amp;"–"&amp;csv!BH65&amp;"–"&amp;csv!BJ65&amp;"–"&amp;csv!BL65&amp;"–"&amp;csv!BN65&amp;"–"&amp;csv!BP65&amp;"–"&amp;csv!BR65&amp;"–"&amp;csv!BT65&amp;"–"&amp;csv!BV65&amp;"–"&amp;csv!BX65&amp;"–"&amp;csv!BZ65&amp;"–"&amp;csv!CB65&amp;"–"&amp;csv!CD65&amp;"–"&amp;csv!CF65&amp;"–"&amp;csv!CH65&amp;"–"&amp;csv!CJ65&amp;"–"&amp;csv!CL65&amp;"–"&amp;csv!CN65&amp;"–"&amp;csv!CP65&amp;"–"&amp;csv!CR65&amp;"–"&amp;csv!CT65&amp;"–"&amp;csv!CV65&amp;"–"&amp;csv!CX64&amp;"–"&amp;csv!CZ64)</f>
        <v>61–64–39–63–67–34–38–100–––––––––––––––––––––</v>
      </c>
      <c r="F70" t="s">
        <v>0</v>
      </c>
      <c r="O70" s="1" t="str">
        <f t="shared" si="10"/>
        <v/>
      </c>
      <c r="X70" t="s">
        <v>0</v>
      </c>
    </row>
    <row r="71" spans="1:24" x14ac:dyDescent="0.25">
      <c r="A71" t="s">
        <v>0</v>
      </c>
      <c r="B71" s="52" t="str">
        <f>IF(csv!F66="","",csv!T66)</f>
        <v>M21B</v>
      </c>
      <c r="C71" s="31" t="str">
        <f>IF(csv!F66="","",csv!AO66)</f>
        <v>M21B</v>
      </c>
      <c r="D71" s="31" t="str">
        <f>IF(csv!F66="","",csv!AP66&amp;"–"&amp;csv!AQ66&amp;"–"&amp;csv!AR66)</f>
        <v>3.91–125–8</v>
      </c>
      <c r="E71" s="66" t="str">
        <f>IF(csv!AV66&amp;csv!AX66&amp;csv!AZ66&amp;csv!BB66&amp;csv!BD66="","",csv!AV66&amp;"–"&amp;csv!AX66&amp;"–"&amp;csv!AZ66&amp;"–"&amp;csv!BB66&amp;"–"&amp;csv!BD66&amp;"–"&amp;csv!BF66&amp;"–"&amp;csv!BH66&amp;"–"&amp;csv!BJ66&amp;"–"&amp;csv!BL66&amp;"–"&amp;csv!BN66&amp;"–"&amp;csv!BP66&amp;"–"&amp;csv!BR66&amp;"–"&amp;csv!BT66&amp;"–"&amp;csv!BV66&amp;"–"&amp;csv!BX66&amp;"–"&amp;csv!BZ66&amp;"–"&amp;csv!CB66&amp;"–"&amp;csv!CD66&amp;"–"&amp;csv!CF66&amp;"–"&amp;csv!CH66&amp;"–"&amp;csv!CJ66&amp;"–"&amp;csv!CL66&amp;"–"&amp;csv!CN66&amp;"–"&amp;csv!CP66&amp;"–"&amp;csv!CR66&amp;"–"&amp;csv!CT66&amp;"–"&amp;csv!CV66&amp;"–"&amp;csv!CX65&amp;"–"&amp;csv!CZ65)</f>
        <v>61–64–39–63–67–34–38–100–––––––––––––––––––––</v>
      </c>
      <c r="F71" t="s">
        <v>0</v>
      </c>
      <c r="O71" s="1" t="str">
        <f t="shared" si="10"/>
        <v/>
      </c>
      <c r="X71" t="s">
        <v>0</v>
      </c>
    </row>
    <row r="72" spans="1:24" x14ac:dyDescent="0.25">
      <c r="A72" t="s">
        <v>0</v>
      </c>
      <c r="B72" s="52" t="str">
        <f>IF(csv!F67="","",csv!T67)</f>
        <v>M21B</v>
      </c>
      <c r="C72" s="31" t="str">
        <f>IF(csv!F67="","",csv!AO67)</f>
        <v>M21B</v>
      </c>
      <c r="D72" s="31" t="str">
        <f>IF(csv!F67="","",csv!AP67&amp;"–"&amp;csv!AQ67&amp;"–"&amp;csv!AR67)</f>
        <v>3.91–125–8</v>
      </c>
      <c r="E72" s="66" t="str">
        <f>IF(csv!AV67&amp;csv!AX67&amp;csv!AZ67&amp;csv!BB67&amp;csv!BD67="","",csv!AV67&amp;"–"&amp;csv!AX67&amp;"–"&amp;csv!AZ67&amp;"–"&amp;csv!BB67&amp;"–"&amp;csv!BD67&amp;"–"&amp;csv!BF67&amp;"–"&amp;csv!BH67&amp;"–"&amp;csv!BJ67&amp;"–"&amp;csv!BL67&amp;"–"&amp;csv!BN67&amp;"–"&amp;csv!BP67&amp;"–"&amp;csv!BR67&amp;"–"&amp;csv!BT67&amp;"–"&amp;csv!BV67&amp;"–"&amp;csv!BX67&amp;"–"&amp;csv!BZ67&amp;"–"&amp;csv!CB67&amp;"–"&amp;csv!CD67&amp;"–"&amp;csv!CF67&amp;"–"&amp;csv!CH67&amp;"–"&amp;csv!CJ67&amp;"–"&amp;csv!CL67&amp;"–"&amp;csv!CN67&amp;"–"&amp;csv!CP67&amp;"–"&amp;csv!CR67&amp;"–"&amp;csv!CT67&amp;"–"&amp;csv!CV67&amp;"–"&amp;csv!CX66&amp;"–"&amp;csv!CZ66)</f>
        <v>61–64–39–63–67–34–38–100–––––––––––––––––––––</v>
      </c>
      <c r="F72" t="s">
        <v>0</v>
      </c>
      <c r="O72" s="1" t="str">
        <f t="shared" si="10"/>
        <v/>
      </c>
      <c r="X72" t="s">
        <v>0</v>
      </c>
    </row>
    <row r="73" spans="1:24" x14ac:dyDescent="0.25">
      <c r="A73" t="s">
        <v>0</v>
      </c>
      <c r="B73" s="52" t="str">
        <f>IF(csv!F68="","",csv!T68)</f>
        <v>M21B</v>
      </c>
      <c r="C73" s="31" t="str">
        <f>IF(csv!F68="","",csv!AO68)</f>
        <v>M21B</v>
      </c>
      <c r="D73" s="31" t="str">
        <f>IF(csv!F68="","",csv!AP68&amp;"–"&amp;csv!AQ68&amp;"–"&amp;csv!AR68)</f>
        <v>3.91–125–8</v>
      </c>
      <c r="E73" s="66" t="str">
        <f>IF(csv!AV68&amp;csv!AX68&amp;csv!AZ68&amp;csv!BB68&amp;csv!BD68="","",csv!AV68&amp;"–"&amp;csv!AX68&amp;"–"&amp;csv!AZ68&amp;"–"&amp;csv!BB68&amp;"–"&amp;csv!BD68&amp;"–"&amp;csv!BF68&amp;"–"&amp;csv!BH68&amp;"–"&amp;csv!BJ68&amp;"–"&amp;csv!BL68&amp;"–"&amp;csv!BN68&amp;"–"&amp;csv!BP68&amp;"–"&amp;csv!BR68&amp;"–"&amp;csv!BT68&amp;"–"&amp;csv!BV68&amp;"–"&amp;csv!BX68&amp;"–"&amp;csv!BZ68&amp;"–"&amp;csv!CB68&amp;"–"&amp;csv!CD68&amp;"–"&amp;csv!CF68&amp;"–"&amp;csv!CH68&amp;"–"&amp;csv!CJ68&amp;"–"&amp;csv!CL68&amp;"–"&amp;csv!CN68&amp;"–"&amp;csv!CP68&amp;"–"&amp;csv!CR68&amp;"–"&amp;csv!CT68&amp;"–"&amp;csv!CV68&amp;"–"&amp;csv!CX67&amp;"–"&amp;csv!CZ67)</f>
        <v>61–64–39–63–67–34–38–100–––––––––––––––––––––</v>
      </c>
      <c r="F73" t="s">
        <v>0</v>
      </c>
      <c r="O73" s="1" t="str">
        <f t="shared" ref="O73:O136" si="24">IF(N73="","",IF(N73&lt;&gt;N72,N73,""))</f>
        <v/>
      </c>
      <c r="X73" t="s">
        <v>0</v>
      </c>
    </row>
    <row r="74" spans="1:24" x14ac:dyDescent="0.25">
      <c r="A74" t="s">
        <v>0</v>
      </c>
      <c r="B74" s="52" t="str">
        <f>IF(csv!F69="","",csv!T69)</f>
        <v>M21B</v>
      </c>
      <c r="C74" s="31" t="str">
        <f>IF(csv!F69="","",csv!AO69)</f>
        <v>M21B</v>
      </c>
      <c r="D74" s="31" t="str">
        <f>IF(csv!F69="","",csv!AP69&amp;"–"&amp;csv!AQ69&amp;"–"&amp;csv!AR69)</f>
        <v>3.91–125–8</v>
      </c>
      <c r="E74" s="66" t="str">
        <f>IF(csv!AV69&amp;csv!AX69&amp;csv!AZ69&amp;csv!BB69&amp;csv!BD69="","",csv!AV69&amp;"–"&amp;csv!AX69&amp;"–"&amp;csv!AZ69&amp;"–"&amp;csv!BB69&amp;"–"&amp;csv!BD69&amp;"–"&amp;csv!BF69&amp;"–"&amp;csv!BH69&amp;"–"&amp;csv!BJ69&amp;"–"&amp;csv!BL69&amp;"–"&amp;csv!BN69&amp;"–"&amp;csv!BP69&amp;"–"&amp;csv!BR69&amp;"–"&amp;csv!BT69&amp;"–"&amp;csv!BV69&amp;"–"&amp;csv!BX69&amp;"–"&amp;csv!BZ69&amp;"–"&amp;csv!CB69&amp;"–"&amp;csv!CD69&amp;"–"&amp;csv!CF69&amp;"–"&amp;csv!CH69&amp;"–"&amp;csv!CJ69&amp;"–"&amp;csv!CL69&amp;"–"&amp;csv!CN69&amp;"–"&amp;csv!CP69&amp;"–"&amp;csv!CR69&amp;"–"&amp;csv!CT69&amp;"–"&amp;csv!CV69&amp;"–"&amp;csv!CX68&amp;"–"&amp;csv!CZ68)</f>
        <v>61–64–39–63–67–34–38–100–––––––––––––––––––––</v>
      </c>
      <c r="F74" t="s">
        <v>0</v>
      </c>
      <c r="O74" s="1" t="str">
        <f t="shared" si="24"/>
        <v/>
      </c>
      <c r="X74" t="s">
        <v>0</v>
      </c>
    </row>
    <row r="75" spans="1:24" x14ac:dyDescent="0.25">
      <c r="A75" t="s">
        <v>0</v>
      </c>
      <c r="B75" s="52" t="str">
        <f>IF(csv!F70="","",csv!T70)</f>
        <v>M21B</v>
      </c>
      <c r="C75" s="31" t="str">
        <f>IF(csv!F70="","",csv!AO70)</f>
        <v>M21B</v>
      </c>
      <c r="D75" s="31" t="str">
        <f>IF(csv!F70="","",csv!AP70&amp;"–"&amp;csv!AQ70&amp;"–"&amp;csv!AR70)</f>
        <v>3.91–125–8</v>
      </c>
      <c r="E75" s="66" t="str">
        <f>IF(csv!AV70&amp;csv!AX70&amp;csv!AZ70&amp;csv!BB70&amp;csv!BD70="","",csv!AV70&amp;"–"&amp;csv!AX70&amp;"–"&amp;csv!AZ70&amp;"–"&amp;csv!BB70&amp;"–"&amp;csv!BD70&amp;"–"&amp;csv!BF70&amp;"–"&amp;csv!BH70&amp;"–"&amp;csv!BJ70&amp;"–"&amp;csv!BL70&amp;"–"&amp;csv!BN70&amp;"–"&amp;csv!BP70&amp;"–"&amp;csv!BR70&amp;"–"&amp;csv!BT70&amp;"–"&amp;csv!BV70&amp;"–"&amp;csv!BX70&amp;"–"&amp;csv!BZ70&amp;"–"&amp;csv!CB70&amp;"–"&amp;csv!CD70&amp;"–"&amp;csv!CF70&amp;"–"&amp;csv!CH70&amp;"–"&amp;csv!CJ70&amp;"–"&amp;csv!CL70&amp;"–"&amp;csv!CN70&amp;"–"&amp;csv!CP70&amp;"–"&amp;csv!CR70&amp;"–"&amp;csv!CT70&amp;"–"&amp;csv!CV70&amp;"–"&amp;csv!CX69&amp;"–"&amp;csv!CZ69)</f>
        <v>61–64–39–63–67–34–38–100–––––––––––––––––––––</v>
      </c>
      <c r="F75" t="s">
        <v>0</v>
      </c>
      <c r="O75" s="1" t="str">
        <f t="shared" si="24"/>
        <v/>
      </c>
      <c r="X75" t="s">
        <v>0</v>
      </c>
    </row>
    <row r="76" spans="1:24" x14ac:dyDescent="0.25">
      <c r="A76" t="s">
        <v>0</v>
      </c>
      <c r="B76" s="52" t="str">
        <f>IF(csv!F71="","",csv!T71)</f>
        <v>M21B</v>
      </c>
      <c r="C76" s="31" t="str">
        <f>IF(csv!F71="","",csv!AO71)</f>
        <v>M21B</v>
      </c>
      <c r="D76" s="31" t="str">
        <f>IF(csv!F71="","",csv!AP71&amp;"–"&amp;csv!AQ71&amp;"–"&amp;csv!AR71)</f>
        <v>3.91–125–8</v>
      </c>
      <c r="E76" s="66" t="str">
        <f>IF(csv!AV71&amp;csv!AX71&amp;csv!AZ71&amp;csv!BB71&amp;csv!BD71="","",csv!AV71&amp;"–"&amp;csv!AX71&amp;"–"&amp;csv!AZ71&amp;"–"&amp;csv!BB71&amp;"–"&amp;csv!BD71&amp;"–"&amp;csv!BF71&amp;"–"&amp;csv!BH71&amp;"–"&amp;csv!BJ71&amp;"–"&amp;csv!BL71&amp;"–"&amp;csv!BN71&amp;"–"&amp;csv!BP71&amp;"–"&amp;csv!BR71&amp;"–"&amp;csv!BT71&amp;"–"&amp;csv!BV71&amp;"–"&amp;csv!BX71&amp;"–"&amp;csv!BZ71&amp;"–"&amp;csv!CB71&amp;"–"&amp;csv!CD71&amp;"–"&amp;csv!CF71&amp;"–"&amp;csv!CH71&amp;"–"&amp;csv!CJ71&amp;"–"&amp;csv!CL71&amp;"–"&amp;csv!CN71&amp;"–"&amp;csv!CP71&amp;"–"&amp;csv!CR71&amp;"–"&amp;csv!CT71&amp;"–"&amp;csv!CV71&amp;"–"&amp;csv!CX70&amp;"–"&amp;csv!CZ70)</f>
        <v>61–64–39–63–67–34–38–100–––––––––––––––––––––</v>
      </c>
      <c r="F76" t="s">
        <v>0</v>
      </c>
      <c r="O76" s="1" t="str">
        <f t="shared" si="24"/>
        <v/>
      </c>
      <c r="X76" t="s">
        <v>0</v>
      </c>
    </row>
    <row r="77" spans="1:24" x14ac:dyDescent="0.25">
      <c r="A77" t="s">
        <v>0</v>
      </c>
      <c r="B77" s="52" t="str">
        <f>IF(csv!F72="","",csv!T72)</f>
        <v>M21B</v>
      </c>
      <c r="C77" s="31" t="str">
        <f>IF(csv!F72="","",csv!AO72)</f>
        <v>M21B</v>
      </c>
      <c r="D77" s="31" t="str">
        <f>IF(csv!F72="","",csv!AP72&amp;"–"&amp;csv!AQ72&amp;"–"&amp;csv!AR72)</f>
        <v>3.91–125–8</v>
      </c>
      <c r="E77" s="66" t="str">
        <f>IF(csv!AV72&amp;csv!AX72&amp;csv!AZ72&amp;csv!BB72&amp;csv!BD72="","",csv!AV72&amp;"–"&amp;csv!AX72&amp;"–"&amp;csv!AZ72&amp;"–"&amp;csv!BB72&amp;"–"&amp;csv!BD72&amp;"–"&amp;csv!BF72&amp;"–"&amp;csv!BH72&amp;"–"&amp;csv!BJ72&amp;"–"&amp;csv!BL72&amp;"–"&amp;csv!BN72&amp;"–"&amp;csv!BP72&amp;"–"&amp;csv!BR72&amp;"–"&amp;csv!BT72&amp;"–"&amp;csv!BV72&amp;"–"&amp;csv!BX72&amp;"–"&amp;csv!BZ72&amp;"–"&amp;csv!CB72&amp;"–"&amp;csv!CD72&amp;"–"&amp;csv!CF72&amp;"–"&amp;csv!CH72&amp;"–"&amp;csv!CJ72&amp;"–"&amp;csv!CL72&amp;"–"&amp;csv!CN72&amp;"–"&amp;csv!CP72&amp;"–"&amp;csv!CR72&amp;"–"&amp;csv!CT72&amp;"–"&amp;csv!CV72&amp;"–"&amp;csv!CX71&amp;"–"&amp;csv!CZ71)</f>
        <v>61–64–39–63–67–34–38–100–––––––––––––––––––––</v>
      </c>
      <c r="F77" t="s">
        <v>0</v>
      </c>
      <c r="O77" s="1" t="str">
        <f t="shared" si="24"/>
        <v/>
      </c>
      <c r="X77" t="s">
        <v>0</v>
      </c>
    </row>
    <row r="78" spans="1:24" x14ac:dyDescent="0.25">
      <c r="A78" t="s">
        <v>0</v>
      </c>
      <c r="B78" s="52" t="str">
        <f>IF(csv!F73="","",csv!T73)</f>
        <v>M21B</v>
      </c>
      <c r="C78" s="31" t="str">
        <f>IF(csv!F73="","",csv!AO73)</f>
        <v>M21B</v>
      </c>
      <c r="D78" s="31" t="str">
        <f>IF(csv!F73="","",csv!AP73&amp;"–"&amp;csv!AQ73&amp;"–"&amp;csv!AR73)</f>
        <v>3.91–125–8</v>
      </c>
      <c r="E78" s="66" t="str">
        <f>IF(csv!AV73&amp;csv!AX73&amp;csv!AZ73&amp;csv!BB73&amp;csv!BD73="","",csv!AV73&amp;"–"&amp;csv!AX73&amp;"–"&amp;csv!AZ73&amp;"–"&amp;csv!BB73&amp;"–"&amp;csv!BD73&amp;"–"&amp;csv!BF73&amp;"–"&amp;csv!BH73&amp;"–"&amp;csv!BJ73&amp;"–"&amp;csv!BL73&amp;"–"&amp;csv!BN73&amp;"–"&amp;csv!BP73&amp;"–"&amp;csv!BR73&amp;"–"&amp;csv!BT73&amp;"–"&amp;csv!BV73&amp;"–"&amp;csv!BX73&amp;"–"&amp;csv!BZ73&amp;"–"&amp;csv!CB73&amp;"–"&amp;csv!CD73&amp;"–"&amp;csv!CF73&amp;"–"&amp;csv!CH73&amp;"–"&amp;csv!CJ73&amp;"–"&amp;csv!CL73&amp;"–"&amp;csv!CN73&amp;"–"&amp;csv!CP73&amp;"–"&amp;csv!CR73&amp;"–"&amp;csv!CT73&amp;"–"&amp;csv!CV73&amp;"–"&amp;csv!CX72&amp;"–"&amp;csv!CZ72)</f>
        <v>61–64–39–63–67–34–38–100–––––––––––––––––––––</v>
      </c>
      <c r="F78" t="s">
        <v>0</v>
      </c>
      <c r="O78" s="1" t="str">
        <f t="shared" si="24"/>
        <v/>
      </c>
      <c r="X78" t="s">
        <v>0</v>
      </c>
    </row>
    <row r="79" spans="1:24" x14ac:dyDescent="0.25">
      <c r="A79" t="s">
        <v>0</v>
      </c>
      <c r="B79" s="52" t="str">
        <f>IF(csv!F74="","",csv!T74)</f>
        <v>M21B</v>
      </c>
      <c r="C79" s="31" t="str">
        <f>IF(csv!F74="","",csv!AO74)</f>
        <v>M21B</v>
      </c>
      <c r="D79" s="31" t="str">
        <f>IF(csv!F74="","",csv!AP74&amp;"–"&amp;csv!AQ74&amp;"–"&amp;csv!AR74)</f>
        <v>3.91–125–8</v>
      </c>
      <c r="E79" s="66" t="str">
        <f>IF(csv!AV74&amp;csv!AX74&amp;csv!AZ74&amp;csv!BB74&amp;csv!BD74="","",csv!AV74&amp;"–"&amp;csv!AX74&amp;"–"&amp;csv!AZ74&amp;"–"&amp;csv!BB74&amp;"–"&amp;csv!BD74&amp;"–"&amp;csv!BF74&amp;"–"&amp;csv!BH74&amp;"–"&amp;csv!BJ74&amp;"–"&amp;csv!BL74&amp;"–"&amp;csv!BN74&amp;"–"&amp;csv!BP74&amp;"–"&amp;csv!BR74&amp;"–"&amp;csv!BT74&amp;"–"&amp;csv!BV74&amp;"–"&amp;csv!BX74&amp;"–"&amp;csv!BZ74&amp;"–"&amp;csv!CB74&amp;"–"&amp;csv!CD74&amp;"–"&amp;csv!CF74&amp;"–"&amp;csv!CH74&amp;"–"&amp;csv!CJ74&amp;"–"&amp;csv!CL74&amp;"–"&amp;csv!CN74&amp;"–"&amp;csv!CP74&amp;"–"&amp;csv!CR74&amp;"–"&amp;csv!CT74&amp;"–"&amp;csv!CV74&amp;"–"&amp;csv!CX73&amp;"–"&amp;csv!CZ73)</f>
        <v>61–64–39–63–67–34–38–100–––––––––––––––––––––</v>
      </c>
      <c r="F79" t="s">
        <v>0</v>
      </c>
      <c r="O79" s="1" t="str">
        <f t="shared" si="24"/>
        <v/>
      </c>
      <c r="X79" t="s">
        <v>0</v>
      </c>
    </row>
    <row r="80" spans="1:24" x14ac:dyDescent="0.25">
      <c r="A80" t="s">
        <v>0</v>
      </c>
      <c r="B80" s="52" t="str">
        <f>IF(csv!F75="","",csv!T75)</f>
        <v>M21B</v>
      </c>
      <c r="C80" s="31" t="str">
        <f>IF(csv!F75="","",csv!AO75)</f>
        <v>M21B</v>
      </c>
      <c r="D80" s="31" t="str">
        <f>IF(csv!F75="","",csv!AP75&amp;"–"&amp;csv!AQ75&amp;"–"&amp;csv!AR75)</f>
        <v>3.91–125–8</v>
      </c>
      <c r="E80" s="66" t="str">
        <f>IF(csv!AV75&amp;csv!AX75&amp;csv!AZ75&amp;csv!BB75&amp;csv!BD75="","",csv!AV75&amp;"–"&amp;csv!AX75&amp;"–"&amp;csv!AZ75&amp;"–"&amp;csv!BB75&amp;"–"&amp;csv!BD75&amp;"–"&amp;csv!BF75&amp;"–"&amp;csv!BH75&amp;"–"&amp;csv!BJ75&amp;"–"&amp;csv!BL75&amp;"–"&amp;csv!BN75&amp;"–"&amp;csv!BP75&amp;"–"&amp;csv!BR75&amp;"–"&amp;csv!BT75&amp;"–"&amp;csv!BV75&amp;"–"&amp;csv!BX75&amp;"–"&amp;csv!BZ75&amp;"–"&amp;csv!CB75&amp;"–"&amp;csv!CD75&amp;"–"&amp;csv!CF75&amp;"–"&amp;csv!CH75&amp;"–"&amp;csv!CJ75&amp;"–"&amp;csv!CL75&amp;"–"&amp;csv!CN75&amp;"–"&amp;csv!CP75&amp;"–"&amp;csv!CR75&amp;"–"&amp;csv!CT75&amp;"–"&amp;csv!CV75&amp;"–"&amp;csv!CX74&amp;"–"&amp;csv!CZ74)</f>
        <v>61–64–39–63–67–34–38–100–––––––––––––––––––––</v>
      </c>
      <c r="F80" t="s">
        <v>0</v>
      </c>
      <c r="O80" s="1" t="str">
        <f t="shared" si="24"/>
        <v/>
      </c>
      <c r="X80" t="s">
        <v>0</v>
      </c>
    </row>
    <row r="81" spans="1:24" x14ac:dyDescent="0.25">
      <c r="A81" t="s">
        <v>0</v>
      </c>
      <c r="B81" s="52" t="str">
        <f>IF(csv!F76="","",csv!T76)</f>
        <v>M21B</v>
      </c>
      <c r="C81" s="31" t="str">
        <f>IF(csv!F76="","",csv!AO76)</f>
        <v>M21B</v>
      </c>
      <c r="D81" s="31" t="str">
        <f>IF(csv!F76="","",csv!AP76&amp;"–"&amp;csv!AQ76&amp;"–"&amp;csv!AR76)</f>
        <v>3.91–125–8</v>
      </c>
      <c r="E81" s="66" t="str">
        <f>IF(csv!AV76&amp;csv!AX76&amp;csv!AZ76&amp;csv!BB76&amp;csv!BD76="","",csv!AV76&amp;"–"&amp;csv!AX76&amp;"–"&amp;csv!AZ76&amp;"–"&amp;csv!BB76&amp;"–"&amp;csv!BD76&amp;"–"&amp;csv!BF76&amp;"–"&amp;csv!BH76&amp;"–"&amp;csv!BJ76&amp;"–"&amp;csv!BL76&amp;"–"&amp;csv!BN76&amp;"–"&amp;csv!BP76&amp;"–"&amp;csv!BR76&amp;"–"&amp;csv!BT76&amp;"–"&amp;csv!BV76&amp;"–"&amp;csv!BX76&amp;"–"&amp;csv!BZ76&amp;"–"&amp;csv!CB76&amp;"–"&amp;csv!CD76&amp;"–"&amp;csv!CF76&amp;"–"&amp;csv!CH76&amp;"–"&amp;csv!CJ76&amp;"–"&amp;csv!CL76&amp;"–"&amp;csv!CN76&amp;"–"&amp;csv!CP76&amp;"–"&amp;csv!CR76&amp;"–"&amp;csv!CT76&amp;"–"&amp;csv!CV76&amp;"–"&amp;csv!CX75&amp;"–"&amp;csv!CZ75)</f>
        <v>61–64–39–63–67–34–38–100–––––––––––––––––––––</v>
      </c>
      <c r="F81" t="s">
        <v>0</v>
      </c>
      <c r="O81" s="1" t="str">
        <f t="shared" si="24"/>
        <v/>
      </c>
      <c r="X81" t="s">
        <v>0</v>
      </c>
    </row>
    <row r="82" spans="1:24" x14ac:dyDescent="0.25">
      <c r="A82" t="s">
        <v>0</v>
      </c>
      <c r="B82" s="52" t="str">
        <f>IF(csv!F77="","",csv!T77)</f>
        <v>M21B</v>
      </c>
      <c r="C82" s="31" t="str">
        <f>IF(csv!F77="","",csv!AO77)</f>
        <v>M21B</v>
      </c>
      <c r="D82" s="31" t="str">
        <f>IF(csv!F77="","",csv!AP77&amp;"–"&amp;csv!AQ77&amp;"–"&amp;csv!AR77)</f>
        <v>3.91–125–8</v>
      </c>
      <c r="E82" s="66" t="str">
        <f>IF(csv!AV77&amp;csv!AX77&amp;csv!AZ77&amp;csv!BB77&amp;csv!BD77="","",csv!AV77&amp;"–"&amp;csv!AX77&amp;"–"&amp;csv!AZ77&amp;"–"&amp;csv!BB77&amp;"–"&amp;csv!BD77&amp;"–"&amp;csv!BF77&amp;"–"&amp;csv!BH77&amp;"–"&amp;csv!BJ77&amp;"–"&amp;csv!BL77&amp;"–"&amp;csv!BN77&amp;"–"&amp;csv!BP77&amp;"–"&amp;csv!BR77&amp;"–"&amp;csv!BT77&amp;"–"&amp;csv!BV77&amp;"–"&amp;csv!BX77&amp;"–"&amp;csv!BZ77&amp;"–"&amp;csv!CB77&amp;"–"&amp;csv!CD77&amp;"–"&amp;csv!CF77&amp;"–"&amp;csv!CH77&amp;"–"&amp;csv!CJ77&amp;"–"&amp;csv!CL77&amp;"–"&amp;csv!CN77&amp;"–"&amp;csv!CP77&amp;"–"&amp;csv!CR77&amp;"–"&amp;csv!CT77&amp;"–"&amp;csv!CV77&amp;"–"&amp;csv!CX76&amp;"–"&amp;csv!CZ76)</f>
        <v>61–64–39–63–67–34–38–100–––––––––––––––––––––</v>
      </c>
      <c r="F82" t="s">
        <v>0</v>
      </c>
      <c r="O82" s="1" t="str">
        <f t="shared" si="24"/>
        <v/>
      </c>
      <c r="X82" t="s">
        <v>0</v>
      </c>
    </row>
    <row r="83" spans="1:24" x14ac:dyDescent="0.25">
      <c r="A83" t="s">
        <v>0</v>
      </c>
      <c r="B83" s="52" t="str">
        <f>IF(csv!F78="","",csv!T78)</f>
        <v>M21B</v>
      </c>
      <c r="C83" s="31" t="str">
        <f>IF(csv!F78="","",csv!AO78)</f>
        <v>M21B</v>
      </c>
      <c r="D83" s="31" t="str">
        <f>IF(csv!F78="","",csv!AP78&amp;"–"&amp;csv!AQ78&amp;"–"&amp;csv!AR78)</f>
        <v>3.91–125–8</v>
      </c>
      <c r="E83" s="66" t="str">
        <f>IF(csv!AV78&amp;csv!AX78&amp;csv!AZ78&amp;csv!BB78&amp;csv!BD78="","",csv!AV78&amp;"–"&amp;csv!AX78&amp;"–"&amp;csv!AZ78&amp;"–"&amp;csv!BB78&amp;"–"&amp;csv!BD78&amp;"–"&amp;csv!BF78&amp;"–"&amp;csv!BH78&amp;"–"&amp;csv!BJ78&amp;"–"&amp;csv!BL78&amp;"–"&amp;csv!BN78&amp;"–"&amp;csv!BP78&amp;"–"&amp;csv!BR78&amp;"–"&amp;csv!BT78&amp;"–"&amp;csv!BV78&amp;"–"&amp;csv!BX78&amp;"–"&amp;csv!BZ78&amp;"–"&amp;csv!CB78&amp;"–"&amp;csv!CD78&amp;"–"&amp;csv!CF78&amp;"–"&amp;csv!CH78&amp;"–"&amp;csv!CJ78&amp;"–"&amp;csv!CL78&amp;"–"&amp;csv!CN78&amp;"–"&amp;csv!CP78&amp;"–"&amp;csv!CR78&amp;"–"&amp;csv!CT78&amp;"–"&amp;csv!CV78&amp;"–"&amp;csv!CX77&amp;"–"&amp;csv!CZ77)</f>
        <v>61–64–39–63–67–34–38–100–––––––––––––––––––––</v>
      </c>
      <c r="F83" t="s">
        <v>0</v>
      </c>
      <c r="O83" s="1" t="str">
        <f t="shared" si="24"/>
        <v/>
      </c>
      <c r="X83" t="s">
        <v>0</v>
      </c>
    </row>
    <row r="84" spans="1:24" x14ac:dyDescent="0.25">
      <c r="A84" t="s">
        <v>0</v>
      </c>
      <c r="B84" s="52" t="str">
        <f>IF(csv!F79="","",csv!T79)</f>
        <v>M21B</v>
      </c>
      <c r="C84" s="31" t="str">
        <f>IF(csv!F79="","",csv!AO79)</f>
        <v>M21B</v>
      </c>
      <c r="D84" s="31" t="str">
        <f>IF(csv!F79="","",csv!AP79&amp;"–"&amp;csv!AQ79&amp;"–"&amp;csv!AR79)</f>
        <v>3.91–125–8</v>
      </c>
      <c r="E84" s="66" t="str">
        <f>IF(csv!AV79&amp;csv!AX79&amp;csv!AZ79&amp;csv!BB79&amp;csv!BD79="","",csv!AV79&amp;"–"&amp;csv!AX79&amp;"–"&amp;csv!AZ79&amp;"–"&amp;csv!BB79&amp;"–"&amp;csv!BD79&amp;"–"&amp;csv!BF79&amp;"–"&amp;csv!BH79&amp;"–"&amp;csv!BJ79&amp;"–"&amp;csv!BL79&amp;"–"&amp;csv!BN79&amp;"–"&amp;csv!BP79&amp;"–"&amp;csv!BR79&amp;"–"&amp;csv!BT79&amp;"–"&amp;csv!BV79&amp;"–"&amp;csv!BX79&amp;"–"&amp;csv!BZ79&amp;"–"&amp;csv!CB79&amp;"–"&amp;csv!CD79&amp;"–"&amp;csv!CF79&amp;"–"&amp;csv!CH79&amp;"–"&amp;csv!CJ79&amp;"–"&amp;csv!CL79&amp;"–"&amp;csv!CN79&amp;"–"&amp;csv!CP79&amp;"–"&amp;csv!CR79&amp;"–"&amp;csv!CT79&amp;"–"&amp;csv!CV79&amp;"–"&amp;csv!CX78&amp;"–"&amp;csv!CZ78)</f>
        <v>61–64–39–63–67–34–38–100–––––––––––––––––––––</v>
      </c>
      <c r="F84" t="s">
        <v>0</v>
      </c>
      <c r="O84" s="1" t="str">
        <f t="shared" si="24"/>
        <v/>
      </c>
      <c r="X84" t="s">
        <v>0</v>
      </c>
    </row>
    <row r="85" spans="1:24" x14ac:dyDescent="0.25">
      <c r="A85" t="s">
        <v>0</v>
      </c>
      <c r="B85" s="52" t="str">
        <f>IF(csv!F80="","",csv!T80)</f>
        <v>M21B</v>
      </c>
      <c r="C85" s="31" t="str">
        <f>IF(csv!F80="","",csv!AO80)</f>
        <v>M21B</v>
      </c>
      <c r="D85" s="31" t="str">
        <f>IF(csv!F80="","",csv!AP80&amp;"–"&amp;csv!AQ80&amp;"–"&amp;csv!AR80)</f>
        <v>3.91–125–8</v>
      </c>
      <c r="E85" s="66" t="str">
        <f>IF(csv!AV80&amp;csv!AX80&amp;csv!AZ80&amp;csv!BB80&amp;csv!BD80="","",csv!AV80&amp;"–"&amp;csv!AX80&amp;"–"&amp;csv!AZ80&amp;"–"&amp;csv!BB80&amp;"–"&amp;csv!BD80&amp;"–"&amp;csv!BF80&amp;"–"&amp;csv!BH80&amp;"–"&amp;csv!BJ80&amp;"–"&amp;csv!BL80&amp;"–"&amp;csv!BN80&amp;"–"&amp;csv!BP80&amp;"–"&amp;csv!BR80&amp;"–"&amp;csv!BT80&amp;"–"&amp;csv!BV80&amp;"–"&amp;csv!BX80&amp;"–"&amp;csv!BZ80&amp;"–"&amp;csv!CB80&amp;"–"&amp;csv!CD80&amp;"–"&amp;csv!CF80&amp;"–"&amp;csv!CH80&amp;"–"&amp;csv!CJ80&amp;"–"&amp;csv!CL80&amp;"–"&amp;csv!CN80&amp;"–"&amp;csv!CP80&amp;"–"&amp;csv!CR80&amp;"–"&amp;csv!CT80&amp;"–"&amp;csv!CV80&amp;"–"&amp;csv!CX79&amp;"–"&amp;csv!CZ79)</f>
        <v>61–64–39–63–67–34–38–100–––––––––––––––––––––</v>
      </c>
      <c r="F85" t="s">
        <v>0</v>
      </c>
      <c r="O85" s="1" t="str">
        <f t="shared" si="24"/>
        <v/>
      </c>
      <c r="X85" t="s">
        <v>0</v>
      </c>
    </row>
    <row r="86" spans="1:24" x14ac:dyDescent="0.25">
      <c r="A86" t="s">
        <v>0</v>
      </c>
      <c r="B86" s="52" t="str">
        <f>IF(csv!F81="","",csv!T81)</f>
        <v>M21B</v>
      </c>
      <c r="C86" s="31" t="str">
        <f>IF(csv!F81="","",csv!AO81)</f>
        <v>M21B</v>
      </c>
      <c r="D86" s="31" t="str">
        <f>IF(csv!F81="","",csv!AP81&amp;"–"&amp;csv!AQ81&amp;"–"&amp;csv!AR81)</f>
        <v>3.91–125–8</v>
      </c>
      <c r="E86" s="66" t="str">
        <f>IF(csv!AV81&amp;csv!AX81&amp;csv!AZ81&amp;csv!BB81&amp;csv!BD81="","",csv!AV81&amp;"–"&amp;csv!AX81&amp;"–"&amp;csv!AZ81&amp;"–"&amp;csv!BB81&amp;"–"&amp;csv!BD81&amp;"–"&amp;csv!BF81&amp;"–"&amp;csv!BH81&amp;"–"&amp;csv!BJ81&amp;"–"&amp;csv!BL81&amp;"–"&amp;csv!BN81&amp;"–"&amp;csv!BP81&amp;"–"&amp;csv!BR81&amp;"–"&amp;csv!BT81&amp;"–"&amp;csv!BV81&amp;"–"&amp;csv!BX81&amp;"–"&amp;csv!BZ81&amp;"–"&amp;csv!CB81&amp;"–"&amp;csv!CD81&amp;"–"&amp;csv!CF81&amp;"–"&amp;csv!CH81&amp;"–"&amp;csv!CJ81&amp;"–"&amp;csv!CL81&amp;"–"&amp;csv!CN81&amp;"–"&amp;csv!CP81&amp;"–"&amp;csv!CR81&amp;"–"&amp;csv!CT81&amp;"–"&amp;csv!CV81&amp;"–"&amp;csv!CX80&amp;"–"&amp;csv!CZ80)</f>
        <v>61–64–39–63–67–34–38–100–––––––––––––––––––––</v>
      </c>
      <c r="F86" t="s">
        <v>0</v>
      </c>
      <c r="O86" s="1" t="str">
        <f t="shared" si="24"/>
        <v/>
      </c>
      <c r="X86" t="s">
        <v>0</v>
      </c>
    </row>
    <row r="87" spans="1:24" x14ac:dyDescent="0.25">
      <c r="A87" t="s">
        <v>0</v>
      </c>
      <c r="B87" s="52" t="str">
        <f>IF(csv!F82="","",csv!T82)</f>
        <v>M21B</v>
      </c>
      <c r="C87" s="31" t="str">
        <f>IF(csv!F82="","",csv!AO82)</f>
        <v>M21B</v>
      </c>
      <c r="D87" s="31" t="str">
        <f>IF(csv!F82="","",csv!AP82&amp;"–"&amp;csv!AQ82&amp;"–"&amp;csv!AR82)</f>
        <v>3.91–125–8</v>
      </c>
      <c r="E87" s="66" t="str">
        <f>IF(csv!AV82&amp;csv!AX82&amp;csv!AZ82&amp;csv!BB82&amp;csv!BD82="","",csv!AV82&amp;"–"&amp;csv!AX82&amp;"–"&amp;csv!AZ82&amp;"–"&amp;csv!BB82&amp;"–"&amp;csv!BD82&amp;"–"&amp;csv!BF82&amp;"–"&amp;csv!BH82&amp;"–"&amp;csv!BJ82&amp;"–"&amp;csv!BL82&amp;"–"&amp;csv!BN82&amp;"–"&amp;csv!BP82&amp;"–"&amp;csv!BR82&amp;"–"&amp;csv!BT82&amp;"–"&amp;csv!BV82&amp;"–"&amp;csv!BX82&amp;"–"&amp;csv!BZ82&amp;"–"&amp;csv!CB82&amp;"–"&amp;csv!CD82&amp;"–"&amp;csv!CF82&amp;"–"&amp;csv!CH82&amp;"–"&amp;csv!CJ82&amp;"–"&amp;csv!CL82&amp;"–"&amp;csv!CN82&amp;"–"&amp;csv!CP82&amp;"–"&amp;csv!CR82&amp;"–"&amp;csv!CT82&amp;"–"&amp;csv!CV82&amp;"–"&amp;csv!CX81&amp;"–"&amp;csv!CZ81)</f>
        <v>61–64–39–63–67–34–38–100–––––––––––––––––––––</v>
      </c>
      <c r="F87" t="s">
        <v>0</v>
      </c>
      <c r="O87" s="1" t="str">
        <f t="shared" si="24"/>
        <v/>
      </c>
      <c r="X87" t="s">
        <v>0</v>
      </c>
    </row>
    <row r="88" spans="1:24" x14ac:dyDescent="0.25">
      <c r="A88" t="s">
        <v>0</v>
      </c>
      <c r="B88" s="52" t="str">
        <f>IF(csv!F83="","",csv!T83)</f>
        <v>M21B</v>
      </c>
      <c r="C88" s="31" t="str">
        <f>IF(csv!F83="","",csv!AO83)</f>
        <v>M21B</v>
      </c>
      <c r="D88" s="31" t="str">
        <f>IF(csv!F83="","",csv!AP83&amp;"–"&amp;csv!AQ83&amp;"–"&amp;csv!AR83)</f>
        <v>3.91–125–8</v>
      </c>
      <c r="E88" s="66" t="str">
        <f>IF(csv!AV83&amp;csv!AX83&amp;csv!AZ83&amp;csv!BB83&amp;csv!BD83="","",csv!AV83&amp;"–"&amp;csv!AX83&amp;"–"&amp;csv!AZ83&amp;"–"&amp;csv!BB83&amp;"–"&amp;csv!BD83&amp;"–"&amp;csv!BF83&amp;"–"&amp;csv!BH83&amp;"–"&amp;csv!BJ83&amp;"–"&amp;csv!BL83&amp;"–"&amp;csv!BN83&amp;"–"&amp;csv!BP83&amp;"–"&amp;csv!BR83&amp;"–"&amp;csv!BT83&amp;"–"&amp;csv!BV83&amp;"–"&amp;csv!BX83&amp;"–"&amp;csv!BZ83&amp;"–"&amp;csv!CB83&amp;"–"&amp;csv!CD83&amp;"–"&amp;csv!CF83&amp;"–"&amp;csv!CH83&amp;"–"&amp;csv!CJ83&amp;"–"&amp;csv!CL83&amp;"–"&amp;csv!CN83&amp;"–"&amp;csv!CP83&amp;"–"&amp;csv!CR83&amp;"–"&amp;csv!CT83&amp;"–"&amp;csv!CV83&amp;"–"&amp;csv!CX82&amp;"–"&amp;csv!CZ82)</f>
        <v>61–64–39–63–67–34–38–100–––––––––––––––––––––</v>
      </c>
      <c r="F88" t="s">
        <v>0</v>
      </c>
      <c r="O88" s="1" t="str">
        <f t="shared" si="24"/>
        <v/>
      </c>
      <c r="X88" t="s">
        <v>0</v>
      </c>
    </row>
    <row r="89" spans="1:24" x14ac:dyDescent="0.25">
      <c r="A89" t="s">
        <v>0</v>
      </c>
      <c r="B89" s="52" t="str">
        <f>IF(csv!F84="","",csv!T84)</f>
        <v>M21B</v>
      </c>
      <c r="C89" s="31" t="str">
        <f>IF(csv!F84="","",csv!AO84)</f>
        <v>M21B</v>
      </c>
      <c r="D89" s="31" t="str">
        <f>IF(csv!F84="","",csv!AP84&amp;"–"&amp;csv!AQ84&amp;"–"&amp;csv!AR84)</f>
        <v>3.91–125–8</v>
      </c>
      <c r="E89" s="66" t="str">
        <f>IF(csv!AV84&amp;csv!AX84&amp;csv!AZ84&amp;csv!BB84&amp;csv!BD84="","",csv!AV84&amp;"–"&amp;csv!AX84&amp;"–"&amp;csv!AZ84&amp;"–"&amp;csv!BB84&amp;"–"&amp;csv!BD84&amp;"–"&amp;csv!BF84&amp;"–"&amp;csv!BH84&amp;"–"&amp;csv!BJ84&amp;"–"&amp;csv!BL84&amp;"–"&amp;csv!BN84&amp;"–"&amp;csv!BP84&amp;"–"&amp;csv!BR84&amp;"–"&amp;csv!BT84&amp;"–"&amp;csv!BV84&amp;"–"&amp;csv!BX84&amp;"–"&amp;csv!BZ84&amp;"–"&amp;csv!CB84&amp;"–"&amp;csv!CD84&amp;"–"&amp;csv!CF84&amp;"–"&amp;csv!CH84&amp;"–"&amp;csv!CJ84&amp;"–"&amp;csv!CL84&amp;"–"&amp;csv!CN84&amp;"–"&amp;csv!CP84&amp;"–"&amp;csv!CR84&amp;"–"&amp;csv!CT84&amp;"–"&amp;csv!CV84&amp;"–"&amp;csv!CX83&amp;"–"&amp;csv!CZ83)</f>
        <v>61–64–39–63–67–34–38–100–––––––––––––––––––––</v>
      </c>
      <c r="F89" t="s">
        <v>0</v>
      </c>
      <c r="O89" s="1" t="str">
        <f t="shared" si="24"/>
        <v/>
      </c>
      <c r="X89" t="s">
        <v>0</v>
      </c>
    </row>
    <row r="90" spans="1:24" x14ac:dyDescent="0.25">
      <c r="A90" t="s">
        <v>0</v>
      </c>
      <c r="B90" s="52" t="str">
        <f>IF(csv!F85="","",csv!T85)</f>
        <v>M21B</v>
      </c>
      <c r="C90" s="31" t="str">
        <f>IF(csv!F85="","",csv!AO85)</f>
        <v>M21B</v>
      </c>
      <c r="D90" s="31" t="str">
        <f>IF(csv!F85="","",csv!AP85&amp;"–"&amp;csv!AQ85&amp;"–"&amp;csv!AR85)</f>
        <v>3.91–125–8</v>
      </c>
      <c r="E90" s="66" t="str">
        <f>IF(csv!AV85&amp;csv!AX85&amp;csv!AZ85&amp;csv!BB85&amp;csv!BD85="","",csv!AV85&amp;"–"&amp;csv!AX85&amp;"–"&amp;csv!AZ85&amp;"–"&amp;csv!BB85&amp;"–"&amp;csv!BD85&amp;"–"&amp;csv!BF85&amp;"–"&amp;csv!BH85&amp;"–"&amp;csv!BJ85&amp;"–"&amp;csv!BL85&amp;"–"&amp;csv!BN85&amp;"–"&amp;csv!BP85&amp;"–"&amp;csv!BR85&amp;"–"&amp;csv!BT85&amp;"–"&amp;csv!BV85&amp;"–"&amp;csv!BX85&amp;"–"&amp;csv!BZ85&amp;"–"&amp;csv!CB85&amp;"–"&amp;csv!CD85&amp;"–"&amp;csv!CF85&amp;"–"&amp;csv!CH85&amp;"–"&amp;csv!CJ85&amp;"–"&amp;csv!CL85&amp;"–"&amp;csv!CN85&amp;"–"&amp;csv!CP85&amp;"–"&amp;csv!CR85&amp;"–"&amp;csv!CT85&amp;"–"&amp;csv!CV85&amp;"–"&amp;csv!CX84&amp;"–"&amp;csv!CZ84)</f>
        <v>61–64–39–63–67–34–38–100–––––––––––––––––––––</v>
      </c>
      <c r="F90" t="s">
        <v>0</v>
      </c>
      <c r="O90" s="1" t="str">
        <f t="shared" si="24"/>
        <v/>
      </c>
      <c r="X90" t="s">
        <v>0</v>
      </c>
    </row>
    <row r="91" spans="1:24" x14ac:dyDescent="0.25">
      <c r="A91" t="s">
        <v>0</v>
      </c>
      <c r="B91" s="52" t="str">
        <f>IF(csv!F86="","",csv!T86)</f>
        <v>M21B</v>
      </c>
      <c r="C91" s="31" t="str">
        <f>IF(csv!F86="","",csv!AO86)</f>
        <v>M21B</v>
      </c>
      <c r="D91" s="31" t="str">
        <f>IF(csv!F86="","",csv!AP86&amp;"–"&amp;csv!AQ86&amp;"–"&amp;csv!AR86)</f>
        <v>3.91–125–8</v>
      </c>
      <c r="E91" s="66" t="str">
        <f>IF(csv!AV86&amp;csv!AX86&amp;csv!AZ86&amp;csv!BB86&amp;csv!BD86="","",csv!AV86&amp;"–"&amp;csv!AX86&amp;"–"&amp;csv!AZ86&amp;"–"&amp;csv!BB86&amp;"–"&amp;csv!BD86&amp;"–"&amp;csv!BF86&amp;"–"&amp;csv!BH86&amp;"–"&amp;csv!BJ86&amp;"–"&amp;csv!BL86&amp;"–"&amp;csv!BN86&amp;"–"&amp;csv!BP86&amp;"–"&amp;csv!BR86&amp;"–"&amp;csv!BT86&amp;"–"&amp;csv!BV86&amp;"–"&amp;csv!BX86&amp;"–"&amp;csv!BZ86&amp;"–"&amp;csv!CB86&amp;"–"&amp;csv!CD86&amp;"–"&amp;csv!CF86&amp;"–"&amp;csv!CH86&amp;"–"&amp;csv!CJ86&amp;"–"&amp;csv!CL86&amp;"–"&amp;csv!CN86&amp;"–"&amp;csv!CP86&amp;"–"&amp;csv!CR86&amp;"–"&amp;csv!CT86&amp;"–"&amp;csv!CV86&amp;"–"&amp;csv!CX85&amp;"–"&amp;csv!CZ85)</f>
        <v>61–64–39–63–67–34–38–100–––––––––––––––––––––</v>
      </c>
      <c r="F91" t="s">
        <v>0</v>
      </c>
      <c r="O91" s="1" t="str">
        <f t="shared" si="24"/>
        <v/>
      </c>
      <c r="X91" t="s">
        <v>0</v>
      </c>
    </row>
    <row r="92" spans="1:24" x14ac:dyDescent="0.25">
      <c r="A92" t="s">
        <v>0</v>
      </c>
      <c r="B92" s="52" t="str">
        <f>IF(csv!F87="","",csv!T87)</f>
        <v>M21B</v>
      </c>
      <c r="C92" s="31" t="str">
        <f>IF(csv!F87="","",csv!AO87)</f>
        <v>M21B</v>
      </c>
      <c r="D92" s="31" t="str">
        <f>IF(csv!F87="","",csv!AP87&amp;"–"&amp;csv!AQ87&amp;"–"&amp;csv!AR87)</f>
        <v>3.91–125–8</v>
      </c>
      <c r="E92" s="66" t="str">
        <f>IF(csv!AV87&amp;csv!AX87&amp;csv!AZ87&amp;csv!BB87&amp;csv!BD87="","",csv!AV87&amp;"–"&amp;csv!AX87&amp;"–"&amp;csv!AZ87&amp;"–"&amp;csv!BB87&amp;"–"&amp;csv!BD87&amp;"–"&amp;csv!BF87&amp;"–"&amp;csv!BH87&amp;"–"&amp;csv!BJ87&amp;"–"&amp;csv!BL87&amp;"–"&amp;csv!BN87&amp;"–"&amp;csv!BP87&amp;"–"&amp;csv!BR87&amp;"–"&amp;csv!BT87&amp;"–"&amp;csv!BV87&amp;"–"&amp;csv!BX87&amp;"–"&amp;csv!BZ87&amp;"–"&amp;csv!CB87&amp;"–"&amp;csv!CD87&amp;"–"&amp;csv!CF87&amp;"–"&amp;csv!CH87&amp;"–"&amp;csv!CJ87&amp;"–"&amp;csv!CL87&amp;"–"&amp;csv!CN87&amp;"–"&amp;csv!CP87&amp;"–"&amp;csv!CR87&amp;"–"&amp;csv!CT87&amp;"–"&amp;csv!CV87&amp;"–"&amp;csv!CX86&amp;"–"&amp;csv!CZ86)</f>
        <v>61–64–39–63–67–34–38–100–––––––––––––––––––––</v>
      </c>
      <c r="F92" t="s">
        <v>0</v>
      </c>
      <c r="O92" s="1" t="str">
        <f t="shared" si="24"/>
        <v/>
      </c>
      <c r="X92" t="s">
        <v>0</v>
      </c>
    </row>
    <row r="93" spans="1:24" x14ac:dyDescent="0.25">
      <c r="A93" t="s">
        <v>0</v>
      </c>
      <c r="B93" s="52" t="str">
        <f>IF(csv!F88="","",csv!T88)</f>
        <v>M21B</v>
      </c>
      <c r="C93" s="31" t="str">
        <f>IF(csv!F88="","",csv!AO88)</f>
        <v>M21B</v>
      </c>
      <c r="D93" s="31" t="str">
        <f>IF(csv!F88="","",csv!AP88&amp;"–"&amp;csv!AQ88&amp;"–"&amp;csv!AR88)</f>
        <v>3.91–125–8</v>
      </c>
      <c r="E93" s="66" t="str">
        <f>IF(csv!AV88&amp;csv!AX88&amp;csv!AZ88&amp;csv!BB88&amp;csv!BD88="","",csv!AV88&amp;"–"&amp;csv!AX88&amp;"–"&amp;csv!AZ88&amp;"–"&amp;csv!BB88&amp;"–"&amp;csv!BD88&amp;"–"&amp;csv!BF88&amp;"–"&amp;csv!BH88&amp;"–"&amp;csv!BJ88&amp;"–"&amp;csv!BL88&amp;"–"&amp;csv!BN88&amp;"–"&amp;csv!BP88&amp;"–"&amp;csv!BR88&amp;"–"&amp;csv!BT88&amp;"–"&amp;csv!BV88&amp;"–"&amp;csv!BX88&amp;"–"&amp;csv!BZ88&amp;"–"&amp;csv!CB88&amp;"–"&amp;csv!CD88&amp;"–"&amp;csv!CF88&amp;"–"&amp;csv!CH88&amp;"–"&amp;csv!CJ88&amp;"–"&amp;csv!CL88&amp;"–"&amp;csv!CN88&amp;"–"&amp;csv!CP88&amp;"–"&amp;csv!CR88&amp;"–"&amp;csv!CT88&amp;"–"&amp;csv!CV88&amp;"–"&amp;csv!CX87&amp;"–"&amp;csv!CZ87)</f>
        <v>61–64–39–63–67–34–38–100–––––––––––––––––––––</v>
      </c>
      <c r="F93" t="s">
        <v>0</v>
      </c>
      <c r="O93" s="1" t="str">
        <f t="shared" si="24"/>
        <v/>
      </c>
      <c r="X93" t="s">
        <v>0</v>
      </c>
    </row>
    <row r="94" spans="1:24" x14ac:dyDescent="0.25">
      <c r="A94" t="s">
        <v>0</v>
      </c>
      <c r="B94" s="52" t="str">
        <f>IF(csv!F89="","",csv!T89)</f>
        <v>M21B</v>
      </c>
      <c r="C94" s="31" t="str">
        <f>IF(csv!F89="","",csv!AO89)</f>
        <v>M21B</v>
      </c>
      <c r="D94" s="31" t="str">
        <f>IF(csv!F89="","",csv!AP89&amp;"–"&amp;csv!AQ89&amp;"–"&amp;csv!AR89)</f>
        <v>3.91–125–8</v>
      </c>
      <c r="E94" s="66" t="str">
        <f>IF(csv!AV89&amp;csv!AX89&amp;csv!AZ89&amp;csv!BB89&amp;csv!BD89="","",csv!AV89&amp;"–"&amp;csv!AX89&amp;"–"&amp;csv!AZ89&amp;"–"&amp;csv!BB89&amp;"–"&amp;csv!BD89&amp;"–"&amp;csv!BF89&amp;"–"&amp;csv!BH89&amp;"–"&amp;csv!BJ89&amp;"–"&amp;csv!BL89&amp;"–"&amp;csv!BN89&amp;"–"&amp;csv!BP89&amp;"–"&amp;csv!BR89&amp;"–"&amp;csv!BT89&amp;"–"&amp;csv!BV89&amp;"–"&amp;csv!BX89&amp;"–"&amp;csv!BZ89&amp;"–"&amp;csv!CB89&amp;"–"&amp;csv!CD89&amp;"–"&amp;csv!CF89&amp;"–"&amp;csv!CH89&amp;"–"&amp;csv!CJ89&amp;"–"&amp;csv!CL89&amp;"–"&amp;csv!CN89&amp;"–"&amp;csv!CP89&amp;"–"&amp;csv!CR89&amp;"–"&amp;csv!CT89&amp;"–"&amp;csv!CV89&amp;"–"&amp;csv!CX88&amp;"–"&amp;csv!CZ88)</f>
        <v>61–64–39–63–67–34–38–100–––––––––––––––––––––</v>
      </c>
      <c r="F94" t="s">
        <v>0</v>
      </c>
      <c r="O94" s="1" t="str">
        <f t="shared" si="24"/>
        <v/>
      </c>
      <c r="X94" t="s">
        <v>0</v>
      </c>
    </row>
    <row r="95" spans="1:24" x14ac:dyDescent="0.25">
      <c r="A95" t="s">
        <v>0</v>
      </c>
      <c r="B95" s="52" t="str">
        <f>IF(csv!F90="","",csv!T90)</f>
        <v>M21B</v>
      </c>
      <c r="C95" s="31" t="str">
        <f>IF(csv!F90="","",csv!AO90)</f>
        <v>M21B</v>
      </c>
      <c r="D95" s="31" t="str">
        <f>IF(csv!F90="","",csv!AP90&amp;"–"&amp;csv!AQ90&amp;"–"&amp;csv!AR90)</f>
        <v>3.91–125–8</v>
      </c>
      <c r="E95" s="66" t="str">
        <f>IF(csv!AV90&amp;csv!AX90&amp;csv!AZ90&amp;csv!BB90&amp;csv!BD90="","",csv!AV90&amp;"–"&amp;csv!AX90&amp;"–"&amp;csv!AZ90&amp;"–"&amp;csv!BB90&amp;"–"&amp;csv!BD90&amp;"–"&amp;csv!BF90&amp;"–"&amp;csv!BH90&amp;"–"&amp;csv!BJ90&amp;"–"&amp;csv!BL90&amp;"–"&amp;csv!BN90&amp;"–"&amp;csv!BP90&amp;"–"&amp;csv!BR90&amp;"–"&amp;csv!BT90&amp;"–"&amp;csv!BV90&amp;"–"&amp;csv!BX90&amp;"–"&amp;csv!BZ90&amp;"–"&amp;csv!CB90&amp;"–"&amp;csv!CD90&amp;"–"&amp;csv!CF90&amp;"–"&amp;csv!CH90&amp;"–"&amp;csv!CJ90&amp;"–"&amp;csv!CL90&amp;"–"&amp;csv!CN90&amp;"–"&amp;csv!CP90&amp;"–"&amp;csv!CR90&amp;"–"&amp;csv!CT90&amp;"–"&amp;csv!CV90&amp;"–"&amp;csv!CX89&amp;"–"&amp;csv!CZ89)</f>
        <v/>
      </c>
      <c r="F95" t="s">
        <v>0</v>
      </c>
      <c r="O95" s="1" t="str">
        <f t="shared" si="24"/>
        <v/>
      </c>
      <c r="X95" t="s">
        <v>0</v>
      </c>
    </row>
    <row r="96" spans="1:24" x14ac:dyDescent="0.25">
      <c r="A96" t="s">
        <v>0</v>
      </c>
      <c r="B96" s="52" t="str">
        <f>IF(csv!F91="","",csv!T91)</f>
        <v>M21B</v>
      </c>
      <c r="C96" s="31" t="str">
        <f>IF(csv!F91="","",csv!AO91)</f>
        <v>M21B</v>
      </c>
      <c r="D96" s="31" t="str">
        <f>IF(csv!F91="","",csv!AP91&amp;"–"&amp;csv!AQ91&amp;"–"&amp;csv!AR91)</f>
        <v>3.91–125–8</v>
      </c>
      <c r="E96" s="66" t="str">
        <f>IF(csv!AV91&amp;csv!AX91&amp;csv!AZ91&amp;csv!BB91&amp;csv!BD91="","",csv!AV91&amp;"–"&amp;csv!AX91&amp;"–"&amp;csv!AZ91&amp;"–"&amp;csv!BB91&amp;"–"&amp;csv!BD91&amp;"–"&amp;csv!BF91&amp;"–"&amp;csv!BH91&amp;"–"&amp;csv!BJ91&amp;"–"&amp;csv!BL91&amp;"–"&amp;csv!BN91&amp;"–"&amp;csv!BP91&amp;"–"&amp;csv!BR91&amp;"–"&amp;csv!BT91&amp;"–"&amp;csv!BV91&amp;"–"&amp;csv!BX91&amp;"–"&amp;csv!BZ91&amp;"–"&amp;csv!CB91&amp;"–"&amp;csv!CD91&amp;"–"&amp;csv!CF91&amp;"–"&amp;csv!CH91&amp;"–"&amp;csv!CJ91&amp;"–"&amp;csv!CL91&amp;"–"&amp;csv!CN91&amp;"–"&amp;csv!CP91&amp;"–"&amp;csv!CR91&amp;"–"&amp;csv!CT91&amp;"–"&amp;csv!CV91&amp;"–"&amp;csv!CX90&amp;"–"&amp;csv!CZ90)</f>
        <v/>
      </c>
      <c r="F96" t="s">
        <v>0</v>
      </c>
      <c r="O96" s="1" t="str">
        <f t="shared" si="24"/>
        <v/>
      </c>
      <c r="X96" t="s">
        <v>0</v>
      </c>
    </row>
    <row r="97" spans="1:24" x14ac:dyDescent="0.25">
      <c r="A97" t="s">
        <v>0</v>
      </c>
      <c r="B97" s="52" t="str">
        <f>IF(csv!F92="","",csv!T92)</f>
        <v>M21B</v>
      </c>
      <c r="C97" s="31" t="str">
        <f>IF(csv!F92="","",csv!AO92)</f>
        <v>M21B</v>
      </c>
      <c r="D97" s="31" t="str">
        <f>IF(csv!F92="","",csv!AP92&amp;"–"&amp;csv!AQ92&amp;"–"&amp;csv!AR92)</f>
        <v>3.91–125–8</v>
      </c>
      <c r="E97" s="66" t="str">
        <f>IF(csv!AV92&amp;csv!AX92&amp;csv!AZ92&amp;csv!BB92&amp;csv!BD92="","",csv!AV92&amp;"–"&amp;csv!AX92&amp;"–"&amp;csv!AZ92&amp;"–"&amp;csv!BB92&amp;"–"&amp;csv!BD92&amp;"–"&amp;csv!BF92&amp;"–"&amp;csv!BH92&amp;"–"&amp;csv!BJ92&amp;"–"&amp;csv!BL92&amp;"–"&amp;csv!BN92&amp;"–"&amp;csv!BP92&amp;"–"&amp;csv!BR92&amp;"–"&amp;csv!BT92&amp;"–"&amp;csv!BV92&amp;"–"&amp;csv!BX92&amp;"–"&amp;csv!BZ92&amp;"–"&amp;csv!CB92&amp;"–"&amp;csv!CD92&amp;"–"&amp;csv!CF92&amp;"–"&amp;csv!CH92&amp;"–"&amp;csv!CJ92&amp;"–"&amp;csv!CL92&amp;"–"&amp;csv!CN92&amp;"–"&amp;csv!CP92&amp;"–"&amp;csv!CR92&amp;"–"&amp;csv!CT92&amp;"–"&amp;csv!CV92&amp;"–"&amp;csv!CX91&amp;"–"&amp;csv!CZ91)</f>
        <v/>
      </c>
      <c r="F97" t="s">
        <v>0</v>
      </c>
      <c r="O97" s="1" t="str">
        <f t="shared" si="24"/>
        <v/>
      </c>
      <c r="X97" t="s">
        <v>0</v>
      </c>
    </row>
    <row r="98" spans="1:24" x14ac:dyDescent="0.25">
      <c r="A98" t="s">
        <v>0</v>
      </c>
      <c r="B98" s="52" t="str">
        <f>IF(csv!F93="","",csv!T93)</f>
        <v>M21B</v>
      </c>
      <c r="C98" s="31" t="str">
        <f>IF(csv!F93="","",csv!AO93)</f>
        <v>M21B</v>
      </c>
      <c r="D98" s="31" t="str">
        <f>IF(csv!F93="","",csv!AP93&amp;"–"&amp;csv!AQ93&amp;"–"&amp;csv!AR93)</f>
        <v>3.91–125–8</v>
      </c>
      <c r="E98" s="66" t="str">
        <f>IF(csv!AV93&amp;csv!AX93&amp;csv!AZ93&amp;csv!BB93&amp;csv!BD93="","",csv!AV93&amp;"–"&amp;csv!AX93&amp;"–"&amp;csv!AZ93&amp;"–"&amp;csv!BB93&amp;"–"&amp;csv!BD93&amp;"–"&amp;csv!BF93&amp;"–"&amp;csv!BH93&amp;"–"&amp;csv!BJ93&amp;"–"&amp;csv!BL93&amp;"–"&amp;csv!BN93&amp;"–"&amp;csv!BP93&amp;"–"&amp;csv!BR93&amp;"–"&amp;csv!BT93&amp;"–"&amp;csv!BV93&amp;"–"&amp;csv!BX93&amp;"–"&amp;csv!BZ93&amp;"–"&amp;csv!CB93&amp;"–"&amp;csv!CD93&amp;"–"&amp;csv!CF93&amp;"–"&amp;csv!CH93&amp;"–"&amp;csv!CJ93&amp;"–"&amp;csv!CL93&amp;"–"&amp;csv!CN93&amp;"–"&amp;csv!CP93&amp;"–"&amp;csv!CR93&amp;"–"&amp;csv!CT93&amp;"–"&amp;csv!CV93&amp;"–"&amp;csv!CX92&amp;"–"&amp;csv!CZ92)</f>
        <v/>
      </c>
      <c r="F98" t="s">
        <v>0</v>
      </c>
      <c r="O98" s="1" t="str">
        <f t="shared" si="24"/>
        <v/>
      </c>
      <c r="X98" t="s">
        <v>0</v>
      </c>
    </row>
    <row r="99" spans="1:24" x14ac:dyDescent="0.25">
      <c r="A99" t="s">
        <v>0</v>
      </c>
      <c r="B99" s="52" t="str">
        <f>IF(csv!F94="","",csv!T94)</f>
        <v>M21B</v>
      </c>
      <c r="C99" s="31" t="str">
        <f>IF(csv!F94="","",csv!AO94)</f>
        <v>M21B</v>
      </c>
      <c r="D99" s="31" t="str">
        <f>IF(csv!F94="","",csv!AP94&amp;"–"&amp;csv!AQ94&amp;"–"&amp;csv!AR94)</f>
        <v>3.91–125–8</v>
      </c>
      <c r="E99" s="66" t="str">
        <f>IF(csv!AV94&amp;csv!AX94&amp;csv!AZ94&amp;csv!BB94&amp;csv!BD94="","",csv!AV94&amp;"–"&amp;csv!AX94&amp;"–"&amp;csv!AZ94&amp;"–"&amp;csv!BB94&amp;"–"&amp;csv!BD94&amp;"–"&amp;csv!BF94&amp;"–"&amp;csv!BH94&amp;"–"&amp;csv!BJ94&amp;"–"&amp;csv!BL94&amp;"–"&amp;csv!BN94&amp;"–"&amp;csv!BP94&amp;"–"&amp;csv!BR94&amp;"–"&amp;csv!BT94&amp;"–"&amp;csv!BV94&amp;"–"&amp;csv!BX94&amp;"–"&amp;csv!BZ94&amp;"–"&amp;csv!CB94&amp;"–"&amp;csv!CD94&amp;"–"&amp;csv!CF94&amp;"–"&amp;csv!CH94&amp;"–"&amp;csv!CJ94&amp;"–"&amp;csv!CL94&amp;"–"&amp;csv!CN94&amp;"–"&amp;csv!CP94&amp;"–"&amp;csv!CR94&amp;"–"&amp;csv!CT94&amp;"–"&amp;csv!CV94&amp;"–"&amp;csv!CX93&amp;"–"&amp;csv!CZ93)</f>
        <v/>
      </c>
      <c r="F99" t="s">
        <v>0</v>
      </c>
      <c r="O99" s="1" t="str">
        <f t="shared" si="24"/>
        <v/>
      </c>
      <c r="X99" t="s">
        <v>0</v>
      </c>
    </row>
    <row r="100" spans="1:24" x14ac:dyDescent="0.25">
      <c r="A100" t="s">
        <v>0</v>
      </c>
      <c r="B100" s="52" t="str">
        <f>IF(csv!F95="","",csv!T95)</f>
        <v>M21B</v>
      </c>
      <c r="C100" s="31" t="str">
        <f>IF(csv!F95="","",csv!AO95)</f>
        <v>M21B</v>
      </c>
      <c r="D100" s="31" t="str">
        <f>IF(csv!F95="","",csv!AP95&amp;"–"&amp;csv!AQ95&amp;"–"&amp;csv!AR95)</f>
        <v>3.91–125–8</v>
      </c>
      <c r="E100" s="66" t="str">
        <f>IF(csv!AV95&amp;csv!AX95&amp;csv!AZ95&amp;csv!BB95&amp;csv!BD95="","",csv!AV95&amp;"–"&amp;csv!AX95&amp;"–"&amp;csv!AZ95&amp;"–"&amp;csv!BB95&amp;"–"&amp;csv!BD95&amp;"–"&amp;csv!BF95&amp;"–"&amp;csv!BH95&amp;"–"&amp;csv!BJ95&amp;"–"&amp;csv!BL95&amp;"–"&amp;csv!BN95&amp;"–"&amp;csv!BP95&amp;"–"&amp;csv!BR95&amp;"–"&amp;csv!BT95&amp;"–"&amp;csv!BV95&amp;"–"&amp;csv!BX95&amp;"–"&amp;csv!BZ95&amp;"–"&amp;csv!CB95&amp;"–"&amp;csv!CD95&amp;"–"&amp;csv!CF95&amp;"–"&amp;csv!CH95&amp;"–"&amp;csv!CJ95&amp;"–"&amp;csv!CL95&amp;"–"&amp;csv!CN95&amp;"–"&amp;csv!CP95&amp;"–"&amp;csv!CR95&amp;"–"&amp;csv!CT95&amp;"–"&amp;csv!CV95&amp;"–"&amp;csv!CX94&amp;"–"&amp;csv!CZ94)</f>
        <v/>
      </c>
      <c r="F100" t="s">
        <v>0</v>
      </c>
      <c r="O100" s="1" t="str">
        <f t="shared" si="24"/>
        <v/>
      </c>
      <c r="X100" t="s">
        <v>0</v>
      </c>
    </row>
    <row r="101" spans="1:24" x14ac:dyDescent="0.25">
      <c r="A101" t="s">
        <v>0</v>
      </c>
      <c r="B101" s="52" t="str">
        <f>IF(csv!F96="","",csv!T96)</f>
        <v>M21B</v>
      </c>
      <c r="C101" s="31" t="str">
        <f>IF(csv!F96="","",csv!AO96)</f>
        <v>M21B</v>
      </c>
      <c r="D101" s="31" t="str">
        <f>IF(csv!F96="","",csv!AP96&amp;"–"&amp;csv!AQ96&amp;"–"&amp;csv!AR96)</f>
        <v>3.91–125–8</v>
      </c>
      <c r="E101" s="66" t="str">
        <f>IF(csv!AV96&amp;csv!AX96&amp;csv!AZ96&amp;csv!BB96&amp;csv!BD96="","",csv!AV96&amp;"–"&amp;csv!AX96&amp;"–"&amp;csv!AZ96&amp;"–"&amp;csv!BB96&amp;"–"&amp;csv!BD96&amp;"–"&amp;csv!BF96&amp;"–"&amp;csv!BH96&amp;"–"&amp;csv!BJ96&amp;"–"&amp;csv!BL96&amp;"–"&amp;csv!BN96&amp;"–"&amp;csv!BP96&amp;"–"&amp;csv!BR96&amp;"–"&amp;csv!BT96&amp;"–"&amp;csv!BV96&amp;"–"&amp;csv!BX96&amp;"–"&amp;csv!BZ96&amp;"–"&amp;csv!CB96&amp;"–"&amp;csv!CD96&amp;"–"&amp;csv!CF96&amp;"–"&amp;csv!CH96&amp;"–"&amp;csv!CJ96&amp;"–"&amp;csv!CL96&amp;"–"&amp;csv!CN96&amp;"–"&amp;csv!CP96&amp;"–"&amp;csv!CR96&amp;"–"&amp;csv!CT96&amp;"–"&amp;csv!CV96&amp;"–"&amp;csv!CX95&amp;"–"&amp;csv!CZ95)</f>
        <v/>
      </c>
      <c r="F101" t="s">
        <v>0</v>
      </c>
      <c r="O101" s="1" t="str">
        <f t="shared" si="24"/>
        <v/>
      </c>
      <c r="X101" t="s">
        <v>0</v>
      </c>
    </row>
    <row r="102" spans="1:24" x14ac:dyDescent="0.25">
      <c r="A102" t="s">
        <v>0</v>
      </c>
      <c r="B102" s="52" t="str">
        <f>IF(csv!F97="","",csv!T97)</f>
        <v>M21B</v>
      </c>
      <c r="C102" s="31" t="str">
        <f>IF(csv!F97="","",csv!AO97)</f>
        <v>M21B</v>
      </c>
      <c r="D102" s="31" t="str">
        <f>IF(csv!F97="","",csv!AP97&amp;"–"&amp;csv!AQ97&amp;"–"&amp;csv!AR97)</f>
        <v>3.91–125–8</v>
      </c>
      <c r="E102" s="66" t="str">
        <f>IF(csv!AV97&amp;csv!AX97&amp;csv!AZ97&amp;csv!BB97&amp;csv!BD97="","",csv!AV97&amp;"–"&amp;csv!AX97&amp;"–"&amp;csv!AZ97&amp;"–"&amp;csv!BB97&amp;"–"&amp;csv!BD97&amp;"–"&amp;csv!BF97&amp;"–"&amp;csv!BH97&amp;"–"&amp;csv!BJ97&amp;"–"&amp;csv!BL97&amp;"–"&amp;csv!BN97&amp;"–"&amp;csv!BP97&amp;"–"&amp;csv!BR97&amp;"–"&amp;csv!BT97&amp;"–"&amp;csv!BV97&amp;"–"&amp;csv!BX97&amp;"–"&amp;csv!BZ97&amp;"–"&amp;csv!CB97&amp;"–"&amp;csv!CD97&amp;"–"&amp;csv!CF97&amp;"–"&amp;csv!CH97&amp;"–"&amp;csv!CJ97&amp;"–"&amp;csv!CL97&amp;"–"&amp;csv!CN97&amp;"–"&amp;csv!CP97&amp;"–"&amp;csv!CR97&amp;"–"&amp;csv!CT97&amp;"–"&amp;csv!CV97&amp;"–"&amp;csv!CX96&amp;"–"&amp;csv!CZ96)</f>
        <v/>
      </c>
      <c r="F102" t="s">
        <v>0</v>
      </c>
      <c r="O102" s="1" t="str">
        <f t="shared" si="24"/>
        <v/>
      </c>
      <c r="X102" t="s">
        <v>0</v>
      </c>
    </row>
    <row r="103" spans="1:24" x14ac:dyDescent="0.25">
      <c r="A103" t="s">
        <v>0</v>
      </c>
      <c r="B103" s="52" t="str">
        <f>IF(csv!F98="","",csv!T98)</f>
        <v>M21B</v>
      </c>
      <c r="C103" s="31" t="str">
        <f>IF(csv!F98="","",csv!AO98)</f>
        <v>M21B</v>
      </c>
      <c r="D103" s="31" t="str">
        <f>IF(csv!F98="","",csv!AP98&amp;"–"&amp;csv!AQ98&amp;"–"&amp;csv!AR98)</f>
        <v>3.91–125–8</v>
      </c>
      <c r="E103" s="66" t="str">
        <f>IF(csv!AV98&amp;csv!AX98&amp;csv!AZ98&amp;csv!BB98&amp;csv!BD98="","",csv!AV98&amp;"–"&amp;csv!AX98&amp;"–"&amp;csv!AZ98&amp;"–"&amp;csv!BB98&amp;"–"&amp;csv!BD98&amp;"–"&amp;csv!BF98&amp;"–"&amp;csv!BH98&amp;"–"&amp;csv!BJ98&amp;"–"&amp;csv!BL98&amp;"–"&amp;csv!BN98&amp;"–"&amp;csv!BP98&amp;"–"&amp;csv!BR98&amp;"–"&amp;csv!BT98&amp;"–"&amp;csv!BV98&amp;"–"&amp;csv!BX98&amp;"–"&amp;csv!BZ98&amp;"–"&amp;csv!CB98&amp;"–"&amp;csv!CD98&amp;"–"&amp;csv!CF98&amp;"–"&amp;csv!CH98&amp;"–"&amp;csv!CJ98&amp;"–"&amp;csv!CL98&amp;"–"&amp;csv!CN98&amp;"–"&amp;csv!CP98&amp;"–"&amp;csv!CR98&amp;"–"&amp;csv!CT98&amp;"–"&amp;csv!CV98&amp;"–"&amp;csv!CX97&amp;"–"&amp;csv!CZ97)</f>
        <v/>
      </c>
      <c r="F103" t="s">
        <v>0</v>
      </c>
      <c r="O103" s="1" t="str">
        <f t="shared" si="24"/>
        <v/>
      </c>
      <c r="X103" t="s">
        <v>0</v>
      </c>
    </row>
    <row r="104" spans="1:24" x14ac:dyDescent="0.25">
      <c r="A104" t="s">
        <v>0</v>
      </c>
      <c r="B104" s="52" t="str">
        <f>IF(csv!F99="","",csv!T99)</f>
        <v>M35</v>
      </c>
      <c r="C104" s="31" t="str">
        <f>IF(csv!F99="","",csv!AO99)</f>
        <v>M35</v>
      </c>
      <c r="D104" s="31" t="str">
        <f>IF(csv!F99="","",csv!AP99&amp;"–"&amp;csv!AQ99&amp;"–"&amp;csv!AR99)</f>
        <v>6.38–325–13</v>
      </c>
      <c r="E104" s="66" t="str">
        <f>IF(csv!AV99&amp;csv!AX99&amp;csv!AZ99&amp;csv!BB99&amp;csv!BD99="","",csv!AV99&amp;"–"&amp;csv!AX99&amp;"–"&amp;csv!AZ99&amp;"–"&amp;csv!BB99&amp;"–"&amp;csv!BD99&amp;"–"&amp;csv!BF99&amp;"–"&amp;csv!BH99&amp;"–"&amp;csv!BJ99&amp;"–"&amp;csv!BL99&amp;"–"&amp;csv!BN99&amp;"–"&amp;csv!BP99&amp;"–"&amp;csv!BR99&amp;"–"&amp;csv!BT99&amp;"–"&amp;csv!BV99&amp;"–"&amp;csv!BX99&amp;"–"&amp;csv!BZ99&amp;"–"&amp;csv!CB99&amp;"–"&amp;csv!CD99&amp;"–"&amp;csv!CF99&amp;"–"&amp;csv!CH99&amp;"–"&amp;csv!CJ99&amp;"–"&amp;csv!CL99&amp;"–"&amp;csv!CN99&amp;"–"&amp;csv!CP99&amp;"–"&amp;csv!CR99&amp;"–"&amp;csv!CT99&amp;"–"&amp;csv!CV99&amp;"–"&amp;csv!CX98&amp;"–"&amp;csv!CZ98)</f>
        <v>39–42–43–56–47–45–50–48–49–57–54–55–100––––––––––––––––</v>
      </c>
      <c r="F104" t="s">
        <v>0</v>
      </c>
      <c r="O104" s="1" t="str">
        <f t="shared" si="24"/>
        <v/>
      </c>
      <c r="X104" t="s">
        <v>0</v>
      </c>
    </row>
    <row r="105" spans="1:24" x14ac:dyDescent="0.25">
      <c r="A105" t="s">
        <v>0</v>
      </c>
      <c r="B105" s="52" t="str">
        <f>IF(csv!F100="","",csv!T100)</f>
        <v>M35</v>
      </c>
      <c r="C105" s="31" t="str">
        <f>IF(csv!F100="","",csv!AO100)</f>
        <v>M35</v>
      </c>
      <c r="D105" s="31" t="str">
        <f>IF(csv!F100="","",csv!AP100&amp;"–"&amp;csv!AQ100&amp;"–"&amp;csv!AR100)</f>
        <v>6.38–325–13</v>
      </c>
      <c r="E105" s="66" t="str">
        <f>IF(csv!AV100&amp;csv!AX100&amp;csv!AZ100&amp;csv!BB100&amp;csv!BD100="","",csv!AV100&amp;"–"&amp;csv!AX100&amp;"–"&amp;csv!AZ100&amp;"–"&amp;csv!BB100&amp;"–"&amp;csv!BD100&amp;"–"&amp;csv!BF100&amp;"–"&amp;csv!BH100&amp;"–"&amp;csv!BJ100&amp;"–"&amp;csv!BL100&amp;"–"&amp;csv!BN100&amp;"–"&amp;csv!BP100&amp;"–"&amp;csv!BR100&amp;"–"&amp;csv!BT100&amp;"–"&amp;csv!BV100&amp;"–"&amp;csv!BX100&amp;"–"&amp;csv!BZ100&amp;"–"&amp;csv!CB100&amp;"–"&amp;csv!CD100&amp;"–"&amp;csv!CF100&amp;"–"&amp;csv!CH100&amp;"–"&amp;csv!CJ100&amp;"–"&amp;csv!CL100&amp;"–"&amp;csv!CN100&amp;"–"&amp;csv!CP100&amp;"–"&amp;csv!CR100&amp;"–"&amp;csv!CT100&amp;"–"&amp;csv!CV100&amp;"–"&amp;csv!CX99&amp;"–"&amp;csv!CZ99)</f>
        <v>39–42–43–56–47–45–50–48–49–57–54–55–100––––––––––––––––</v>
      </c>
      <c r="F105" t="s">
        <v>0</v>
      </c>
      <c r="O105" s="1" t="str">
        <f t="shared" si="24"/>
        <v/>
      </c>
      <c r="X105" t="s">
        <v>0</v>
      </c>
    </row>
    <row r="106" spans="1:24" x14ac:dyDescent="0.25">
      <c r="A106" t="s">
        <v>0</v>
      </c>
      <c r="B106" s="52" t="str">
        <f>IF(csv!F101="","",csv!T101)</f>
        <v>M35</v>
      </c>
      <c r="C106" s="31" t="str">
        <f>IF(csv!F101="","",csv!AO101)</f>
        <v>M35</v>
      </c>
      <c r="D106" s="31" t="str">
        <f>IF(csv!F101="","",csv!AP101&amp;"–"&amp;csv!AQ101&amp;"–"&amp;csv!AR101)</f>
        <v>6.38–325–13</v>
      </c>
      <c r="E106" s="66" t="str">
        <f>IF(csv!AV101&amp;csv!AX101&amp;csv!AZ101&amp;csv!BB101&amp;csv!BD101="","",csv!AV101&amp;"–"&amp;csv!AX101&amp;"–"&amp;csv!AZ101&amp;"–"&amp;csv!BB101&amp;"–"&amp;csv!BD101&amp;"–"&amp;csv!BF101&amp;"–"&amp;csv!BH101&amp;"–"&amp;csv!BJ101&amp;"–"&amp;csv!BL101&amp;"–"&amp;csv!BN101&amp;"–"&amp;csv!BP101&amp;"–"&amp;csv!BR101&amp;"–"&amp;csv!BT101&amp;"–"&amp;csv!BV101&amp;"–"&amp;csv!BX101&amp;"–"&amp;csv!BZ101&amp;"–"&amp;csv!CB101&amp;"–"&amp;csv!CD101&amp;"–"&amp;csv!CF101&amp;"–"&amp;csv!CH101&amp;"–"&amp;csv!CJ101&amp;"–"&amp;csv!CL101&amp;"–"&amp;csv!CN101&amp;"–"&amp;csv!CP101&amp;"–"&amp;csv!CR101&amp;"–"&amp;csv!CT101&amp;"–"&amp;csv!CV101&amp;"–"&amp;csv!CX100&amp;"–"&amp;csv!CZ100)</f>
        <v>39–42–43–56–47–45–50–48–49–57–54–55–100––––––––––––––––</v>
      </c>
      <c r="F106" t="s">
        <v>0</v>
      </c>
      <c r="O106" s="1" t="str">
        <f t="shared" si="24"/>
        <v/>
      </c>
      <c r="X106" t="s">
        <v>0</v>
      </c>
    </row>
    <row r="107" spans="1:24" x14ac:dyDescent="0.25">
      <c r="A107" t="s">
        <v>0</v>
      </c>
      <c r="B107" s="52" t="str">
        <f>IF(csv!F102="","",csv!T102)</f>
        <v>M35</v>
      </c>
      <c r="C107" s="31" t="str">
        <f>IF(csv!F102="","",csv!AO102)</f>
        <v>M35</v>
      </c>
      <c r="D107" s="31" t="str">
        <f>IF(csv!F102="","",csv!AP102&amp;"–"&amp;csv!AQ102&amp;"–"&amp;csv!AR102)</f>
        <v>6.38–325–13</v>
      </c>
      <c r="E107" s="66" t="str">
        <f>IF(csv!AV102&amp;csv!AX102&amp;csv!AZ102&amp;csv!BB102&amp;csv!BD102="","",csv!AV102&amp;"–"&amp;csv!AX102&amp;"–"&amp;csv!AZ102&amp;"–"&amp;csv!BB102&amp;"–"&amp;csv!BD102&amp;"–"&amp;csv!BF102&amp;"–"&amp;csv!BH102&amp;"–"&amp;csv!BJ102&amp;"–"&amp;csv!BL102&amp;"–"&amp;csv!BN102&amp;"–"&amp;csv!BP102&amp;"–"&amp;csv!BR102&amp;"–"&amp;csv!BT102&amp;"–"&amp;csv!BV102&amp;"–"&amp;csv!BX102&amp;"–"&amp;csv!BZ102&amp;"–"&amp;csv!CB102&amp;"–"&amp;csv!CD102&amp;"–"&amp;csv!CF102&amp;"–"&amp;csv!CH102&amp;"–"&amp;csv!CJ102&amp;"–"&amp;csv!CL102&amp;"–"&amp;csv!CN102&amp;"–"&amp;csv!CP102&amp;"–"&amp;csv!CR102&amp;"–"&amp;csv!CT102&amp;"–"&amp;csv!CV102&amp;"–"&amp;csv!CX101&amp;"–"&amp;csv!CZ101)</f>
        <v>39–42–43–56–47–45–50–48–49–57–54–55–100––––––––––––––––</v>
      </c>
      <c r="F107" t="s">
        <v>0</v>
      </c>
      <c r="O107" s="1" t="str">
        <f t="shared" si="24"/>
        <v/>
      </c>
      <c r="X107" t="s">
        <v>0</v>
      </c>
    </row>
    <row r="108" spans="1:24" x14ac:dyDescent="0.25">
      <c r="A108" t="s">
        <v>0</v>
      </c>
      <c r="B108" s="52" t="str">
        <f>IF(csv!F103="","",csv!T103)</f>
        <v>M35</v>
      </c>
      <c r="C108" s="31" t="str">
        <f>IF(csv!F103="","",csv!AO103)</f>
        <v>M35</v>
      </c>
      <c r="D108" s="31" t="str">
        <f>IF(csv!F103="","",csv!AP103&amp;"–"&amp;csv!AQ103&amp;"–"&amp;csv!AR103)</f>
        <v>6.38–325–13</v>
      </c>
      <c r="E108" s="66" t="str">
        <f>IF(csv!AV103&amp;csv!AX103&amp;csv!AZ103&amp;csv!BB103&amp;csv!BD103="","",csv!AV103&amp;"–"&amp;csv!AX103&amp;"–"&amp;csv!AZ103&amp;"–"&amp;csv!BB103&amp;"–"&amp;csv!BD103&amp;"–"&amp;csv!BF103&amp;"–"&amp;csv!BH103&amp;"–"&amp;csv!BJ103&amp;"–"&amp;csv!BL103&amp;"–"&amp;csv!BN103&amp;"–"&amp;csv!BP103&amp;"–"&amp;csv!BR103&amp;"–"&amp;csv!BT103&amp;"–"&amp;csv!BV103&amp;"–"&amp;csv!BX103&amp;"–"&amp;csv!BZ103&amp;"–"&amp;csv!CB103&amp;"–"&amp;csv!CD103&amp;"–"&amp;csv!CF103&amp;"–"&amp;csv!CH103&amp;"–"&amp;csv!CJ103&amp;"–"&amp;csv!CL103&amp;"–"&amp;csv!CN103&amp;"–"&amp;csv!CP103&amp;"–"&amp;csv!CR103&amp;"–"&amp;csv!CT103&amp;"–"&amp;csv!CV103&amp;"–"&amp;csv!CX102&amp;"–"&amp;csv!CZ102)</f>
        <v>39–42–43–56–47–45–50–48–49–57–54–55–100––––––––––––––––</v>
      </c>
      <c r="F108" t="s">
        <v>0</v>
      </c>
      <c r="O108" s="1" t="str">
        <f t="shared" si="24"/>
        <v/>
      </c>
      <c r="X108" t="s">
        <v>0</v>
      </c>
    </row>
    <row r="109" spans="1:24" x14ac:dyDescent="0.25">
      <c r="A109" t="s">
        <v>0</v>
      </c>
      <c r="B109" s="52" t="str">
        <f>IF(csv!F104="","",csv!T104)</f>
        <v>M35</v>
      </c>
      <c r="C109" s="31" t="str">
        <f>IF(csv!F104="","",csv!AO104)</f>
        <v>M35</v>
      </c>
      <c r="D109" s="31" t="str">
        <f>IF(csv!F104="","",csv!AP104&amp;"–"&amp;csv!AQ104&amp;"–"&amp;csv!AR104)</f>
        <v>6.38–325–13</v>
      </c>
      <c r="E109" s="66" t="str">
        <f>IF(csv!AV104&amp;csv!AX104&amp;csv!AZ104&amp;csv!BB104&amp;csv!BD104="","",csv!AV104&amp;"–"&amp;csv!AX104&amp;"–"&amp;csv!AZ104&amp;"–"&amp;csv!BB104&amp;"–"&amp;csv!BD104&amp;"–"&amp;csv!BF104&amp;"–"&amp;csv!BH104&amp;"–"&amp;csv!BJ104&amp;"–"&amp;csv!BL104&amp;"–"&amp;csv!BN104&amp;"–"&amp;csv!BP104&amp;"–"&amp;csv!BR104&amp;"–"&amp;csv!BT104&amp;"–"&amp;csv!BV104&amp;"–"&amp;csv!BX104&amp;"–"&amp;csv!BZ104&amp;"–"&amp;csv!CB104&amp;"–"&amp;csv!CD104&amp;"–"&amp;csv!CF104&amp;"–"&amp;csv!CH104&amp;"–"&amp;csv!CJ104&amp;"–"&amp;csv!CL104&amp;"–"&amp;csv!CN104&amp;"–"&amp;csv!CP104&amp;"–"&amp;csv!CR104&amp;"–"&amp;csv!CT104&amp;"–"&amp;csv!CV104&amp;"–"&amp;csv!CX103&amp;"–"&amp;csv!CZ103)</f>
        <v>39–42–43–56–47–45–50–48–49–57–54–55–100––––––––––––––––</v>
      </c>
      <c r="F109" t="s">
        <v>0</v>
      </c>
      <c r="O109" s="1" t="str">
        <f t="shared" si="24"/>
        <v/>
      </c>
      <c r="X109" t="s">
        <v>0</v>
      </c>
    </row>
    <row r="110" spans="1:24" x14ac:dyDescent="0.25">
      <c r="A110" t="s">
        <v>0</v>
      </c>
      <c r="B110" s="52" t="str">
        <f>IF(csv!F105="","",csv!T105)</f>
        <v>M35</v>
      </c>
      <c r="C110" s="31" t="str">
        <f>IF(csv!F105="","",csv!AO105)</f>
        <v>M35</v>
      </c>
      <c r="D110" s="31" t="str">
        <f>IF(csv!F105="","",csv!AP105&amp;"–"&amp;csv!AQ105&amp;"–"&amp;csv!AR105)</f>
        <v>6.38–325–13</v>
      </c>
      <c r="E110" s="66" t="str">
        <f>IF(csv!AV105&amp;csv!AX105&amp;csv!AZ105&amp;csv!BB105&amp;csv!BD105="","",csv!AV105&amp;"–"&amp;csv!AX105&amp;"–"&amp;csv!AZ105&amp;"–"&amp;csv!BB105&amp;"–"&amp;csv!BD105&amp;"–"&amp;csv!BF105&amp;"–"&amp;csv!BH105&amp;"–"&amp;csv!BJ105&amp;"–"&amp;csv!BL105&amp;"–"&amp;csv!BN105&amp;"–"&amp;csv!BP105&amp;"–"&amp;csv!BR105&amp;"–"&amp;csv!BT105&amp;"–"&amp;csv!BV105&amp;"–"&amp;csv!BX105&amp;"–"&amp;csv!BZ105&amp;"–"&amp;csv!CB105&amp;"–"&amp;csv!CD105&amp;"–"&amp;csv!CF105&amp;"–"&amp;csv!CH105&amp;"–"&amp;csv!CJ105&amp;"–"&amp;csv!CL105&amp;"–"&amp;csv!CN105&amp;"–"&amp;csv!CP105&amp;"–"&amp;csv!CR105&amp;"–"&amp;csv!CT105&amp;"–"&amp;csv!CV105&amp;"–"&amp;csv!CX104&amp;"–"&amp;csv!CZ104)</f>
        <v>39–42–43–56–47–45–50–48–49–57–54–55–100––––––––––––––––</v>
      </c>
      <c r="F110" t="s">
        <v>0</v>
      </c>
      <c r="O110" s="1" t="str">
        <f t="shared" si="24"/>
        <v/>
      </c>
      <c r="X110" t="s">
        <v>0</v>
      </c>
    </row>
    <row r="111" spans="1:24" x14ac:dyDescent="0.25">
      <c r="A111" t="s">
        <v>0</v>
      </c>
      <c r="B111" s="52" t="str">
        <f>IF(csv!F106="","",csv!T106)</f>
        <v>M35</v>
      </c>
      <c r="C111" s="31" t="str">
        <f>IF(csv!F106="","",csv!AO106)</f>
        <v>M35</v>
      </c>
      <c r="D111" s="31" t="str">
        <f>IF(csv!F106="","",csv!AP106&amp;"–"&amp;csv!AQ106&amp;"–"&amp;csv!AR106)</f>
        <v>6.38–325–13</v>
      </c>
      <c r="E111" s="66" t="str">
        <f>IF(csv!AV106&amp;csv!AX106&amp;csv!AZ106&amp;csv!BB106&amp;csv!BD106="","",csv!AV106&amp;"–"&amp;csv!AX106&amp;"–"&amp;csv!AZ106&amp;"–"&amp;csv!BB106&amp;"–"&amp;csv!BD106&amp;"–"&amp;csv!BF106&amp;"–"&amp;csv!BH106&amp;"–"&amp;csv!BJ106&amp;"–"&amp;csv!BL106&amp;"–"&amp;csv!BN106&amp;"–"&amp;csv!BP106&amp;"–"&amp;csv!BR106&amp;"–"&amp;csv!BT106&amp;"–"&amp;csv!BV106&amp;"–"&amp;csv!BX106&amp;"–"&amp;csv!BZ106&amp;"–"&amp;csv!CB106&amp;"–"&amp;csv!CD106&amp;"–"&amp;csv!CF106&amp;"–"&amp;csv!CH106&amp;"–"&amp;csv!CJ106&amp;"–"&amp;csv!CL106&amp;"–"&amp;csv!CN106&amp;"–"&amp;csv!CP106&amp;"–"&amp;csv!CR106&amp;"–"&amp;csv!CT106&amp;"–"&amp;csv!CV106&amp;"–"&amp;csv!CX105&amp;"–"&amp;csv!CZ105)</f>
        <v>39–42–43–56–47–45–50–48–49–57–54–55–100––––––––––––––––</v>
      </c>
      <c r="F111" t="s">
        <v>0</v>
      </c>
      <c r="O111" s="1" t="str">
        <f t="shared" si="24"/>
        <v/>
      </c>
      <c r="X111" t="s">
        <v>0</v>
      </c>
    </row>
    <row r="112" spans="1:24" x14ac:dyDescent="0.25">
      <c r="A112" t="s">
        <v>0</v>
      </c>
      <c r="B112" s="52" t="str">
        <f>IF(csv!F107="","",csv!T107)</f>
        <v>M35</v>
      </c>
      <c r="C112" s="31" t="str">
        <f>IF(csv!F107="","",csv!AO107)</f>
        <v>M35</v>
      </c>
      <c r="D112" s="31" t="str">
        <f>IF(csv!F107="","",csv!AP107&amp;"–"&amp;csv!AQ107&amp;"–"&amp;csv!AR107)</f>
        <v>6.38–325–13</v>
      </c>
      <c r="E112" s="66" t="str">
        <f>IF(csv!AV107&amp;csv!AX107&amp;csv!AZ107&amp;csv!BB107&amp;csv!BD107="","",csv!AV107&amp;"–"&amp;csv!AX107&amp;"–"&amp;csv!AZ107&amp;"–"&amp;csv!BB107&amp;"–"&amp;csv!BD107&amp;"–"&amp;csv!BF107&amp;"–"&amp;csv!BH107&amp;"–"&amp;csv!BJ107&amp;"–"&amp;csv!BL107&amp;"–"&amp;csv!BN107&amp;"–"&amp;csv!BP107&amp;"–"&amp;csv!BR107&amp;"–"&amp;csv!BT107&amp;"–"&amp;csv!BV107&amp;"–"&amp;csv!BX107&amp;"–"&amp;csv!BZ107&amp;"–"&amp;csv!CB107&amp;"–"&amp;csv!CD107&amp;"–"&amp;csv!CF107&amp;"–"&amp;csv!CH107&amp;"–"&amp;csv!CJ107&amp;"–"&amp;csv!CL107&amp;"–"&amp;csv!CN107&amp;"–"&amp;csv!CP107&amp;"–"&amp;csv!CR107&amp;"–"&amp;csv!CT107&amp;"–"&amp;csv!CV107&amp;"–"&amp;csv!CX106&amp;"–"&amp;csv!CZ106)</f>
        <v>39–42–43–56–47–45–50–48–49–57–54–55–100––––––––––––––––</v>
      </c>
      <c r="F112" t="s">
        <v>0</v>
      </c>
      <c r="O112" s="1" t="str">
        <f t="shared" si="24"/>
        <v/>
      </c>
      <c r="X112" t="s">
        <v>0</v>
      </c>
    </row>
    <row r="113" spans="1:24" x14ac:dyDescent="0.25">
      <c r="A113" t="s">
        <v>0</v>
      </c>
      <c r="B113" s="52" t="str">
        <f>IF(csv!F108="","",csv!T108)</f>
        <v>M35</v>
      </c>
      <c r="C113" s="31" t="str">
        <f>IF(csv!F108="","",csv!AO108)</f>
        <v>M35</v>
      </c>
      <c r="D113" s="31" t="str">
        <f>IF(csv!F108="","",csv!AP108&amp;"–"&amp;csv!AQ108&amp;"–"&amp;csv!AR108)</f>
        <v>6.38–325–13</v>
      </c>
      <c r="E113" s="66" t="str">
        <f>IF(csv!AV108&amp;csv!AX108&amp;csv!AZ108&amp;csv!BB108&amp;csv!BD108="","",csv!AV108&amp;"–"&amp;csv!AX108&amp;"–"&amp;csv!AZ108&amp;"–"&amp;csv!BB108&amp;"–"&amp;csv!BD108&amp;"–"&amp;csv!BF108&amp;"–"&amp;csv!BH108&amp;"–"&amp;csv!BJ108&amp;"–"&amp;csv!BL108&amp;"–"&amp;csv!BN108&amp;"–"&amp;csv!BP108&amp;"–"&amp;csv!BR108&amp;"–"&amp;csv!BT108&amp;"–"&amp;csv!BV108&amp;"–"&amp;csv!BX108&amp;"–"&amp;csv!BZ108&amp;"–"&amp;csv!CB108&amp;"–"&amp;csv!CD108&amp;"–"&amp;csv!CF108&amp;"–"&amp;csv!CH108&amp;"–"&amp;csv!CJ108&amp;"–"&amp;csv!CL108&amp;"–"&amp;csv!CN108&amp;"–"&amp;csv!CP108&amp;"–"&amp;csv!CR108&amp;"–"&amp;csv!CT108&amp;"–"&amp;csv!CV108&amp;"–"&amp;csv!CX107&amp;"–"&amp;csv!CZ107)</f>
        <v>39–42–43–56–47–45–50–48–49–57–54–55–100––––––––––––––––</v>
      </c>
      <c r="F113" t="s">
        <v>0</v>
      </c>
      <c r="O113" s="1" t="str">
        <f t="shared" si="24"/>
        <v/>
      </c>
      <c r="X113" t="s">
        <v>0</v>
      </c>
    </row>
    <row r="114" spans="1:24" x14ac:dyDescent="0.25">
      <c r="A114" t="s">
        <v>0</v>
      </c>
      <c r="B114" s="52" t="str">
        <f>IF(csv!F109="","",csv!T109)</f>
        <v>M35</v>
      </c>
      <c r="C114" s="31" t="str">
        <f>IF(csv!F109="","",csv!AO109)</f>
        <v>M35</v>
      </c>
      <c r="D114" s="31" t="str">
        <f>IF(csv!F109="","",csv!AP109&amp;"–"&amp;csv!AQ109&amp;"–"&amp;csv!AR109)</f>
        <v>6.38–325–13</v>
      </c>
      <c r="E114" s="66" t="str">
        <f>IF(csv!AV109&amp;csv!AX109&amp;csv!AZ109&amp;csv!BB109&amp;csv!BD109="","",csv!AV109&amp;"–"&amp;csv!AX109&amp;"–"&amp;csv!AZ109&amp;"–"&amp;csv!BB109&amp;"–"&amp;csv!BD109&amp;"–"&amp;csv!BF109&amp;"–"&amp;csv!BH109&amp;"–"&amp;csv!BJ109&amp;"–"&amp;csv!BL109&amp;"–"&amp;csv!BN109&amp;"–"&amp;csv!BP109&amp;"–"&amp;csv!BR109&amp;"–"&amp;csv!BT109&amp;"–"&amp;csv!BV109&amp;"–"&amp;csv!BX109&amp;"–"&amp;csv!BZ109&amp;"–"&amp;csv!CB109&amp;"–"&amp;csv!CD109&amp;"–"&amp;csv!CF109&amp;"–"&amp;csv!CH109&amp;"–"&amp;csv!CJ109&amp;"–"&amp;csv!CL109&amp;"–"&amp;csv!CN109&amp;"–"&amp;csv!CP109&amp;"–"&amp;csv!CR109&amp;"–"&amp;csv!CT109&amp;"–"&amp;csv!CV109&amp;"–"&amp;csv!CX108&amp;"–"&amp;csv!CZ108)</f>
        <v>39–42–43–56–47–45–50–48–49–57–54–55–100––––––––––––––––</v>
      </c>
      <c r="F114" t="s">
        <v>0</v>
      </c>
      <c r="O114" s="1" t="str">
        <f t="shared" si="24"/>
        <v/>
      </c>
      <c r="X114" t="s">
        <v>0</v>
      </c>
    </row>
    <row r="115" spans="1:24" x14ac:dyDescent="0.25">
      <c r="A115" t="s">
        <v>0</v>
      </c>
      <c r="B115" s="52" t="str">
        <f>IF(csv!F110="","",csv!T110)</f>
        <v>M35</v>
      </c>
      <c r="C115" s="31" t="str">
        <f>IF(csv!F110="","",csv!AO110)</f>
        <v>M35</v>
      </c>
      <c r="D115" s="31" t="str">
        <f>IF(csv!F110="","",csv!AP110&amp;"–"&amp;csv!AQ110&amp;"–"&amp;csv!AR110)</f>
        <v>6.38–325–13</v>
      </c>
      <c r="E115" s="66" t="str">
        <f>IF(csv!AV110&amp;csv!AX110&amp;csv!AZ110&amp;csv!BB110&amp;csv!BD110="","",csv!AV110&amp;"–"&amp;csv!AX110&amp;"–"&amp;csv!AZ110&amp;"–"&amp;csv!BB110&amp;"–"&amp;csv!BD110&amp;"–"&amp;csv!BF110&amp;"–"&amp;csv!BH110&amp;"–"&amp;csv!BJ110&amp;"–"&amp;csv!BL110&amp;"–"&amp;csv!BN110&amp;"–"&amp;csv!BP110&amp;"–"&amp;csv!BR110&amp;"–"&amp;csv!BT110&amp;"–"&amp;csv!BV110&amp;"–"&amp;csv!BX110&amp;"–"&amp;csv!BZ110&amp;"–"&amp;csv!CB110&amp;"–"&amp;csv!CD110&amp;"–"&amp;csv!CF110&amp;"–"&amp;csv!CH110&amp;"–"&amp;csv!CJ110&amp;"–"&amp;csv!CL110&amp;"–"&amp;csv!CN110&amp;"–"&amp;csv!CP110&amp;"–"&amp;csv!CR110&amp;"–"&amp;csv!CT110&amp;"–"&amp;csv!CV110&amp;"–"&amp;csv!CX109&amp;"–"&amp;csv!CZ109)</f>
        <v>39–42–43–56–47–45–50–48–49–57–54–55–100––––––––––––––––</v>
      </c>
      <c r="F115" t="s">
        <v>0</v>
      </c>
      <c r="O115" s="1" t="str">
        <f t="shared" si="24"/>
        <v/>
      </c>
      <c r="X115" t="s">
        <v>0</v>
      </c>
    </row>
    <row r="116" spans="1:24" x14ac:dyDescent="0.25">
      <c r="A116" t="s">
        <v>0</v>
      </c>
      <c r="B116" s="52" t="str">
        <f>IF(csv!F111="","",csv!T111)</f>
        <v>M35</v>
      </c>
      <c r="C116" s="31" t="str">
        <f>IF(csv!F111="","",csv!AO111)</f>
        <v>M35</v>
      </c>
      <c r="D116" s="31" t="str">
        <f>IF(csv!F111="","",csv!AP111&amp;"–"&amp;csv!AQ111&amp;"–"&amp;csv!AR111)</f>
        <v>6.38–325–13</v>
      </c>
      <c r="E116" s="66" t="str">
        <f>IF(csv!AV111&amp;csv!AX111&amp;csv!AZ111&amp;csv!BB111&amp;csv!BD111="","",csv!AV111&amp;"–"&amp;csv!AX111&amp;"–"&amp;csv!AZ111&amp;"–"&amp;csv!BB111&amp;"–"&amp;csv!BD111&amp;"–"&amp;csv!BF111&amp;"–"&amp;csv!BH111&amp;"–"&amp;csv!BJ111&amp;"–"&amp;csv!BL111&amp;"–"&amp;csv!BN111&amp;"–"&amp;csv!BP111&amp;"–"&amp;csv!BR111&amp;"–"&amp;csv!BT111&amp;"–"&amp;csv!BV111&amp;"–"&amp;csv!BX111&amp;"–"&amp;csv!BZ111&amp;"–"&amp;csv!CB111&amp;"–"&amp;csv!CD111&amp;"–"&amp;csv!CF111&amp;"–"&amp;csv!CH111&amp;"–"&amp;csv!CJ111&amp;"–"&amp;csv!CL111&amp;"–"&amp;csv!CN111&amp;"–"&amp;csv!CP111&amp;"–"&amp;csv!CR111&amp;"–"&amp;csv!CT111&amp;"–"&amp;csv!CV111&amp;"–"&amp;csv!CX110&amp;"–"&amp;csv!CZ110)</f>
        <v>39–42–43–56–47–45–50–48–49–57–54–55–100––––––––––––––––</v>
      </c>
      <c r="F116" t="s">
        <v>0</v>
      </c>
      <c r="O116" s="1" t="str">
        <f t="shared" si="24"/>
        <v/>
      </c>
      <c r="X116" t="s">
        <v>0</v>
      </c>
    </row>
    <row r="117" spans="1:24" x14ac:dyDescent="0.25">
      <c r="A117" t="s">
        <v>0</v>
      </c>
      <c r="B117" s="52" t="str">
        <f>IF(csv!F112="","",csv!T112)</f>
        <v>M35</v>
      </c>
      <c r="C117" s="31" t="str">
        <f>IF(csv!F112="","",csv!AO112)</f>
        <v>M35</v>
      </c>
      <c r="D117" s="31" t="str">
        <f>IF(csv!F112="","",csv!AP112&amp;"–"&amp;csv!AQ112&amp;"–"&amp;csv!AR112)</f>
        <v>6.38–325–13</v>
      </c>
      <c r="E117" s="66" t="str">
        <f>IF(csv!AV112&amp;csv!AX112&amp;csv!AZ112&amp;csv!BB112&amp;csv!BD112="","",csv!AV112&amp;"–"&amp;csv!AX112&amp;"–"&amp;csv!AZ112&amp;"–"&amp;csv!BB112&amp;"–"&amp;csv!BD112&amp;"–"&amp;csv!BF112&amp;"–"&amp;csv!BH112&amp;"–"&amp;csv!BJ112&amp;"–"&amp;csv!BL112&amp;"–"&amp;csv!BN112&amp;"–"&amp;csv!BP112&amp;"–"&amp;csv!BR112&amp;"–"&amp;csv!BT112&amp;"–"&amp;csv!BV112&amp;"–"&amp;csv!BX112&amp;"–"&amp;csv!BZ112&amp;"–"&amp;csv!CB112&amp;"–"&amp;csv!CD112&amp;"–"&amp;csv!CF112&amp;"–"&amp;csv!CH112&amp;"–"&amp;csv!CJ112&amp;"–"&amp;csv!CL112&amp;"–"&amp;csv!CN112&amp;"–"&amp;csv!CP112&amp;"–"&amp;csv!CR112&amp;"–"&amp;csv!CT112&amp;"–"&amp;csv!CV112&amp;"–"&amp;csv!CX111&amp;"–"&amp;csv!CZ111)</f>
        <v>39–42–43–56–47–45–50–48–49–57–54–55–100––––––––––––––––</v>
      </c>
      <c r="F117" t="s">
        <v>0</v>
      </c>
      <c r="O117" s="1" t="str">
        <f t="shared" si="24"/>
        <v/>
      </c>
      <c r="X117" t="s">
        <v>0</v>
      </c>
    </row>
    <row r="118" spans="1:24" x14ac:dyDescent="0.25">
      <c r="A118" t="s">
        <v>0</v>
      </c>
      <c r="B118" s="52" t="str">
        <f>IF(csv!F113="","",csv!T113)</f>
        <v>M35</v>
      </c>
      <c r="C118" s="31" t="str">
        <f>IF(csv!F113="","",csv!AO113)</f>
        <v>M35</v>
      </c>
      <c r="D118" s="31" t="str">
        <f>IF(csv!F113="","",csv!AP113&amp;"–"&amp;csv!AQ113&amp;"–"&amp;csv!AR113)</f>
        <v>6.38–325–13</v>
      </c>
      <c r="E118" s="66" t="str">
        <f>IF(csv!AV113&amp;csv!AX113&amp;csv!AZ113&amp;csv!BB113&amp;csv!BD113="","",csv!AV113&amp;"–"&amp;csv!AX113&amp;"–"&amp;csv!AZ113&amp;"–"&amp;csv!BB113&amp;"–"&amp;csv!BD113&amp;"–"&amp;csv!BF113&amp;"–"&amp;csv!BH113&amp;"–"&amp;csv!BJ113&amp;"–"&amp;csv!BL113&amp;"–"&amp;csv!BN113&amp;"–"&amp;csv!BP113&amp;"–"&amp;csv!BR113&amp;"–"&amp;csv!BT113&amp;"–"&amp;csv!BV113&amp;"–"&amp;csv!BX113&amp;"–"&amp;csv!BZ113&amp;"–"&amp;csv!CB113&amp;"–"&amp;csv!CD113&amp;"–"&amp;csv!CF113&amp;"–"&amp;csv!CH113&amp;"–"&amp;csv!CJ113&amp;"–"&amp;csv!CL113&amp;"–"&amp;csv!CN113&amp;"–"&amp;csv!CP113&amp;"–"&amp;csv!CR113&amp;"–"&amp;csv!CT113&amp;"–"&amp;csv!CV113&amp;"–"&amp;csv!CX112&amp;"–"&amp;csv!CZ112)</f>
        <v>39–42–43–56–47–45–50–48–49–57–54–55–100––––––––––––––––</v>
      </c>
      <c r="F118" t="s">
        <v>0</v>
      </c>
      <c r="O118" s="1" t="str">
        <f t="shared" si="24"/>
        <v/>
      </c>
      <c r="X118" t="s">
        <v>0</v>
      </c>
    </row>
    <row r="119" spans="1:24" x14ac:dyDescent="0.25">
      <c r="A119" t="s">
        <v>0</v>
      </c>
      <c r="B119" s="52" t="str">
        <f>IF(csv!F114="","",csv!T114)</f>
        <v>M35</v>
      </c>
      <c r="C119" s="31" t="str">
        <f>IF(csv!F114="","",csv!AO114)</f>
        <v>M35</v>
      </c>
      <c r="D119" s="31" t="str">
        <f>IF(csv!F114="","",csv!AP114&amp;"–"&amp;csv!AQ114&amp;"–"&amp;csv!AR114)</f>
        <v>6.38–325–13</v>
      </c>
      <c r="E119" s="66" t="str">
        <f>IF(csv!AV114&amp;csv!AX114&amp;csv!AZ114&amp;csv!BB114&amp;csv!BD114="","",csv!AV114&amp;"–"&amp;csv!AX114&amp;"–"&amp;csv!AZ114&amp;"–"&amp;csv!BB114&amp;"–"&amp;csv!BD114&amp;"–"&amp;csv!BF114&amp;"–"&amp;csv!BH114&amp;"–"&amp;csv!BJ114&amp;"–"&amp;csv!BL114&amp;"–"&amp;csv!BN114&amp;"–"&amp;csv!BP114&amp;"–"&amp;csv!BR114&amp;"–"&amp;csv!BT114&amp;"–"&amp;csv!BV114&amp;"–"&amp;csv!BX114&amp;"–"&amp;csv!BZ114&amp;"–"&amp;csv!CB114&amp;"–"&amp;csv!CD114&amp;"–"&amp;csv!CF114&amp;"–"&amp;csv!CH114&amp;"–"&amp;csv!CJ114&amp;"–"&amp;csv!CL114&amp;"–"&amp;csv!CN114&amp;"–"&amp;csv!CP114&amp;"–"&amp;csv!CR114&amp;"–"&amp;csv!CT114&amp;"–"&amp;csv!CV114&amp;"–"&amp;csv!CX113&amp;"–"&amp;csv!CZ113)</f>
        <v>39–42–43–56–47–45–50–48–49–57–54–55–100––––––––––––––––</v>
      </c>
      <c r="F119" t="s">
        <v>0</v>
      </c>
      <c r="O119" s="1" t="str">
        <f t="shared" si="24"/>
        <v/>
      </c>
      <c r="X119" t="s">
        <v>0</v>
      </c>
    </row>
    <row r="120" spans="1:24" x14ac:dyDescent="0.25">
      <c r="A120" t="s">
        <v>0</v>
      </c>
      <c r="B120" s="52" t="str">
        <f>IF(csv!F115="","",csv!T115)</f>
        <v>M35</v>
      </c>
      <c r="C120" s="31" t="str">
        <f>IF(csv!F115="","",csv!AO115)</f>
        <v>M35</v>
      </c>
      <c r="D120" s="31" t="str">
        <f>IF(csv!F115="","",csv!AP115&amp;"–"&amp;csv!AQ115&amp;"–"&amp;csv!AR115)</f>
        <v>6.38–325–13</v>
      </c>
      <c r="E120" s="66" t="str">
        <f>IF(csv!AV115&amp;csv!AX115&amp;csv!AZ115&amp;csv!BB115&amp;csv!BD115="","",csv!AV115&amp;"–"&amp;csv!AX115&amp;"–"&amp;csv!AZ115&amp;"–"&amp;csv!BB115&amp;"–"&amp;csv!BD115&amp;"–"&amp;csv!BF115&amp;"–"&amp;csv!BH115&amp;"–"&amp;csv!BJ115&amp;"–"&amp;csv!BL115&amp;"–"&amp;csv!BN115&amp;"–"&amp;csv!BP115&amp;"–"&amp;csv!BR115&amp;"–"&amp;csv!BT115&amp;"–"&amp;csv!BV115&amp;"–"&amp;csv!BX115&amp;"–"&amp;csv!BZ115&amp;"–"&amp;csv!CB115&amp;"–"&amp;csv!CD115&amp;"–"&amp;csv!CF115&amp;"–"&amp;csv!CH115&amp;"–"&amp;csv!CJ115&amp;"–"&amp;csv!CL115&amp;"–"&amp;csv!CN115&amp;"–"&amp;csv!CP115&amp;"–"&amp;csv!CR115&amp;"–"&amp;csv!CT115&amp;"–"&amp;csv!CV115&amp;"–"&amp;csv!CX114&amp;"–"&amp;csv!CZ114)</f>
        <v>39–42–43–56–47–45–50–48–49–57–54–55–100––––––––––––––––</v>
      </c>
      <c r="F120" t="s">
        <v>0</v>
      </c>
      <c r="O120" s="1" t="str">
        <f t="shared" si="24"/>
        <v/>
      </c>
      <c r="X120" t="s">
        <v>0</v>
      </c>
    </row>
    <row r="121" spans="1:24" x14ac:dyDescent="0.25">
      <c r="A121" t="s">
        <v>0</v>
      </c>
      <c r="B121" s="52" t="str">
        <f>IF(csv!F116="","",csv!T116)</f>
        <v>M35</v>
      </c>
      <c r="C121" s="31" t="str">
        <f>IF(csv!F116="","",csv!AO116)</f>
        <v>M35</v>
      </c>
      <c r="D121" s="31" t="str">
        <f>IF(csv!F116="","",csv!AP116&amp;"–"&amp;csv!AQ116&amp;"–"&amp;csv!AR116)</f>
        <v>6.38–325–13</v>
      </c>
      <c r="E121" s="66" t="str">
        <f>IF(csv!AV116&amp;csv!AX116&amp;csv!AZ116&amp;csv!BB116&amp;csv!BD116="","",csv!AV116&amp;"–"&amp;csv!AX116&amp;"–"&amp;csv!AZ116&amp;"–"&amp;csv!BB116&amp;"–"&amp;csv!BD116&amp;"–"&amp;csv!BF116&amp;"–"&amp;csv!BH116&amp;"–"&amp;csv!BJ116&amp;"–"&amp;csv!BL116&amp;"–"&amp;csv!BN116&amp;"–"&amp;csv!BP116&amp;"–"&amp;csv!BR116&amp;"–"&amp;csv!BT116&amp;"–"&amp;csv!BV116&amp;"–"&amp;csv!BX116&amp;"–"&amp;csv!BZ116&amp;"–"&amp;csv!CB116&amp;"–"&amp;csv!CD116&amp;"–"&amp;csv!CF116&amp;"–"&amp;csv!CH116&amp;"–"&amp;csv!CJ116&amp;"–"&amp;csv!CL116&amp;"–"&amp;csv!CN116&amp;"–"&amp;csv!CP116&amp;"–"&amp;csv!CR116&amp;"–"&amp;csv!CT116&amp;"–"&amp;csv!CV116&amp;"–"&amp;csv!CX115&amp;"–"&amp;csv!CZ115)</f>
        <v>39–42–43–56–47–45–50–48–49–57–54–55–100––––––––––––––––</v>
      </c>
      <c r="F121" t="s">
        <v>0</v>
      </c>
      <c r="O121" s="1" t="str">
        <f t="shared" si="24"/>
        <v/>
      </c>
      <c r="X121" t="s">
        <v>0</v>
      </c>
    </row>
    <row r="122" spans="1:24" x14ac:dyDescent="0.25">
      <c r="A122" t="s">
        <v>0</v>
      </c>
      <c r="B122" s="52" t="str">
        <f>IF(csv!F117="","",csv!T117)</f>
        <v>M35</v>
      </c>
      <c r="C122" s="31" t="str">
        <f>IF(csv!F117="","",csv!AO117)</f>
        <v>M35</v>
      </c>
      <c r="D122" s="31" t="str">
        <f>IF(csv!F117="","",csv!AP117&amp;"–"&amp;csv!AQ117&amp;"–"&amp;csv!AR117)</f>
        <v>6.38–325–13</v>
      </c>
      <c r="E122" s="66" t="str">
        <f>IF(csv!AV117&amp;csv!AX117&amp;csv!AZ117&amp;csv!BB117&amp;csv!BD117="","",csv!AV117&amp;"–"&amp;csv!AX117&amp;"–"&amp;csv!AZ117&amp;"–"&amp;csv!BB117&amp;"–"&amp;csv!BD117&amp;"–"&amp;csv!BF117&amp;"–"&amp;csv!BH117&amp;"–"&amp;csv!BJ117&amp;"–"&amp;csv!BL117&amp;"–"&amp;csv!BN117&amp;"–"&amp;csv!BP117&amp;"–"&amp;csv!BR117&amp;"–"&amp;csv!BT117&amp;"–"&amp;csv!BV117&amp;"–"&amp;csv!BX117&amp;"–"&amp;csv!BZ117&amp;"–"&amp;csv!CB117&amp;"–"&amp;csv!CD117&amp;"–"&amp;csv!CF117&amp;"–"&amp;csv!CH117&amp;"–"&amp;csv!CJ117&amp;"–"&amp;csv!CL117&amp;"–"&amp;csv!CN117&amp;"–"&amp;csv!CP117&amp;"–"&amp;csv!CR117&amp;"–"&amp;csv!CT117&amp;"–"&amp;csv!CV117&amp;"–"&amp;csv!CX116&amp;"–"&amp;csv!CZ116)</f>
        <v>39–42–43–56–47–45–50–48–49–57–54–55–100––––––––––––––––</v>
      </c>
      <c r="F122" t="s">
        <v>0</v>
      </c>
      <c r="O122" s="1" t="str">
        <f t="shared" si="24"/>
        <v/>
      </c>
      <c r="X122" t="s">
        <v>0</v>
      </c>
    </row>
    <row r="123" spans="1:24" x14ac:dyDescent="0.25">
      <c r="A123" t="s">
        <v>0</v>
      </c>
      <c r="B123" s="52" t="str">
        <f>IF(csv!F118="","",csv!T118)</f>
        <v>M35</v>
      </c>
      <c r="C123" s="31" t="str">
        <f>IF(csv!F118="","",csv!AO118)</f>
        <v>M35</v>
      </c>
      <c r="D123" s="31" t="str">
        <f>IF(csv!F118="","",csv!AP118&amp;"–"&amp;csv!AQ118&amp;"–"&amp;csv!AR118)</f>
        <v>6.38–325–13</v>
      </c>
      <c r="E123" s="66" t="str">
        <f>IF(csv!AV118&amp;csv!AX118&amp;csv!AZ118&amp;csv!BB118&amp;csv!BD118="","",csv!AV118&amp;"–"&amp;csv!AX118&amp;"–"&amp;csv!AZ118&amp;"–"&amp;csv!BB118&amp;"–"&amp;csv!BD118&amp;"–"&amp;csv!BF118&amp;"–"&amp;csv!BH118&amp;"–"&amp;csv!BJ118&amp;"–"&amp;csv!BL118&amp;"–"&amp;csv!BN118&amp;"–"&amp;csv!BP118&amp;"–"&amp;csv!BR118&amp;"–"&amp;csv!BT118&amp;"–"&amp;csv!BV118&amp;"–"&amp;csv!BX118&amp;"–"&amp;csv!BZ118&amp;"–"&amp;csv!CB118&amp;"–"&amp;csv!CD118&amp;"–"&amp;csv!CF118&amp;"–"&amp;csv!CH118&amp;"–"&amp;csv!CJ118&amp;"–"&amp;csv!CL118&amp;"–"&amp;csv!CN118&amp;"–"&amp;csv!CP118&amp;"–"&amp;csv!CR118&amp;"–"&amp;csv!CT118&amp;"–"&amp;csv!CV118&amp;"–"&amp;csv!CX117&amp;"–"&amp;csv!CZ117)</f>
        <v/>
      </c>
      <c r="F123" t="s">
        <v>0</v>
      </c>
      <c r="O123" s="1" t="str">
        <f t="shared" si="24"/>
        <v/>
      </c>
      <c r="X123" t="s">
        <v>0</v>
      </c>
    </row>
    <row r="124" spans="1:24" x14ac:dyDescent="0.25">
      <c r="A124" t="s">
        <v>0</v>
      </c>
      <c r="B124" s="52" t="str">
        <f>IF(csv!F119="","",csv!T119)</f>
        <v>M35</v>
      </c>
      <c r="C124" s="31" t="str">
        <f>IF(csv!F119="","",csv!AO119)</f>
        <v>M35</v>
      </c>
      <c r="D124" s="31" t="str">
        <f>IF(csv!F119="","",csv!AP119&amp;"–"&amp;csv!AQ119&amp;"–"&amp;csv!AR119)</f>
        <v>6.38–325–13</v>
      </c>
      <c r="E124" s="66" t="str">
        <f>IF(csv!AV119&amp;csv!AX119&amp;csv!AZ119&amp;csv!BB119&amp;csv!BD119="","",csv!AV119&amp;"–"&amp;csv!AX119&amp;"–"&amp;csv!AZ119&amp;"–"&amp;csv!BB119&amp;"–"&amp;csv!BD119&amp;"–"&amp;csv!BF119&amp;"–"&amp;csv!BH119&amp;"–"&amp;csv!BJ119&amp;"–"&amp;csv!BL119&amp;"–"&amp;csv!BN119&amp;"–"&amp;csv!BP119&amp;"–"&amp;csv!BR119&amp;"–"&amp;csv!BT119&amp;"–"&amp;csv!BV119&amp;"–"&amp;csv!BX119&amp;"–"&amp;csv!BZ119&amp;"–"&amp;csv!CB119&amp;"–"&amp;csv!CD119&amp;"–"&amp;csv!CF119&amp;"–"&amp;csv!CH119&amp;"–"&amp;csv!CJ119&amp;"–"&amp;csv!CL119&amp;"–"&amp;csv!CN119&amp;"–"&amp;csv!CP119&amp;"–"&amp;csv!CR119&amp;"–"&amp;csv!CT119&amp;"–"&amp;csv!CV119&amp;"–"&amp;csv!CX118&amp;"–"&amp;csv!CZ118)</f>
        <v/>
      </c>
      <c r="F124" t="s">
        <v>0</v>
      </c>
      <c r="O124" s="1" t="str">
        <f t="shared" si="24"/>
        <v/>
      </c>
      <c r="X124" t="s">
        <v>0</v>
      </c>
    </row>
    <row r="125" spans="1:24" x14ac:dyDescent="0.25">
      <c r="A125" t="s">
        <v>0</v>
      </c>
      <c r="B125" s="52" t="str">
        <f>IF(csv!F120="","",csv!T120)</f>
        <v>M45</v>
      </c>
      <c r="C125" s="31" t="str">
        <f>IF(csv!F120="","",csv!AO120)</f>
        <v>M45</v>
      </c>
      <c r="D125" s="31" t="str">
        <f>IF(csv!F120="","",csv!AP120&amp;"–"&amp;csv!AQ120&amp;"–"&amp;csv!AR120)</f>
        <v>4.77–240–8</v>
      </c>
      <c r="E125" s="66" t="str">
        <f>IF(csv!AV120&amp;csv!AX120&amp;csv!AZ120&amp;csv!BB120&amp;csv!BD120="","",csv!AV120&amp;"–"&amp;csv!AX120&amp;"–"&amp;csv!AZ120&amp;"–"&amp;csv!BB120&amp;"–"&amp;csv!BD120&amp;"–"&amp;csv!BF120&amp;"–"&amp;csv!BH120&amp;"–"&amp;csv!BJ120&amp;"–"&amp;csv!BL120&amp;"–"&amp;csv!BN120&amp;"–"&amp;csv!BP120&amp;"–"&amp;csv!BR120&amp;"–"&amp;csv!BT120&amp;"–"&amp;csv!BV120&amp;"–"&amp;csv!BX120&amp;"–"&amp;csv!BZ120&amp;"–"&amp;csv!CB120&amp;"–"&amp;csv!CD120&amp;"–"&amp;csv!CF120&amp;"–"&amp;csv!CH120&amp;"–"&amp;csv!CJ120&amp;"–"&amp;csv!CL120&amp;"–"&amp;csv!CN120&amp;"–"&amp;csv!CP120&amp;"–"&amp;csv!CR120&amp;"–"&amp;csv!CT120&amp;"–"&amp;csv!CV120&amp;"–"&amp;csv!CX119&amp;"–"&amp;csv!CZ119)</f>
        <v>58–44–71–47–45–43–54–100–––––––––––––––––––––</v>
      </c>
      <c r="F125" t="s">
        <v>0</v>
      </c>
      <c r="O125" s="1" t="str">
        <f t="shared" si="24"/>
        <v/>
      </c>
      <c r="X125" t="s">
        <v>0</v>
      </c>
    </row>
    <row r="126" spans="1:24" x14ac:dyDescent="0.25">
      <c r="A126" t="s">
        <v>0</v>
      </c>
      <c r="B126" s="52" t="str">
        <f>IF(csv!F121="","",csv!T121)</f>
        <v>M45</v>
      </c>
      <c r="C126" s="31" t="str">
        <f>IF(csv!F121="","",csv!AO121)</f>
        <v>M45</v>
      </c>
      <c r="D126" s="31" t="str">
        <f>IF(csv!F121="","",csv!AP121&amp;"–"&amp;csv!AQ121&amp;"–"&amp;csv!AR121)</f>
        <v>4.77–240–8</v>
      </c>
      <c r="E126" s="66" t="str">
        <f>IF(csv!AV121&amp;csv!AX121&amp;csv!AZ121&amp;csv!BB121&amp;csv!BD121="","",csv!AV121&amp;"–"&amp;csv!AX121&amp;"–"&amp;csv!AZ121&amp;"–"&amp;csv!BB121&amp;"–"&amp;csv!BD121&amp;"–"&amp;csv!BF121&amp;"–"&amp;csv!BH121&amp;"–"&amp;csv!BJ121&amp;"–"&amp;csv!BL121&amp;"–"&amp;csv!BN121&amp;"–"&amp;csv!BP121&amp;"–"&amp;csv!BR121&amp;"–"&amp;csv!BT121&amp;"–"&amp;csv!BV121&amp;"–"&amp;csv!BX121&amp;"–"&amp;csv!BZ121&amp;"–"&amp;csv!CB121&amp;"–"&amp;csv!CD121&amp;"–"&amp;csv!CF121&amp;"–"&amp;csv!CH121&amp;"–"&amp;csv!CJ121&amp;"–"&amp;csv!CL121&amp;"–"&amp;csv!CN121&amp;"–"&amp;csv!CP121&amp;"–"&amp;csv!CR121&amp;"–"&amp;csv!CT121&amp;"–"&amp;csv!CV121&amp;"–"&amp;csv!CX120&amp;"–"&amp;csv!CZ120)</f>
        <v>58–44–71–47–45–43–54–100–––––––––––––––––––––</v>
      </c>
      <c r="F126" t="s">
        <v>0</v>
      </c>
      <c r="O126" s="1" t="str">
        <f t="shared" si="24"/>
        <v/>
      </c>
      <c r="X126" t="s">
        <v>0</v>
      </c>
    </row>
    <row r="127" spans="1:24" x14ac:dyDescent="0.25">
      <c r="A127" t="s">
        <v>0</v>
      </c>
      <c r="B127" s="52" t="str">
        <f>IF(csv!F122="","",csv!T122)</f>
        <v>M45</v>
      </c>
      <c r="C127" s="31" t="str">
        <f>IF(csv!F122="","",csv!AO122)</f>
        <v>M45</v>
      </c>
      <c r="D127" s="31" t="str">
        <f>IF(csv!F122="","",csv!AP122&amp;"–"&amp;csv!AQ122&amp;"–"&amp;csv!AR122)</f>
        <v>4.77–240–8</v>
      </c>
      <c r="E127" s="66" t="str">
        <f>IF(csv!AV122&amp;csv!AX122&amp;csv!AZ122&amp;csv!BB122&amp;csv!BD122="","",csv!AV122&amp;"–"&amp;csv!AX122&amp;"–"&amp;csv!AZ122&amp;"–"&amp;csv!BB122&amp;"–"&amp;csv!BD122&amp;"–"&amp;csv!BF122&amp;"–"&amp;csv!BH122&amp;"–"&amp;csv!BJ122&amp;"–"&amp;csv!BL122&amp;"–"&amp;csv!BN122&amp;"–"&amp;csv!BP122&amp;"–"&amp;csv!BR122&amp;"–"&amp;csv!BT122&amp;"–"&amp;csv!BV122&amp;"–"&amp;csv!BX122&amp;"–"&amp;csv!BZ122&amp;"–"&amp;csv!CB122&amp;"–"&amp;csv!CD122&amp;"–"&amp;csv!CF122&amp;"–"&amp;csv!CH122&amp;"–"&amp;csv!CJ122&amp;"–"&amp;csv!CL122&amp;"–"&amp;csv!CN122&amp;"–"&amp;csv!CP122&amp;"–"&amp;csv!CR122&amp;"–"&amp;csv!CT122&amp;"–"&amp;csv!CV122&amp;"–"&amp;csv!CX121&amp;"–"&amp;csv!CZ121)</f>
        <v>58–44–71–47–45–43–54–100–––––––––––––––––––––</v>
      </c>
      <c r="F127" t="s">
        <v>0</v>
      </c>
      <c r="O127" s="1" t="str">
        <f t="shared" si="24"/>
        <v/>
      </c>
      <c r="X127" t="s">
        <v>0</v>
      </c>
    </row>
    <row r="128" spans="1:24" x14ac:dyDescent="0.25">
      <c r="A128" t="s">
        <v>0</v>
      </c>
      <c r="B128" s="52" t="str">
        <f>IF(csv!F123="","",csv!T123)</f>
        <v>M45</v>
      </c>
      <c r="C128" s="31" t="str">
        <f>IF(csv!F123="","",csv!AO123)</f>
        <v>M45</v>
      </c>
      <c r="D128" s="31" t="str">
        <f>IF(csv!F123="","",csv!AP123&amp;"–"&amp;csv!AQ123&amp;"–"&amp;csv!AR123)</f>
        <v>4.77–240–8</v>
      </c>
      <c r="E128" s="66" t="str">
        <f>IF(csv!AV123&amp;csv!AX123&amp;csv!AZ123&amp;csv!BB123&amp;csv!BD123="","",csv!AV123&amp;"–"&amp;csv!AX123&amp;"–"&amp;csv!AZ123&amp;"–"&amp;csv!BB123&amp;"–"&amp;csv!BD123&amp;"–"&amp;csv!BF123&amp;"–"&amp;csv!BH123&amp;"–"&amp;csv!BJ123&amp;"–"&amp;csv!BL123&amp;"–"&amp;csv!BN123&amp;"–"&amp;csv!BP123&amp;"–"&amp;csv!BR123&amp;"–"&amp;csv!BT123&amp;"–"&amp;csv!BV123&amp;"–"&amp;csv!BX123&amp;"–"&amp;csv!BZ123&amp;"–"&amp;csv!CB123&amp;"–"&amp;csv!CD123&amp;"–"&amp;csv!CF123&amp;"–"&amp;csv!CH123&amp;"–"&amp;csv!CJ123&amp;"–"&amp;csv!CL123&amp;"–"&amp;csv!CN123&amp;"–"&amp;csv!CP123&amp;"–"&amp;csv!CR123&amp;"–"&amp;csv!CT123&amp;"–"&amp;csv!CV123&amp;"–"&amp;csv!CX122&amp;"–"&amp;csv!CZ122)</f>
        <v>58–44–71–47–45–43–54–100–––––––––––––––––––––</v>
      </c>
      <c r="F128" t="s">
        <v>0</v>
      </c>
      <c r="O128" s="1" t="str">
        <f t="shared" si="24"/>
        <v/>
      </c>
      <c r="X128" t="s">
        <v>0</v>
      </c>
    </row>
    <row r="129" spans="1:24" x14ac:dyDescent="0.25">
      <c r="A129" t="s">
        <v>0</v>
      </c>
      <c r="B129" s="52" t="str">
        <f>IF(csv!F124="","",csv!T124)</f>
        <v>M45</v>
      </c>
      <c r="C129" s="31" t="str">
        <f>IF(csv!F124="","",csv!AO124)</f>
        <v>M45</v>
      </c>
      <c r="D129" s="31" t="str">
        <f>IF(csv!F124="","",csv!AP124&amp;"–"&amp;csv!AQ124&amp;"–"&amp;csv!AR124)</f>
        <v>4.77–240–8</v>
      </c>
      <c r="E129" s="66" t="str">
        <f>IF(csv!AV124&amp;csv!AX124&amp;csv!AZ124&amp;csv!BB124&amp;csv!BD124="","",csv!AV124&amp;"–"&amp;csv!AX124&amp;"–"&amp;csv!AZ124&amp;"–"&amp;csv!BB124&amp;"–"&amp;csv!BD124&amp;"–"&amp;csv!BF124&amp;"–"&amp;csv!BH124&amp;"–"&amp;csv!BJ124&amp;"–"&amp;csv!BL124&amp;"–"&amp;csv!BN124&amp;"–"&amp;csv!BP124&amp;"–"&amp;csv!BR124&amp;"–"&amp;csv!BT124&amp;"–"&amp;csv!BV124&amp;"–"&amp;csv!BX124&amp;"–"&amp;csv!BZ124&amp;"–"&amp;csv!CB124&amp;"–"&amp;csv!CD124&amp;"–"&amp;csv!CF124&amp;"–"&amp;csv!CH124&amp;"–"&amp;csv!CJ124&amp;"–"&amp;csv!CL124&amp;"–"&amp;csv!CN124&amp;"–"&amp;csv!CP124&amp;"–"&amp;csv!CR124&amp;"–"&amp;csv!CT124&amp;"–"&amp;csv!CV124&amp;"–"&amp;csv!CX123&amp;"–"&amp;csv!CZ123)</f>
        <v>58–44–71–47–45–43–54–100–––––––––––––––––––––</v>
      </c>
      <c r="F129" t="s">
        <v>0</v>
      </c>
      <c r="O129" s="1" t="str">
        <f t="shared" si="24"/>
        <v/>
      </c>
      <c r="X129" t="s">
        <v>0</v>
      </c>
    </row>
    <row r="130" spans="1:24" x14ac:dyDescent="0.25">
      <c r="A130" t="s">
        <v>0</v>
      </c>
      <c r="B130" s="52" t="str">
        <f>IF(csv!F125="","",csv!T125)</f>
        <v>M45</v>
      </c>
      <c r="C130" s="31" t="str">
        <f>IF(csv!F125="","",csv!AO125)</f>
        <v>M45</v>
      </c>
      <c r="D130" s="31" t="str">
        <f>IF(csv!F125="","",csv!AP125&amp;"–"&amp;csv!AQ125&amp;"–"&amp;csv!AR125)</f>
        <v>4.77–240–8</v>
      </c>
      <c r="E130" s="66" t="str">
        <f>IF(csv!AV125&amp;csv!AX125&amp;csv!AZ125&amp;csv!BB125&amp;csv!BD125="","",csv!AV125&amp;"–"&amp;csv!AX125&amp;"–"&amp;csv!AZ125&amp;"–"&amp;csv!BB125&amp;"–"&amp;csv!BD125&amp;"–"&amp;csv!BF125&amp;"–"&amp;csv!BH125&amp;"–"&amp;csv!BJ125&amp;"–"&amp;csv!BL125&amp;"–"&amp;csv!BN125&amp;"–"&amp;csv!BP125&amp;"–"&amp;csv!BR125&amp;"–"&amp;csv!BT125&amp;"–"&amp;csv!BV125&amp;"–"&amp;csv!BX125&amp;"–"&amp;csv!BZ125&amp;"–"&amp;csv!CB125&amp;"–"&amp;csv!CD125&amp;"–"&amp;csv!CF125&amp;"–"&amp;csv!CH125&amp;"–"&amp;csv!CJ125&amp;"–"&amp;csv!CL125&amp;"–"&amp;csv!CN125&amp;"–"&amp;csv!CP125&amp;"–"&amp;csv!CR125&amp;"–"&amp;csv!CT125&amp;"–"&amp;csv!CV125&amp;"–"&amp;csv!CX124&amp;"–"&amp;csv!CZ124)</f>
        <v>58–44–71–47–45–43–54–100–––––––––––––––––––––</v>
      </c>
      <c r="F130" t="s">
        <v>0</v>
      </c>
      <c r="O130" s="1" t="str">
        <f t="shared" si="24"/>
        <v/>
      </c>
      <c r="X130" t="s">
        <v>0</v>
      </c>
    </row>
    <row r="131" spans="1:24" x14ac:dyDescent="0.25">
      <c r="A131" t="s">
        <v>0</v>
      </c>
      <c r="B131" s="52" t="str">
        <f>IF(csv!F126="","",csv!T126)</f>
        <v>M45</v>
      </c>
      <c r="C131" s="31" t="str">
        <f>IF(csv!F126="","",csv!AO126)</f>
        <v>M45</v>
      </c>
      <c r="D131" s="31" t="str">
        <f>IF(csv!F126="","",csv!AP126&amp;"–"&amp;csv!AQ126&amp;"–"&amp;csv!AR126)</f>
        <v>4.77–240–8</v>
      </c>
      <c r="E131" s="66" t="str">
        <f>IF(csv!AV126&amp;csv!AX126&amp;csv!AZ126&amp;csv!BB126&amp;csv!BD126="","",csv!AV126&amp;"–"&amp;csv!AX126&amp;"–"&amp;csv!AZ126&amp;"–"&amp;csv!BB126&amp;"–"&amp;csv!BD126&amp;"–"&amp;csv!BF126&amp;"–"&amp;csv!BH126&amp;"–"&amp;csv!BJ126&amp;"–"&amp;csv!BL126&amp;"–"&amp;csv!BN126&amp;"–"&amp;csv!BP126&amp;"–"&amp;csv!BR126&amp;"–"&amp;csv!BT126&amp;"–"&amp;csv!BV126&amp;"–"&amp;csv!BX126&amp;"–"&amp;csv!BZ126&amp;"–"&amp;csv!CB126&amp;"–"&amp;csv!CD126&amp;"–"&amp;csv!CF126&amp;"–"&amp;csv!CH126&amp;"–"&amp;csv!CJ126&amp;"–"&amp;csv!CL126&amp;"–"&amp;csv!CN126&amp;"–"&amp;csv!CP126&amp;"–"&amp;csv!CR126&amp;"–"&amp;csv!CT126&amp;"–"&amp;csv!CV126&amp;"–"&amp;csv!CX125&amp;"–"&amp;csv!CZ125)</f>
        <v>58–44–71–47–45–43–54–100–––––––––––––––––––––</v>
      </c>
      <c r="F131" t="s">
        <v>0</v>
      </c>
      <c r="O131" s="1" t="str">
        <f t="shared" si="24"/>
        <v/>
      </c>
      <c r="X131" t="s">
        <v>0</v>
      </c>
    </row>
    <row r="132" spans="1:24" x14ac:dyDescent="0.25">
      <c r="A132" t="s">
        <v>0</v>
      </c>
      <c r="B132" s="52" t="str">
        <f>IF(csv!F127="","",csv!T127)</f>
        <v>M45</v>
      </c>
      <c r="C132" s="31" t="str">
        <f>IF(csv!F127="","",csv!AO127)</f>
        <v>M45</v>
      </c>
      <c r="D132" s="31" t="str">
        <f>IF(csv!F127="","",csv!AP127&amp;"–"&amp;csv!AQ127&amp;"–"&amp;csv!AR127)</f>
        <v>4.77–240–8</v>
      </c>
      <c r="E132" s="66" t="str">
        <f>IF(csv!AV127&amp;csv!AX127&amp;csv!AZ127&amp;csv!BB127&amp;csv!BD127="","",csv!AV127&amp;"–"&amp;csv!AX127&amp;"–"&amp;csv!AZ127&amp;"–"&amp;csv!BB127&amp;"–"&amp;csv!BD127&amp;"–"&amp;csv!BF127&amp;"–"&amp;csv!BH127&amp;"–"&amp;csv!BJ127&amp;"–"&amp;csv!BL127&amp;"–"&amp;csv!BN127&amp;"–"&amp;csv!BP127&amp;"–"&amp;csv!BR127&amp;"–"&amp;csv!BT127&amp;"–"&amp;csv!BV127&amp;"–"&amp;csv!BX127&amp;"–"&amp;csv!BZ127&amp;"–"&amp;csv!CB127&amp;"–"&amp;csv!CD127&amp;"–"&amp;csv!CF127&amp;"–"&amp;csv!CH127&amp;"–"&amp;csv!CJ127&amp;"–"&amp;csv!CL127&amp;"–"&amp;csv!CN127&amp;"–"&amp;csv!CP127&amp;"–"&amp;csv!CR127&amp;"–"&amp;csv!CT127&amp;"–"&amp;csv!CV127&amp;"–"&amp;csv!CX126&amp;"–"&amp;csv!CZ126)</f>
        <v>58–44–71–47–45–43–54–100–––––––––––––––––––––</v>
      </c>
      <c r="F132" t="s">
        <v>0</v>
      </c>
      <c r="O132" s="1" t="str">
        <f t="shared" si="24"/>
        <v/>
      </c>
      <c r="X132" t="s">
        <v>0</v>
      </c>
    </row>
    <row r="133" spans="1:24" x14ac:dyDescent="0.25">
      <c r="A133" t="s">
        <v>0</v>
      </c>
      <c r="B133" s="52" t="str">
        <f>IF(csv!F128="","",csv!T128)</f>
        <v>M45</v>
      </c>
      <c r="C133" s="31" t="str">
        <f>IF(csv!F128="","",csv!AO128)</f>
        <v>M45</v>
      </c>
      <c r="D133" s="31" t="str">
        <f>IF(csv!F128="","",csv!AP128&amp;"–"&amp;csv!AQ128&amp;"–"&amp;csv!AR128)</f>
        <v>4.77–240–8</v>
      </c>
      <c r="E133" s="66" t="str">
        <f>IF(csv!AV128&amp;csv!AX128&amp;csv!AZ128&amp;csv!BB128&amp;csv!BD128="","",csv!AV128&amp;"–"&amp;csv!AX128&amp;"–"&amp;csv!AZ128&amp;"–"&amp;csv!BB128&amp;"–"&amp;csv!BD128&amp;"–"&amp;csv!BF128&amp;"–"&amp;csv!BH128&amp;"–"&amp;csv!BJ128&amp;"–"&amp;csv!BL128&amp;"–"&amp;csv!BN128&amp;"–"&amp;csv!BP128&amp;"–"&amp;csv!BR128&amp;"–"&amp;csv!BT128&amp;"–"&amp;csv!BV128&amp;"–"&amp;csv!BX128&amp;"–"&amp;csv!BZ128&amp;"–"&amp;csv!CB128&amp;"–"&amp;csv!CD128&amp;"–"&amp;csv!CF128&amp;"–"&amp;csv!CH128&amp;"–"&amp;csv!CJ128&amp;"–"&amp;csv!CL128&amp;"–"&amp;csv!CN128&amp;"–"&amp;csv!CP128&amp;"–"&amp;csv!CR128&amp;"–"&amp;csv!CT128&amp;"–"&amp;csv!CV128&amp;"–"&amp;csv!CX127&amp;"–"&amp;csv!CZ127)</f>
        <v>58–44–71–47–45–43–54–100–––––––––––––––––––––</v>
      </c>
      <c r="F133" t="s">
        <v>0</v>
      </c>
      <c r="O133" s="1" t="str">
        <f t="shared" si="24"/>
        <v/>
      </c>
      <c r="X133" t="s">
        <v>0</v>
      </c>
    </row>
    <row r="134" spans="1:24" x14ac:dyDescent="0.25">
      <c r="A134" t="s">
        <v>0</v>
      </c>
      <c r="B134" s="52" t="str">
        <f>IF(csv!F129="","",csv!T129)</f>
        <v>M45</v>
      </c>
      <c r="C134" s="31" t="str">
        <f>IF(csv!F129="","",csv!AO129)</f>
        <v>M45</v>
      </c>
      <c r="D134" s="31" t="str">
        <f>IF(csv!F129="","",csv!AP129&amp;"–"&amp;csv!AQ129&amp;"–"&amp;csv!AR129)</f>
        <v>4.77–240–8</v>
      </c>
      <c r="E134" s="66" t="str">
        <f>IF(csv!AV129&amp;csv!AX129&amp;csv!AZ129&amp;csv!BB129&amp;csv!BD129="","",csv!AV129&amp;"–"&amp;csv!AX129&amp;"–"&amp;csv!AZ129&amp;"–"&amp;csv!BB129&amp;"–"&amp;csv!BD129&amp;"–"&amp;csv!BF129&amp;"–"&amp;csv!BH129&amp;"–"&amp;csv!BJ129&amp;"–"&amp;csv!BL129&amp;"–"&amp;csv!BN129&amp;"–"&amp;csv!BP129&amp;"–"&amp;csv!BR129&amp;"–"&amp;csv!BT129&amp;"–"&amp;csv!BV129&amp;"–"&amp;csv!BX129&amp;"–"&amp;csv!BZ129&amp;"–"&amp;csv!CB129&amp;"–"&amp;csv!CD129&amp;"–"&amp;csv!CF129&amp;"–"&amp;csv!CH129&amp;"–"&amp;csv!CJ129&amp;"–"&amp;csv!CL129&amp;"–"&amp;csv!CN129&amp;"–"&amp;csv!CP129&amp;"–"&amp;csv!CR129&amp;"–"&amp;csv!CT129&amp;"–"&amp;csv!CV129&amp;"–"&amp;csv!CX128&amp;"–"&amp;csv!CZ128)</f>
        <v>58–44–71–47–45–43–54–100–––––––––––––––––––––</v>
      </c>
      <c r="F134" t="s">
        <v>0</v>
      </c>
      <c r="O134" s="1" t="str">
        <f t="shared" si="24"/>
        <v/>
      </c>
      <c r="X134" t="s">
        <v>0</v>
      </c>
    </row>
    <row r="135" spans="1:24" x14ac:dyDescent="0.25">
      <c r="A135" t="s">
        <v>0</v>
      </c>
      <c r="B135" s="52" t="str">
        <f>IF(csv!F130="","",csv!T130)</f>
        <v>M45</v>
      </c>
      <c r="C135" s="31" t="str">
        <f>IF(csv!F130="","",csv!AO130)</f>
        <v>M45</v>
      </c>
      <c r="D135" s="31" t="str">
        <f>IF(csv!F130="","",csv!AP130&amp;"–"&amp;csv!AQ130&amp;"–"&amp;csv!AR130)</f>
        <v>4.77–240–8</v>
      </c>
      <c r="E135" s="66" t="str">
        <f>IF(csv!AV130&amp;csv!AX130&amp;csv!AZ130&amp;csv!BB130&amp;csv!BD130="","",csv!AV130&amp;"–"&amp;csv!AX130&amp;"–"&amp;csv!AZ130&amp;"–"&amp;csv!BB130&amp;"–"&amp;csv!BD130&amp;"–"&amp;csv!BF130&amp;"–"&amp;csv!BH130&amp;"–"&amp;csv!BJ130&amp;"–"&amp;csv!BL130&amp;"–"&amp;csv!BN130&amp;"–"&amp;csv!BP130&amp;"–"&amp;csv!BR130&amp;"–"&amp;csv!BT130&amp;"–"&amp;csv!BV130&amp;"–"&amp;csv!BX130&amp;"–"&amp;csv!BZ130&amp;"–"&amp;csv!CB130&amp;"–"&amp;csv!CD130&amp;"–"&amp;csv!CF130&amp;"–"&amp;csv!CH130&amp;"–"&amp;csv!CJ130&amp;"–"&amp;csv!CL130&amp;"–"&amp;csv!CN130&amp;"–"&amp;csv!CP130&amp;"–"&amp;csv!CR130&amp;"–"&amp;csv!CT130&amp;"–"&amp;csv!CV130&amp;"–"&amp;csv!CX129&amp;"–"&amp;csv!CZ129)</f>
        <v>58–44–71–47–45–43–54–100–––––––––––––––––––––</v>
      </c>
      <c r="F135" t="s">
        <v>0</v>
      </c>
      <c r="O135" s="1" t="str">
        <f t="shared" si="24"/>
        <v/>
      </c>
      <c r="X135" t="s">
        <v>0</v>
      </c>
    </row>
    <row r="136" spans="1:24" x14ac:dyDescent="0.25">
      <c r="A136" t="s">
        <v>0</v>
      </c>
      <c r="B136" s="52" t="str">
        <f>IF(csv!F131="","",csv!T131)</f>
        <v>M45</v>
      </c>
      <c r="C136" s="31" t="str">
        <f>IF(csv!F131="","",csv!AO131)</f>
        <v>M45</v>
      </c>
      <c r="D136" s="31" t="str">
        <f>IF(csv!F131="","",csv!AP131&amp;"–"&amp;csv!AQ131&amp;"–"&amp;csv!AR131)</f>
        <v>4.77–240–8</v>
      </c>
      <c r="E136" s="66" t="str">
        <f>IF(csv!AV131&amp;csv!AX131&amp;csv!AZ131&amp;csv!BB131&amp;csv!BD131="","",csv!AV131&amp;"–"&amp;csv!AX131&amp;"–"&amp;csv!AZ131&amp;"–"&amp;csv!BB131&amp;"–"&amp;csv!BD131&amp;"–"&amp;csv!BF131&amp;"–"&amp;csv!BH131&amp;"–"&amp;csv!BJ131&amp;"–"&amp;csv!BL131&amp;"–"&amp;csv!BN131&amp;"–"&amp;csv!BP131&amp;"–"&amp;csv!BR131&amp;"–"&amp;csv!BT131&amp;"–"&amp;csv!BV131&amp;"–"&amp;csv!BX131&amp;"–"&amp;csv!BZ131&amp;"–"&amp;csv!CB131&amp;"–"&amp;csv!CD131&amp;"–"&amp;csv!CF131&amp;"–"&amp;csv!CH131&amp;"–"&amp;csv!CJ131&amp;"–"&amp;csv!CL131&amp;"–"&amp;csv!CN131&amp;"–"&amp;csv!CP131&amp;"–"&amp;csv!CR131&amp;"–"&amp;csv!CT131&amp;"–"&amp;csv!CV131&amp;"–"&amp;csv!CX130&amp;"–"&amp;csv!CZ130)</f>
        <v>58–44–71–47–45–43–54–100–––––––––––––––––––––</v>
      </c>
      <c r="F136" t="s">
        <v>0</v>
      </c>
      <c r="O136" s="1" t="str">
        <f t="shared" si="24"/>
        <v/>
      </c>
      <c r="X136" t="s">
        <v>0</v>
      </c>
    </row>
    <row r="137" spans="1:24" x14ac:dyDescent="0.25">
      <c r="A137" t="s">
        <v>0</v>
      </c>
      <c r="B137" s="52" t="str">
        <f>IF(csv!F132="","",csv!T132)</f>
        <v>M45</v>
      </c>
      <c r="C137" s="31" t="str">
        <f>IF(csv!F132="","",csv!AO132)</f>
        <v>M45</v>
      </c>
      <c r="D137" s="31" t="str">
        <f>IF(csv!F132="","",csv!AP132&amp;"–"&amp;csv!AQ132&amp;"–"&amp;csv!AR132)</f>
        <v>4.77–240–8</v>
      </c>
      <c r="E137" s="66" t="str">
        <f>IF(csv!AV132&amp;csv!AX132&amp;csv!AZ132&amp;csv!BB132&amp;csv!BD132="","",csv!AV132&amp;"–"&amp;csv!AX132&amp;"–"&amp;csv!AZ132&amp;"–"&amp;csv!BB132&amp;"–"&amp;csv!BD132&amp;"–"&amp;csv!BF132&amp;"–"&amp;csv!BH132&amp;"–"&amp;csv!BJ132&amp;"–"&amp;csv!BL132&amp;"–"&amp;csv!BN132&amp;"–"&amp;csv!BP132&amp;"–"&amp;csv!BR132&amp;"–"&amp;csv!BT132&amp;"–"&amp;csv!BV132&amp;"–"&amp;csv!BX132&amp;"–"&amp;csv!BZ132&amp;"–"&amp;csv!CB132&amp;"–"&amp;csv!CD132&amp;"–"&amp;csv!CF132&amp;"–"&amp;csv!CH132&amp;"–"&amp;csv!CJ132&amp;"–"&amp;csv!CL132&amp;"–"&amp;csv!CN132&amp;"–"&amp;csv!CP132&amp;"–"&amp;csv!CR132&amp;"–"&amp;csv!CT132&amp;"–"&amp;csv!CV132&amp;"–"&amp;csv!CX131&amp;"–"&amp;csv!CZ131)</f>
        <v>58–44–71–47–45–43–54–100–––––––––––––––––––––</v>
      </c>
      <c r="F137" t="s">
        <v>0</v>
      </c>
      <c r="O137" s="1" t="str">
        <f t="shared" ref="O137:O200" si="25">IF(N137="","",IF(N137&lt;&gt;N136,N137,""))</f>
        <v/>
      </c>
      <c r="X137" t="s">
        <v>0</v>
      </c>
    </row>
    <row r="138" spans="1:24" x14ac:dyDescent="0.25">
      <c r="A138" t="s">
        <v>0</v>
      </c>
      <c r="B138" s="52" t="str">
        <f>IF(csv!F133="","",csv!T133)</f>
        <v>M45</v>
      </c>
      <c r="C138" s="31" t="str">
        <f>IF(csv!F133="","",csv!AO133)</f>
        <v>M45</v>
      </c>
      <c r="D138" s="31" t="str">
        <f>IF(csv!F133="","",csv!AP133&amp;"–"&amp;csv!AQ133&amp;"–"&amp;csv!AR133)</f>
        <v>4.77–240–8</v>
      </c>
      <c r="E138" s="66" t="str">
        <f>IF(csv!AV133&amp;csv!AX133&amp;csv!AZ133&amp;csv!BB133&amp;csv!BD133="","",csv!AV133&amp;"–"&amp;csv!AX133&amp;"–"&amp;csv!AZ133&amp;"–"&amp;csv!BB133&amp;"–"&amp;csv!BD133&amp;"–"&amp;csv!BF133&amp;"–"&amp;csv!BH133&amp;"–"&amp;csv!BJ133&amp;"–"&amp;csv!BL133&amp;"–"&amp;csv!BN133&amp;"–"&amp;csv!BP133&amp;"–"&amp;csv!BR133&amp;"–"&amp;csv!BT133&amp;"–"&amp;csv!BV133&amp;"–"&amp;csv!BX133&amp;"–"&amp;csv!BZ133&amp;"–"&amp;csv!CB133&amp;"–"&amp;csv!CD133&amp;"–"&amp;csv!CF133&amp;"–"&amp;csv!CH133&amp;"–"&amp;csv!CJ133&amp;"–"&amp;csv!CL133&amp;"–"&amp;csv!CN133&amp;"–"&amp;csv!CP133&amp;"–"&amp;csv!CR133&amp;"–"&amp;csv!CT133&amp;"–"&amp;csv!CV133&amp;"–"&amp;csv!CX132&amp;"–"&amp;csv!CZ132)</f>
        <v>58–44–71–47–45–43–54–100–––––––––––––––––––––</v>
      </c>
      <c r="F138" t="s">
        <v>0</v>
      </c>
      <c r="O138" s="1" t="str">
        <f t="shared" si="25"/>
        <v/>
      </c>
      <c r="X138" t="s">
        <v>0</v>
      </c>
    </row>
    <row r="139" spans="1:24" x14ac:dyDescent="0.25">
      <c r="A139" t="s">
        <v>0</v>
      </c>
      <c r="B139" s="52" t="str">
        <f>IF(csv!F134="","",csv!T134)</f>
        <v>M45</v>
      </c>
      <c r="C139" s="31" t="str">
        <f>IF(csv!F134="","",csv!AO134)</f>
        <v>M45</v>
      </c>
      <c r="D139" s="31" t="str">
        <f>IF(csv!F134="","",csv!AP134&amp;"–"&amp;csv!AQ134&amp;"–"&amp;csv!AR134)</f>
        <v>4.77–240–8</v>
      </c>
      <c r="E139" s="66" t="str">
        <f>IF(csv!AV134&amp;csv!AX134&amp;csv!AZ134&amp;csv!BB134&amp;csv!BD134="","",csv!AV134&amp;"–"&amp;csv!AX134&amp;"–"&amp;csv!AZ134&amp;"–"&amp;csv!BB134&amp;"–"&amp;csv!BD134&amp;"–"&amp;csv!BF134&amp;"–"&amp;csv!BH134&amp;"–"&amp;csv!BJ134&amp;"–"&amp;csv!BL134&amp;"–"&amp;csv!BN134&amp;"–"&amp;csv!BP134&amp;"–"&amp;csv!BR134&amp;"–"&amp;csv!BT134&amp;"–"&amp;csv!BV134&amp;"–"&amp;csv!BX134&amp;"–"&amp;csv!BZ134&amp;"–"&amp;csv!CB134&amp;"–"&amp;csv!CD134&amp;"–"&amp;csv!CF134&amp;"–"&amp;csv!CH134&amp;"–"&amp;csv!CJ134&amp;"–"&amp;csv!CL134&amp;"–"&amp;csv!CN134&amp;"–"&amp;csv!CP134&amp;"–"&amp;csv!CR134&amp;"–"&amp;csv!CT134&amp;"–"&amp;csv!CV134&amp;"–"&amp;csv!CX133&amp;"–"&amp;csv!CZ133)</f>
        <v>58–44–71–47–45–43–54–100–––––––––––––––––––––</v>
      </c>
      <c r="F139" t="s">
        <v>0</v>
      </c>
      <c r="O139" s="1" t="str">
        <f t="shared" si="25"/>
        <v/>
      </c>
      <c r="X139" t="s">
        <v>0</v>
      </c>
    </row>
    <row r="140" spans="1:24" x14ac:dyDescent="0.25">
      <c r="A140" t="s">
        <v>0</v>
      </c>
      <c r="B140" s="52" t="str">
        <f>IF(csv!F135="","",csv!T135)</f>
        <v>M45</v>
      </c>
      <c r="C140" s="31" t="str">
        <f>IF(csv!F135="","",csv!AO135)</f>
        <v>M45</v>
      </c>
      <c r="D140" s="31" t="str">
        <f>IF(csv!F135="","",csv!AP135&amp;"–"&amp;csv!AQ135&amp;"–"&amp;csv!AR135)</f>
        <v>4.77–240–8</v>
      </c>
      <c r="E140" s="66" t="str">
        <f>IF(csv!AV135&amp;csv!AX135&amp;csv!AZ135&amp;csv!BB135&amp;csv!BD135="","",csv!AV135&amp;"–"&amp;csv!AX135&amp;"–"&amp;csv!AZ135&amp;"–"&amp;csv!BB135&amp;"–"&amp;csv!BD135&amp;"–"&amp;csv!BF135&amp;"–"&amp;csv!BH135&amp;"–"&amp;csv!BJ135&amp;"–"&amp;csv!BL135&amp;"–"&amp;csv!BN135&amp;"–"&amp;csv!BP135&amp;"–"&amp;csv!BR135&amp;"–"&amp;csv!BT135&amp;"–"&amp;csv!BV135&amp;"–"&amp;csv!BX135&amp;"–"&amp;csv!BZ135&amp;"–"&amp;csv!CB135&amp;"–"&amp;csv!CD135&amp;"–"&amp;csv!CF135&amp;"–"&amp;csv!CH135&amp;"–"&amp;csv!CJ135&amp;"–"&amp;csv!CL135&amp;"–"&amp;csv!CN135&amp;"–"&amp;csv!CP135&amp;"–"&amp;csv!CR135&amp;"–"&amp;csv!CT135&amp;"–"&amp;csv!CV135&amp;"–"&amp;csv!CX134&amp;"–"&amp;csv!CZ134)</f>
        <v>58–44–71–47–45–43–54–100–––––––––––––––––––––</v>
      </c>
      <c r="F140" t="s">
        <v>0</v>
      </c>
      <c r="O140" s="1" t="str">
        <f t="shared" si="25"/>
        <v/>
      </c>
      <c r="X140" t="s">
        <v>0</v>
      </c>
    </row>
    <row r="141" spans="1:24" x14ac:dyDescent="0.25">
      <c r="A141" t="s">
        <v>0</v>
      </c>
      <c r="B141" s="52" t="str">
        <f>IF(csv!F136="","",csv!T136)</f>
        <v>M45</v>
      </c>
      <c r="C141" s="31" t="str">
        <f>IF(csv!F136="","",csv!AO136)</f>
        <v>M45</v>
      </c>
      <c r="D141" s="31" t="str">
        <f>IF(csv!F136="","",csv!AP136&amp;"–"&amp;csv!AQ136&amp;"–"&amp;csv!AR136)</f>
        <v>4.77–240–8</v>
      </c>
      <c r="E141" s="66" t="str">
        <f>IF(csv!AV136&amp;csv!AX136&amp;csv!AZ136&amp;csv!BB136&amp;csv!BD136="","",csv!AV136&amp;"–"&amp;csv!AX136&amp;"–"&amp;csv!AZ136&amp;"–"&amp;csv!BB136&amp;"–"&amp;csv!BD136&amp;"–"&amp;csv!BF136&amp;"–"&amp;csv!BH136&amp;"–"&amp;csv!BJ136&amp;"–"&amp;csv!BL136&amp;"–"&amp;csv!BN136&amp;"–"&amp;csv!BP136&amp;"–"&amp;csv!BR136&amp;"–"&amp;csv!BT136&amp;"–"&amp;csv!BV136&amp;"–"&amp;csv!BX136&amp;"–"&amp;csv!BZ136&amp;"–"&amp;csv!CB136&amp;"–"&amp;csv!CD136&amp;"–"&amp;csv!CF136&amp;"–"&amp;csv!CH136&amp;"–"&amp;csv!CJ136&amp;"–"&amp;csv!CL136&amp;"–"&amp;csv!CN136&amp;"–"&amp;csv!CP136&amp;"–"&amp;csv!CR136&amp;"–"&amp;csv!CT136&amp;"–"&amp;csv!CV136&amp;"–"&amp;csv!CX135&amp;"–"&amp;csv!CZ135)</f>
        <v>58–44–71–47–45–43–54–100–––––––––––––––––––––</v>
      </c>
      <c r="F141" t="s">
        <v>0</v>
      </c>
      <c r="O141" s="1" t="str">
        <f t="shared" si="25"/>
        <v/>
      </c>
      <c r="X141" t="s">
        <v>0</v>
      </c>
    </row>
    <row r="142" spans="1:24" x14ac:dyDescent="0.25">
      <c r="A142" t="s">
        <v>0</v>
      </c>
      <c r="B142" s="52" t="str">
        <f>IF(csv!F137="","",csv!T137)</f>
        <v>M45</v>
      </c>
      <c r="C142" s="31" t="str">
        <f>IF(csv!F137="","",csv!AO137)</f>
        <v>M45</v>
      </c>
      <c r="D142" s="31" t="str">
        <f>IF(csv!F137="","",csv!AP137&amp;"–"&amp;csv!AQ137&amp;"–"&amp;csv!AR137)</f>
        <v>4.77–240–8</v>
      </c>
      <c r="E142" s="66" t="str">
        <f>IF(csv!AV137&amp;csv!AX137&amp;csv!AZ137&amp;csv!BB137&amp;csv!BD137="","",csv!AV137&amp;"–"&amp;csv!AX137&amp;"–"&amp;csv!AZ137&amp;"–"&amp;csv!BB137&amp;"–"&amp;csv!BD137&amp;"–"&amp;csv!BF137&amp;"–"&amp;csv!BH137&amp;"–"&amp;csv!BJ137&amp;"–"&amp;csv!BL137&amp;"–"&amp;csv!BN137&amp;"–"&amp;csv!BP137&amp;"–"&amp;csv!BR137&amp;"–"&amp;csv!BT137&amp;"–"&amp;csv!BV137&amp;"–"&amp;csv!BX137&amp;"–"&amp;csv!BZ137&amp;"–"&amp;csv!CB137&amp;"–"&amp;csv!CD137&amp;"–"&amp;csv!CF137&amp;"–"&amp;csv!CH137&amp;"–"&amp;csv!CJ137&amp;"–"&amp;csv!CL137&amp;"–"&amp;csv!CN137&amp;"–"&amp;csv!CP137&amp;"–"&amp;csv!CR137&amp;"–"&amp;csv!CT137&amp;"–"&amp;csv!CV137&amp;"–"&amp;csv!CX136&amp;"–"&amp;csv!CZ136)</f>
        <v>58–44–71–47–45–43–54–100–––––––––––––––––––––</v>
      </c>
      <c r="F142" t="s">
        <v>0</v>
      </c>
      <c r="O142" s="1" t="str">
        <f t="shared" si="25"/>
        <v/>
      </c>
      <c r="X142" t="s">
        <v>0</v>
      </c>
    </row>
    <row r="143" spans="1:24" x14ac:dyDescent="0.25">
      <c r="A143" t="s">
        <v>0</v>
      </c>
      <c r="B143" s="52" t="str">
        <f>IF(csv!F138="","",csv!T138)</f>
        <v>M45</v>
      </c>
      <c r="C143" s="31" t="str">
        <f>IF(csv!F138="","",csv!AO138)</f>
        <v>M45</v>
      </c>
      <c r="D143" s="31" t="str">
        <f>IF(csv!F138="","",csv!AP138&amp;"–"&amp;csv!AQ138&amp;"–"&amp;csv!AR138)</f>
        <v>4.77–240–8</v>
      </c>
      <c r="E143" s="66" t="str">
        <f>IF(csv!AV138&amp;csv!AX138&amp;csv!AZ138&amp;csv!BB138&amp;csv!BD138="","",csv!AV138&amp;"–"&amp;csv!AX138&amp;"–"&amp;csv!AZ138&amp;"–"&amp;csv!BB138&amp;"–"&amp;csv!BD138&amp;"–"&amp;csv!BF138&amp;"–"&amp;csv!BH138&amp;"–"&amp;csv!BJ138&amp;"–"&amp;csv!BL138&amp;"–"&amp;csv!BN138&amp;"–"&amp;csv!BP138&amp;"–"&amp;csv!BR138&amp;"–"&amp;csv!BT138&amp;"–"&amp;csv!BV138&amp;"–"&amp;csv!BX138&amp;"–"&amp;csv!BZ138&amp;"–"&amp;csv!CB138&amp;"–"&amp;csv!CD138&amp;"–"&amp;csv!CF138&amp;"–"&amp;csv!CH138&amp;"–"&amp;csv!CJ138&amp;"–"&amp;csv!CL138&amp;"–"&amp;csv!CN138&amp;"–"&amp;csv!CP138&amp;"–"&amp;csv!CR138&amp;"–"&amp;csv!CT138&amp;"–"&amp;csv!CV138&amp;"–"&amp;csv!CX137&amp;"–"&amp;csv!CZ137)</f>
        <v>58–44–71–47–45–43–54–100–––––––––––––––––––––</v>
      </c>
      <c r="F143" t="s">
        <v>0</v>
      </c>
      <c r="O143" s="1" t="str">
        <f t="shared" si="25"/>
        <v/>
      </c>
      <c r="X143" t="s">
        <v>0</v>
      </c>
    </row>
    <row r="144" spans="1:24" x14ac:dyDescent="0.25">
      <c r="A144" t="s">
        <v>0</v>
      </c>
      <c r="B144" s="52" t="str">
        <f>IF(csv!F139="","",csv!T139)</f>
        <v>M45</v>
      </c>
      <c r="C144" s="31" t="str">
        <f>IF(csv!F139="","",csv!AO139)</f>
        <v>M45</v>
      </c>
      <c r="D144" s="31" t="str">
        <f>IF(csv!F139="","",csv!AP139&amp;"–"&amp;csv!AQ139&amp;"–"&amp;csv!AR139)</f>
        <v>4.77–240–8</v>
      </c>
      <c r="E144" s="66" t="str">
        <f>IF(csv!AV139&amp;csv!AX139&amp;csv!AZ139&amp;csv!BB139&amp;csv!BD139="","",csv!AV139&amp;"–"&amp;csv!AX139&amp;"–"&amp;csv!AZ139&amp;"–"&amp;csv!BB139&amp;"–"&amp;csv!BD139&amp;"–"&amp;csv!BF139&amp;"–"&amp;csv!BH139&amp;"–"&amp;csv!BJ139&amp;"–"&amp;csv!BL139&amp;"–"&amp;csv!BN139&amp;"–"&amp;csv!BP139&amp;"–"&amp;csv!BR139&amp;"–"&amp;csv!BT139&amp;"–"&amp;csv!BV139&amp;"–"&amp;csv!BX139&amp;"–"&amp;csv!BZ139&amp;"–"&amp;csv!CB139&amp;"–"&amp;csv!CD139&amp;"–"&amp;csv!CF139&amp;"–"&amp;csv!CH139&amp;"–"&amp;csv!CJ139&amp;"–"&amp;csv!CL139&amp;"–"&amp;csv!CN139&amp;"–"&amp;csv!CP139&amp;"–"&amp;csv!CR139&amp;"–"&amp;csv!CT139&amp;"–"&amp;csv!CV139&amp;"–"&amp;csv!CX138&amp;"–"&amp;csv!CZ138)</f>
        <v>58–44–71–47–45–43–54–100–––––––––––––––––––––</v>
      </c>
      <c r="F144" t="s">
        <v>0</v>
      </c>
      <c r="O144" s="1" t="str">
        <f t="shared" si="25"/>
        <v/>
      </c>
      <c r="X144" t="s">
        <v>0</v>
      </c>
    </row>
    <row r="145" spans="1:24" x14ac:dyDescent="0.25">
      <c r="A145" t="s">
        <v>0</v>
      </c>
      <c r="B145" s="52" t="str">
        <f>IF(csv!F140="","",csv!T140)</f>
        <v>M45</v>
      </c>
      <c r="C145" s="31" t="str">
        <f>IF(csv!F140="","",csv!AO140)</f>
        <v>M45</v>
      </c>
      <c r="D145" s="31" t="str">
        <f>IF(csv!F140="","",csv!AP140&amp;"–"&amp;csv!AQ140&amp;"–"&amp;csv!AR140)</f>
        <v>4.77–240–8</v>
      </c>
      <c r="E145" s="66" t="str">
        <f>IF(csv!AV140&amp;csv!AX140&amp;csv!AZ140&amp;csv!BB140&amp;csv!BD140="","",csv!AV140&amp;"–"&amp;csv!AX140&amp;"–"&amp;csv!AZ140&amp;"–"&amp;csv!BB140&amp;"–"&amp;csv!BD140&amp;"–"&amp;csv!BF140&amp;"–"&amp;csv!BH140&amp;"–"&amp;csv!BJ140&amp;"–"&amp;csv!BL140&amp;"–"&amp;csv!BN140&amp;"–"&amp;csv!BP140&amp;"–"&amp;csv!BR140&amp;"–"&amp;csv!BT140&amp;"–"&amp;csv!BV140&amp;"–"&amp;csv!BX140&amp;"–"&amp;csv!BZ140&amp;"–"&amp;csv!CB140&amp;"–"&amp;csv!CD140&amp;"–"&amp;csv!CF140&amp;"–"&amp;csv!CH140&amp;"–"&amp;csv!CJ140&amp;"–"&amp;csv!CL140&amp;"–"&amp;csv!CN140&amp;"–"&amp;csv!CP140&amp;"–"&amp;csv!CR140&amp;"–"&amp;csv!CT140&amp;"–"&amp;csv!CV140&amp;"–"&amp;csv!CX139&amp;"–"&amp;csv!CZ139)</f>
        <v>58–44–71–47–45–43–54–100–––––––––––––––––––––</v>
      </c>
      <c r="F145" t="s">
        <v>0</v>
      </c>
      <c r="O145" s="1" t="str">
        <f t="shared" si="25"/>
        <v/>
      </c>
      <c r="X145" t="s">
        <v>0</v>
      </c>
    </row>
    <row r="146" spans="1:24" x14ac:dyDescent="0.25">
      <c r="A146" t="s">
        <v>0</v>
      </c>
      <c r="B146" s="52" t="str">
        <f>IF(csv!F141="","",csv!T141)</f>
        <v>M45</v>
      </c>
      <c r="C146" s="31" t="str">
        <f>IF(csv!F141="","",csv!AO141)</f>
        <v>M45</v>
      </c>
      <c r="D146" s="31" t="str">
        <f>IF(csv!F141="","",csv!AP141&amp;"–"&amp;csv!AQ141&amp;"–"&amp;csv!AR141)</f>
        <v>4.77–240–8</v>
      </c>
      <c r="E146" s="66" t="str">
        <f>IF(csv!AV141&amp;csv!AX141&amp;csv!AZ141&amp;csv!BB141&amp;csv!BD141="","",csv!AV141&amp;"–"&amp;csv!AX141&amp;"–"&amp;csv!AZ141&amp;"–"&amp;csv!BB141&amp;"–"&amp;csv!BD141&amp;"–"&amp;csv!BF141&amp;"–"&amp;csv!BH141&amp;"–"&amp;csv!BJ141&amp;"–"&amp;csv!BL141&amp;"–"&amp;csv!BN141&amp;"–"&amp;csv!BP141&amp;"–"&amp;csv!BR141&amp;"–"&amp;csv!BT141&amp;"–"&amp;csv!BV141&amp;"–"&amp;csv!BX141&amp;"–"&amp;csv!BZ141&amp;"–"&amp;csv!CB141&amp;"–"&amp;csv!CD141&amp;"–"&amp;csv!CF141&amp;"–"&amp;csv!CH141&amp;"–"&amp;csv!CJ141&amp;"–"&amp;csv!CL141&amp;"–"&amp;csv!CN141&amp;"–"&amp;csv!CP141&amp;"–"&amp;csv!CR141&amp;"–"&amp;csv!CT141&amp;"–"&amp;csv!CV141&amp;"–"&amp;csv!CX140&amp;"–"&amp;csv!CZ140)</f>
        <v/>
      </c>
      <c r="F146" t="s">
        <v>0</v>
      </c>
      <c r="O146" s="1" t="str">
        <f t="shared" si="25"/>
        <v/>
      </c>
      <c r="X146" t="s">
        <v>0</v>
      </c>
    </row>
    <row r="147" spans="1:24" x14ac:dyDescent="0.25">
      <c r="A147" t="s">
        <v>0</v>
      </c>
      <c r="B147" s="52" t="str">
        <f>IF(csv!F142="","",csv!T142)</f>
        <v>M45</v>
      </c>
      <c r="C147" s="31" t="str">
        <f>IF(csv!F142="","",csv!AO142)</f>
        <v>M45</v>
      </c>
      <c r="D147" s="31" t="str">
        <f>IF(csv!F142="","",csv!AP142&amp;"–"&amp;csv!AQ142&amp;"–"&amp;csv!AR142)</f>
        <v>4.77–240–8</v>
      </c>
      <c r="E147" s="66" t="str">
        <f>IF(csv!AV142&amp;csv!AX142&amp;csv!AZ142&amp;csv!BB142&amp;csv!BD142="","",csv!AV142&amp;"–"&amp;csv!AX142&amp;"–"&amp;csv!AZ142&amp;"–"&amp;csv!BB142&amp;"–"&amp;csv!BD142&amp;"–"&amp;csv!BF142&amp;"–"&amp;csv!BH142&amp;"–"&amp;csv!BJ142&amp;"–"&amp;csv!BL142&amp;"–"&amp;csv!BN142&amp;"–"&amp;csv!BP142&amp;"–"&amp;csv!BR142&amp;"–"&amp;csv!BT142&amp;"–"&amp;csv!BV142&amp;"–"&amp;csv!BX142&amp;"–"&amp;csv!BZ142&amp;"–"&amp;csv!CB142&amp;"–"&amp;csv!CD142&amp;"–"&amp;csv!CF142&amp;"–"&amp;csv!CH142&amp;"–"&amp;csv!CJ142&amp;"–"&amp;csv!CL142&amp;"–"&amp;csv!CN142&amp;"–"&amp;csv!CP142&amp;"–"&amp;csv!CR142&amp;"–"&amp;csv!CT142&amp;"–"&amp;csv!CV142&amp;"–"&amp;csv!CX141&amp;"–"&amp;csv!CZ141)</f>
        <v/>
      </c>
      <c r="F147" t="s">
        <v>0</v>
      </c>
      <c r="O147" s="1" t="str">
        <f t="shared" si="25"/>
        <v/>
      </c>
      <c r="X147" t="s">
        <v>0</v>
      </c>
    </row>
    <row r="148" spans="1:24" x14ac:dyDescent="0.25">
      <c r="A148" t="s">
        <v>0</v>
      </c>
      <c r="B148" s="52" t="str">
        <f>IF(csv!F143="","",csv!T143)</f>
        <v>M45</v>
      </c>
      <c r="C148" s="31" t="str">
        <f>IF(csv!F143="","",csv!AO143)</f>
        <v>M45</v>
      </c>
      <c r="D148" s="31" t="str">
        <f>IF(csv!F143="","",csv!AP143&amp;"–"&amp;csv!AQ143&amp;"–"&amp;csv!AR143)</f>
        <v>4.77–240–8</v>
      </c>
      <c r="E148" s="66" t="str">
        <f>IF(csv!AV143&amp;csv!AX143&amp;csv!AZ143&amp;csv!BB143&amp;csv!BD143="","",csv!AV143&amp;"–"&amp;csv!AX143&amp;"–"&amp;csv!AZ143&amp;"–"&amp;csv!BB143&amp;"–"&amp;csv!BD143&amp;"–"&amp;csv!BF143&amp;"–"&amp;csv!BH143&amp;"–"&amp;csv!BJ143&amp;"–"&amp;csv!BL143&amp;"–"&amp;csv!BN143&amp;"–"&amp;csv!BP143&amp;"–"&amp;csv!BR143&amp;"–"&amp;csv!BT143&amp;"–"&amp;csv!BV143&amp;"–"&amp;csv!BX143&amp;"–"&amp;csv!BZ143&amp;"–"&amp;csv!CB143&amp;"–"&amp;csv!CD143&amp;"–"&amp;csv!CF143&amp;"–"&amp;csv!CH143&amp;"–"&amp;csv!CJ143&amp;"–"&amp;csv!CL143&amp;"–"&amp;csv!CN143&amp;"–"&amp;csv!CP143&amp;"–"&amp;csv!CR143&amp;"–"&amp;csv!CT143&amp;"–"&amp;csv!CV143&amp;"–"&amp;csv!CX142&amp;"–"&amp;csv!CZ142)</f>
        <v/>
      </c>
      <c r="F148" t="s">
        <v>0</v>
      </c>
      <c r="O148" s="1" t="str">
        <f t="shared" si="25"/>
        <v/>
      </c>
      <c r="X148" t="s">
        <v>0</v>
      </c>
    </row>
    <row r="149" spans="1:24" x14ac:dyDescent="0.25">
      <c r="A149" t="s">
        <v>0</v>
      </c>
      <c r="B149" s="52" t="str">
        <f>IF(csv!F144="","",csv!T144)</f>
        <v>M45</v>
      </c>
      <c r="C149" s="31" t="str">
        <f>IF(csv!F144="","",csv!AO144)</f>
        <v>M45</v>
      </c>
      <c r="D149" s="31" t="str">
        <f>IF(csv!F144="","",csv!AP144&amp;"–"&amp;csv!AQ144&amp;"–"&amp;csv!AR144)</f>
        <v>4.77–240–8</v>
      </c>
      <c r="E149" s="66" t="str">
        <f>IF(csv!AV144&amp;csv!AX144&amp;csv!AZ144&amp;csv!BB144&amp;csv!BD144="","",csv!AV144&amp;"–"&amp;csv!AX144&amp;"–"&amp;csv!AZ144&amp;"–"&amp;csv!BB144&amp;"–"&amp;csv!BD144&amp;"–"&amp;csv!BF144&amp;"–"&amp;csv!BH144&amp;"–"&amp;csv!BJ144&amp;"–"&amp;csv!BL144&amp;"–"&amp;csv!BN144&amp;"–"&amp;csv!BP144&amp;"–"&amp;csv!BR144&amp;"–"&amp;csv!BT144&amp;"–"&amp;csv!BV144&amp;"–"&amp;csv!BX144&amp;"–"&amp;csv!BZ144&amp;"–"&amp;csv!CB144&amp;"–"&amp;csv!CD144&amp;"–"&amp;csv!CF144&amp;"–"&amp;csv!CH144&amp;"–"&amp;csv!CJ144&amp;"–"&amp;csv!CL144&amp;"–"&amp;csv!CN144&amp;"–"&amp;csv!CP144&amp;"–"&amp;csv!CR144&amp;"–"&amp;csv!CT144&amp;"–"&amp;csv!CV144&amp;"–"&amp;csv!CX143&amp;"–"&amp;csv!CZ143)</f>
        <v/>
      </c>
      <c r="F149" t="s">
        <v>0</v>
      </c>
      <c r="O149" s="1" t="str">
        <f t="shared" si="25"/>
        <v/>
      </c>
      <c r="X149" t="s">
        <v>0</v>
      </c>
    </row>
    <row r="150" spans="1:24" x14ac:dyDescent="0.25">
      <c r="A150" t="s">
        <v>0</v>
      </c>
      <c r="B150" s="52" t="str">
        <f>IF(csv!F145="","",csv!T145)</f>
        <v>M45</v>
      </c>
      <c r="C150" s="31" t="str">
        <f>IF(csv!F145="","",csv!AO145)</f>
        <v>M45</v>
      </c>
      <c r="D150" s="31" t="str">
        <f>IF(csv!F145="","",csv!AP145&amp;"–"&amp;csv!AQ145&amp;"–"&amp;csv!AR145)</f>
        <v>4.77–240–8</v>
      </c>
      <c r="E150" s="66" t="str">
        <f>IF(csv!AV145&amp;csv!AX145&amp;csv!AZ145&amp;csv!BB145&amp;csv!BD145="","",csv!AV145&amp;"–"&amp;csv!AX145&amp;"–"&amp;csv!AZ145&amp;"–"&amp;csv!BB145&amp;"–"&amp;csv!BD145&amp;"–"&amp;csv!BF145&amp;"–"&amp;csv!BH145&amp;"–"&amp;csv!BJ145&amp;"–"&amp;csv!BL145&amp;"–"&amp;csv!BN145&amp;"–"&amp;csv!BP145&amp;"–"&amp;csv!BR145&amp;"–"&amp;csv!BT145&amp;"–"&amp;csv!BV145&amp;"–"&amp;csv!BX145&amp;"–"&amp;csv!BZ145&amp;"–"&amp;csv!CB145&amp;"–"&amp;csv!CD145&amp;"–"&amp;csv!CF145&amp;"–"&amp;csv!CH145&amp;"–"&amp;csv!CJ145&amp;"–"&amp;csv!CL145&amp;"–"&amp;csv!CN145&amp;"–"&amp;csv!CP145&amp;"–"&amp;csv!CR145&amp;"–"&amp;csv!CT145&amp;"–"&amp;csv!CV145&amp;"–"&amp;csv!CX144&amp;"–"&amp;csv!CZ144)</f>
        <v>58–44–71–47–45–43–––––––––––––––––––––––</v>
      </c>
      <c r="F150" t="s">
        <v>0</v>
      </c>
      <c r="O150" s="1" t="str">
        <f t="shared" si="25"/>
        <v/>
      </c>
      <c r="X150" t="s">
        <v>0</v>
      </c>
    </row>
    <row r="151" spans="1:24" x14ac:dyDescent="0.25">
      <c r="A151" t="s">
        <v>0</v>
      </c>
      <c r="B151" s="52" t="str">
        <f>IF(csv!F146="","",csv!T146)</f>
        <v>M45</v>
      </c>
      <c r="C151" s="31" t="str">
        <f>IF(csv!F146="","",csv!AO146)</f>
        <v>M45</v>
      </c>
      <c r="D151" s="31" t="str">
        <f>IF(csv!F146="","",csv!AP146&amp;"–"&amp;csv!AQ146&amp;"–"&amp;csv!AR146)</f>
        <v>4.77–240–8</v>
      </c>
      <c r="E151" s="66" t="str">
        <f>IF(csv!AV146&amp;csv!AX146&amp;csv!AZ146&amp;csv!BB146&amp;csv!BD146="","",csv!AV146&amp;"–"&amp;csv!AX146&amp;"–"&amp;csv!AZ146&amp;"–"&amp;csv!BB146&amp;"–"&amp;csv!BD146&amp;"–"&amp;csv!BF146&amp;"–"&amp;csv!BH146&amp;"–"&amp;csv!BJ146&amp;"–"&amp;csv!BL146&amp;"–"&amp;csv!BN146&amp;"–"&amp;csv!BP146&amp;"–"&amp;csv!BR146&amp;"–"&amp;csv!BT146&amp;"–"&amp;csv!BV146&amp;"–"&amp;csv!BX146&amp;"–"&amp;csv!BZ146&amp;"–"&amp;csv!CB146&amp;"–"&amp;csv!CD146&amp;"–"&amp;csv!CF146&amp;"–"&amp;csv!CH146&amp;"–"&amp;csv!CJ146&amp;"–"&amp;csv!CL146&amp;"–"&amp;csv!CN146&amp;"–"&amp;csv!CP146&amp;"–"&amp;csv!CR146&amp;"–"&amp;csv!CT146&amp;"–"&amp;csv!CV146&amp;"–"&amp;csv!CX145&amp;"–"&amp;csv!CZ145)</f>
        <v/>
      </c>
      <c r="F151" t="s">
        <v>0</v>
      </c>
      <c r="O151" s="1" t="str">
        <f t="shared" si="25"/>
        <v/>
      </c>
      <c r="X151" t="s">
        <v>0</v>
      </c>
    </row>
    <row r="152" spans="1:24" x14ac:dyDescent="0.25">
      <c r="A152" t="s">
        <v>0</v>
      </c>
      <c r="B152" s="52" t="str">
        <f>IF(csv!F147="","",csv!T147)</f>
        <v>M55</v>
      </c>
      <c r="C152" s="31" t="str">
        <f>IF(csv!F147="","",csv!AO147)</f>
        <v>M55</v>
      </c>
      <c r="D152" s="31" t="str">
        <f>IF(csv!F147="","",csv!AP147&amp;"–"&amp;csv!AQ147&amp;"–"&amp;csv!AR147)</f>
        <v>3.63–150–7</v>
      </c>
      <c r="E152" s="66" t="str">
        <f>IF(csv!AV147&amp;csv!AX147&amp;csv!AZ147&amp;csv!BB147&amp;csv!BD147="","",csv!AV147&amp;"–"&amp;csv!AX147&amp;"–"&amp;csv!AZ147&amp;"–"&amp;csv!BB147&amp;"–"&amp;csv!BD147&amp;"–"&amp;csv!BF147&amp;"–"&amp;csv!BH147&amp;"–"&amp;csv!BJ147&amp;"–"&amp;csv!BL147&amp;"–"&amp;csv!BN147&amp;"–"&amp;csv!BP147&amp;"–"&amp;csv!BR147&amp;"–"&amp;csv!BT147&amp;"–"&amp;csv!BV147&amp;"–"&amp;csv!BX147&amp;"–"&amp;csv!BZ147&amp;"–"&amp;csv!CB147&amp;"–"&amp;csv!CD147&amp;"–"&amp;csv!CF147&amp;"–"&amp;csv!CH147&amp;"–"&amp;csv!CJ147&amp;"–"&amp;csv!CL147&amp;"–"&amp;csv!CN147&amp;"–"&amp;csv!CP147&amp;"–"&amp;csv!CR147&amp;"–"&amp;csv!CT147&amp;"–"&amp;csv!CV147&amp;"–"&amp;csv!CX146&amp;"–"&amp;csv!CZ146)</f>
        <v>33–61–64–39–31–38–100––––––––––––––––––––––</v>
      </c>
      <c r="F152" t="s">
        <v>0</v>
      </c>
      <c r="O152" s="1" t="str">
        <f t="shared" si="25"/>
        <v/>
      </c>
      <c r="X152" t="s">
        <v>0</v>
      </c>
    </row>
    <row r="153" spans="1:24" x14ac:dyDescent="0.25">
      <c r="A153" t="s">
        <v>0</v>
      </c>
      <c r="B153" s="52" t="str">
        <f>IF(csv!F148="","",csv!T148)</f>
        <v>M55</v>
      </c>
      <c r="C153" s="31" t="str">
        <f>IF(csv!F148="","",csv!AO148)</f>
        <v>M55</v>
      </c>
      <c r="D153" s="31" t="str">
        <f>IF(csv!F148="","",csv!AP148&amp;"–"&amp;csv!AQ148&amp;"–"&amp;csv!AR148)</f>
        <v>3.63–150–7</v>
      </c>
      <c r="E153" s="66" t="str">
        <f>IF(csv!AV148&amp;csv!AX148&amp;csv!AZ148&amp;csv!BB148&amp;csv!BD148="","",csv!AV148&amp;"–"&amp;csv!AX148&amp;"–"&amp;csv!AZ148&amp;"–"&amp;csv!BB148&amp;"–"&amp;csv!BD148&amp;"–"&amp;csv!BF148&amp;"–"&amp;csv!BH148&amp;"–"&amp;csv!BJ148&amp;"–"&amp;csv!BL148&amp;"–"&amp;csv!BN148&amp;"–"&amp;csv!BP148&amp;"–"&amp;csv!BR148&amp;"–"&amp;csv!BT148&amp;"–"&amp;csv!BV148&amp;"–"&amp;csv!BX148&amp;"–"&amp;csv!BZ148&amp;"–"&amp;csv!CB148&amp;"–"&amp;csv!CD148&amp;"–"&amp;csv!CF148&amp;"–"&amp;csv!CH148&amp;"–"&amp;csv!CJ148&amp;"–"&amp;csv!CL148&amp;"–"&amp;csv!CN148&amp;"–"&amp;csv!CP148&amp;"–"&amp;csv!CR148&amp;"–"&amp;csv!CT148&amp;"–"&amp;csv!CV148&amp;"–"&amp;csv!CX147&amp;"–"&amp;csv!CZ147)</f>
        <v>33–61–64–39–31–38–100––––––––––––––––––––––</v>
      </c>
      <c r="F153" t="s">
        <v>0</v>
      </c>
      <c r="O153" s="1" t="str">
        <f t="shared" si="25"/>
        <v/>
      </c>
      <c r="X153" t="s">
        <v>0</v>
      </c>
    </row>
    <row r="154" spans="1:24" x14ac:dyDescent="0.25">
      <c r="A154" t="s">
        <v>0</v>
      </c>
      <c r="B154" s="52" t="str">
        <f>IF(csv!F149="","",csv!T149)</f>
        <v>M55</v>
      </c>
      <c r="C154" s="31" t="str">
        <f>IF(csv!F149="","",csv!AO149)</f>
        <v>M55</v>
      </c>
      <c r="D154" s="31" t="str">
        <f>IF(csv!F149="","",csv!AP149&amp;"–"&amp;csv!AQ149&amp;"–"&amp;csv!AR149)</f>
        <v>3.63–150–7</v>
      </c>
      <c r="E154" s="66" t="str">
        <f>IF(csv!AV149&amp;csv!AX149&amp;csv!AZ149&amp;csv!BB149&amp;csv!BD149="","",csv!AV149&amp;"–"&amp;csv!AX149&amp;"–"&amp;csv!AZ149&amp;"–"&amp;csv!BB149&amp;"–"&amp;csv!BD149&amp;"–"&amp;csv!BF149&amp;"–"&amp;csv!BH149&amp;"–"&amp;csv!BJ149&amp;"–"&amp;csv!BL149&amp;"–"&amp;csv!BN149&amp;"–"&amp;csv!BP149&amp;"–"&amp;csv!BR149&amp;"–"&amp;csv!BT149&amp;"–"&amp;csv!BV149&amp;"–"&amp;csv!BX149&amp;"–"&amp;csv!BZ149&amp;"–"&amp;csv!CB149&amp;"–"&amp;csv!CD149&amp;"–"&amp;csv!CF149&amp;"–"&amp;csv!CH149&amp;"–"&amp;csv!CJ149&amp;"–"&amp;csv!CL149&amp;"–"&amp;csv!CN149&amp;"–"&amp;csv!CP149&amp;"–"&amp;csv!CR149&amp;"–"&amp;csv!CT149&amp;"–"&amp;csv!CV149&amp;"–"&amp;csv!CX148&amp;"–"&amp;csv!CZ148)</f>
        <v>33–61–64–39–31–38–100––––––––––––––––––––––</v>
      </c>
      <c r="F154" t="s">
        <v>0</v>
      </c>
      <c r="O154" s="1" t="str">
        <f t="shared" si="25"/>
        <v/>
      </c>
      <c r="X154" t="s">
        <v>0</v>
      </c>
    </row>
    <row r="155" spans="1:24" x14ac:dyDescent="0.25">
      <c r="A155" t="s">
        <v>0</v>
      </c>
      <c r="B155" s="52" t="str">
        <f>IF(csv!F150="","",csv!T150)</f>
        <v>M55</v>
      </c>
      <c r="C155" s="31" t="str">
        <f>IF(csv!F150="","",csv!AO150)</f>
        <v>M55</v>
      </c>
      <c r="D155" s="31" t="str">
        <f>IF(csv!F150="","",csv!AP150&amp;"–"&amp;csv!AQ150&amp;"–"&amp;csv!AR150)</f>
        <v>3.63–150–7</v>
      </c>
      <c r="E155" s="66" t="str">
        <f>IF(csv!AV150&amp;csv!AX150&amp;csv!AZ150&amp;csv!BB150&amp;csv!BD150="","",csv!AV150&amp;"–"&amp;csv!AX150&amp;"–"&amp;csv!AZ150&amp;"–"&amp;csv!BB150&amp;"–"&amp;csv!BD150&amp;"–"&amp;csv!BF150&amp;"–"&amp;csv!BH150&amp;"–"&amp;csv!BJ150&amp;"–"&amp;csv!BL150&amp;"–"&amp;csv!BN150&amp;"–"&amp;csv!BP150&amp;"–"&amp;csv!BR150&amp;"–"&amp;csv!BT150&amp;"–"&amp;csv!BV150&amp;"–"&amp;csv!BX150&amp;"–"&amp;csv!BZ150&amp;"–"&amp;csv!CB150&amp;"–"&amp;csv!CD150&amp;"–"&amp;csv!CF150&amp;"–"&amp;csv!CH150&amp;"–"&amp;csv!CJ150&amp;"–"&amp;csv!CL150&amp;"–"&amp;csv!CN150&amp;"–"&amp;csv!CP150&amp;"–"&amp;csv!CR150&amp;"–"&amp;csv!CT150&amp;"–"&amp;csv!CV150&amp;"–"&amp;csv!CX149&amp;"–"&amp;csv!CZ149)</f>
        <v>33–61–64–39–31–38–100––––––––––––––––––––––</v>
      </c>
      <c r="F155" t="s">
        <v>0</v>
      </c>
      <c r="O155" s="1" t="str">
        <f t="shared" si="25"/>
        <v/>
      </c>
      <c r="X155" t="s">
        <v>0</v>
      </c>
    </row>
    <row r="156" spans="1:24" x14ac:dyDescent="0.25">
      <c r="A156" t="s">
        <v>0</v>
      </c>
      <c r="B156" s="52" t="str">
        <f>IF(csv!F151="","",csv!T151)</f>
        <v>M55</v>
      </c>
      <c r="C156" s="31" t="str">
        <f>IF(csv!F151="","",csv!AO151)</f>
        <v>M55</v>
      </c>
      <c r="D156" s="31" t="str">
        <f>IF(csv!F151="","",csv!AP151&amp;"–"&amp;csv!AQ151&amp;"–"&amp;csv!AR151)</f>
        <v>3.63–150–7</v>
      </c>
      <c r="E156" s="66" t="str">
        <f>IF(csv!AV151&amp;csv!AX151&amp;csv!AZ151&amp;csv!BB151&amp;csv!BD151="","",csv!AV151&amp;"–"&amp;csv!AX151&amp;"–"&amp;csv!AZ151&amp;"–"&amp;csv!BB151&amp;"–"&amp;csv!BD151&amp;"–"&amp;csv!BF151&amp;"–"&amp;csv!BH151&amp;"–"&amp;csv!BJ151&amp;"–"&amp;csv!BL151&amp;"–"&amp;csv!BN151&amp;"–"&amp;csv!BP151&amp;"–"&amp;csv!BR151&amp;"–"&amp;csv!BT151&amp;"–"&amp;csv!BV151&amp;"–"&amp;csv!BX151&amp;"–"&amp;csv!BZ151&amp;"–"&amp;csv!CB151&amp;"–"&amp;csv!CD151&amp;"–"&amp;csv!CF151&amp;"–"&amp;csv!CH151&amp;"–"&amp;csv!CJ151&amp;"–"&amp;csv!CL151&amp;"–"&amp;csv!CN151&amp;"–"&amp;csv!CP151&amp;"–"&amp;csv!CR151&amp;"–"&amp;csv!CT151&amp;"–"&amp;csv!CV151&amp;"–"&amp;csv!CX150&amp;"–"&amp;csv!CZ150)</f>
        <v>33–61–64–39–31–38–100––––––––––––––––––––––</v>
      </c>
      <c r="F156" t="s">
        <v>0</v>
      </c>
      <c r="O156" s="1" t="str">
        <f t="shared" si="25"/>
        <v/>
      </c>
      <c r="X156" t="s">
        <v>0</v>
      </c>
    </row>
    <row r="157" spans="1:24" x14ac:dyDescent="0.25">
      <c r="A157" t="s">
        <v>0</v>
      </c>
      <c r="B157" s="52" t="str">
        <f>IF(csv!F152="","",csv!T152)</f>
        <v>M55</v>
      </c>
      <c r="C157" s="31" t="str">
        <f>IF(csv!F152="","",csv!AO152)</f>
        <v>M55</v>
      </c>
      <c r="D157" s="31" t="str">
        <f>IF(csv!F152="","",csv!AP152&amp;"–"&amp;csv!AQ152&amp;"–"&amp;csv!AR152)</f>
        <v>3.63–150–7</v>
      </c>
      <c r="E157" s="66" t="str">
        <f>IF(csv!AV152&amp;csv!AX152&amp;csv!AZ152&amp;csv!BB152&amp;csv!BD152="","",csv!AV152&amp;"–"&amp;csv!AX152&amp;"–"&amp;csv!AZ152&amp;"–"&amp;csv!BB152&amp;"–"&amp;csv!BD152&amp;"–"&amp;csv!BF152&amp;"–"&amp;csv!BH152&amp;"–"&amp;csv!BJ152&amp;"–"&amp;csv!BL152&amp;"–"&amp;csv!BN152&amp;"–"&amp;csv!BP152&amp;"–"&amp;csv!BR152&amp;"–"&amp;csv!BT152&amp;"–"&amp;csv!BV152&amp;"–"&amp;csv!BX152&amp;"–"&amp;csv!BZ152&amp;"–"&amp;csv!CB152&amp;"–"&amp;csv!CD152&amp;"–"&amp;csv!CF152&amp;"–"&amp;csv!CH152&amp;"–"&amp;csv!CJ152&amp;"–"&amp;csv!CL152&amp;"–"&amp;csv!CN152&amp;"–"&amp;csv!CP152&amp;"–"&amp;csv!CR152&amp;"–"&amp;csv!CT152&amp;"–"&amp;csv!CV152&amp;"–"&amp;csv!CX151&amp;"–"&amp;csv!CZ151)</f>
        <v>33–61–64–39–31–38–100––––––––––––––––––––––</v>
      </c>
      <c r="F157" t="s">
        <v>0</v>
      </c>
      <c r="O157" s="1" t="str">
        <f t="shared" si="25"/>
        <v/>
      </c>
      <c r="X157" t="s">
        <v>0</v>
      </c>
    </row>
    <row r="158" spans="1:24" x14ac:dyDescent="0.25">
      <c r="A158" t="s">
        <v>0</v>
      </c>
      <c r="B158" s="52" t="str">
        <f>IF(csv!F153="","",csv!T153)</f>
        <v>M55</v>
      </c>
      <c r="C158" s="31" t="str">
        <f>IF(csv!F153="","",csv!AO153)</f>
        <v>M55</v>
      </c>
      <c r="D158" s="31" t="str">
        <f>IF(csv!F153="","",csv!AP153&amp;"–"&amp;csv!AQ153&amp;"–"&amp;csv!AR153)</f>
        <v>3.63–150–7</v>
      </c>
      <c r="E158" s="66" t="str">
        <f>IF(csv!AV153&amp;csv!AX153&amp;csv!AZ153&amp;csv!BB153&amp;csv!BD153="","",csv!AV153&amp;"–"&amp;csv!AX153&amp;"–"&amp;csv!AZ153&amp;"–"&amp;csv!BB153&amp;"–"&amp;csv!BD153&amp;"–"&amp;csv!BF153&amp;"–"&amp;csv!BH153&amp;"–"&amp;csv!BJ153&amp;"–"&amp;csv!BL153&amp;"–"&amp;csv!BN153&amp;"–"&amp;csv!BP153&amp;"–"&amp;csv!BR153&amp;"–"&amp;csv!BT153&amp;"–"&amp;csv!BV153&amp;"–"&amp;csv!BX153&amp;"–"&amp;csv!BZ153&amp;"–"&amp;csv!CB153&amp;"–"&amp;csv!CD153&amp;"–"&amp;csv!CF153&amp;"–"&amp;csv!CH153&amp;"–"&amp;csv!CJ153&amp;"–"&amp;csv!CL153&amp;"–"&amp;csv!CN153&amp;"–"&amp;csv!CP153&amp;"–"&amp;csv!CR153&amp;"–"&amp;csv!CT153&amp;"–"&amp;csv!CV153&amp;"–"&amp;csv!CX152&amp;"–"&amp;csv!CZ152)</f>
        <v>33–61–64–39–31–38–100––––––––––––––––––––––</v>
      </c>
      <c r="F158" t="s">
        <v>0</v>
      </c>
      <c r="O158" s="1" t="str">
        <f t="shared" si="25"/>
        <v/>
      </c>
      <c r="X158" t="s">
        <v>0</v>
      </c>
    </row>
    <row r="159" spans="1:24" x14ac:dyDescent="0.25">
      <c r="A159" t="s">
        <v>0</v>
      </c>
      <c r="B159" s="52" t="str">
        <f>IF(csv!F154="","",csv!T154)</f>
        <v>M55</v>
      </c>
      <c r="C159" s="31" t="str">
        <f>IF(csv!F154="","",csv!AO154)</f>
        <v>M55</v>
      </c>
      <c r="D159" s="31" t="str">
        <f>IF(csv!F154="","",csv!AP154&amp;"–"&amp;csv!AQ154&amp;"–"&amp;csv!AR154)</f>
        <v>3.63–150–7</v>
      </c>
      <c r="E159" s="66" t="str">
        <f>IF(csv!AV154&amp;csv!AX154&amp;csv!AZ154&amp;csv!BB154&amp;csv!BD154="","",csv!AV154&amp;"–"&amp;csv!AX154&amp;"–"&amp;csv!AZ154&amp;"–"&amp;csv!BB154&amp;"–"&amp;csv!BD154&amp;"–"&amp;csv!BF154&amp;"–"&amp;csv!BH154&amp;"–"&amp;csv!BJ154&amp;"–"&amp;csv!BL154&amp;"–"&amp;csv!BN154&amp;"–"&amp;csv!BP154&amp;"–"&amp;csv!BR154&amp;"–"&amp;csv!BT154&amp;"–"&amp;csv!BV154&amp;"–"&amp;csv!BX154&amp;"–"&amp;csv!BZ154&amp;"–"&amp;csv!CB154&amp;"–"&amp;csv!CD154&amp;"–"&amp;csv!CF154&amp;"–"&amp;csv!CH154&amp;"–"&amp;csv!CJ154&amp;"–"&amp;csv!CL154&amp;"–"&amp;csv!CN154&amp;"–"&amp;csv!CP154&amp;"–"&amp;csv!CR154&amp;"–"&amp;csv!CT154&amp;"–"&amp;csv!CV154&amp;"–"&amp;csv!CX153&amp;"–"&amp;csv!CZ153)</f>
        <v>33–61–64–39–31–38–100––––––––––––––––––––––</v>
      </c>
      <c r="F159" t="s">
        <v>0</v>
      </c>
      <c r="O159" s="1" t="str">
        <f t="shared" si="25"/>
        <v/>
      </c>
      <c r="X159" t="s">
        <v>0</v>
      </c>
    </row>
    <row r="160" spans="1:24" x14ac:dyDescent="0.25">
      <c r="A160" t="s">
        <v>0</v>
      </c>
      <c r="B160" s="52" t="str">
        <f>IF(csv!F155="","",csv!T155)</f>
        <v>M55</v>
      </c>
      <c r="C160" s="31" t="str">
        <f>IF(csv!F155="","",csv!AO155)</f>
        <v>M55</v>
      </c>
      <c r="D160" s="31" t="str">
        <f>IF(csv!F155="","",csv!AP155&amp;"–"&amp;csv!AQ155&amp;"–"&amp;csv!AR155)</f>
        <v>3.63–150–7</v>
      </c>
      <c r="E160" s="66" t="str">
        <f>IF(csv!AV155&amp;csv!AX155&amp;csv!AZ155&amp;csv!BB155&amp;csv!BD155="","",csv!AV155&amp;"–"&amp;csv!AX155&amp;"–"&amp;csv!AZ155&amp;"–"&amp;csv!BB155&amp;"–"&amp;csv!BD155&amp;"–"&amp;csv!BF155&amp;"–"&amp;csv!BH155&amp;"–"&amp;csv!BJ155&amp;"–"&amp;csv!BL155&amp;"–"&amp;csv!BN155&amp;"–"&amp;csv!BP155&amp;"–"&amp;csv!BR155&amp;"–"&amp;csv!BT155&amp;"–"&amp;csv!BV155&amp;"–"&amp;csv!BX155&amp;"–"&amp;csv!BZ155&amp;"–"&amp;csv!CB155&amp;"–"&amp;csv!CD155&amp;"–"&amp;csv!CF155&amp;"–"&amp;csv!CH155&amp;"–"&amp;csv!CJ155&amp;"–"&amp;csv!CL155&amp;"–"&amp;csv!CN155&amp;"–"&amp;csv!CP155&amp;"–"&amp;csv!CR155&amp;"–"&amp;csv!CT155&amp;"–"&amp;csv!CV155&amp;"–"&amp;csv!CX154&amp;"–"&amp;csv!CZ154)</f>
        <v>33–61–64–39–31–38–100––––––––––––––––––––––</v>
      </c>
      <c r="F160" t="s">
        <v>0</v>
      </c>
      <c r="O160" s="1" t="str">
        <f t="shared" si="25"/>
        <v/>
      </c>
      <c r="X160" t="s">
        <v>0</v>
      </c>
    </row>
    <row r="161" spans="1:24" x14ac:dyDescent="0.25">
      <c r="A161" t="s">
        <v>0</v>
      </c>
      <c r="B161" s="52" t="str">
        <f>IF(csv!F156="","",csv!T156)</f>
        <v>M55</v>
      </c>
      <c r="C161" s="31" t="str">
        <f>IF(csv!F156="","",csv!AO156)</f>
        <v>M55</v>
      </c>
      <c r="D161" s="31" t="str">
        <f>IF(csv!F156="","",csv!AP156&amp;"–"&amp;csv!AQ156&amp;"–"&amp;csv!AR156)</f>
        <v>3.63–150–7</v>
      </c>
      <c r="E161" s="66" t="str">
        <f>IF(csv!AV156&amp;csv!AX156&amp;csv!AZ156&amp;csv!BB156&amp;csv!BD156="","",csv!AV156&amp;"–"&amp;csv!AX156&amp;"–"&amp;csv!AZ156&amp;"–"&amp;csv!BB156&amp;"–"&amp;csv!BD156&amp;"–"&amp;csv!BF156&amp;"–"&amp;csv!BH156&amp;"–"&amp;csv!BJ156&amp;"–"&amp;csv!BL156&amp;"–"&amp;csv!BN156&amp;"–"&amp;csv!BP156&amp;"–"&amp;csv!BR156&amp;"–"&amp;csv!BT156&amp;"–"&amp;csv!BV156&amp;"–"&amp;csv!BX156&amp;"–"&amp;csv!BZ156&amp;"–"&amp;csv!CB156&amp;"–"&amp;csv!CD156&amp;"–"&amp;csv!CF156&amp;"–"&amp;csv!CH156&amp;"–"&amp;csv!CJ156&amp;"–"&amp;csv!CL156&amp;"–"&amp;csv!CN156&amp;"–"&amp;csv!CP156&amp;"–"&amp;csv!CR156&amp;"–"&amp;csv!CT156&amp;"–"&amp;csv!CV156&amp;"–"&amp;csv!CX155&amp;"–"&amp;csv!CZ155)</f>
        <v>33–61–64–39–31–38–100––––––––––––––––––––––</v>
      </c>
      <c r="F161" t="s">
        <v>0</v>
      </c>
      <c r="O161" s="1" t="str">
        <f t="shared" si="25"/>
        <v/>
      </c>
      <c r="X161" t="s">
        <v>0</v>
      </c>
    </row>
    <row r="162" spans="1:24" x14ac:dyDescent="0.25">
      <c r="A162" t="s">
        <v>0</v>
      </c>
      <c r="B162" s="52" t="str">
        <f>IF(csv!F157="","",csv!T157)</f>
        <v>M55</v>
      </c>
      <c r="C162" s="31" t="str">
        <f>IF(csv!F157="","",csv!AO157)</f>
        <v>M55</v>
      </c>
      <c r="D162" s="31" t="str">
        <f>IF(csv!F157="","",csv!AP157&amp;"–"&amp;csv!AQ157&amp;"–"&amp;csv!AR157)</f>
        <v>3.63–150–7</v>
      </c>
      <c r="E162" s="66" t="str">
        <f>IF(csv!AV157&amp;csv!AX157&amp;csv!AZ157&amp;csv!BB157&amp;csv!BD157="","",csv!AV157&amp;"–"&amp;csv!AX157&amp;"–"&amp;csv!AZ157&amp;"–"&amp;csv!BB157&amp;"–"&amp;csv!BD157&amp;"–"&amp;csv!BF157&amp;"–"&amp;csv!BH157&amp;"–"&amp;csv!BJ157&amp;"–"&amp;csv!BL157&amp;"–"&amp;csv!BN157&amp;"–"&amp;csv!BP157&amp;"–"&amp;csv!BR157&amp;"–"&amp;csv!BT157&amp;"–"&amp;csv!BV157&amp;"–"&amp;csv!BX157&amp;"–"&amp;csv!BZ157&amp;"–"&amp;csv!CB157&amp;"–"&amp;csv!CD157&amp;"–"&amp;csv!CF157&amp;"–"&amp;csv!CH157&amp;"–"&amp;csv!CJ157&amp;"–"&amp;csv!CL157&amp;"–"&amp;csv!CN157&amp;"–"&amp;csv!CP157&amp;"–"&amp;csv!CR157&amp;"–"&amp;csv!CT157&amp;"–"&amp;csv!CV157&amp;"–"&amp;csv!CX156&amp;"–"&amp;csv!CZ156)</f>
        <v>33–61–64–39–31–38–100––––––––––––––––––––––</v>
      </c>
      <c r="F162" t="s">
        <v>0</v>
      </c>
      <c r="O162" s="1" t="str">
        <f t="shared" si="25"/>
        <v/>
      </c>
      <c r="X162" t="s">
        <v>0</v>
      </c>
    </row>
    <row r="163" spans="1:24" x14ac:dyDescent="0.25">
      <c r="A163" t="s">
        <v>0</v>
      </c>
      <c r="B163" s="52" t="str">
        <f>IF(csv!F158="","",csv!T158)</f>
        <v>M55</v>
      </c>
      <c r="C163" s="31" t="str">
        <f>IF(csv!F158="","",csv!AO158)</f>
        <v>M55</v>
      </c>
      <c r="D163" s="31" t="str">
        <f>IF(csv!F158="","",csv!AP158&amp;"–"&amp;csv!AQ158&amp;"–"&amp;csv!AR158)</f>
        <v>3.63–150–7</v>
      </c>
      <c r="E163" s="66" t="str">
        <f>IF(csv!AV158&amp;csv!AX158&amp;csv!AZ158&amp;csv!BB158&amp;csv!BD158="","",csv!AV158&amp;"–"&amp;csv!AX158&amp;"–"&amp;csv!AZ158&amp;"–"&amp;csv!BB158&amp;"–"&amp;csv!BD158&amp;"–"&amp;csv!BF158&amp;"–"&amp;csv!BH158&amp;"–"&amp;csv!BJ158&amp;"–"&amp;csv!BL158&amp;"–"&amp;csv!BN158&amp;"–"&amp;csv!BP158&amp;"–"&amp;csv!BR158&amp;"–"&amp;csv!BT158&amp;"–"&amp;csv!BV158&amp;"–"&amp;csv!BX158&amp;"–"&amp;csv!BZ158&amp;"–"&amp;csv!CB158&amp;"–"&amp;csv!CD158&amp;"–"&amp;csv!CF158&amp;"–"&amp;csv!CH158&amp;"–"&amp;csv!CJ158&amp;"–"&amp;csv!CL158&amp;"–"&amp;csv!CN158&amp;"–"&amp;csv!CP158&amp;"–"&amp;csv!CR158&amp;"–"&amp;csv!CT158&amp;"–"&amp;csv!CV158&amp;"–"&amp;csv!CX157&amp;"–"&amp;csv!CZ157)</f>
        <v>33–61–64–39–31–38–100––––––––––––––––––––––</v>
      </c>
      <c r="F163" t="s">
        <v>0</v>
      </c>
      <c r="O163" s="1" t="str">
        <f t="shared" si="25"/>
        <v/>
      </c>
      <c r="X163" t="s">
        <v>0</v>
      </c>
    </row>
    <row r="164" spans="1:24" x14ac:dyDescent="0.25">
      <c r="A164" t="s">
        <v>0</v>
      </c>
      <c r="B164" s="52" t="str">
        <f>IF(csv!F159="","",csv!T159)</f>
        <v>M55</v>
      </c>
      <c r="C164" s="31" t="str">
        <f>IF(csv!F159="","",csv!AO159)</f>
        <v>M55</v>
      </c>
      <c r="D164" s="31" t="str">
        <f>IF(csv!F159="","",csv!AP159&amp;"–"&amp;csv!AQ159&amp;"–"&amp;csv!AR159)</f>
        <v>3.63–150–7</v>
      </c>
      <c r="E164" s="66" t="str">
        <f>IF(csv!AV159&amp;csv!AX159&amp;csv!AZ159&amp;csv!BB159&amp;csv!BD159="","",csv!AV159&amp;"–"&amp;csv!AX159&amp;"–"&amp;csv!AZ159&amp;"–"&amp;csv!BB159&amp;"–"&amp;csv!BD159&amp;"–"&amp;csv!BF159&amp;"–"&amp;csv!BH159&amp;"–"&amp;csv!BJ159&amp;"–"&amp;csv!BL159&amp;"–"&amp;csv!BN159&amp;"–"&amp;csv!BP159&amp;"–"&amp;csv!BR159&amp;"–"&amp;csv!BT159&amp;"–"&amp;csv!BV159&amp;"–"&amp;csv!BX159&amp;"–"&amp;csv!BZ159&amp;"–"&amp;csv!CB159&amp;"–"&amp;csv!CD159&amp;"–"&amp;csv!CF159&amp;"–"&amp;csv!CH159&amp;"–"&amp;csv!CJ159&amp;"–"&amp;csv!CL159&amp;"–"&amp;csv!CN159&amp;"–"&amp;csv!CP159&amp;"–"&amp;csv!CR159&amp;"–"&amp;csv!CT159&amp;"–"&amp;csv!CV159&amp;"–"&amp;csv!CX158&amp;"–"&amp;csv!CZ158)</f>
        <v>33–61–64–39–31–38–100––––––––––––––––––––––</v>
      </c>
      <c r="F164" t="s">
        <v>0</v>
      </c>
      <c r="O164" s="1" t="str">
        <f t="shared" si="25"/>
        <v/>
      </c>
      <c r="X164" t="s">
        <v>0</v>
      </c>
    </row>
    <row r="165" spans="1:24" x14ac:dyDescent="0.25">
      <c r="A165" t="s">
        <v>0</v>
      </c>
      <c r="B165" s="52" t="str">
        <f>IF(csv!F160="","",csv!T160)</f>
        <v>M55</v>
      </c>
      <c r="C165" s="31" t="str">
        <f>IF(csv!F160="","",csv!AO160)</f>
        <v>M55</v>
      </c>
      <c r="D165" s="31" t="str">
        <f>IF(csv!F160="","",csv!AP160&amp;"–"&amp;csv!AQ160&amp;"–"&amp;csv!AR160)</f>
        <v>3.63–150–7</v>
      </c>
      <c r="E165" s="66" t="str">
        <f>IF(csv!AV160&amp;csv!AX160&amp;csv!AZ160&amp;csv!BB160&amp;csv!BD160="","",csv!AV160&amp;"–"&amp;csv!AX160&amp;"–"&amp;csv!AZ160&amp;"–"&amp;csv!BB160&amp;"–"&amp;csv!BD160&amp;"–"&amp;csv!BF160&amp;"–"&amp;csv!BH160&amp;"–"&amp;csv!BJ160&amp;"–"&amp;csv!BL160&amp;"–"&amp;csv!BN160&amp;"–"&amp;csv!BP160&amp;"–"&amp;csv!BR160&amp;"–"&amp;csv!BT160&amp;"–"&amp;csv!BV160&amp;"–"&amp;csv!BX160&amp;"–"&amp;csv!BZ160&amp;"–"&amp;csv!CB160&amp;"–"&amp;csv!CD160&amp;"–"&amp;csv!CF160&amp;"–"&amp;csv!CH160&amp;"–"&amp;csv!CJ160&amp;"–"&amp;csv!CL160&amp;"–"&amp;csv!CN160&amp;"–"&amp;csv!CP160&amp;"–"&amp;csv!CR160&amp;"–"&amp;csv!CT160&amp;"–"&amp;csv!CV160&amp;"–"&amp;csv!CX159&amp;"–"&amp;csv!CZ159)</f>
        <v>33–61–64–39–31–38–100––––––––––––––––––––––</v>
      </c>
      <c r="F165" t="s">
        <v>0</v>
      </c>
      <c r="O165" s="1" t="str">
        <f t="shared" si="25"/>
        <v/>
      </c>
      <c r="X165" t="s">
        <v>0</v>
      </c>
    </row>
    <row r="166" spans="1:24" x14ac:dyDescent="0.25">
      <c r="A166" t="s">
        <v>0</v>
      </c>
      <c r="B166" s="52" t="str">
        <f>IF(csv!F161="","",csv!T161)</f>
        <v>M55</v>
      </c>
      <c r="C166" s="31" t="str">
        <f>IF(csv!F161="","",csv!AO161)</f>
        <v>M55</v>
      </c>
      <c r="D166" s="31" t="str">
        <f>IF(csv!F161="","",csv!AP161&amp;"–"&amp;csv!AQ161&amp;"–"&amp;csv!AR161)</f>
        <v>3.63–150–7</v>
      </c>
      <c r="E166" s="66" t="str">
        <f>IF(csv!AV161&amp;csv!AX161&amp;csv!AZ161&amp;csv!BB161&amp;csv!BD161="","",csv!AV161&amp;"–"&amp;csv!AX161&amp;"–"&amp;csv!AZ161&amp;"–"&amp;csv!BB161&amp;"–"&amp;csv!BD161&amp;"–"&amp;csv!BF161&amp;"–"&amp;csv!BH161&amp;"–"&amp;csv!BJ161&amp;"–"&amp;csv!BL161&amp;"–"&amp;csv!BN161&amp;"–"&amp;csv!BP161&amp;"–"&amp;csv!BR161&amp;"–"&amp;csv!BT161&amp;"–"&amp;csv!BV161&amp;"–"&amp;csv!BX161&amp;"–"&amp;csv!BZ161&amp;"–"&amp;csv!CB161&amp;"–"&amp;csv!CD161&amp;"–"&amp;csv!CF161&amp;"–"&amp;csv!CH161&amp;"–"&amp;csv!CJ161&amp;"–"&amp;csv!CL161&amp;"–"&amp;csv!CN161&amp;"–"&amp;csv!CP161&amp;"–"&amp;csv!CR161&amp;"–"&amp;csv!CT161&amp;"–"&amp;csv!CV161&amp;"–"&amp;csv!CX160&amp;"–"&amp;csv!CZ160)</f>
        <v>33–61–64–39–31–38–100––––––––––––––––––––––</v>
      </c>
      <c r="F166" t="s">
        <v>0</v>
      </c>
      <c r="O166" s="1" t="str">
        <f t="shared" si="25"/>
        <v/>
      </c>
      <c r="X166" t="s">
        <v>0</v>
      </c>
    </row>
    <row r="167" spans="1:24" x14ac:dyDescent="0.25">
      <c r="A167" t="s">
        <v>0</v>
      </c>
      <c r="B167" s="52" t="str">
        <f>IF(csv!F162="","",csv!T162)</f>
        <v>M55</v>
      </c>
      <c r="C167" s="31" t="str">
        <f>IF(csv!F162="","",csv!AO162)</f>
        <v>M55</v>
      </c>
      <c r="D167" s="31" t="str">
        <f>IF(csv!F162="","",csv!AP162&amp;"–"&amp;csv!AQ162&amp;"–"&amp;csv!AR162)</f>
        <v>3.63–150–7</v>
      </c>
      <c r="E167" s="66" t="str">
        <f>IF(csv!AV162&amp;csv!AX162&amp;csv!AZ162&amp;csv!BB162&amp;csv!BD162="","",csv!AV162&amp;"–"&amp;csv!AX162&amp;"–"&amp;csv!AZ162&amp;"–"&amp;csv!BB162&amp;"–"&amp;csv!BD162&amp;"–"&amp;csv!BF162&amp;"–"&amp;csv!BH162&amp;"–"&amp;csv!BJ162&amp;"–"&amp;csv!BL162&amp;"–"&amp;csv!BN162&amp;"–"&amp;csv!BP162&amp;"–"&amp;csv!BR162&amp;"–"&amp;csv!BT162&amp;"–"&amp;csv!BV162&amp;"–"&amp;csv!BX162&amp;"–"&amp;csv!BZ162&amp;"–"&amp;csv!CB162&amp;"–"&amp;csv!CD162&amp;"–"&amp;csv!CF162&amp;"–"&amp;csv!CH162&amp;"–"&amp;csv!CJ162&amp;"–"&amp;csv!CL162&amp;"–"&amp;csv!CN162&amp;"–"&amp;csv!CP162&amp;"–"&amp;csv!CR162&amp;"–"&amp;csv!CT162&amp;"–"&amp;csv!CV162&amp;"–"&amp;csv!CX161&amp;"–"&amp;csv!CZ161)</f>
        <v>33–61–64–39–31–38–100––––––––––––––––––––––</v>
      </c>
      <c r="F167" t="s">
        <v>0</v>
      </c>
      <c r="O167" s="1" t="str">
        <f t="shared" si="25"/>
        <v/>
      </c>
      <c r="X167" t="s">
        <v>0</v>
      </c>
    </row>
    <row r="168" spans="1:24" x14ac:dyDescent="0.25">
      <c r="A168" t="s">
        <v>0</v>
      </c>
      <c r="B168" s="52" t="str">
        <f>IF(csv!F163="","",csv!T163)</f>
        <v>M55</v>
      </c>
      <c r="C168" s="31" t="str">
        <f>IF(csv!F163="","",csv!AO163)</f>
        <v>M55</v>
      </c>
      <c r="D168" s="31" t="str">
        <f>IF(csv!F163="","",csv!AP163&amp;"–"&amp;csv!AQ163&amp;"–"&amp;csv!AR163)</f>
        <v>3.63–150–7</v>
      </c>
      <c r="E168" s="66" t="str">
        <f>IF(csv!AV163&amp;csv!AX163&amp;csv!AZ163&amp;csv!BB163&amp;csv!BD163="","",csv!AV163&amp;"–"&amp;csv!AX163&amp;"–"&amp;csv!AZ163&amp;"–"&amp;csv!BB163&amp;"–"&amp;csv!BD163&amp;"–"&amp;csv!BF163&amp;"–"&amp;csv!BH163&amp;"–"&amp;csv!BJ163&amp;"–"&amp;csv!BL163&amp;"–"&amp;csv!BN163&amp;"–"&amp;csv!BP163&amp;"–"&amp;csv!BR163&amp;"–"&amp;csv!BT163&amp;"–"&amp;csv!BV163&amp;"–"&amp;csv!BX163&amp;"–"&amp;csv!BZ163&amp;"–"&amp;csv!CB163&amp;"–"&amp;csv!CD163&amp;"–"&amp;csv!CF163&amp;"–"&amp;csv!CH163&amp;"–"&amp;csv!CJ163&amp;"–"&amp;csv!CL163&amp;"–"&amp;csv!CN163&amp;"–"&amp;csv!CP163&amp;"–"&amp;csv!CR163&amp;"–"&amp;csv!CT163&amp;"–"&amp;csv!CV163&amp;"–"&amp;csv!CX162&amp;"–"&amp;csv!CZ162)</f>
        <v/>
      </c>
      <c r="F168" t="s">
        <v>0</v>
      </c>
      <c r="O168" s="1" t="str">
        <f t="shared" si="25"/>
        <v/>
      </c>
      <c r="X168" t="s">
        <v>0</v>
      </c>
    </row>
    <row r="169" spans="1:24" x14ac:dyDescent="0.25">
      <c r="A169" t="s">
        <v>0</v>
      </c>
      <c r="B169" s="52" t="str">
        <f>IF(csv!F164="","",csv!T164)</f>
        <v>M55</v>
      </c>
      <c r="C169" s="31" t="str">
        <f>IF(csv!F164="","",csv!AO164)</f>
        <v>M55</v>
      </c>
      <c r="D169" s="31" t="str">
        <f>IF(csv!F164="","",csv!AP164&amp;"–"&amp;csv!AQ164&amp;"–"&amp;csv!AR164)</f>
        <v>3.63–150–7</v>
      </c>
      <c r="E169" s="66" t="str">
        <f>IF(csv!AV164&amp;csv!AX164&amp;csv!AZ164&amp;csv!BB164&amp;csv!BD164="","",csv!AV164&amp;"–"&amp;csv!AX164&amp;"–"&amp;csv!AZ164&amp;"–"&amp;csv!BB164&amp;"–"&amp;csv!BD164&amp;"–"&amp;csv!BF164&amp;"–"&amp;csv!BH164&amp;"–"&amp;csv!BJ164&amp;"–"&amp;csv!BL164&amp;"–"&amp;csv!BN164&amp;"–"&amp;csv!BP164&amp;"–"&amp;csv!BR164&amp;"–"&amp;csv!BT164&amp;"–"&amp;csv!BV164&amp;"–"&amp;csv!BX164&amp;"–"&amp;csv!BZ164&amp;"–"&amp;csv!CB164&amp;"–"&amp;csv!CD164&amp;"–"&amp;csv!CF164&amp;"–"&amp;csv!CH164&amp;"–"&amp;csv!CJ164&amp;"–"&amp;csv!CL164&amp;"–"&amp;csv!CN164&amp;"–"&amp;csv!CP164&amp;"–"&amp;csv!CR164&amp;"–"&amp;csv!CT164&amp;"–"&amp;csv!CV164&amp;"–"&amp;csv!CX163&amp;"–"&amp;csv!CZ163)</f>
        <v/>
      </c>
      <c r="F169" t="s">
        <v>0</v>
      </c>
      <c r="O169" s="1" t="str">
        <f t="shared" si="25"/>
        <v/>
      </c>
      <c r="X169" t="s">
        <v>0</v>
      </c>
    </row>
    <row r="170" spans="1:24" x14ac:dyDescent="0.25">
      <c r="A170" t="s">
        <v>0</v>
      </c>
      <c r="B170" s="52" t="str">
        <f>IF(csv!F165="","",csv!T165)</f>
        <v>M65</v>
      </c>
      <c r="C170" s="31" t="str">
        <f>IF(csv!F165="","",csv!AO165)</f>
        <v>M65</v>
      </c>
      <c r="D170" s="31" t="str">
        <f>IF(csv!F165="","",csv!AP165&amp;"–"&amp;csv!AQ165&amp;"–"&amp;csv!AR165)</f>
        <v>3.17–95–6</v>
      </c>
      <c r="E170" s="66" t="str">
        <f>IF(csv!AV165&amp;csv!AX165&amp;csv!AZ165&amp;csv!BB165&amp;csv!BD165="","",csv!AV165&amp;"–"&amp;csv!AX165&amp;"–"&amp;csv!AZ165&amp;"–"&amp;csv!BB165&amp;"–"&amp;csv!BD165&amp;"–"&amp;csv!BF165&amp;"–"&amp;csv!BH165&amp;"–"&amp;csv!BJ165&amp;"–"&amp;csv!BL165&amp;"–"&amp;csv!BN165&amp;"–"&amp;csv!BP165&amp;"–"&amp;csv!BR165&amp;"–"&amp;csv!BT165&amp;"–"&amp;csv!BV165&amp;"–"&amp;csv!BX165&amp;"–"&amp;csv!BZ165&amp;"–"&amp;csv!CB165&amp;"–"&amp;csv!CD165&amp;"–"&amp;csv!CF165&amp;"–"&amp;csv!CH165&amp;"–"&amp;csv!CJ165&amp;"–"&amp;csv!CL165&amp;"–"&amp;csv!CN165&amp;"–"&amp;csv!CP165&amp;"–"&amp;csv!CR165&amp;"–"&amp;csv!CT165&amp;"–"&amp;csv!CV165&amp;"–"&amp;csv!CX164&amp;"–"&amp;csv!CZ164)</f>
        <v>63–61–64–39–54–100–––––––––––––––––––––––</v>
      </c>
      <c r="F170" t="s">
        <v>0</v>
      </c>
      <c r="O170" s="1" t="str">
        <f t="shared" si="25"/>
        <v/>
      </c>
      <c r="X170" t="s">
        <v>0</v>
      </c>
    </row>
    <row r="171" spans="1:24" x14ac:dyDescent="0.25">
      <c r="A171" t="s">
        <v>0</v>
      </c>
      <c r="B171" s="52" t="str">
        <f>IF(csv!F166="","",csv!T166)</f>
        <v>M65</v>
      </c>
      <c r="C171" s="31" t="str">
        <f>IF(csv!F166="","",csv!AO166)</f>
        <v>M65</v>
      </c>
      <c r="D171" s="31" t="str">
        <f>IF(csv!F166="","",csv!AP166&amp;"–"&amp;csv!AQ166&amp;"–"&amp;csv!AR166)</f>
        <v>3.17–95–6</v>
      </c>
      <c r="E171" s="66" t="str">
        <f>IF(csv!AV166&amp;csv!AX166&amp;csv!AZ166&amp;csv!BB166&amp;csv!BD166="","",csv!AV166&amp;"–"&amp;csv!AX166&amp;"–"&amp;csv!AZ166&amp;"–"&amp;csv!BB166&amp;"–"&amp;csv!BD166&amp;"–"&amp;csv!BF166&amp;"–"&amp;csv!BH166&amp;"–"&amp;csv!BJ166&amp;"–"&amp;csv!BL166&amp;"–"&amp;csv!BN166&amp;"–"&amp;csv!BP166&amp;"–"&amp;csv!BR166&amp;"–"&amp;csv!BT166&amp;"–"&amp;csv!BV166&amp;"–"&amp;csv!BX166&amp;"–"&amp;csv!BZ166&amp;"–"&amp;csv!CB166&amp;"–"&amp;csv!CD166&amp;"–"&amp;csv!CF166&amp;"–"&amp;csv!CH166&amp;"–"&amp;csv!CJ166&amp;"–"&amp;csv!CL166&amp;"–"&amp;csv!CN166&amp;"–"&amp;csv!CP166&amp;"–"&amp;csv!CR166&amp;"–"&amp;csv!CT166&amp;"–"&amp;csv!CV166&amp;"–"&amp;csv!CX165&amp;"–"&amp;csv!CZ165)</f>
        <v>63–61–64–39–54–100–––––––––––––––––––––––</v>
      </c>
      <c r="F171" t="s">
        <v>0</v>
      </c>
      <c r="O171" s="1" t="str">
        <f t="shared" si="25"/>
        <v/>
      </c>
      <c r="X171" t="s">
        <v>0</v>
      </c>
    </row>
    <row r="172" spans="1:24" x14ac:dyDescent="0.25">
      <c r="A172" t="s">
        <v>0</v>
      </c>
      <c r="B172" s="52" t="str">
        <f>IF(csv!F167="","",csv!T167)</f>
        <v>M65</v>
      </c>
      <c r="C172" s="31" t="str">
        <f>IF(csv!F167="","",csv!AO167)</f>
        <v>M65</v>
      </c>
      <c r="D172" s="31" t="str">
        <f>IF(csv!F167="","",csv!AP167&amp;"–"&amp;csv!AQ167&amp;"–"&amp;csv!AR167)</f>
        <v>3.17–95–6</v>
      </c>
      <c r="E172" s="66" t="str">
        <f>IF(csv!AV167&amp;csv!AX167&amp;csv!AZ167&amp;csv!BB167&amp;csv!BD167="","",csv!AV167&amp;"–"&amp;csv!AX167&amp;"–"&amp;csv!AZ167&amp;"–"&amp;csv!BB167&amp;"–"&amp;csv!BD167&amp;"–"&amp;csv!BF167&amp;"–"&amp;csv!BH167&amp;"–"&amp;csv!BJ167&amp;"–"&amp;csv!BL167&amp;"–"&amp;csv!BN167&amp;"–"&amp;csv!BP167&amp;"–"&amp;csv!BR167&amp;"–"&amp;csv!BT167&amp;"–"&amp;csv!BV167&amp;"–"&amp;csv!BX167&amp;"–"&amp;csv!BZ167&amp;"–"&amp;csv!CB167&amp;"–"&amp;csv!CD167&amp;"–"&amp;csv!CF167&amp;"–"&amp;csv!CH167&amp;"–"&amp;csv!CJ167&amp;"–"&amp;csv!CL167&amp;"–"&amp;csv!CN167&amp;"–"&amp;csv!CP167&amp;"–"&amp;csv!CR167&amp;"–"&amp;csv!CT167&amp;"–"&amp;csv!CV167&amp;"–"&amp;csv!CX166&amp;"–"&amp;csv!CZ166)</f>
        <v>63–61–64–39–54–100–––––––––––––––––––––––</v>
      </c>
      <c r="F172" t="s">
        <v>0</v>
      </c>
      <c r="O172" s="1" t="str">
        <f t="shared" si="25"/>
        <v/>
      </c>
      <c r="X172" t="s">
        <v>0</v>
      </c>
    </row>
    <row r="173" spans="1:24" x14ac:dyDescent="0.25">
      <c r="A173" t="s">
        <v>0</v>
      </c>
      <c r="B173" s="52" t="str">
        <f>IF(csv!F168="","",csv!T168)</f>
        <v>M65</v>
      </c>
      <c r="C173" s="31" t="str">
        <f>IF(csv!F168="","",csv!AO168)</f>
        <v>M65</v>
      </c>
      <c r="D173" s="31" t="str">
        <f>IF(csv!F168="","",csv!AP168&amp;"–"&amp;csv!AQ168&amp;"–"&amp;csv!AR168)</f>
        <v>3.17–95–6</v>
      </c>
      <c r="E173" s="66" t="str">
        <f>IF(csv!AV168&amp;csv!AX168&amp;csv!AZ168&amp;csv!BB168&amp;csv!BD168="","",csv!AV168&amp;"–"&amp;csv!AX168&amp;"–"&amp;csv!AZ168&amp;"–"&amp;csv!BB168&amp;"–"&amp;csv!BD168&amp;"–"&amp;csv!BF168&amp;"–"&amp;csv!BH168&amp;"–"&amp;csv!BJ168&amp;"–"&amp;csv!BL168&amp;"–"&amp;csv!BN168&amp;"–"&amp;csv!BP168&amp;"–"&amp;csv!BR168&amp;"–"&amp;csv!BT168&amp;"–"&amp;csv!BV168&amp;"–"&amp;csv!BX168&amp;"–"&amp;csv!BZ168&amp;"–"&amp;csv!CB168&amp;"–"&amp;csv!CD168&amp;"–"&amp;csv!CF168&amp;"–"&amp;csv!CH168&amp;"–"&amp;csv!CJ168&amp;"–"&amp;csv!CL168&amp;"–"&amp;csv!CN168&amp;"–"&amp;csv!CP168&amp;"–"&amp;csv!CR168&amp;"–"&amp;csv!CT168&amp;"–"&amp;csv!CV168&amp;"–"&amp;csv!CX167&amp;"–"&amp;csv!CZ167)</f>
        <v/>
      </c>
      <c r="F173" t="s">
        <v>0</v>
      </c>
      <c r="O173" s="1" t="str">
        <f t="shared" si="25"/>
        <v/>
      </c>
      <c r="X173" t="s">
        <v>0</v>
      </c>
    </row>
    <row r="174" spans="1:24" x14ac:dyDescent="0.25">
      <c r="A174" t="s">
        <v>0</v>
      </c>
      <c r="B174" s="52" t="str">
        <f>IF(csv!F169="","",csv!T169)</f>
        <v>M65</v>
      </c>
      <c r="C174" s="31" t="str">
        <f>IF(csv!F169="","",csv!AO169)</f>
        <v>M65</v>
      </c>
      <c r="D174" s="31" t="str">
        <f>IF(csv!F169="","",csv!AP169&amp;"–"&amp;csv!AQ169&amp;"–"&amp;csv!AR169)</f>
        <v>3.17–95–6</v>
      </c>
      <c r="E174" s="66" t="str">
        <f>IF(csv!AV169&amp;csv!AX169&amp;csv!AZ169&amp;csv!BB169&amp;csv!BD169="","",csv!AV169&amp;"–"&amp;csv!AX169&amp;"–"&amp;csv!AZ169&amp;"–"&amp;csv!BB169&amp;"–"&amp;csv!BD169&amp;"–"&amp;csv!BF169&amp;"–"&amp;csv!BH169&amp;"–"&amp;csv!BJ169&amp;"–"&amp;csv!BL169&amp;"–"&amp;csv!BN169&amp;"–"&amp;csv!BP169&amp;"–"&amp;csv!BR169&amp;"–"&amp;csv!BT169&amp;"–"&amp;csv!BV169&amp;"–"&amp;csv!BX169&amp;"–"&amp;csv!BZ169&amp;"–"&amp;csv!CB169&amp;"–"&amp;csv!CD169&amp;"–"&amp;csv!CF169&amp;"–"&amp;csv!CH169&amp;"–"&amp;csv!CJ169&amp;"–"&amp;csv!CL169&amp;"–"&amp;csv!CN169&amp;"–"&amp;csv!CP169&amp;"–"&amp;csv!CR169&amp;"–"&amp;csv!CT169&amp;"–"&amp;csv!CV169&amp;"–"&amp;csv!CX168&amp;"–"&amp;csv!CZ168)</f>
        <v/>
      </c>
      <c r="F174" t="s">
        <v>0</v>
      </c>
      <c r="O174" s="1" t="str">
        <f t="shared" si="25"/>
        <v/>
      </c>
      <c r="X174" t="s">
        <v>0</v>
      </c>
    </row>
    <row r="175" spans="1:24" x14ac:dyDescent="0.25">
      <c r="A175" t="s">
        <v>0</v>
      </c>
      <c r="B175" s="52" t="str">
        <f>IF(csv!F170="","",csv!T170)</f>
        <v>M70</v>
      </c>
      <c r="C175" s="31" t="str">
        <f>IF(csv!F170="","",csv!AO170)</f>
        <v>M70</v>
      </c>
      <c r="D175" s="31" t="str">
        <f>IF(csv!F170="","",csv!AP170&amp;"–"&amp;csv!AQ170&amp;"–"&amp;csv!AR170)</f>
        <v>3.17–95–6</v>
      </c>
      <c r="E175" s="66" t="str">
        <f>IF(csv!AV170&amp;csv!AX170&amp;csv!AZ170&amp;csv!BB170&amp;csv!BD170="","",csv!AV170&amp;"–"&amp;csv!AX170&amp;"–"&amp;csv!AZ170&amp;"–"&amp;csv!BB170&amp;"–"&amp;csv!BD170&amp;"–"&amp;csv!BF170&amp;"–"&amp;csv!BH170&amp;"–"&amp;csv!BJ170&amp;"–"&amp;csv!BL170&amp;"–"&amp;csv!BN170&amp;"–"&amp;csv!BP170&amp;"–"&amp;csv!BR170&amp;"–"&amp;csv!BT170&amp;"–"&amp;csv!BV170&amp;"–"&amp;csv!BX170&amp;"–"&amp;csv!BZ170&amp;"–"&amp;csv!CB170&amp;"–"&amp;csv!CD170&amp;"–"&amp;csv!CF170&amp;"–"&amp;csv!CH170&amp;"–"&amp;csv!CJ170&amp;"–"&amp;csv!CL170&amp;"–"&amp;csv!CN170&amp;"–"&amp;csv!CP170&amp;"–"&amp;csv!CR170&amp;"–"&amp;csv!CT170&amp;"–"&amp;csv!CV170&amp;"–"&amp;csv!CX169&amp;"–"&amp;csv!CZ169)</f>
        <v>63–61–64–39–54–100–––––––––––––––––––––––</v>
      </c>
      <c r="F175" t="s">
        <v>0</v>
      </c>
      <c r="O175" s="1" t="str">
        <f t="shared" si="25"/>
        <v/>
      </c>
      <c r="X175" t="s">
        <v>0</v>
      </c>
    </row>
    <row r="176" spans="1:24" x14ac:dyDescent="0.25">
      <c r="A176" t="s">
        <v>0</v>
      </c>
      <c r="B176" s="52" t="str">
        <f>IF(csv!F171="","",csv!T171)</f>
        <v>M70</v>
      </c>
      <c r="C176" s="31" t="str">
        <f>IF(csv!F171="","",csv!AO171)</f>
        <v>M70</v>
      </c>
      <c r="D176" s="31" t="str">
        <f>IF(csv!F171="","",csv!AP171&amp;"–"&amp;csv!AQ171&amp;"–"&amp;csv!AR171)</f>
        <v>3.17–95–6</v>
      </c>
      <c r="E176" s="66" t="str">
        <f>IF(csv!AV171&amp;csv!AX171&amp;csv!AZ171&amp;csv!BB171&amp;csv!BD171="","",csv!AV171&amp;"–"&amp;csv!AX171&amp;"–"&amp;csv!AZ171&amp;"–"&amp;csv!BB171&amp;"–"&amp;csv!BD171&amp;"–"&amp;csv!BF171&amp;"–"&amp;csv!BH171&amp;"–"&amp;csv!BJ171&amp;"–"&amp;csv!BL171&amp;"–"&amp;csv!BN171&amp;"–"&amp;csv!BP171&amp;"–"&amp;csv!BR171&amp;"–"&amp;csv!BT171&amp;"–"&amp;csv!BV171&amp;"–"&amp;csv!BX171&amp;"–"&amp;csv!BZ171&amp;"–"&amp;csv!CB171&amp;"–"&amp;csv!CD171&amp;"–"&amp;csv!CF171&amp;"–"&amp;csv!CH171&amp;"–"&amp;csv!CJ171&amp;"–"&amp;csv!CL171&amp;"–"&amp;csv!CN171&amp;"–"&amp;csv!CP171&amp;"–"&amp;csv!CR171&amp;"–"&amp;csv!CT171&amp;"–"&amp;csv!CV171&amp;"–"&amp;csv!CX170&amp;"–"&amp;csv!CZ170)</f>
        <v>63–61–64–39–54–100–––––––––––––––––––––––</v>
      </c>
      <c r="F176" t="s">
        <v>0</v>
      </c>
      <c r="O176" s="1" t="str">
        <f t="shared" si="25"/>
        <v/>
      </c>
      <c r="X176" t="s">
        <v>0</v>
      </c>
    </row>
    <row r="177" spans="1:24" x14ac:dyDescent="0.25">
      <c r="A177" t="s">
        <v>0</v>
      </c>
      <c r="B177" s="52" t="str">
        <f>IF(csv!F172="","",csv!T172)</f>
        <v>M70</v>
      </c>
      <c r="C177" s="31" t="str">
        <f>IF(csv!F172="","",csv!AO172)</f>
        <v>M70</v>
      </c>
      <c r="D177" s="31" t="str">
        <f>IF(csv!F172="","",csv!AP172&amp;"–"&amp;csv!AQ172&amp;"–"&amp;csv!AR172)</f>
        <v>3.17–95–6</v>
      </c>
      <c r="E177" s="66" t="str">
        <f>IF(csv!AV172&amp;csv!AX172&amp;csv!AZ172&amp;csv!BB172&amp;csv!BD172="","",csv!AV172&amp;"–"&amp;csv!AX172&amp;"–"&amp;csv!AZ172&amp;"–"&amp;csv!BB172&amp;"–"&amp;csv!BD172&amp;"–"&amp;csv!BF172&amp;"–"&amp;csv!BH172&amp;"–"&amp;csv!BJ172&amp;"–"&amp;csv!BL172&amp;"–"&amp;csv!BN172&amp;"–"&amp;csv!BP172&amp;"–"&amp;csv!BR172&amp;"–"&amp;csv!BT172&amp;"–"&amp;csv!BV172&amp;"–"&amp;csv!BX172&amp;"–"&amp;csv!BZ172&amp;"–"&amp;csv!CB172&amp;"–"&amp;csv!CD172&amp;"–"&amp;csv!CF172&amp;"–"&amp;csv!CH172&amp;"–"&amp;csv!CJ172&amp;"–"&amp;csv!CL172&amp;"–"&amp;csv!CN172&amp;"–"&amp;csv!CP172&amp;"–"&amp;csv!CR172&amp;"–"&amp;csv!CT172&amp;"–"&amp;csv!CV172&amp;"–"&amp;csv!CX171&amp;"–"&amp;csv!CZ171)</f>
        <v/>
      </c>
      <c r="F177" t="s">
        <v>0</v>
      </c>
      <c r="O177" s="1" t="str">
        <f t="shared" si="25"/>
        <v/>
      </c>
      <c r="X177" t="s">
        <v>0</v>
      </c>
    </row>
    <row r="178" spans="1:24" x14ac:dyDescent="0.25">
      <c r="A178" t="s">
        <v>0</v>
      </c>
      <c r="B178" s="52" t="str">
        <f>IF(csv!F173="","",csv!T173)</f>
        <v>M70</v>
      </c>
      <c r="C178" s="31" t="str">
        <f>IF(csv!F173="","",csv!AO173)</f>
        <v>M70</v>
      </c>
      <c r="D178" s="31" t="str">
        <f>IF(csv!F173="","",csv!AP173&amp;"–"&amp;csv!AQ173&amp;"–"&amp;csv!AR173)</f>
        <v>3.17–95–6</v>
      </c>
      <c r="E178" s="66" t="str">
        <f>IF(csv!AV173&amp;csv!AX173&amp;csv!AZ173&amp;csv!BB173&amp;csv!BD173="","",csv!AV173&amp;"–"&amp;csv!AX173&amp;"–"&amp;csv!AZ173&amp;"–"&amp;csv!BB173&amp;"–"&amp;csv!BD173&amp;"–"&amp;csv!BF173&amp;"–"&amp;csv!BH173&amp;"–"&amp;csv!BJ173&amp;"–"&amp;csv!BL173&amp;"–"&amp;csv!BN173&amp;"–"&amp;csv!BP173&amp;"–"&amp;csv!BR173&amp;"–"&amp;csv!BT173&amp;"–"&amp;csv!BV173&amp;"–"&amp;csv!BX173&amp;"–"&amp;csv!BZ173&amp;"–"&amp;csv!CB173&amp;"–"&amp;csv!CD173&amp;"–"&amp;csv!CF173&amp;"–"&amp;csv!CH173&amp;"–"&amp;csv!CJ173&amp;"–"&amp;csv!CL173&amp;"–"&amp;csv!CN173&amp;"–"&amp;csv!CP173&amp;"–"&amp;csv!CR173&amp;"–"&amp;csv!CT173&amp;"–"&amp;csv!CV173&amp;"–"&amp;csv!CX172&amp;"–"&amp;csv!CZ172)</f>
        <v/>
      </c>
      <c r="F178" t="s">
        <v>0</v>
      </c>
      <c r="O178" s="1" t="str">
        <f t="shared" si="25"/>
        <v/>
      </c>
      <c r="X178" t="s">
        <v>0</v>
      </c>
    </row>
    <row r="179" spans="1:24" x14ac:dyDescent="0.25">
      <c r="A179" t="s">
        <v>0</v>
      </c>
      <c r="B179" s="52" t="str">
        <f>IF(csv!F174="","",csv!T174)</f>
        <v>OPEN</v>
      </c>
      <c r="C179" s="31" t="str">
        <f>IF(csv!F174="","",csv!AO174)</f>
        <v>OPEN</v>
      </c>
      <c r="D179" s="31" t="str">
        <f>IF(csv!F174="","",csv!AP174&amp;"–"&amp;csv!AQ174&amp;"–"&amp;csv!AR174)</f>
        <v>3.31–125–9</v>
      </c>
      <c r="E179" s="66" t="str">
        <f>IF(csv!AV174&amp;csv!AX174&amp;csv!AZ174&amp;csv!BB174&amp;csv!BD174="","",csv!AV174&amp;"–"&amp;csv!AX174&amp;"–"&amp;csv!AZ174&amp;"–"&amp;csv!BB174&amp;"–"&amp;csv!BD174&amp;"–"&amp;csv!BF174&amp;"–"&amp;csv!BH174&amp;"–"&amp;csv!BJ174&amp;"–"&amp;csv!BL174&amp;"–"&amp;csv!BN174&amp;"–"&amp;csv!BP174&amp;"–"&amp;csv!BR174&amp;"–"&amp;csv!BT174&amp;"–"&amp;csv!BV174&amp;"–"&amp;csv!BX174&amp;"–"&amp;csv!BZ174&amp;"–"&amp;csv!CB174&amp;"–"&amp;csv!CD174&amp;"–"&amp;csv!CF174&amp;"–"&amp;csv!CH174&amp;"–"&amp;csv!CJ174&amp;"–"&amp;csv!CL174&amp;"–"&amp;csv!CN174&amp;"–"&amp;csv!CP174&amp;"–"&amp;csv!CR174&amp;"–"&amp;csv!CT174&amp;"–"&amp;csv!CV174&amp;"–"&amp;csv!CX173&amp;"–"&amp;csv!CZ173)</f>
        <v>65–63–64–53–67–68–31–55–100––––––––––––––––––––</v>
      </c>
      <c r="F179" t="s">
        <v>0</v>
      </c>
      <c r="O179" s="1" t="str">
        <f t="shared" si="25"/>
        <v/>
      </c>
      <c r="X179" t="s">
        <v>0</v>
      </c>
    </row>
    <row r="180" spans="1:24" x14ac:dyDescent="0.25">
      <c r="A180" t="s">
        <v>0</v>
      </c>
      <c r="B180" s="52" t="str">
        <f>IF(csv!F175="","",csv!T175)</f>
        <v>OPEN</v>
      </c>
      <c r="C180" s="31" t="str">
        <f>IF(csv!F175="","",csv!AO175)</f>
        <v>OPEN</v>
      </c>
      <c r="D180" s="31" t="str">
        <f>IF(csv!F175="","",csv!AP175&amp;"–"&amp;csv!AQ175&amp;"–"&amp;csv!AR175)</f>
        <v>3.31–125–9</v>
      </c>
      <c r="E180" s="66" t="str">
        <f>IF(csv!AV175&amp;csv!AX175&amp;csv!AZ175&amp;csv!BB175&amp;csv!BD175="","",csv!AV175&amp;"–"&amp;csv!AX175&amp;"–"&amp;csv!AZ175&amp;"–"&amp;csv!BB175&amp;"–"&amp;csv!BD175&amp;"–"&amp;csv!BF175&amp;"–"&amp;csv!BH175&amp;"–"&amp;csv!BJ175&amp;"–"&amp;csv!BL175&amp;"–"&amp;csv!BN175&amp;"–"&amp;csv!BP175&amp;"–"&amp;csv!BR175&amp;"–"&amp;csv!BT175&amp;"–"&amp;csv!BV175&amp;"–"&amp;csv!BX175&amp;"–"&amp;csv!BZ175&amp;"–"&amp;csv!CB175&amp;"–"&amp;csv!CD175&amp;"–"&amp;csv!CF175&amp;"–"&amp;csv!CH175&amp;"–"&amp;csv!CJ175&amp;"–"&amp;csv!CL175&amp;"–"&amp;csv!CN175&amp;"–"&amp;csv!CP175&amp;"–"&amp;csv!CR175&amp;"–"&amp;csv!CT175&amp;"–"&amp;csv!CV175&amp;"–"&amp;csv!CX174&amp;"–"&amp;csv!CZ174)</f>
        <v>65–63–64–53–67–68–31–55–100––––––––––––––––––––</v>
      </c>
      <c r="F180" t="s">
        <v>0</v>
      </c>
      <c r="O180" s="1" t="str">
        <f t="shared" si="25"/>
        <v/>
      </c>
      <c r="X180" t="s">
        <v>0</v>
      </c>
    </row>
    <row r="181" spans="1:24" x14ac:dyDescent="0.25">
      <c r="A181" t="s">
        <v>0</v>
      </c>
      <c r="B181" s="52" t="str">
        <f>IF(csv!F176="","",csv!T176)</f>
        <v>OPEN</v>
      </c>
      <c r="C181" s="31" t="str">
        <f>IF(csv!F176="","",csv!AO176)</f>
        <v>OPEN</v>
      </c>
      <c r="D181" s="31" t="str">
        <f>IF(csv!F176="","",csv!AP176&amp;"–"&amp;csv!AQ176&amp;"–"&amp;csv!AR176)</f>
        <v>3.31–125–9</v>
      </c>
      <c r="E181" s="66" t="str">
        <f>IF(csv!AV176&amp;csv!AX176&amp;csv!AZ176&amp;csv!BB176&amp;csv!BD176="","",csv!AV176&amp;"–"&amp;csv!AX176&amp;"–"&amp;csv!AZ176&amp;"–"&amp;csv!BB176&amp;"–"&amp;csv!BD176&amp;"–"&amp;csv!BF176&amp;"–"&amp;csv!BH176&amp;"–"&amp;csv!BJ176&amp;"–"&amp;csv!BL176&amp;"–"&amp;csv!BN176&amp;"–"&amp;csv!BP176&amp;"–"&amp;csv!BR176&amp;"–"&amp;csv!BT176&amp;"–"&amp;csv!BV176&amp;"–"&amp;csv!BX176&amp;"–"&amp;csv!BZ176&amp;"–"&amp;csv!CB176&amp;"–"&amp;csv!CD176&amp;"–"&amp;csv!CF176&amp;"–"&amp;csv!CH176&amp;"–"&amp;csv!CJ176&amp;"–"&amp;csv!CL176&amp;"–"&amp;csv!CN176&amp;"–"&amp;csv!CP176&amp;"–"&amp;csv!CR176&amp;"–"&amp;csv!CT176&amp;"–"&amp;csv!CV176&amp;"–"&amp;csv!CX175&amp;"–"&amp;csv!CZ175)</f>
        <v>65–63–64–53–67–68–31–55–100––––––––––––––––––––</v>
      </c>
      <c r="F181" t="s">
        <v>0</v>
      </c>
      <c r="O181" s="1" t="str">
        <f t="shared" si="25"/>
        <v/>
      </c>
      <c r="X181" t="s">
        <v>0</v>
      </c>
    </row>
    <row r="182" spans="1:24" x14ac:dyDescent="0.25">
      <c r="A182" t="s">
        <v>0</v>
      </c>
      <c r="B182" s="52" t="str">
        <f>IF(csv!F177="","",csv!T177)</f>
        <v>OPEN</v>
      </c>
      <c r="C182" s="31" t="str">
        <f>IF(csv!F177="","",csv!AO177)</f>
        <v>OPEN</v>
      </c>
      <c r="D182" s="31" t="str">
        <f>IF(csv!F177="","",csv!AP177&amp;"–"&amp;csv!AQ177&amp;"–"&amp;csv!AR177)</f>
        <v>3.31–125–9</v>
      </c>
      <c r="E182" s="66" t="str">
        <f>IF(csv!AV177&amp;csv!AX177&amp;csv!AZ177&amp;csv!BB177&amp;csv!BD177="","",csv!AV177&amp;"–"&amp;csv!AX177&amp;"–"&amp;csv!AZ177&amp;"–"&amp;csv!BB177&amp;"–"&amp;csv!BD177&amp;"–"&amp;csv!BF177&amp;"–"&amp;csv!BH177&amp;"–"&amp;csv!BJ177&amp;"–"&amp;csv!BL177&amp;"–"&amp;csv!BN177&amp;"–"&amp;csv!BP177&amp;"–"&amp;csv!BR177&amp;"–"&amp;csv!BT177&amp;"–"&amp;csv!BV177&amp;"–"&amp;csv!BX177&amp;"–"&amp;csv!BZ177&amp;"–"&amp;csv!CB177&amp;"–"&amp;csv!CD177&amp;"–"&amp;csv!CF177&amp;"–"&amp;csv!CH177&amp;"–"&amp;csv!CJ177&amp;"–"&amp;csv!CL177&amp;"–"&amp;csv!CN177&amp;"–"&amp;csv!CP177&amp;"–"&amp;csv!CR177&amp;"–"&amp;csv!CT177&amp;"–"&amp;csv!CV177&amp;"–"&amp;csv!CX176&amp;"–"&amp;csv!CZ176)</f>
        <v>65–63–64–53–67–68–31–55–100––––––––––––––––––––</v>
      </c>
      <c r="F182" t="s">
        <v>0</v>
      </c>
      <c r="O182" s="1" t="str">
        <f t="shared" si="25"/>
        <v/>
      </c>
      <c r="X182" t="s">
        <v>0</v>
      </c>
    </row>
    <row r="183" spans="1:24" x14ac:dyDescent="0.25">
      <c r="A183" t="s">
        <v>0</v>
      </c>
      <c r="B183" s="52" t="str">
        <f>IF(csv!F178="","",csv!T178)</f>
        <v>OPEN</v>
      </c>
      <c r="C183" s="31" t="str">
        <f>IF(csv!F178="","",csv!AO178)</f>
        <v>OPEN</v>
      </c>
      <c r="D183" s="31" t="str">
        <f>IF(csv!F178="","",csv!AP178&amp;"–"&amp;csv!AQ178&amp;"–"&amp;csv!AR178)</f>
        <v>3.31–125–9</v>
      </c>
      <c r="E183" s="66" t="str">
        <f>IF(csv!AV178&amp;csv!AX178&amp;csv!AZ178&amp;csv!BB178&amp;csv!BD178="","",csv!AV178&amp;"–"&amp;csv!AX178&amp;"–"&amp;csv!AZ178&amp;"–"&amp;csv!BB178&amp;"–"&amp;csv!BD178&amp;"–"&amp;csv!BF178&amp;"–"&amp;csv!BH178&amp;"–"&amp;csv!BJ178&amp;"–"&amp;csv!BL178&amp;"–"&amp;csv!BN178&amp;"–"&amp;csv!BP178&amp;"–"&amp;csv!BR178&amp;"–"&amp;csv!BT178&amp;"–"&amp;csv!BV178&amp;"–"&amp;csv!BX178&amp;"–"&amp;csv!BZ178&amp;"–"&amp;csv!CB178&amp;"–"&amp;csv!CD178&amp;"–"&amp;csv!CF178&amp;"–"&amp;csv!CH178&amp;"–"&amp;csv!CJ178&amp;"–"&amp;csv!CL178&amp;"–"&amp;csv!CN178&amp;"–"&amp;csv!CP178&amp;"–"&amp;csv!CR178&amp;"–"&amp;csv!CT178&amp;"–"&amp;csv!CV178&amp;"–"&amp;csv!CX177&amp;"–"&amp;csv!CZ177)</f>
        <v>65–63–64–53–67–68–31–55–100––––––––––––––––––––</v>
      </c>
      <c r="F183" t="s">
        <v>0</v>
      </c>
      <c r="O183" s="1" t="str">
        <f t="shared" si="25"/>
        <v/>
      </c>
      <c r="X183" t="s">
        <v>0</v>
      </c>
    </row>
    <row r="184" spans="1:24" x14ac:dyDescent="0.25">
      <c r="A184" t="s">
        <v>0</v>
      </c>
      <c r="B184" s="52" t="str">
        <f>IF(csv!F179="","",csv!T179)</f>
        <v>OPEN</v>
      </c>
      <c r="C184" s="31" t="str">
        <f>IF(csv!F179="","",csv!AO179)</f>
        <v>OPEN</v>
      </c>
      <c r="D184" s="31" t="str">
        <f>IF(csv!F179="","",csv!AP179&amp;"–"&amp;csv!AQ179&amp;"–"&amp;csv!AR179)</f>
        <v>3.31–125–9</v>
      </c>
      <c r="E184" s="66" t="str">
        <f>IF(csv!AV179&amp;csv!AX179&amp;csv!AZ179&amp;csv!BB179&amp;csv!BD179="","",csv!AV179&amp;"–"&amp;csv!AX179&amp;"–"&amp;csv!AZ179&amp;"–"&amp;csv!BB179&amp;"–"&amp;csv!BD179&amp;"–"&amp;csv!BF179&amp;"–"&amp;csv!BH179&amp;"–"&amp;csv!BJ179&amp;"–"&amp;csv!BL179&amp;"–"&amp;csv!BN179&amp;"–"&amp;csv!BP179&amp;"–"&amp;csv!BR179&amp;"–"&amp;csv!BT179&amp;"–"&amp;csv!BV179&amp;"–"&amp;csv!BX179&amp;"–"&amp;csv!BZ179&amp;"–"&amp;csv!CB179&amp;"–"&amp;csv!CD179&amp;"–"&amp;csv!CF179&amp;"–"&amp;csv!CH179&amp;"–"&amp;csv!CJ179&amp;"–"&amp;csv!CL179&amp;"–"&amp;csv!CN179&amp;"–"&amp;csv!CP179&amp;"–"&amp;csv!CR179&amp;"–"&amp;csv!CT179&amp;"–"&amp;csv!CV179&amp;"–"&amp;csv!CX178&amp;"–"&amp;csv!CZ178)</f>
        <v>65–63–64–53–67–68–31–55–100––––––––––––––––––––</v>
      </c>
      <c r="F184" t="s">
        <v>0</v>
      </c>
      <c r="O184" s="1" t="str">
        <f t="shared" si="25"/>
        <v/>
      </c>
      <c r="X184" t="s">
        <v>0</v>
      </c>
    </row>
    <row r="185" spans="1:24" x14ac:dyDescent="0.25">
      <c r="A185" t="s">
        <v>0</v>
      </c>
      <c r="B185" s="52" t="str">
        <f>IF(csv!F180="","",csv!T180)</f>
        <v>OPEN</v>
      </c>
      <c r="C185" s="31" t="str">
        <f>IF(csv!F180="","",csv!AO180)</f>
        <v>OPEN</v>
      </c>
      <c r="D185" s="31" t="str">
        <f>IF(csv!F180="","",csv!AP180&amp;"–"&amp;csv!AQ180&amp;"–"&amp;csv!AR180)</f>
        <v>3.31–125–9</v>
      </c>
      <c r="E185" s="66" t="str">
        <f>IF(csv!AV180&amp;csv!AX180&amp;csv!AZ180&amp;csv!BB180&amp;csv!BD180="","",csv!AV180&amp;"–"&amp;csv!AX180&amp;"–"&amp;csv!AZ180&amp;"–"&amp;csv!BB180&amp;"–"&amp;csv!BD180&amp;"–"&amp;csv!BF180&amp;"–"&amp;csv!BH180&amp;"–"&amp;csv!BJ180&amp;"–"&amp;csv!BL180&amp;"–"&amp;csv!BN180&amp;"–"&amp;csv!BP180&amp;"–"&amp;csv!BR180&amp;"–"&amp;csv!BT180&amp;"–"&amp;csv!BV180&amp;"–"&amp;csv!BX180&amp;"–"&amp;csv!BZ180&amp;"–"&amp;csv!CB180&amp;"–"&amp;csv!CD180&amp;"–"&amp;csv!CF180&amp;"–"&amp;csv!CH180&amp;"–"&amp;csv!CJ180&amp;"–"&amp;csv!CL180&amp;"–"&amp;csv!CN180&amp;"–"&amp;csv!CP180&amp;"–"&amp;csv!CR180&amp;"–"&amp;csv!CT180&amp;"–"&amp;csv!CV180&amp;"–"&amp;csv!CX179&amp;"–"&amp;csv!CZ179)</f>
        <v>65–63–64–53–67–68–31–55–100––––––––––––––––––––</v>
      </c>
      <c r="F185" t="s">
        <v>0</v>
      </c>
      <c r="O185" s="1" t="str">
        <f t="shared" si="25"/>
        <v/>
      </c>
      <c r="X185" t="s">
        <v>0</v>
      </c>
    </row>
    <row r="186" spans="1:24" x14ac:dyDescent="0.25">
      <c r="A186" t="s">
        <v>0</v>
      </c>
      <c r="B186" s="52" t="str">
        <f>IF(csv!F181="","",csv!T181)</f>
        <v>OPEN</v>
      </c>
      <c r="C186" s="31" t="str">
        <f>IF(csv!F181="","",csv!AO181)</f>
        <v>OPEN</v>
      </c>
      <c r="D186" s="31" t="str">
        <f>IF(csv!F181="","",csv!AP181&amp;"–"&amp;csv!AQ181&amp;"–"&amp;csv!AR181)</f>
        <v>3.31–125–9</v>
      </c>
      <c r="E186" s="66" t="str">
        <f>IF(csv!AV181&amp;csv!AX181&amp;csv!AZ181&amp;csv!BB181&amp;csv!BD181="","",csv!AV181&amp;"–"&amp;csv!AX181&amp;"–"&amp;csv!AZ181&amp;"–"&amp;csv!BB181&amp;"–"&amp;csv!BD181&amp;"–"&amp;csv!BF181&amp;"–"&amp;csv!BH181&amp;"–"&amp;csv!BJ181&amp;"–"&amp;csv!BL181&amp;"–"&amp;csv!BN181&amp;"–"&amp;csv!BP181&amp;"–"&amp;csv!BR181&amp;"–"&amp;csv!BT181&amp;"–"&amp;csv!BV181&amp;"–"&amp;csv!BX181&amp;"–"&amp;csv!BZ181&amp;"–"&amp;csv!CB181&amp;"–"&amp;csv!CD181&amp;"–"&amp;csv!CF181&amp;"–"&amp;csv!CH181&amp;"–"&amp;csv!CJ181&amp;"–"&amp;csv!CL181&amp;"–"&amp;csv!CN181&amp;"–"&amp;csv!CP181&amp;"–"&amp;csv!CR181&amp;"–"&amp;csv!CT181&amp;"–"&amp;csv!CV181&amp;"–"&amp;csv!CX180&amp;"–"&amp;csv!CZ180)</f>
        <v>65–63–64–53–67–68–31–55–100––––––––––––––––––––</v>
      </c>
      <c r="F186" t="s">
        <v>0</v>
      </c>
      <c r="O186" s="1" t="str">
        <f t="shared" si="25"/>
        <v/>
      </c>
      <c r="X186" t="s">
        <v>0</v>
      </c>
    </row>
    <row r="187" spans="1:24" x14ac:dyDescent="0.25">
      <c r="A187" t="s">
        <v>0</v>
      </c>
      <c r="B187" s="52" t="str">
        <f>IF(csv!F182="","",csv!T182)</f>
        <v>OPEN</v>
      </c>
      <c r="C187" s="31" t="str">
        <f>IF(csv!F182="","",csv!AO182)</f>
        <v>OPEN</v>
      </c>
      <c r="D187" s="31" t="str">
        <f>IF(csv!F182="","",csv!AP182&amp;"–"&amp;csv!AQ182&amp;"–"&amp;csv!AR182)</f>
        <v>3.31–125–9</v>
      </c>
      <c r="E187" s="66" t="str">
        <f>IF(csv!AV182&amp;csv!AX182&amp;csv!AZ182&amp;csv!BB182&amp;csv!BD182="","",csv!AV182&amp;"–"&amp;csv!AX182&amp;"–"&amp;csv!AZ182&amp;"–"&amp;csv!BB182&amp;"–"&amp;csv!BD182&amp;"–"&amp;csv!BF182&amp;"–"&amp;csv!BH182&amp;"–"&amp;csv!BJ182&amp;"–"&amp;csv!BL182&amp;"–"&amp;csv!BN182&amp;"–"&amp;csv!BP182&amp;"–"&amp;csv!BR182&amp;"–"&amp;csv!BT182&amp;"–"&amp;csv!BV182&amp;"–"&amp;csv!BX182&amp;"–"&amp;csv!BZ182&amp;"–"&amp;csv!CB182&amp;"–"&amp;csv!CD182&amp;"–"&amp;csv!CF182&amp;"–"&amp;csv!CH182&amp;"–"&amp;csv!CJ182&amp;"–"&amp;csv!CL182&amp;"–"&amp;csv!CN182&amp;"–"&amp;csv!CP182&amp;"–"&amp;csv!CR182&amp;"–"&amp;csv!CT182&amp;"–"&amp;csv!CV182&amp;"–"&amp;csv!CX181&amp;"–"&amp;csv!CZ181)</f>
        <v>65–63–64–53–67–68–31–55–100––––––––––––––––––––</v>
      </c>
      <c r="F187" t="s">
        <v>0</v>
      </c>
      <c r="O187" s="1" t="str">
        <f t="shared" si="25"/>
        <v/>
      </c>
      <c r="X187" t="s">
        <v>0</v>
      </c>
    </row>
    <row r="188" spans="1:24" x14ac:dyDescent="0.25">
      <c r="A188" t="s">
        <v>0</v>
      </c>
      <c r="B188" s="52" t="str">
        <f>IF(csv!F183="","",csv!T183)</f>
        <v>OPEN</v>
      </c>
      <c r="C188" s="31" t="str">
        <f>IF(csv!F183="","",csv!AO183)</f>
        <v>OPEN</v>
      </c>
      <c r="D188" s="31" t="str">
        <f>IF(csv!F183="","",csv!AP183&amp;"–"&amp;csv!AQ183&amp;"–"&amp;csv!AR183)</f>
        <v>3.31–125–9</v>
      </c>
      <c r="E188" s="66" t="str">
        <f>IF(csv!AV183&amp;csv!AX183&amp;csv!AZ183&amp;csv!BB183&amp;csv!BD183="","",csv!AV183&amp;"–"&amp;csv!AX183&amp;"–"&amp;csv!AZ183&amp;"–"&amp;csv!BB183&amp;"–"&amp;csv!BD183&amp;"–"&amp;csv!BF183&amp;"–"&amp;csv!BH183&amp;"–"&amp;csv!BJ183&amp;"–"&amp;csv!BL183&amp;"–"&amp;csv!BN183&amp;"–"&amp;csv!BP183&amp;"–"&amp;csv!BR183&amp;"–"&amp;csv!BT183&amp;"–"&amp;csv!BV183&amp;"–"&amp;csv!BX183&amp;"–"&amp;csv!BZ183&amp;"–"&amp;csv!CB183&amp;"–"&amp;csv!CD183&amp;"–"&amp;csv!CF183&amp;"–"&amp;csv!CH183&amp;"–"&amp;csv!CJ183&amp;"–"&amp;csv!CL183&amp;"–"&amp;csv!CN183&amp;"–"&amp;csv!CP183&amp;"–"&amp;csv!CR183&amp;"–"&amp;csv!CT183&amp;"–"&amp;csv!CV183&amp;"–"&amp;csv!CX182&amp;"–"&amp;csv!CZ182)</f>
        <v>65–63–64–53–67–68–31–55–100––––––––––––––––––––</v>
      </c>
      <c r="F188" t="s">
        <v>0</v>
      </c>
      <c r="O188" s="1" t="str">
        <f t="shared" si="25"/>
        <v/>
      </c>
      <c r="X188" t="s">
        <v>0</v>
      </c>
    </row>
    <row r="189" spans="1:24" x14ac:dyDescent="0.25">
      <c r="A189" t="s">
        <v>0</v>
      </c>
      <c r="B189" s="52" t="str">
        <f>IF(csv!F184="","",csv!T184)</f>
        <v>OPEN</v>
      </c>
      <c r="C189" s="31" t="str">
        <f>IF(csv!F184="","",csv!AO184)</f>
        <v>OPEN</v>
      </c>
      <c r="D189" s="31" t="str">
        <f>IF(csv!F184="","",csv!AP184&amp;"–"&amp;csv!AQ184&amp;"–"&amp;csv!AR184)</f>
        <v>3.31–125–9</v>
      </c>
      <c r="E189" s="66" t="str">
        <f>IF(csv!AV184&amp;csv!AX184&amp;csv!AZ184&amp;csv!BB184&amp;csv!BD184="","",csv!AV184&amp;"–"&amp;csv!AX184&amp;"–"&amp;csv!AZ184&amp;"–"&amp;csv!BB184&amp;"–"&amp;csv!BD184&amp;"–"&amp;csv!BF184&amp;"–"&amp;csv!BH184&amp;"–"&amp;csv!BJ184&amp;"–"&amp;csv!BL184&amp;"–"&amp;csv!BN184&amp;"–"&amp;csv!BP184&amp;"–"&amp;csv!BR184&amp;"–"&amp;csv!BT184&amp;"–"&amp;csv!BV184&amp;"–"&amp;csv!BX184&amp;"–"&amp;csv!BZ184&amp;"–"&amp;csv!CB184&amp;"–"&amp;csv!CD184&amp;"–"&amp;csv!CF184&amp;"–"&amp;csv!CH184&amp;"–"&amp;csv!CJ184&amp;"–"&amp;csv!CL184&amp;"–"&amp;csv!CN184&amp;"–"&amp;csv!CP184&amp;"–"&amp;csv!CR184&amp;"–"&amp;csv!CT184&amp;"–"&amp;csv!CV184&amp;"–"&amp;csv!CX183&amp;"–"&amp;csv!CZ183)</f>
        <v>65–63–64–53–67–68–31–55–100––––––––––––––––––––</v>
      </c>
      <c r="F189" t="s">
        <v>0</v>
      </c>
      <c r="O189" s="1" t="str">
        <f t="shared" si="25"/>
        <v/>
      </c>
      <c r="X189" t="s">
        <v>0</v>
      </c>
    </row>
    <row r="190" spans="1:24" x14ac:dyDescent="0.25">
      <c r="A190" t="s">
        <v>0</v>
      </c>
      <c r="B190" s="52" t="str">
        <f>IF(csv!F185="","",csv!T185)</f>
        <v>OPEN</v>
      </c>
      <c r="C190" s="31" t="str">
        <f>IF(csv!F185="","",csv!AO185)</f>
        <v>OPEN</v>
      </c>
      <c r="D190" s="31" t="str">
        <f>IF(csv!F185="","",csv!AP185&amp;"–"&amp;csv!AQ185&amp;"–"&amp;csv!AR185)</f>
        <v>3.31–125–9</v>
      </c>
      <c r="E190" s="66" t="str">
        <f>IF(csv!AV185&amp;csv!AX185&amp;csv!AZ185&amp;csv!BB185&amp;csv!BD185="","",csv!AV185&amp;"–"&amp;csv!AX185&amp;"–"&amp;csv!AZ185&amp;"–"&amp;csv!BB185&amp;"–"&amp;csv!BD185&amp;"–"&amp;csv!BF185&amp;"–"&amp;csv!BH185&amp;"–"&amp;csv!BJ185&amp;"–"&amp;csv!BL185&amp;"–"&amp;csv!BN185&amp;"–"&amp;csv!BP185&amp;"–"&amp;csv!BR185&amp;"–"&amp;csv!BT185&amp;"–"&amp;csv!BV185&amp;"–"&amp;csv!BX185&amp;"–"&amp;csv!BZ185&amp;"–"&amp;csv!CB185&amp;"–"&amp;csv!CD185&amp;"–"&amp;csv!CF185&amp;"–"&amp;csv!CH185&amp;"–"&amp;csv!CJ185&amp;"–"&amp;csv!CL185&amp;"–"&amp;csv!CN185&amp;"–"&amp;csv!CP185&amp;"–"&amp;csv!CR185&amp;"–"&amp;csv!CT185&amp;"–"&amp;csv!CV185&amp;"–"&amp;csv!CX184&amp;"–"&amp;csv!CZ184)</f>
        <v>65–63–64–53–67–68–31–55–100––––––––––––––––––––</v>
      </c>
      <c r="F190" t="s">
        <v>0</v>
      </c>
      <c r="O190" s="1" t="str">
        <f t="shared" si="25"/>
        <v/>
      </c>
      <c r="X190" t="s">
        <v>0</v>
      </c>
    </row>
    <row r="191" spans="1:24" x14ac:dyDescent="0.25">
      <c r="A191" t="s">
        <v>0</v>
      </c>
      <c r="B191" s="52" t="str">
        <f>IF(csv!F186="","",csv!T186)</f>
        <v>OPEN</v>
      </c>
      <c r="C191" s="31" t="str">
        <f>IF(csv!F186="","",csv!AO186)</f>
        <v>OPEN</v>
      </c>
      <c r="D191" s="31" t="str">
        <f>IF(csv!F186="","",csv!AP186&amp;"–"&amp;csv!AQ186&amp;"–"&amp;csv!AR186)</f>
        <v>3.31–125–9</v>
      </c>
      <c r="E191" s="66" t="str">
        <f>IF(csv!AV186&amp;csv!AX186&amp;csv!AZ186&amp;csv!BB186&amp;csv!BD186="","",csv!AV186&amp;"–"&amp;csv!AX186&amp;"–"&amp;csv!AZ186&amp;"–"&amp;csv!BB186&amp;"–"&amp;csv!BD186&amp;"–"&amp;csv!BF186&amp;"–"&amp;csv!BH186&amp;"–"&amp;csv!BJ186&amp;"–"&amp;csv!BL186&amp;"–"&amp;csv!BN186&amp;"–"&amp;csv!BP186&amp;"–"&amp;csv!BR186&amp;"–"&amp;csv!BT186&amp;"–"&amp;csv!BV186&amp;"–"&amp;csv!BX186&amp;"–"&amp;csv!BZ186&amp;"–"&amp;csv!CB186&amp;"–"&amp;csv!CD186&amp;"–"&amp;csv!CF186&amp;"–"&amp;csv!CH186&amp;"–"&amp;csv!CJ186&amp;"–"&amp;csv!CL186&amp;"–"&amp;csv!CN186&amp;"–"&amp;csv!CP186&amp;"–"&amp;csv!CR186&amp;"–"&amp;csv!CT186&amp;"–"&amp;csv!CV186&amp;"–"&amp;csv!CX185&amp;"–"&amp;csv!CZ185)</f>
        <v/>
      </c>
      <c r="F191" t="s">
        <v>0</v>
      </c>
      <c r="O191" s="1" t="str">
        <f t="shared" si="25"/>
        <v/>
      </c>
      <c r="X191" t="s">
        <v>0</v>
      </c>
    </row>
    <row r="192" spans="1:24" x14ac:dyDescent="0.25">
      <c r="A192" t="s">
        <v>0</v>
      </c>
      <c r="B192" s="52" t="str">
        <f>IF(csv!F187="","",csv!T187)</f>
        <v>OPEN</v>
      </c>
      <c r="C192" s="31" t="str">
        <f>IF(csv!F187="","",csv!AO187)</f>
        <v>OPEN</v>
      </c>
      <c r="D192" s="31" t="str">
        <f>IF(csv!F187="","",csv!AP187&amp;"–"&amp;csv!AQ187&amp;"–"&amp;csv!AR187)</f>
        <v>3.31–125–9</v>
      </c>
      <c r="E192" s="66" t="str">
        <f>IF(csv!AV187&amp;csv!AX187&amp;csv!AZ187&amp;csv!BB187&amp;csv!BD187="","",csv!AV187&amp;"–"&amp;csv!AX187&amp;"–"&amp;csv!AZ187&amp;"–"&amp;csv!BB187&amp;"–"&amp;csv!BD187&amp;"–"&amp;csv!BF187&amp;"–"&amp;csv!BH187&amp;"–"&amp;csv!BJ187&amp;"–"&amp;csv!BL187&amp;"–"&amp;csv!BN187&amp;"–"&amp;csv!BP187&amp;"–"&amp;csv!BR187&amp;"–"&amp;csv!BT187&amp;"–"&amp;csv!BV187&amp;"–"&amp;csv!BX187&amp;"–"&amp;csv!BZ187&amp;"–"&amp;csv!CB187&amp;"–"&amp;csv!CD187&amp;"–"&amp;csv!CF187&amp;"–"&amp;csv!CH187&amp;"–"&amp;csv!CJ187&amp;"–"&amp;csv!CL187&amp;"–"&amp;csv!CN187&amp;"–"&amp;csv!CP187&amp;"–"&amp;csv!CR187&amp;"–"&amp;csv!CT187&amp;"–"&amp;csv!CV187&amp;"–"&amp;csv!CX186&amp;"–"&amp;csv!CZ186)</f>
        <v>65––64–53–67–68–31–55–100––––––––––––––––––––</v>
      </c>
      <c r="F192" t="s">
        <v>0</v>
      </c>
      <c r="O192" s="1" t="str">
        <f t="shared" si="25"/>
        <v/>
      </c>
      <c r="X192" t="s">
        <v>0</v>
      </c>
    </row>
    <row r="193" spans="1:24" x14ac:dyDescent="0.25">
      <c r="A193" t="s">
        <v>0</v>
      </c>
      <c r="B193" s="52" t="str">
        <f>IF(csv!F188="","",csv!T188)</f>
        <v>OPEN</v>
      </c>
      <c r="C193" s="31" t="str">
        <f>IF(csv!F188="","",csv!AO188)</f>
        <v>OPEN</v>
      </c>
      <c r="D193" s="31" t="str">
        <f>IF(csv!F188="","",csv!AP188&amp;"–"&amp;csv!AQ188&amp;"–"&amp;csv!AR188)</f>
        <v>3.31–125–9</v>
      </c>
      <c r="E193" s="66" t="str">
        <f>IF(csv!AV188&amp;csv!AX188&amp;csv!AZ188&amp;csv!BB188&amp;csv!BD188="","",csv!AV188&amp;"–"&amp;csv!AX188&amp;"–"&amp;csv!AZ188&amp;"–"&amp;csv!BB188&amp;"–"&amp;csv!BD188&amp;"–"&amp;csv!BF188&amp;"–"&amp;csv!BH188&amp;"–"&amp;csv!BJ188&amp;"–"&amp;csv!BL188&amp;"–"&amp;csv!BN188&amp;"–"&amp;csv!BP188&amp;"–"&amp;csv!BR188&amp;"–"&amp;csv!BT188&amp;"–"&amp;csv!BV188&amp;"–"&amp;csv!BX188&amp;"–"&amp;csv!BZ188&amp;"–"&amp;csv!CB188&amp;"–"&amp;csv!CD188&amp;"–"&amp;csv!CF188&amp;"–"&amp;csv!CH188&amp;"–"&amp;csv!CJ188&amp;"–"&amp;csv!CL188&amp;"–"&amp;csv!CN188&amp;"–"&amp;csv!CP188&amp;"–"&amp;csv!CR188&amp;"–"&amp;csv!CT188&amp;"–"&amp;csv!CV188&amp;"–"&amp;csv!CX187&amp;"–"&amp;csv!CZ187)</f>
        <v/>
      </c>
      <c r="F193" t="s">
        <v>0</v>
      </c>
      <c r="O193" s="1" t="str">
        <f t="shared" si="25"/>
        <v/>
      </c>
      <c r="X193" t="s">
        <v>0</v>
      </c>
    </row>
    <row r="194" spans="1:24" x14ac:dyDescent="0.25">
      <c r="A194" t="s">
        <v>0</v>
      </c>
      <c r="B194" s="52" t="str">
        <f>IF(csv!F189="","",csv!T189)</f>
        <v>OPEN</v>
      </c>
      <c r="C194" s="31" t="str">
        <f>IF(csv!F189="","",csv!AO189)</f>
        <v>OPEN</v>
      </c>
      <c r="D194" s="31" t="str">
        <f>IF(csv!F189="","",csv!AP189&amp;"–"&amp;csv!AQ189&amp;"–"&amp;csv!AR189)</f>
        <v>3.31–125–9</v>
      </c>
      <c r="E194" s="66" t="str">
        <f>IF(csv!AV189&amp;csv!AX189&amp;csv!AZ189&amp;csv!BB189&amp;csv!BD189="","",csv!AV189&amp;"–"&amp;csv!AX189&amp;"–"&amp;csv!AZ189&amp;"–"&amp;csv!BB189&amp;"–"&amp;csv!BD189&amp;"–"&amp;csv!BF189&amp;"–"&amp;csv!BH189&amp;"–"&amp;csv!BJ189&amp;"–"&amp;csv!BL189&amp;"–"&amp;csv!BN189&amp;"–"&amp;csv!BP189&amp;"–"&amp;csv!BR189&amp;"–"&amp;csv!BT189&amp;"–"&amp;csv!BV189&amp;"–"&amp;csv!BX189&amp;"–"&amp;csv!BZ189&amp;"–"&amp;csv!CB189&amp;"–"&amp;csv!CD189&amp;"–"&amp;csv!CF189&amp;"–"&amp;csv!CH189&amp;"–"&amp;csv!CJ189&amp;"–"&amp;csv!CL189&amp;"–"&amp;csv!CN189&amp;"–"&amp;csv!CP189&amp;"–"&amp;csv!CR189&amp;"–"&amp;csv!CT189&amp;"–"&amp;csv!CV189&amp;"–"&amp;csv!CX188&amp;"–"&amp;csv!CZ188)</f>
        <v>65––––––––100––––––––––––––––––––</v>
      </c>
      <c r="F194" t="s">
        <v>0</v>
      </c>
      <c r="O194" s="1" t="str">
        <f t="shared" si="25"/>
        <v/>
      </c>
      <c r="X194" t="s">
        <v>0</v>
      </c>
    </row>
    <row r="195" spans="1:24" x14ac:dyDescent="0.25">
      <c r="A195" t="s">
        <v>0</v>
      </c>
      <c r="B195" s="52" t="str">
        <f>IF(csv!F190="","",csv!T190)</f>
        <v>OPEN</v>
      </c>
      <c r="C195" s="31" t="str">
        <f>IF(csv!F190="","",csv!AO190)</f>
        <v>OPEN</v>
      </c>
      <c r="D195" s="31" t="str">
        <f>IF(csv!F190="","",csv!AP190&amp;"–"&amp;csv!AQ190&amp;"–"&amp;csv!AR190)</f>
        <v>3.31–125–9</v>
      </c>
      <c r="E195" s="66" t="str">
        <f>IF(csv!AV190&amp;csv!AX190&amp;csv!AZ190&amp;csv!BB190&amp;csv!BD190="","",csv!AV190&amp;"–"&amp;csv!AX190&amp;"–"&amp;csv!AZ190&amp;"–"&amp;csv!BB190&amp;"–"&amp;csv!BD190&amp;"–"&amp;csv!BF190&amp;"–"&amp;csv!BH190&amp;"–"&amp;csv!BJ190&amp;"–"&amp;csv!BL190&amp;"–"&amp;csv!BN190&amp;"–"&amp;csv!BP190&amp;"–"&amp;csv!BR190&amp;"–"&amp;csv!BT190&amp;"–"&amp;csv!BV190&amp;"–"&amp;csv!BX190&amp;"–"&amp;csv!BZ190&amp;"–"&amp;csv!CB190&amp;"–"&amp;csv!CD190&amp;"–"&amp;csv!CF190&amp;"–"&amp;csv!CH190&amp;"–"&amp;csv!CJ190&amp;"–"&amp;csv!CL190&amp;"–"&amp;csv!CN190&amp;"–"&amp;csv!CP190&amp;"–"&amp;csv!CR190&amp;"–"&amp;csv!CT190&amp;"–"&amp;csv!CV190&amp;"–"&amp;csv!CX189&amp;"–"&amp;csv!CZ189)</f>
        <v>65–63–64–53–67––31–55–100––––––––––––––––––––</v>
      </c>
      <c r="F195" t="s">
        <v>0</v>
      </c>
      <c r="O195" s="1" t="str">
        <f t="shared" si="25"/>
        <v/>
      </c>
      <c r="X195" t="s">
        <v>0</v>
      </c>
    </row>
    <row r="196" spans="1:24" x14ac:dyDescent="0.25">
      <c r="A196" t="s">
        <v>0</v>
      </c>
      <c r="B196" s="52" t="str">
        <f>IF(csv!F191="","",csv!T191)</f>
        <v>OPEN</v>
      </c>
      <c r="C196" s="31" t="str">
        <f>IF(csv!F191="","",csv!AO191)</f>
        <v>OPEN</v>
      </c>
      <c r="D196" s="31" t="str">
        <f>IF(csv!F191="","",csv!AP191&amp;"–"&amp;csv!AQ191&amp;"–"&amp;csv!AR191)</f>
        <v>3.31–125–9</v>
      </c>
      <c r="E196" s="66" t="str">
        <f>IF(csv!AV191&amp;csv!AX191&amp;csv!AZ191&amp;csv!BB191&amp;csv!BD191="","",csv!AV191&amp;"–"&amp;csv!AX191&amp;"–"&amp;csv!AZ191&amp;"–"&amp;csv!BB191&amp;"–"&amp;csv!BD191&amp;"–"&amp;csv!BF191&amp;"–"&amp;csv!BH191&amp;"–"&amp;csv!BJ191&amp;"–"&amp;csv!BL191&amp;"–"&amp;csv!BN191&amp;"–"&amp;csv!BP191&amp;"–"&amp;csv!BR191&amp;"–"&amp;csv!BT191&amp;"–"&amp;csv!BV191&amp;"–"&amp;csv!BX191&amp;"–"&amp;csv!BZ191&amp;"–"&amp;csv!CB191&amp;"–"&amp;csv!CD191&amp;"–"&amp;csv!CF191&amp;"–"&amp;csv!CH191&amp;"–"&amp;csv!CJ191&amp;"–"&amp;csv!CL191&amp;"–"&amp;csv!CN191&amp;"–"&amp;csv!CP191&amp;"–"&amp;csv!CR191&amp;"–"&amp;csv!CT191&amp;"–"&amp;csv!CV191&amp;"–"&amp;csv!CX190&amp;"–"&amp;csv!CZ190)</f>
        <v/>
      </c>
      <c r="F196" t="s">
        <v>0</v>
      </c>
      <c r="O196" s="1" t="str">
        <f t="shared" si="25"/>
        <v/>
      </c>
      <c r="X196" t="s">
        <v>0</v>
      </c>
    </row>
    <row r="197" spans="1:24" x14ac:dyDescent="0.25">
      <c r="A197" t="s">
        <v>0</v>
      </c>
      <c r="B197" s="52" t="str">
        <f>IF(csv!F192="","",csv!T192)</f>
        <v>OPEN</v>
      </c>
      <c r="C197" s="31" t="str">
        <f>IF(csv!F192="","",csv!AO192)</f>
        <v>OPEN</v>
      </c>
      <c r="D197" s="31" t="str">
        <f>IF(csv!F192="","",csv!AP192&amp;"–"&amp;csv!AQ192&amp;"–"&amp;csv!AR192)</f>
        <v>3.31–125–9</v>
      </c>
      <c r="E197" s="66" t="str">
        <f>IF(csv!AV192&amp;csv!AX192&amp;csv!AZ192&amp;csv!BB192&amp;csv!BD192="","",csv!AV192&amp;"–"&amp;csv!AX192&amp;"–"&amp;csv!AZ192&amp;"–"&amp;csv!BB192&amp;"–"&amp;csv!BD192&amp;"–"&amp;csv!BF192&amp;"–"&amp;csv!BH192&amp;"–"&amp;csv!BJ192&amp;"–"&amp;csv!BL192&amp;"–"&amp;csv!BN192&amp;"–"&amp;csv!BP192&amp;"–"&amp;csv!BR192&amp;"–"&amp;csv!BT192&amp;"–"&amp;csv!BV192&amp;"–"&amp;csv!BX192&amp;"–"&amp;csv!BZ192&amp;"–"&amp;csv!CB192&amp;"–"&amp;csv!CD192&amp;"–"&amp;csv!CF192&amp;"–"&amp;csv!CH192&amp;"–"&amp;csv!CJ192&amp;"–"&amp;csv!CL192&amp;"–"&amp;csv!CN192&amp;"–"&amp;csv!CP192&amp;"–"&amp;csv!CR192&amp;"–"&amp;csv!CT192&amp;"–"&amp;csv!CV192&amp;"–"&amp;csv!CX191&amp;"–"&amp;csv!CZ191)</f>
        <v>65––––––––––––––––––––––––––––</v>
      </c>
      <c r="F197" t="s">
        <v>0</v>
      </c>
      <c r="O197" s="1" t="str">
        <f t="shared" si="25"/>
        <v/>
      </c>
      <c r="X197" t="s">
        <v>0</v>
      </c>
    </row>
    <row r="198" spans="1:24" x14ac:dyDescent="0.25">
      <c r="A198" t="s">
        <v>0</v>
      </c>
      <c r="B198" s="52" t="str">
        <f>IF(csv!F193="","",csv!T193)</f>
        <v>OPEN</v>
      </c>
      <c r="C198" s="31" t="str">
        <f>IF(csv!F193="","",csv!AO193)</f>
        <v>OPEN</v>
      </c>
      <c r="D198" s="31" t="str">
        <f>IF(csv!F193="","",csv!AP193&amp;"–"&amp;csv!AQ193&amp;"–"&amp;csv!AR193)</f>
        <v>3.31–125–9</v>
      </c>
      <c r="E198" s="66" t="str">
        <f>IF(csv!AV193&amp;csv!AX193&amp;csv!AZ193&amp;csv!BB193&amp;csv!BD193="","",csv!AV193&amp;"–"&amp;csv!AX193&amp;"–"&amp;csv!AZ193&amp;"–"&amp;csv!BB193&amp;"–"&amp;csv!BD193&amp;"–"&amp;csv!BF193&amp;"–"&amp;csv!BH193&amp;"–"&amp;csv!BJ193&amp;"–"&amp;csv!BL193&amp;"–"&amp;csv!BN193&amp;"–"&amp;csv!BP193&amp;"–"&amp;csv!BR193&amp;"–"&amp;csv!BT193&amp;"–"&amp;csv!BV193&amp;"–"&amp;csv!BX193&amp;"–"&amp;csv!BZ193&amp;"–"&amp;csv!CB193&amp;"–"&amp;csv!CD193&amp;"–"&amp;csv!CF193&amp;"–"&amp;csv!CH193&amp;"–"&amp;csv!CJ193&amp;"–"&amp;csv!CL193&amp;"–"&amp;csv!CN193&amp;"–"&amp;csv!CP193&amp;"–"&amp;csv!CR193&amp;"–"&amp;csv!CT193&amp;"–"&amp;csv!CV193&amp;"–"&amp;csv!CX192&amp;"–"&amp;csv!CZ192)</f>
        <v/>
      </c>
      <c r="F198" t="s">
        <v>0</v>
      </c>
      <c r="O198" s="1" t="str">
        <f t="shared" si="25"/>
        <v/>
      </c>
      <c r="X198" t="s">
        <v>0</v>
      </c>
    </row>
    <row r="199" spans="1:24" x14ac:dyDescent="0.25">
      <c r="A199" t="s">
        <v>0</v>
      </c>
      <c r="B199" s="52" t="str">
        <f>IF(csv!F194="","",csv!T194)</f>
        <v>OPEN</v>
      </c>
      <c r="C199" s="31" t="str">
        <f>IF(csv!F194="","",csv!AO194)</f>
        <v>OPEN</v>
      </c>
      <c r="D199" s="31" t="str">
        <f>IF(csv!F194="","",csv!AP194&amp;"–"&amp;csv!AQ194&amp;"–"&amp;csv!AR194)</f>
        <v>3.31–125–9</v>
      </c>
      <c r="E199" s="66" t="str">
        <f>IF(csv!AV194&amp;csv!AX194&amp;csv!AZ194&amp;csv!BB194&amp;csv!BD194="","",csv!AV194&amp;"–"&amp;csv!AX194&amp;"–"&amp;csv!AZ194&amp;"–"&amp;csv!BB194&amp;"–"&amp;csv!BD194&amp;"–"&amp;csv!BF194&amp;"–"&amp;csv!BH194&amp;"–"&amp;csv!BJ194&amp;"–"&amp;csv!BL194&amp;"–"&amp;csv!BN194&amp;"–"&amp;csv!BP194&amp;"–"&amp;csv!BR194&amp;"–"&amp;csv!BT194&amp;"–"&amp;csv!BV194&amp;"–"&amp;csv!BX194&amp;"–"&amp;csv!BZ194&amp;"–"&amp;csv!CB194&amp;"–"&amp;csv!CD194&amp;"–"&amp;csv!CF194&amp;"–"&amp;csv!CH194&amp;"–"&amp;csv!CJ194&amp;"–"&amp;csv!CL194&amp;"–"&amp;csv!CN194&amp;"–"&amp;csv!CP194&amp;"–"&amp;csv!CR194&amp;"–"&amp;csv!CT194&amp;"–"&amp;csv!CV194&amp;"–"&amp;csv!CX193&amp;"–"&amp;csv!CZ193)</f>
        <v/>
      </c>
      <c r="F199" t="s">
        <v>0</v>
      </c>
      <c r="O199" s="1" t="str">
        <f t="shared" si="25"/>
        <v/>
      </c>
      <c r="X199" t="s">
        <v>0</v>
      </c>
    </row>
    <row r="200" spans="1:24" x14ac:dyDescent="0.25">
      <c r="A200" t="s">
        <v>0</v>
      </c>
      <c r="B200" s="52" t="str">
        <f>IF(csv!F195="","",csv!T195)</f>
        <v>OPEN</v>
      </c>
      <c r="C200" s="31" t="str">
        <f>IF(csv!F195="","",csv!AO195)</f>
        <v>OPEN</v>
      </c>
      <c r="D200" s="31" t="str">
        <f>IF(csv!F195="","",csv!AP195&amp;"–"&amp;csv!AQ195&amp;"–"&amp;csv!AR195)</f>
        <v>3.31–125–9</v>
      </c>
      <c r="E200" s="66" t="str">
        <f>IF(csv!AV195&amp;csv!AX195&amp;csv!AZ195&amp;csv!BB195&amp;csv!BD195="","",csv!AV195&amp;"–"&amp;csv!AX195&amp;"–"&amp;csv!AZ195&amp;"–"&amp;csv!BB195&amp;"–"&amp;csv!BD195&amp;"–"&amp;csv!BF195&amp;"–"&amp;csv!BH195&amp;"–"&amp;csv!BJ195&amp;"–"&amp;csv!BL195&amp;"–"&amp;csv!BN195&amp;"–"&amp;csv!BP195&amp;"–"&amp;csv!BR195&amp;"–"&amp;csv!BT195&amp;"–"&amp;csv!BV195&amp;"–"&amp;csv!BX195&amp;"–"&amp;csv!BZ195&amp;"–"&amp;csv!CB195&amp;"–"&amp;csv!CD195&amp;"–"&amp;csv!CF195&amp;"–"&amp;csv!CH195&amp;"–"&amp;csv!CJ195&amp;"–"&amp;csv!CL195&amp;"–"&amp;csv!CN195&amp;"–"&amp;csv!CP195&amp;"–"&amp;csv!CR195&amp;"–"&amp;csv!CT195&amp;"–"&amp;csv!CV195&amp;"–"&amp;csv!CX194&amp;"–"&amp;csv!CZ194)</f>
        <v/>
      </c>
      <c r="F200" t="s">
        <v>0</v>
      </c>
      <c r="O200" s="1" t="str">
        <f t="shared" si="25"/>
        <v/>
      </c>
      <c r="X200" t="s">
        <v>0</v>
      </c>
    </row>
    <row r="201" spans="1:24" x14ac:dyDescent="0.25">
      <c r="A201" t="s">
        <v>0</v>
      </c>
      <c r="B201" s="52" t="str">
        <f>IF(csv!F196="","",csv!T196)</f>
        <v>OPEN</v>
      </c>
      <c r="C201" s="31" t="str">
        <f>IF(csv!F196="","",csv!AO196)</f>
        <v>OPEN</v>
      </c>
      <c r="D201" s="31" t="str">
        <f>IF(csv!F196="","",csv!AP196&amp;"–"&amp;csv!AQ196&amp;"–"&amp;csv!AR196)</f>
        <v>3.31–125–9</v>
      </c>
      <c r="E201" s="66" t="str">
        <f>IF(csv!AV196&amp;csv!AX196&amp;csv!AZ196&amp;csv!BB196&amp;csv!BD196="","",csv!AV196&amp;"–"&amp;csv!AX196&amp;"–"&amp;csv!AZ196&amp;"–"&amp;csv!BB196&amp;"–"&amp;csv!BD196&amp;"–"&amp;csv!BF196&amp;"–"&amp;csv!BH196&amp;"–"&amp;csv!BJ196&amp;"–"&amp;csv!BL196&amp;"–"&amp;csv!BN196&amp;"–"&amp;csv!BP196&amp;"–"&amp;csv!BR196&amp;"–"&amp;csv!BT196&amp;"–"&amp;csv!BV196&amp;"–"&amp;csv!BX196&amp;"–"&amp;csv!BZ196&amp;"–"&amp;csv!CB196&amp;"–"&amp;csv!CD196&amp;"–"&amp;csv!CF196&amp;"–"&amp;csv!CH196&amp;"–"&amp;csv!CJ196&amp;"–"&amp;csv!CL196&amp;"–"&amp;csv!CN196&amp;"–"&amp;csv!CP196&amp;"–"&amp;csv!CR196&amp;"–"&amp;csv!CT196&amp;"–"&amp;csv!CV196&amp;"–"&amp;csv!CX195&amp;"–"&amp;csv!CZ195)</f>
        <v>65––––––––––––––––––––––––––––</v>
      </c>
      <c r="F201" t="s">
        <v>0</v>
      </c>
      <c r="O201" s="1" t="str">
        <f t="shared" ref="O201:O264" si="26">IF(N201="","",IF(N201&lt;&gt;N200,N201,""))</f>
        <v/>
      </c>
      <c r="X201" t="s">
        <v>0</v>
      </c>
    </row>
    <row r="202" spans="1:24" x14ac:dyDescent="0.25">
      <c r="A202" t="s">
        <v>0</v>
      </c>
      <c r="B202" s="52" t="str">
        <f>IF(csv!F197="","",csv!T197)</f>
        <v>OPEN</v>
      </c>
      <c r="C202" s="31" t="str">
        <f>IF(csv!F197="","",csv!AO197)</f>
        <v>OPEN</v>
      </c>
      <c r="D202" s="31" t="str">
        <f>IF(csv!F197="","",csv!AP197&amp;"–"&amp;csv!AQ197&amp;"–"&amp;csv!AR197)</f>
        <v>3.31–125–9</v>
      </c>
      <c r="E202" s="66" t="str">
        <f>IF(csv!AV197&amp;csv!AX197&amp;csv!AZ197&amp;csv!BB197&amp;csv!BD197="","",csv!AV197&amp;"–"&amp;csv!AX197&amp;"–"&amp;csv!AZ197&amp;"–"&amp;csv!BB197&amp;"–"&amp;csv!BD197&amp;"–"&amp;csv!BF197&amp;"–"&amp;csv!BH197&amp;"–"&amp;csv!BJ197&amp;"–"&amp;csv!BL197&amp;"–"&amp;csv!BN197&amp;"–"&amp;csv!BP197&amp;"–"&amp;csv!BR197&amp;"–"&amp;csv!BT197&amp;"–"&amp;csv!BV197&amp;"–"&amp;csv!BX197&amp;"–"&amp;csv!BZ197&amp;"–"&amp;csv!CB197&amp;"–"&amp;csv!CD197&amp;"–"&amp;csv!CF197&amp;"–"&amp;csv!CH197&amp;"–"&amp;csv!CJ197&amp;"–"&amp;csv!CL197&amp;"–"&amp;csv!CN197&amp;"–"&amp;csv!CP197&amp;"–"&amp;csv!CR197&amp;"–"&amp;csv!CT197&amp;"–"&amp;csv!CV197&amp;"–"&amp;csv!CX196&amp;"–"&amp;csv!CZ196)</f>
        <v/>
      </c>
      <c r="F202" t="s">
        <v>0</v>
      </c>
      <c r="O202" s="1" t="str">
        <f t="shared" si="26"/>
        <v/>
      </c>
      <c r="X202" t="s">
        <v>0</v>
      </c>
    </row>
    <row r="203" spans="1:24" x14ac:dyDescent="0.25">
      <c r="A203" t="s">
        <v>0</v>
      </c>
      <c r="B203" s="52" t="str">
        <f>IF(csv!F198="","",csv!T198)</f>
        <v>OPEN</v>
      </c>
      <c r="C203" s="31" t="str">
        <f>IF(csv!F198="","",csv!AO198)</f>
        <v>OPEN</v>
      </c>
      <c r="D203" s="31" t="str">
        <f>IF(csv!F198="","",csv!AP198&amp;"–"&amp;csv!AQ198&amp;"–"&amp;csv!AR198)</f>
        <v>3.31–125–9</v>
      </c>
      <c r="E203" s="66" t="str">
        <f>IF(csv!AV198&amp;csv!AX198&amp;csv!AZ198&amp;csv!BB198&amp;csv!BD198="","",csv!AV198&amp;"–"&amp;csv!AX198&amp;"–"&amp;csv!AZ198&amp;"–"&amp;csv!BB198&amp;"–"&amp;csv!BD198&amp;"–"&amp;csv!BF198&amp;"–"&amp;csv!BH198&amp;"–"&amp;csv!BJ198&amp;"–"&amp;csv!BL198&amp;"–"&amp;csv!BN198&amp;"–"&amp;csv!BP198&amp;"–"&amp;csv!BR198&amp;"–"&amp;csv!BT198&amp;"–"&amp;csv!BV198&amp;"–"&amp;csv!BX198&amp;"–"&amp;csv!BZ198&amp;"–"&amp;csv!CB198&amp;"–"&amp;csv!CD198&amp;"–"&amp;csv!CF198&amp;"–"&amp;csv!CH198&amp;"–"&amp;csv!CJ198&amp;"–"&amp;csv!CL198&amp;"–"&amp;csv!CN198&amp;"–"&amp;csv!CP198&amp;"–"&amp;csv!CR198&amp;"–"&amp;csv!CT198&amp;"–"&amp;csv!CV198&amp;"–"&amp;csv!CX197&amp;"–"&amp;csv!CZ197)</f>
        <v/>
      </c>
      <c r="F203" t="s">
        <v>0</v>
      </c>
      <c r="O203" s="1" t="str">
        <f t="shared" si="26"/>
        <v/>
      </c>
      <c r="X203" t="s">
        <v>0</v>
      </c>
    </row>
    <row r="204" spans="1:24" x14ac:dyDescent="0.25">
      <c r="A204" t="s">
        <v>0</v>
      </c>
      <c r="B204" s="52" t="str">
        <f>IF(csv!F199="","",csv!T199)</f>
        <v>Ž12</v>
      </c>
      <c r="C204" s="31" t="str">
        <f>IF(csv!F199="","",csv!AO199)</f>
        <v>Ž12</v>
      </c>
      <c r="D204" s="31" t="str">
        <f>IF(csv!F199="","",csv!AP199&amp;"–"&amp;csv!AQ199&amp;"–"&amp;csv!AR199)</f>
        <v>1.93–30–7</v>
      </c>
      <c r="E204" s="66" t="str">
        <f>IF(csv!AV199&amp;csv!AX199&amp;csv!AZ199&amp;csv!BB199&amp;csv!BD199="","",csv!AV199&amp;"–"&amp;csv!AX199&amp;"–"&amp;csv!AZ199&amp;"–"&amp;csv!BB199&amp;"–"&amp;csv!BD199&amp;"–"&amp;csv!BF199&amp;"–"&amp;csv!BH199&amp;"–"&amp;csv!BJ199&amp;"–"&amp;csv!BL199&amp;"–"&amp;csv!BN199&amp;"–"&amp;csv!BP199&amp;"–"&amp;csv!BR199&amp;"–"&amp;csv!BT199&amp;"–"&amp;csv!BV199&amp;"–"&amp;csv!BX199&amp;"–"&amp;csv!BZ199&amp;"–"&amp;csv!CB199&amp;"–"&amp;csv!CD199&amp;"–"&amp;csv!CF199&amp;"–"&amp;csv!CH199&amp;"–"&amp;csv!CJ199&amp;"–"&amp;csv!CL199&amp;"–"&amp;csv!CN199&amp;"–"&amp;csv!CP199&amp;"–"&amp;csv!CR199&amp;"–"&amp;csv!CT199&amp;"–"&amp;csv!CV199&amp;"–"&amp;csv!CX198&amp;"–"&amp;csv!CZ198)</f>
        <v>35–59–60–66–34–38–100––––––––––––––––––––––</v>
      </c>
      <c r="F204" t="s">
        <v>0</v>
      </c>
      <c r="O204" s="1" t="str">
        <f t="shared" si="26"/>
        <v/>
      </c>
      <c r="X204" t="s">
        <v>0</v>
      </c>
    </row>
    <row r="205" spans="1:24" x14ac:dyDescent="0.25">
      <c r="A205" t="s">
        <v>0</v>
      </c>
      <c r="B205" s="52" t="str">
        <f>IF(csv!F200="","",csv!T200)</f>
        <v>Ž12</v>
      </c>
      <c r="C205" s="31" t="str">
        <f>IF(csv!F200="","",csv!AO200)</f>
        <v>Ž12</v>
      </c>
      <c r="D205" s="31" t="str">
        <f>IF(csv!F200="","",csv!AP200&amp;"–"&amp;csv!AQ200&amp;"–"&amp;csv!AR200)</f>
        <v>1.93–30–7</v>
      </c>
      <c r="E205" s="66" t="str">
        <f>IF(csv!AV200&amp;csv!AX200&amp;csv!AZ200&amp;csv!BB200&amp;csv!BD200="","",csv!AV200&amp;"–"&amp;csv!AX200&amp;"–"&amp;csv!AZ200&amp;"–"&amp;csv!BB200&amp;"–"&amp;csv!BD200&amp;"–"&amp;csv!BF200&amp;"–"&amp;csv!BH200&amp;"–"&amp;csv!BJ200&amp;"–"&amp;csv!BL200&amp;"–"&amp;csv!BN200&amp;"–"&amp;csv!BP200&amp;"–"&amp;csv!BR200&amp;"–"&amp;csv!BT200&amp;"–"&amp;csv!BV200&amp;"–"&amp;csv!BX200&amp;"–"&amp;csv!BZ200&amp;"–"&amp;csv!CB200&amp;"–"&amp;csv!CD200&amp;"–"&amp;csv!CF200&amp;"–"&amp;csv!CH200&amp;"–"&amp;csv!CJ200&amp;"–"&amp;csv!CL200&amp;"–"&amp;csv!CN200&amp;"–"&amp;csv!CP200&amp;"–"&amp;csv!CR200&amp;"–"&amp;csv!CT200&amp;"–"&amp;csv!CV200&amp;"–"&amp;csv!CX199&amp;"–"&amp;csv!CZ199)</f>
        <v>35–59–60–66–34–38–100––––––––––––––––––––––</v>
      </c>
      <c r="F205" t="s">
        <v>0</v>
      </c>
      <c r="O205" s="1" t="str">
        <f t="shared" si="26"/>
        <v/>
      </c>
      <c r="X205" t="s">
        <v>0</v>
      </c>
    </row>
    <row r="206" spans="1:24" x14ac:dyDescent="0.25">
      <c r="A206" t="s">
        <v>0</v>
      </c>
      <c r="B206" s="52" t="str">
        <f>IF(csv!F201="","",csv!T201)</f>
        <v>Ž12</v>
      </c>
      <c r="C206" s="31" t="str">
        <f>IF(csv!F201="","",csv!AO201)</f>
        <v>Ž12</v>
      </c>
      <c r="D206" s="31" t="str">
        <f>IF(csv!F201="","",csv!AP201&amp;"–"&amp;csv!AQ201&amp;"–"&amp;csv!AR201)</f>
        <v>1.93–30–7</v>
      </c>
      <c r="E206" s="66" t="str">
        <f>IF(csv!AV201&amp;csv!AX201&amp;csv!AZ201&amp;csv!BB201&amp;csv!BD201="","",csv!AV201&amp;"–"&amp;csv!AX201&amp;"–"&amp;csv!AZ201&amp;"–"&amp;csv!BB201&amp;"–"&amp;csv!BD201&amp;"–"&amp;csv!BF201&amp;"–"&amp;csv!BH201&amp;"–"&amp;csv!BJ201&amp;"–"&amp;csv!BL201&amp;"–"&amp;csv!BN201&amp;"–"&amp;csv!BP201&amp;"–"&amp;csv!BR201&amp;"–"&amp;csv!BT201&amp;"–"&amp;csv!BV201&amp;"–"&amp;csv!BX201&amp;"–"&amp;csv!BZ201&amp;"–"&amp;csv!CB201&amp;"–"&amp;csv!CD201&amp;"–"&amp;csv!CF201&amp;"–"&amp;csv!CH201&amp;"–"&amp;csv!CJ201&amp;"–"&amp;csv!CL201&amp;"–"&amp;csv!CN201&amp;"–"&amp;csv!CP201&amp;"–"&amp;csv!CR201&amp;"–"&amp;csv!CT201&amp;"–"&amp;csv!CV201&amp;"–"&amp;csv!CX200&amp;"–"&amp;csv!CZ200)</f>
        <v>35–59–60–66–34–38–100––––––––––––––––––––––</v>
      </c>
      <c r="F206" t="s">
        <v>0</v>
      </c>
      <c r="O206" s="1" t="str">
        <f t="shared" si="26"/>
        <v/>
      </c>
      <c r="X206" t="s">
        <v>0</v>
      </c>
    </row>
    <row r="207" spans="1:24" x14ac:dyDescent="0.25">
      <c r="A207" t="s">
        <v>0</v>
      </c>
      <c r="B207" s="52" t="str">
        <f>IF(csv!F202="","",csv!T202)</f>
        <v>Ž12</v>
      </c>
      <c r="C207" s="31" t="str">
        <f>IF(csv!F202="","",csv!AO202)</f>
        <v>Ž12</v>
      </c>
      <c r="D207" s="31" t="str">
        <f>IF(csv!F202="","",csv!AP202&amp;"–"&amp;csv!AQ202&amp;"–"&amp;csv!AR202)</f>
        <v>1.93–30–7</v>
      </c>
      <c r="E207" s="66" t="str">
        <f>IF(csv!AV202&amp;csv!AX202&amp;csv!AZ202&amp;csv!BB202&amp;csv!BD202="","",csv!AV202&amp;"–"&amp;csv!AX202&amp;"–"&amp;csv!AZ202&amp;"–"&amp;csv!BB202&amp;"–"&amp;csv!BD202&amp;"–"&amp;csv!BF202&amp;"–"&amp;csv!BH202&amp;"–"&amp;csv!BJ202&amp;"–"&amp;csv!BL202&amp;"–"&amp;csv!BN202&amp;"–"&amp;csv!BP202&amp;"–"&amp;csv!BR202&amp;"–"&amp;csv!BT202&amp;"–"&amp;csv!BV202&amp;"–"&amp;csv!BX202&amp;"–"&amp;csv!BZ202&amp;"–"&amp;csv!CB202&amp;"–"&amp;csv!CD202&amp;"–"&amp;csv!CF202&amp;"–"&amp;csv!CH202&amp;"–"&amp;csv!CJ202&amp;"–"&amp;csv!CL202&amp;"–"&amp;csv!CN202&amp;"–"&amp;csv!CP202&amp;"–"&amp;csv!CR202&amp;"–"&amp;csv!CT202&amp;"–"&amp;csv!CV202&amp;"–"&amp;csv!CX201&amp;"–"&amp;csv!CZ201)</f>
        <v>35–59–60–66–34–38–100––––––––––––––––––––––</v>
      </c>
      <c r="F207" t="s">
        <v>0</v>
      </c>
      <c r="O207" s="1" t="str">
        <f t="shared" si="26"/>
        <v/>
      </c>
      <c r="X207" t="s">
        <v>0</v>
      </c>
    </row>
    <row r="208" spans="1:24" x14ac:dyDescent="0.25">
      <c r="A208" t="s">
        <v>0</v>
      </c>
      <c r="B208" s="52" t="str">
        <f>IF(csv!F203="","",csv!T203)</f>
        <v>Ž12</v>
      </c>
      <c r="C208" s="31" t="str">
        <f>IF(csv!F203="","",csv!AO203)</f>
        <v>Ž12</v>
      </c>
      <c r="D208" s="31" t="str">
        <f>IF(csv!F203="","",csv!AP203&amp;"–"&amp;csv!AQ203&amp;"–"&amp;csv!AR203)</f>
        <v>1.93–30–7</v>
      </c>
      <c r="E208" s="66" t="str">
        <f>IF(csv!AV203&amp;csv!AX203&amp;csv!AZ203&amp;csv!BB203&amp;csv!BD203="","",csv!AV203&amp;"–"&amp;csv!AX203&amp;"–"&amp;csv!AZ203&amp;"–"&amp;csv!BB203&amp;"–"&amp;csv!BD203&amp;"–"&amp;csv!BF203&amp;"–"&amp;csv!BH203&amp;"–"&amp;csv!BJ203&amp;"–"&amp;csv!BL203&amp;"–"&amp;csv!BN203&amp;"–"&amp;csv!BP203&amp;"–"&amp;csv!BR203&amp;"–"&amp;csv!BT203&amp;"–"&amp;csv!BV203&amp;"–"&amp;csv!BX203&amp;"–"&amp;csv!BZ203&amp;"–"&amp;csv!CB203&amp;"–"&amp;csv!CD203&amp;"–"&amp;csv!CF203&amp;"–"&amp;csv!CH203&amp;"–"&amp;csv!CJ203&amp;"–"&amp;csv!CL203&amp;"–"&amp;csv!CN203&amp;"–"&amp;csv!CP203&amp;"–"&amp;csv!CR203&amp;"–"&amp;csv!CT203&amp;"–"&amp;csv!CV203&amp;"–"&amp;csv!CX202&amp;"–"&amp;csv!CZ202)</f>
        <v>35–59–60–66–34–38–100––––––––––––––––––––––</v>
      </c>
      <c r="F208" t="s">
        <v>0</v>
      </c>
      <c r="O208" s="1" t="str">
        <f t="shared" si="26"/>
        <v/>
      </c>
      <c r="X208" t="s">
        <v>0</v>
      </c>
    </row>
    <row r="209" spans="1:24" x14ac:dyDescent="0.25">
      <c r="A209" t="s">
        <v>0</v>
      </c>
      <c r="B209" s="52" t="str">
        <f>IF(csv!F204="","",csv!T204)</f>
        <v>Ž12</v>
      </c>
      <c r="C209" s="31" t="str">
        <f>IF(csv!F204="","",csv!AO204)</f>
        <v>Ž12</v>
      </c>
      <c r="D209" s="31" t="str">
        <f>IF(csv!F204="","",csv!AP204&amp;"–"&amp;csv!AQ204&amp;"–"&amp;csv!AR204)</f>
        <v>1.93–30–7</v>
      </c>
      <c r="E209" s="66" t="str">
        <f>IF(csv!AV204&amp;csv!AX204&amp;csv!AZ204&amp;csv!BB204&amp;csv!BD204="","",csv!AV204&amp;"–"&amp;csv!AX204&amp;"–"&amp;csv!AZ204&amp;"–"&amp;csv!BB204&amp;"–"&amp;csv!BD204&amp;"–"&amp;csv!BF204&amp;"–"&amp;csv!BH204&amp;"–"&amp;csv!BJ204&amp;"–"&amp;csv!BL204&amp;"–"&amp;csv!BN204&amp;"–"&amp;csv!BP204&amp;"–"&amp;csv!BR204&amp;"–"&amp;csv!BT204&amp;"–"&amp;csv!BV204&amp;"–"&amp;csv!BX204&amp;"–"&amp;csv!BZ204&amp;"–"&amp;csv!CB204&amp;"–"&amp;csv!CD204&amp;"–"&amp;csv!CF204&amp;"–"&amp;csv!CH204&amp;"–"&amp;csv!CJ204&amp;"–"&amp;csv!CL204&amp;"–"&amp;csv!CN204&amp;"–"&amp;csv!CP204&amp;"–"&amp;csv!CR204&amp;"–"&amp;csv!CT204&amp;"–"&amp;csv!CV204&amp;"–"&amp;csv!CX203&amp;"–"&amp;csv!CZ203)</f>
        <v>35–59–60–66–34–38–100––––––––––––––––––––––</v>
      </c>
      <c r="F209" t="s">
        <v>0</v>
      </c>
      <c r="O209" s="1" t="str">
        <f t="shared" si="26"/>
        <v/>
      </c>
      <c r="X209" t="s">
        <v>0</v>
      </c>
    </row>
    <row r="210" spans="1:24" x14ac:dyDescent="0.25">
      <c r="A210" t="s">
        <v>0</v>
      </c>
      <c r="B210" s="52" t="str">
        <f>IF(csv!F205="","",csv!T205)</f>
        <v>Ž12</v>
      </c>
      <c r="C210" s="31" t="str">
        <f>IF(csv!F205="","",csv!AO205)</f>
        <v>Ž12</v>
      </c>
      <c r="D210" s="31" t="str">
        <f>IF(csv!F205="","",csv!AP205&amp;"–"&amp;csv!AQ205&amp;"–"&amp;csv!AR205)</f>
        <v>1.93–30–7</v>
      </c>
      <c r="E210" s="66" t="str">
        <f>IF(csv!AV205&amp;csv!AX205&amp;csv!AZ205&amp;csv!BB205&amp;csv!BD205="","",csv!AV205&amp;"–"&amp;csv!AX205&amp;"–"&amp;csv!AZ205&amp;"–"&amp;csv!BB205&amp;"–"&amp;csv!BD205&amp;"–"&amp;csv!BF205&amp;"–"&amp;csv!BH205&amp;"–"&amp;csv!BJ205&amp;"–"&amp;csv!BL205&amp;"–"&amp;csv!BN205&amp;"–"&amp;csv!BP205&amp;"–"&amp;csv!BR205&amp;"–"&amp;csv!BT205&amp;"–"&amp;csv!BV205&amp;"–"&amp;csv!BX205&amp;"–"&amp;csv!BZ205&amp;"–"&amp;csv!CB205&amp;"–"&amp;csv!CD205&amp;"–"&amp;csv!CF205&amp;"–"&amp;csv!CH205&amp;"–"&amp;csv!CJ205&amp;"–"&amp;csv!CL205&amp;"–"&amp;csv!CN205&amp;"–"&amp;csv!CP205&amp;"–"&amp;csv!CR205&amp;"–"&amp;csv!CT205&amp;"–"&amp;csv!CV205&amp;"–"&amp;csv!CX204&amp;"–"&amp;csv!CZ204)</f>
        <v>35–59–60–66–34–38–100––––––––––––––––––––––</v>
      </c>
      <c r="F210" t="s">
        <v>0</v>
      </c>
      <c r="O210" s="1" t="str">
        <f t="shared" si="26"/>
        <v/>
      </c>
      <c r="X210" t="s">
        <v>0</v>
      </c>
    </row>
    <row r="211" spans="1:24" x14ac:dyDescent="0.25">
      <c r="A211" t="s">
        <v>0</v>
      </c>
      <c r="B211" s="52" t="str">
        <f>IF(csv!F206="","",csv!T206)</f>
        <v>Ž12</v>
      </c>
      <c r="C211" s="31" t="str">
        <f>IF(csv!F206="","",csv!AO206)</f>
        <v>Ž12</v>
      </c>
      <c r="D211" s="31" t="str">
        <f>IF(csv!F206="","",csv!AP206&amp;"–"&amp;csv!AQ206&amp;"–"&amp;csv!AR206)</f>
        <v>1.93–30–7</v>
      </c>
      <c r="E211" s="66" t="str">
        <f>IF(csv!AV206&amp;csv!AX206&amp;csv!AZ206&amp;csv!BB206&amp;csv!BD206="","",csv!AV206&amp;"–"&amp;csv!AX206&amp;"–"&amp;csv!AZ206&amp;"–"&amp;csv!BB206&amp;"–"&amp;csv!BD206&amp;"–"&amp;csv!BF206&amp;"–"&amp;csv!BH206&amp;"–"&amp;csv!BJ206&amp;"–"&amp;csv!BL206&amp;"–"&amp;csv!BN206&amp;"–"&amp;csv!BP206&amp;"–"&amp;csv!BR206&amp;"–"&amp;csv!BT206&amp;"–"&amp;csv!BV206&amp;"–"&amp;csv!BX206&amp;"–"&amp;csv!BZ206&amp;"–"&amp;csv!CB206&amp;"–"&amp;csv!CD206&amp;"–"&amp;csv!CF206&amp;"–"&amp;csv!CH206&amp;"–"&amp;csv!CJ206&amp;"–"&amp;csv!CL206&amp;"–"&amp;csv!CN206&amp;"–"&amp;csv!CP206&amp;"–"&amp;csv!CR206&amp;"–"&amp;csv!CT206&amp;"–"&amp;csv!CV206&amp;"–"&amp;csv!CX205&amp;"–"&amp;csv!CZ205)</f>
        <v>35–59–60–66–34–38–100––––––––––––––––––––––</v>
      </c>
      <c r="F211" t="s">
        <v>0</v>
      </c>
      <c r="O211" s="1" t="str">
        <f t="shared" si="26"/>
        <v/>
      </c>
      <c r="X211" t="s">
        <v>0</v>
      </c>
    </row>
    <row r="212" spans="1:24" x14ac:dyDescent="0.25">
      <c r="A212" t="s">
        <v>0</v>
      </c>
      <c r="B212" s="52" t="str">
        <f>IF(csv!F207="","",csv!T207)</f>
        <v>Ž12</v>
      </c>
      <c r="C212" s="31" t="str">
        <f>IF(csv!F207="","",csv!AO207)</f>
        <v>Ž12</v>
      </c>
      <c r="D212" s="31" t="str">
        <f>IF(csv!F207="","",csv!AP207&amp;"–"&amp;csv!AQ207&amp;"–"&amp;csv!AR207)</f>
        <v>1.93–30–7</v>
      </c>
      <c r="E212" s="66" t="str">
        <f>IF(csv!AV207&amp;csv!AX207&amp;csv!AZ207&amp;csv!BB207&amp;csv!BD207="","",csv!AV207&amp;"–"&amp;csv!AX207&amp;"–"&amp;csv!AZ207&amp;"–"&amp;csv!BB207&amp;"–"&amp;csv!BD207&amp;"–"&amp;csv!BF207&amp;"–"&amp;csv!BH207&amp;"–"&amp;csv!BJ207&amp;"–"&amp;csv!BL207&amp;"–"&amp;csv!BN207&amp;"–"&amp;csv!BP207&amp;"–"&amp;csv!BR207&amp;"–"&amp;csv!BT207&amp;"–"&amp;csv!BV207&amp;"–"&amp;csv!BX207&amp;"–"&amp;csv!BZ207&amp;"–"&amp;csv!CB207&amp;"–"&amp;csv!CD207&amp;"–"&amp;csv!CF207&amp;"–"&amp;csv!CH207&amp;"–"&amp;csv!CJ207&amp;"–"&amp;csv!CL207&amp;"–"&amp;csv!CN207&amp;"–"&amp;csv!CP207&amp;"–"&amp;csv!CR207&amp;"–"&amp;csv!CT207&amp;"–"&amp;csv!CV207&amp;"–"&amp;csv!CX206&amp;"–"&amp;csv!CZ206)</f>
        <v>35–59–60–66–34–38–100––––––––––––––––––––––</v>
      </c>
      <c r="F212" t="s">
        <v>0</v>
      </c>
      <c r="O212" s="1" t="str">
        <f t="shared" si="26"/>
        <v/>
      </c>
      <c r="X212" t="s">
        <v>0</v>
      </c>
    </row>
    <row r="213" spans="1:24" x14ac:dyDescent="0.25">
      <c r="A213" t="s">
        <v>0</v>
      </c>
      <c r="B213" s="52" t="str">
        <f>IF(csv!F208="","",csv!T208)</f>
        <v>Ž12</v>
      </c>
      <c r="C213" s="31" t="str">
        <f>IF(csv!F208="","",csv!AO208)</f>
        <v>Ž12</v>
      </c>
      <c r="D213" s="31" t="str">
        <f>IF(csv!F208="","",csv!AP208&amp;"–"&amp;csv!AQ208&amp;"–"&amp;csv!AR208)</f>
        <v>1.93–30–7</v>
      </c>
      <c r="E213" s="66" t="str">
        <f>IF(csv!AV208&amp;csv!AX208&amp;csv!AZ208&amp;csv!BB208&amp;csv!BD208="","",csv!AV208&amp;"–"&amp;csv!AX208&amp;"–"&amp;csv!AZ208&amp;"–"&amp;csv!BB208&amp;"–"&amp;csv!BD208&amp;"–"&amp;csv!BF208&amp;"–"&amp;csv!BH208&amp;"–"&amp;csv!BJ208&amp;"–"&amp;csv!BL208&amp;"–"&amp;csv!BN208&amp;"–"&amp;csv!BP208&amp;"–"&amp;csv!BR208&amp;"–"&amp;csv!BT208&amp;"–"&amp;csv!BV208&amp;"–"&amp;csv!BX208&amp;"–"&amp;csv!BZ208&amp;"–"&amp;csv!CB208&amp;"–"&amp;csv!CD208&amp;"–"&amp;csv!CF208&amp;"–"&amp;csv!CH208&amp;"–"&amp;csv!CJ208&amp;"–"&amp;csv!CL208&amp;"–"&amp;csv!CN208&amp;"–"&amp;csv!CP208&amp;"–"&amp;csv!CR208&amp;"–"&amp;csv!CT208&amp;"–"&amp;csv!CV208&amp;"–"&amp;csv!CX207&amp;"–"&amp;csv!CZ207)</f>
        <v/>
      </c>
      <c r="F213" t="s">
        <v>0</v>
      </c>
      <c r="O213" s="1" t="str">
        <f t="shared" si="26"/>
        <v/>
      </c>
      <c r="X213" t="s">
        <v>0</v>
      </c>
    </row>
    <row r="214" spans="1:24" x14ac:dyDescent="0.25">
      <c r="A214" t="s">
        <v>0</v>
      </c>
      <c r="B214" s="52" t="str">
        <f>IF(csv!F209="","",csv!T209)</f>
        <v>Ž12</v>
      </c>
      <c r="C214" s="31" t="str">
        <f>IF(csv!F209="","",csv!AO209)</f>
        <v>Ž12</v>
      </c>
      <c r="D214" s="31" t="str">
        <f>IF(csv!F209="","",csv!AP209&amp;"–"&amp;csv!AQ209&amp;"–"&amp;csv!AR209)</f>
        <v>1.93–30–7</v>
      </c>
      <c r="E214" s="66" t="str">
        <f>IF(csv!AV209&amp;csv!AX209&amp;csv!AZ209&amp;csv!BB209&amp;csv!BD209="","",csv!AV209&amp;"–"&amp;csv!AX209&amp;"–"&amp;csv!AZ209&amp;"–"&amp;csv!BB209&amp;"–"&amp;csv!BD209&amp;"–"&amp;csv!BF209&amp;"–"&amp;csv!BH209&amp;"–"&amp;csv!BJ209&amp;"–"&amp;csv!BL209&amp;"–"&amp;csv!BN209&amp;"–"&amp;csv!BP209&amp;"–"&amp;csv!BR209&amp;"–"&amp;csv!BT209&amp;"–"&amp;csv!BV209&amp;"–"&amp;csv!BX209&amp;"–"&amp;csv!BZ209&amp;"–"&amp;csv!CB209&amp;"–"&amp;csv!CD209&amp;"–"&amp;csv!CF209&amp;"–"&amp;csv!CH209&amp;"–"&amp;csv!CJ209&amp;"–"&amp;csv!CL209&amp;"–"&amp;csv!CN209&amp;"–"&amp;csv!CP209&amp;"–"&amp;csv!CR209&amp;"–"&amp;csv!CT209&amp;"–"&amp;csv!CV209&amp;"–"&amp;csv!CX208&amp;"–"&amp;csv!CZ208)</f>
        <v/>
      </c>
      <c r="F214" t="s">
        <v>0</v>
      </c>
      <c r="O214" s="1" t="str">
        <f t="shared" si="26"/>
        <v/>
      </c>
      <c r="X214" t="s">
        <v>0</v>
      </c>
    </row>
    <row r="215" spans="1:24" x14ac:dyDescent="0.25">
      <c r="A215" t="s">
        <v>0</v>
      </c>
      <c r="B215" s="52" t="str">
        <f>IF(csv!F210="","",csv!T210)</f>
        <v>Ž12</v>
      </c>
      <c r="C215" s="31" t="str">
        <f>IF(csv!F210="","",csv!AO210)</f>
        <v>Ž12</v>
      </c>
      <c r="D215" s="31" t="str">
        <f>IF(csv!F210="","",csv!AP210&amp;"–"&amp;csv!AQ210&amp;"–"&amp;csv!AR210)</f>
        <v>1.93–30–7</v>
      </c>
      <c r="E215" s="66" t="str">
        <f>IF(csv!AV210&amp;csv!AX210&amp;csv!AZ210&amp;csv!BB210&amp;csv!BD210="","",csv!AV210&amp;"–"&amp;csv!AX210&amp;"–"&amp;csv!AZ210&amp;"–"&amp;csv!BB210&amp;"–"&amp;csv!BD210&amp;"–"&amp;csv!BF210&amp;"–"&amp;csv!BH210&amp;"–"&amp;csv!BJ210&amp;"–"&amp;csv!BL210&amp;"–"&amp;csv!BN210&amp;"–"&amp;csv!BP210&amp;"–"&amp;csv!BR210&amp;"–"&amp;csv!BT210&amp;"–"&amp;csv!BV210&amp;"–"&amp;csv!BX210&amp;"–"&amp;csv!BZ210&amp;"–"&amp;csv!CB210&amp;"–"&amp;csv!CD210&amp;"–"&amp;csv!CF210&amp;"–"&amp;csv!CH210&amp;"–"&amp;csv!CJ210&amp;"–"&amp;csv!CL210&amp;"–"&amp;csv!CN210&amp;"–"&amp;csv!CP210&amp;"–"&amp;csv!CR210&amp;"–"&amp;csv!CT210&amp;"–"&amp;csv!CV210&amp;"–"&amp;csv!CX209&amp;"–"&amp;csv!CZ209)</f>
        <v/>
      </c>
      <c r="F215" t="s">
        <v>0</v>
      </c>
      <c r="O215" s="1" t="str">
        <f t="shared" si="26"/>
        <v/>
      </c>
      <c r="X215" t="s">
        <v>0</v>
      </c>
    </row>
    <row r="216" spans="1:24" x14ac:dyDescent="0.25">
      <c r="A216" t="s">
        <v>0</v>
      </c>
      <c r="B216" s="52" t="str">
        <f>IF(csv!F211="","",csv!T211)</f>
        <v>Ž14</v>
      </c>
      <c r="C216" s="31" t="str">
        <f>IF(csv!F211="","",csv!AO211)</f>
        <v>Ž14</v>
      </c>
      <c r="D216" s="31" t="str">
        <f>IF(csv!F211="","",csv!AP211&amp;"–"&amp;csv!AQ211&amp;"–"&amp;csv!AR211)</f>
        <v>2.77–65–9</v>
      </c>
      <c r="E216" s="66" t="str">
        <f>IF(csv!AV211&amp;csv!AX211&amp;csv!AZ211&amp;csv!BB211&amp;csv!BD211="","",csv!AV211&amp;"–"&amp;csv!AX211&amp;"–"&amp;csv!AZ211&amp;"–"&amp;csv!BB211&amp;"–"&amp;csv!BD211&amp;"–"&amp;csv!BF211&amp;"–"&amp;csv!BH211&amp;"–"&amp;csv!BJ211&amp;"–"&amp;csv!BL211&amp;"–"&amp;csv!BN211&amp;"–"&amp;csv!BP211&amp;"–"&amp;csv!BR211&amp;"–"&amp;csv!BT211&amp;"–"&amp;csv!BV211&amp;"–"&amp;csv!BX211&amp;"–"&amp;csv!BZ211&amp;"–"&amp;csv!CB211&amp;"–"&amp;csv!CD211&amp;"–"&amp;csv!CF211&amp;"–"&amp;csv!CH211&amp;"–"&amp;csv!CJ211&amp;"–"&amp;csv!CL211&amp;"–"&amp;csv!CN211&amp;"–"&amp;csv!CP211&amp;"–"&amp;csv!CR211&amp;"–"&amp;csv!CT211&amp;"–"&amp;csv!CV211&amp;"–"&amp;csv!CX210&amp;"–"&amp;csv!CZ210)</f>
        <v>65–59–72–69–67–68–70–38–100––––––––––––––––––––</v>
      </c>
      <c r="F216" t="s">
        <v>0</v>
      </c>
      <c r="O216" s="1" t="str">
        <f t="shared" si="26"/>
        <v/>
      </c>
      <c r="X216" t="s">
        <v>0</v>
      </c>
    </row>
    <row r="217" spans="1:24" x14ac:dyDescent="0.25">
      <c r="A217" t="s">
        <v>0</v>
      </c>
      <c r="B217" s="52" t="str">
        <f>IF(csv!F212="","",csv!T212)</f>
        <v>Ž14</v>
      </c>
      <c r="C217" s="31" t="str">
        <f>IF(csv!F212="","",csv!AO212)</f>
        <v>Ž14</v>
      </c>
      <c r="D217" s="31" t="str">
        <f>IF(csv!F212="","",csv!AP212&amp;"–"&amp;csv!AQ212&amp;"–"&amp;csv!AR212)</f>
        <v>2.77–65–9</v>
      </c>
      <c r="E217" s="66" t="str">
        <f>IF(csv!AV212&amp;csv!AX212&amp;csv!AZ212&amp;csv!BB212&amp;csv!BD212="","",csv!AV212&amp;"–"&amp;csv!AX212&amp;"–"&amp;csv!AZ212&amp;"–"&amp;csv!BB212&amp;"–"&amp;csv!BD212&amp;"–"&amp;csv!BF212&amp;"–"&amp;csv!BH212&amp;"–"&amp;csv!BJ212&amp;"–"&amp;csv!BL212&amp;"–"&amp;csv!BN212&amp;"–"&amp;csv!BP212&amp;"–"&amp;csv!BR212&amp;"–"&amp;csv!BT212&amp;"–"&amp;csv!BV212&amp;"–"&amp;csv!BX212&amp;"–"&amp;csv!BZ212&amp;"–"&amp;csv!CB212&amp;"–"&amp;csv!CD212&amp;"–"&amp;csv!CF212&amp;"–"&amp;csv!CH212&amp;"–"&amp;csv!CJ212&amp;"–"&amp;csv!CL212&amp;"–"&amp;csv!CN212&amp;"–"&amp;csv!CP212&amp;"–"&amp;csv!CR212&amp;"–"&amp;csv!CT212&amp;"–"&amp;csv!CV212&amp;"–"&amp;csv!CX211&amp;"–"&amp;csv!CZ211)</f>
        <v>65–59–72–69–67–68–70–38–100––––––––––––––––––––</v>
      </c>
      <c r="F217" t="s">
        <v>0</v>
      </c>
      <c r="O217" s="1" t="str">
        <f t="shared" si="26"/>
        <v/>
      </c>
      <c r="X217" t="s">
        <v>0</v>
      </c>
    </row>
    <row r="218" spans="1:24" x14ac:dyDescent="0.25">
      <c r="A218" t="s">
        <v>0</v>
      </c>
      <c r="B218" s="52" t="str">
        <f>IF(csv!F213="","",csv!T213)</f>
        <v>Ž14</v>
      </c>
      <c r="C218" s="31" t="str">
        <f>IF(csv!F213="","",csv!AO213)</f>
        <v>Ž14</v>
      </c>
      <c r="D218" s="31" t="str">
        <f>IF(csv!F213="","",csv!AP213&amp;"–"&amp;csv!AQ213&amp;"–"&amp;csv!AR213)</f>
        <v>2.77–65–9</v>
      </c>
      <c r="E218" s="66" t="str">
        <f>IF(csv!AV213&amp;csv!AX213&amp;csv!AZ213&amp;csv!BB213&amp;csv!BD213="","",csv!AV213&amp;"–"&amp;csv!AX213&amp;"–"&amp;csv!AZ213&amp;"–"&amp;csv!BB213&amp;"–"&amp;csv!BD213&amp;"–"&amp;csv!BF213&amp;"–"&amp;csv!BH213&amp;"–"&amp;csv!BJ213&amp;"–"&amp;csv!BL213&amp;"–"&amp;csv!BN213&amp;"–"&amp;csv!BP213&amp;"–"&amp;csv!BR213&amp;"–"&amp;csv!BT213&amp;"–"&amp;csv!BV213&amp;"–"&amp;csv!BX213&amp;"–"&amp;csv!BZ213&amp;"–"&amp;csv!CB213&amp;"–"&amp;csv!CD213&amp;"–"&amp;csv!CF213&amp;"–"&amp;csv!CH213&amp;"–"&amp;csv!CJ213&amp;"–"&amp;csv!CL213&amp;"–"&amp;csv!CN213&amp;"–"&amp;csv!CP213&amp;"–"&amp;csv!CR213&amp;"–"&amp;csv!CT213&amp;"–"&amp;csv!CV213&amp;"–"&amp;csv!CX212&amp;"–"&amp;csv!CZ212)</f>
        <v>65–59–72–69–67–68–70–38–100––––––––––––––––––––</v>
      </c>
      <c r="F218" t="s">
        <v>0</v>
      </c>
      <c r="O218" s="1" t="str">
        <f t="shared" si="26"/>
        <v/>
      </c>
      <c r="X218" t="s">
        <v>0</v>
      </c>
    </row>
    <row r="219" spans="1:24" x14ac:dyDescent="0.25">
      <c r="A219" t="s">
        <v>0</v>
      </c>
      <c r="B219" s="52" t="str">
        <f>IF(csv!F214="","",csv!T214)</f>
        <v>Ž14</v>
      </c>
      <c r="C219" s="31" t="str">
        <f>IF(csv!F214="","",csv!AO214)</f>
        <v>Ž14</v>
      </c>
      <c r="D219" s="31" t="str">
        <f>IF(csv!F214="","",csv!AP214&amp;"–"&amp;csv!AQ214&amp;"–"&amp;csv!AR214)</f>
        <v>2.77–65–9</v>
      </c>
      <c r="E219" s="66" t="str">
        <f>IF(csv!AV214&amp;csv!AX214&amp;csv!AZ214&amp;csv!BB214&amp;csv!BD214="","",csv!AV214&amp;"–"&amp;csv!AX214&amp;"–"&amp;csv!AZ214&amp;"–"&amp;csv!BB214&amp;"–"&amp;csv!BD214&amp;"–"&amp;csv!BF214&amp;"–"&amp;csv!BH214&amp;"–"&amp;csv!BJ214&amp;"–"&amp;csv!BL214&amp;"–"&amp;csv!BN214&amp;"–"&amp;csv!BP214&amp;"–"&amp;csv!BR214&amp;"–"&amp;csv!BT214&amp;"–"&amp;csv!BV214&amp;"–"&amp;csv!BX214&amp;"–"&amp;csv!BZ214&amp;"–"&amp;csv!CB214&amp;"–"&amp;csv!CD214&amp;"–"&amp;csv!CF214&amp;"–"&amp;csv!CH214&amp;"–"&amp;csv!CJ214&amp;"–"&amp;csv!CL214&amp;"–"&amp;csv!CN214&amp;"–"&amp;csv!CP214&amp;"–"&amp;csv!CR214&amp;"–"&amp;csv!CT214&amp;"–"&amp;csv!CV214&amp;"–"&amp;csv!CX213&amp;"–"&amp;csv!CZ213)</f>
        <v/>
      </c>
      <c r="F219" t="s">
        <v>0</v>
      </c>
      <c r="O219" s="1" t="str">
        <f t="shared" si="26"/>
        <v/>
      </c>
      <c r="X219" t="s">
        <v>0</v>
      </c>
    </row>
    <row r="220" spans="1:24" x14ac:dyDescent="0.25">
      <c r="A220" t="s">
        <v>0</v>
      </c>
      <c r="B220" s="52" t="str">
        <f>IF(csv!F215="","",csv!T215)</f>
        <v>Ž14</v>
      </c>
      <c r="C220" s="31" t="str">
        <f>IF(csv!F215="","",csv!AO215)</f>
        <v>Ž14</v>
      </c>
      <c r="D220" s="31" t="str">
        <f>IF(csv!F215="","",csv!AP215&amp;"–"&amp;csv!AQ215&amp;"–"&amp;csv!AR215)</f>
        <v>2.77–65–9</v>
      </c>
      <c r="E220" s="66" t="str">
        <f>IF(csv!AV215&amp;csv!AX215&amp;csv!AZ215&amp;csv!BB215&amp;csv!BD215="","",csv!AV215&amp;"–"&amp;csv!AX215&amp;"–"&amp;csv!AZ215&amp;"–"&amp;csv!BB215&amp;"–"&amp;csv!BD215&amp;"–"&amp;csv!BF215&amp;"–"&amp;csv!BH215&amp;"–"&amp;csv!BJ215&amp;"–"&amp;csv!BL215&amp;"–"&amp;csv!BN215&amp;"–"&amp;csv!BP215&amp;"–"&amp;csv!BR215&amp;"–"&amp;csv!BT215&amp;"–"&amp;csv!BV215&amp;"–"&amp;csv!BX215&amp;"–"&amp;csv!BZ215&amp;"–"&amp;csv!CB215&amp;"–"&amp;csv!CD215&amp;"–"&amp;csv!CF215&amp;"–"&amp;csv!CH215&amp;"–"&amp;csv!CJ215&amp;"–"&amp;csv!CL215&amp;"–"&amp;csv!CN215&amp;"–"&amp;csv!CP215&amp;"–"&amp;csv!CR215&amp;"–"&amp;csv!CT215&amp;"–"&amp;csv!CV215&amp;"–"&amp;csv!CX214&amp;"–"&amp;csv!CZ214)</f>
        <v/>
      </c>
      <c r="F220" t="s">
        <v>0</v>
      </c>
      <c r="O220" s="1" t="str">
        <f t="shared" si="26"/>
        <v/>
      </c>
      <c r="X220" t="s">
        <v>0</v>
      </c>
    </row>
    <row r="221" spans="1:24" x14ac:dyDescent="0.25">
      <c r="A221" t="s">
        <v>0</v>
      </c>
      <c r="B221" s="52" t="str">
        <f>IF(csv!F216="","",csv!T216)</f>
        <v>Ž16</v>
      </c>
      <c r="C221" s="31" t="str">
        <f>IF(csv!F216="","",csv!AO216)</f>
        <v>Ž16</v>
      </c>
      <c r="D221" s="31" t="str">
        <f>IF(csv!F216="","",csv!AP216&amp;"–"&amp;csv!AQ216&amp;"–"&amp;csv!AR216)</f>
        <v>3.31–115–8</v>
      </c>
      <c r="E221" s="66" t="str">
        <f>IF(csv!AV216&amp;csv!AX216&amp;csv!AZ216&amp;csv!BB216&amp;csv!BD216="","",csv!AV216&amp;"–"&amp;csv!AX216&amp;"–"&amp;csv!AZ216&amp;"–"&amp;csv!BB216&amp;"–"&amp;csv!BD216&amp;"–"&amp;csv!BF216&amp;"–"&amp;csv!BH216&amp;"–"&amp;csv!BJ216&amp;"–"&amp;csv!BL216&amp;"–"&amp;csv!BN216&amp;"–"&amp;csv!BP216&amp;"–"&amp;csv!BR216&amp;"–"&amp;csv!BT216&amp;"–"&amp;csv!BV216&amp;"–"&amp;csv!BX216&amp;"–"&amp;csv!BZ216&amp;"–"&amp;csv!CB216&amp;"–"&amp;csv!CD216&amp;"–"&amp;csv!CF216&amp;"–"&amp;csv!CH216&amp;"–"&amp;csv!CJ216&amp;"–"&amp;csv!CL216&amp;"–"&amp;csv!CN216&amp;"–"&amp;csv!CP216&amp;"–"&amp;csv!CR216&amp;"–"&amp;csv!CT216&amp;"–"&amp;csv!CV216&amp;"–"&amp;csv!CX215&amp;"–"&amp;csv!CZ215)</f>
        <v>68–64–53–67–70–31–55–100–––––––––––––––––––––</v>
      </c>
      <c r="F221" t="s">
        <v>0</v>
      </c>
      <c r="O221" s="1" t="str">
        <f t="shared" si="26"/>
        <v/>
      </c>
      <c r="X221" t="s">
        <v>0</v>
      </c>
    </row>
    <row r="222" spans="1:24" x14ac:dyDescent="0.25">
      <c r="A222" t="s">
        <v>0</v>
      </c>
      <c r="B222" s="52" t="str">
        <f>IF(csv!F217="","",csv!T217)</f>
        <v>Ž16</v>
      </c>
      <c r="C222" s="31" t="str">
        <f>IF(csv!F217="","",csv!AO217)</f>
        <v>Ž16</v>
      </c>
      <c r="D222" s="31" t="str">
        <f>IF(csv!F217="","",csv!AP217&amp;"–"&amp;csv!AQ217&amp;"–"&amp;csv!AR217)</f>
        <v>3.31–115–8</v>
      </c>
      <c r="E222" s="66" t="str">
        <f>IF(csv!AV217&amp;csv!AX217&amp;csv!AZ217&amp;csv!BB217&amp;csv!BD217="","",csv!AV217&amp;"–"&amp;csv!AX217&amp;"–"&amp;csv!AZ217&amp;"–"&amp;csv!BB217&amp;"–"&amp;csv!BD217&amp;"–"&amp;csv!BF217&amp;"–"&amp;csv!BH217&amp;"–"&amp;csv!BJ217&amp;"–"&amp;csv!BL217&amp;"–"&amp;csv!BN217&amp;"–"&amp;csv!BP217&amp;"–"&amp;csv!BR217&amp;"–"&amp;csv!BT217&amp;"–"&amp;csv!BV217&amp;"–"&amp;csv!BX217&amp;"–"&amp;csv!BZ217&amp;"–"&amp;csv!CB217&amp;"–"&amp;csv!CD217&amp;"–"&amp;csv!CF217&amp;"–"&amp;csv!CH217&amp;"–"&amp;csv!CJ217&amp;"–"&amp;csv!CL217&amp;"–"&amp;csv!CN217&amp;"–"&amp;csv!CP217&amp;"–"&amp;csv!CR217&amp;"–"&amp;csv!CT217&amp;"–"&amp;csv!CV217&amp;"–"&amp;csv!CX216&amp;"–"&amp;csv!CZ216)</f>
        <v>68–64–53–67–70–31–55–100–––––––––––––––––––––</v>
      </c>
      <c r="F222" t="s">
        <v>0</v>
      </c>
      <c r="O222" s="1" t="str">
        <f t="shared" si="26"/>
        <v/>
      </c>
      <c r="X222" t="s">
        <v>0</v>
      </c>
    </row>
    <row r="223" spans="1:24" x14ac:dyDescent="0.25">
      <c r="A223" t="s">
        <v>0</v>
      </c>
      <c r="B223" s="52" t="str">
        <f>IF(csv!F218="","",csv!T218)</f>
        <v>Ž16</v>
      </c>
      <c r="C223" s="31" t="str">
        <f>IF(csv!F218="","",csv!AO218)</f>
        <v>Ž16</v>
      </c>
      <c r="D223" s="31" t="str">
        <f>IF(csv!F218="","",csv!AP218&amp;"–"&amp;csv!AQ218&amp;"–"&amp;csv!AR218)</f>
        <v>3.31–115–8</v>
      </c>
      <c r="E223" s="66" t="str">
        <f>IF(csv!AV218&amp;csv!AX218&amp;csv!AZ218&amp;csv!BB218&amp;csv!BD218="","",csv!AV218&amp;"–"&amp;csv!AX218&amp;"–"&amp;csv!AZ218&amp;"–"&amp;csv!BB218&amp;"–"&amp;csv!BD218&amp;"–"&amp;csv!BF218&amp;"–"&amp;csv!BH218&amp;"–"&amp;csv!BJ218&amp;"–"&amp;csv!BL218&amp;"–"&amp;csv!BN218&amp;"–"&amp;csv!BP218&amp;"–"&amp;csv!BR218&amp;"–"&amp;csv!BT218&amp;"–"&amp;csv!BV218&amp;"–"&amp;csv!BX218&amp;"–"&amp;csv!BZ218&amp;"–"&amp;csv!CB218&amp;"–"&amp;csv!CD218&amp;"–"&amp;csv!CF218&amp;"–"&amp;csv!CH218&amp;"–"&amp;csv!CJ218&amp;"–"&amp;csv!CL218&amp;"–"&amp;csv!CN218&amp;"–"&amp;csv!CP218&amp;"–"&amp;csv!CR218&amp;"–"&amp;csv!CT218&amp;"–"&amp;csv!CV218&amp;"–"&amp;csv!CX217&amp;"–"&amp;csv!CZ217)</f>
        <v>68–64–53–67–70–31–55–100–––––––––––––––––––––</v>
      </c>
      <c r="F223" t="s">
        <v>0</v>
      </c>
      <c r="O223" s="1" t="str">
        <f t="shared" si="26"/>
        <v/>
      </c>
      <c r="X223" t="s">
        <v>0</v>
      </c>
    </row>
    <row r="224" spans="1:24" x14ac:dyDescent="0.25">
      <c r="A224" t="s">
        <v>0</v>
      </c>
      <c r="B224" s="52" t="str">
        <f>IF(csv!F219="","",csv!T219)</f>
        <v>Ž16</v>
      </c>
      <c r="C224" s="31" t="str">
        <f>IF(csv!F219="","",csv!AO219)</f>
        <v>Ž16</v>
      </c>
      <c r="D224" s="31" t="str">
        <f>IF(csv!F219="","",csv!AP219&amp;"–"&amp;csv!AQ219&amp;"–"&amp;csv!AR219)</f>
        <v>3.31–115–8</v>
      </c>
      <c r="E224" s="66" t="str">
        <f>IF(csv!AV219&amp;csv!AX219&amp;csv!AZ219&amp;csv!BB219&amp;csv!BD219="","",csv!AV219&amp;"–"&amp;csv!AX219&amp;"–"&amp;csv!AZ219&amp;"–"&amp;csv!BB219&amp;"–"&amp;csv!BD219&amp;"–"&amp;csv!BF219&amp;"–"&amp;csv!BH219&amp;"–"&amp;csv!BJ219&amp;"–"&amp;csv!BL219&amp;"–"&amp;csv!BN219&amp;"–"&amp;csv!BP219&amp;"–"&amp;csv!BR219&amp;"–"&amp;csv!BT219&amp;"–"&amp;csv!BV219&amp;"–"&amp;csv!BX219&amp;"–"&amp;csv!BZ219&amp;"–"&amp;csv!CB219&amp;"–"&amp;csv!CD219&amp;"–"&amp;csv!CF219&amp;"–"&amp;csv!CH219&amp;"–"&amp;csv!CJ219&amp;"–"&amp;csv!CL219&amp;"–"&amp;csv!CN219&amp;"–"&amp;csv!CP219&amp;"–"&amp;csv!CR219&amp;"–"&amp;csv!CT219&amp;"–"&amp;csv!CV219&amp;"–"&amp;csv!CX218&amp;"–"&amp;csv!CZ218)</f>
        <v>68–64–53–67–70–31–55–100–––––––––––––––––––––</v>
      </c>
      <c r="F224" t="s">
        <v>0</v>
      </c>
      <c r="O224" s="1" t="str">
        <f t="shared" si="26"/>
        <v/>
      </c>
      <c r="X224" t="s">
        <v>0</v>
      </c>
    </row>
    <row r="225" spans="1:24" x14ac:dyDescent="0.25">
      <c r="A225" t="s">
        <v>0</v>
      </c>
      <c r="B225" s="52" t="str">
        <f>IF(csv!F220="","",csv!T220)</f>
        <v>Ž16</v>
      </c>
      <c r="C225" s="31" t="str">
        <f>IF(csv!F220="","",csv!AO220)</f>
        <v>Ž16</v>
      </c>
      <c r="D225" s="31" t="str">
        <f>IF(csv!F220="","",csv!AP220&amp;"–"&amp;csv!AQ220&amp;"–"&amp;csv!AR220)</f>
        <v>3.31–115–8</v>
      </c>
      <c r="E225" s="66" t="str">
        <f>IF(csv!AV220&amp;csv!AX220&amp;csv!AZ220&amp;csv!BB220&amp;csv!BD220="","",csv!AV220&amp;"–"&amp;csv!AX220&amp;"–"&amp;csv!AZ220&amp;"–"&amp;csv!BB220&amp;"–"&amp;csv!BD220&amp;"–"&amp;csv!BF220&amp;"–"&amp;csv!BH220&amp;"–"&amp;csv!BJ220&amp;"–"&amp;csv!BL220&amp;"–"&amp;csv!BN220&amp;"–"&amp;csv!BP220&amp;"–"&amp;csv!BR220&amp;"–"&amp;csv!BT220&amp;"–"&amp;csv!BV220&amp;"–"&amp;csv!BX220&amp;"–"&amp;csv!BZ220&amp;"–"&amp;csv!CB220&amp;"–"&amp;csv!CD220&amp;"–"&amp;csv!CF220&amp;"–"&amp;csv!CH220&amp;"–"&amp;csv!CJ220&amp;"–"&amp;csv!CL220&amp;"–"&amp;csv!CN220&amp;"–"&amp;csv!CP220&amp;"–"&amp;csv!CR220&amp;"–"&amp;csv!CT220&amp;"–"&amp;csv!CV220&amp;"–"&amp;csv!CX219&amp;"–"&amp;csv!CZ219)</f>
        <v>68–64–53–67–70–31–55–100–––––––––––––––––––––</v>
      </c>
      <c r="F225" t="s">
        <v>0</v>
      </c>
      <c r="O225" s="1" t="str">
        <f t="shared" si="26"/>
        <v/>
      </c>
      <c r="X225" t="s">
        <v>0</v>
      </c>
    </row>
    <row r="226" spans="1:24" x14ac:dyDescent="0.25">
      <c r="A226" t="s">
        <v>0</v>
      </c>
      <c r="B226" s="52" t="str">
        <f>IF(csv!F221="","",csv!T221)</f>
        <v>Ž16</v>
      </c>
      <c r="C226" s="31" t="str">
        <f>IF(csv!F221="","",csv!AO221)</f>
        <v>Ž16</v>
      </c>
      <c r="D226" s="31" t="str">
        <f>IF(csv!F221="","",csv!AP221&amp;"–"&amp;csv!AQ221&amp;"–"&amp;csv!AR221)</f>
        <v>3.31–115–8</v>
      </c>
      <c r="E226" s="66" t="str">
        <f>IF(csv!AV221&amp;csv!AX221&amp;csv!AZ221&amp;csv!BB221&amp;csv!BD221="","",csv!AV221&amp;"–"&amp;csv!AX221&amp;"–"&amp;csv!AZ221&amp;"–"&amp;csv!BB221&amp;"–"&amp;csv!BD221&amp;"–"&amp;csv!BF221&amp;"–"&amp;csv!BH221&amp;"–"&amp;csv!BJ221&amp;"–"&amp;csv!BL221&amp;"–"&amp;csv!BN221&amp;"–"&amp;csv!BP221&amp;"–"&amp;csv!BR221&amp;"–"&amp;csv!BT221&amp;"–"&amp;csv!BV221&amp;"–"&amp;csv!BX221&amp;"–"&amp;csv!BZ221&amp;"–"&amp;csv!CB221&amp;"–"&amp;csv!CD221&amp;"–"&amp;csv!CF221&amp;"–"&amp;csv!CH221&amp;"–"&amp;csv!CJ221&amp;"–"&amp;csv!CL221&amp;"–"&amp;csv!CN221&amp;"–"&amp;csv!CP221&amp;"–"&amp;csv!CR221&amp;"–"&amp;csv!CT221&amp;"–"&amp;csv!CV221&amp;"–"&amp;csv!CX220&amp;"–"&amp;csv!CZ220)</f>
        <v>68–64–53–67–70–31–55–100–––––––––––––––––––––</v>
      </c>
      <c r="F226" t="s">
        <v>0</v>
      </c>
      <c r="O226" s="1" t="str">
        <f t="shared" si="26"/>
        <v/>
      </c>
      <c r="X226" t="s">
        <v>0</v>
      </c>
    </row>
    <row r="227" spans="1:24" x14ac:dyDescent="0.25">
      <c r="A227" t="s">
        <v>0</v>
      </c>
      <c r="B227" s="52" t="str">
        <f>IF(csv!F222="","",csv!T222)</f>
        <v>Ž16</v>
      </c>
      <c r="C227" s="31" t="str">
        <f>IF(csv!F222="","",csv!AO222)</f>
        <v>Ž16</v>
      </c>
      <c r="D227" s="31" t="str">
        <f>IF(csv!F222="","",csv!AP222&amp;"–"&amp;csv!AQ222&amp;"–"&amp;csv!AR222)</f>
        <v>3.31–115–8</v>
      </c>
      <c r="E227" s="66" t="str">
        <f>IF(csv!AV222&amp;csv!AX222&amp;csv!AZ222&amp;csv!BB222&amp;csv!BD222="","",csv!AV222&amp;"–"&amp;csv!AX222&amp;"–"&amp;csv!AZ222&amp;"–"&amp;csv!BB222&amp;"–"&amp;csv!BD222&amp;"–"&amp;csv!BF222&amp;"–"&amp;csv!BH222&amp;"–"&amp;csv!BJ222&amp;"–"&amp;csv!BL222&amp;"–"&amp;csv!BN222&amp;"–"&amp;csv!BP222&amp;"–"&amp;csv!BR222&amp;"–"&amp;csv!BT222&amp;"–"&amp;csv!BV222&amp;"–"&amp;csv!BX222&amp;"–"&amp;csv!BZ222&amp;"–"&amp;csv!CB222&amp;"–"&amp;csv!CD222&amp;"–"&amp;csv!CF222&amp;"–"&amp;csv!CH222&amp;"–"&amp;csv!CJ222&amp;"–"&amp;csv!CL222&amp;"–"&amp;csv!CN222&amp;"–"&amp;csv!CP222&amp;"–"&amp;csv!CR222&amp;"–"&amp;csv!CT222&amp;"–"&amp;csv!CV222&amp;"–"&amp;csv!CX221&amp;"–"&amp;csv!CZ221)</f>
        <v>68–64–53–67–70–31–55–100–––––––––––––––––––––</v>
      </c>
      <c r="F227" t="s">
        <v>0</v>
      </c>
      <c r="O227" s="1" t="str">
        <f t="shared" si="26"/>
        <v/>
      </c>
      <c r="X227" t="s">
        <v>0</v>
      </c>
    </row>
    <row r="228" spans="1:24" x14ac:dyDescent="0.25">
      <c r="A228" t="s">
        <v>0</v>
      </c>
      <c r="B228" s="52" t="str">
        <f>IF(csv!F223="","",csv!T223)</f>
        <v>Ž16</v>
      </c>
      <c r="C228" s="31" t="str">
        <f>IF(csv!F223="","",csv!AO223)</f>
        <v>Ž16</v>
      </c>
      <c r="D228" s="31" t="str">
        <f>IF(csv!F223="","",csv!AP223&amp;"–"&amp;csv!AQ223&amp;"–"&amp;csv!AR223)</f>
        <v>3.31–115–8</v>
      </c>
      <c r="E228" s="66" t="str">
        <f>IF(csv!AV223&amp;csv!AX223&amp;csv!AZ223&amp;csv!BB223&amp;csv!BD223="","",csv!AV223&amp;"–"&amp;csv!AX223&amp;"–"&amp;csv!AZ223&amp;"–"&amp;csv!BB223&amp;"–"&amp;csv!BD223&amp;"–"&amp;csv!BF223&amp;"–"&amp;csv!BH223&amp;"–"&amp;csv!BJ223&amp;"–"&amp;csv!BL223&amp;"–"&amp;csv!BN223&amp;"–"&amp;csv!BP223&amp;"–"&amp;csv!BR223&amp;"–"&amp;csv!BT223&amp;"–"&amp;csv!BV223&amp;"–"&amp;csv!BX223&amp;"–"&amp;csv!BZ223&amp;"–"&amp;csv!CB223&amp;"–"&amp;csv!CD223&amp;"–"&amp;csv!CF223&amp;"–"&amp;csv!CH223&amp;"–"&amp;csv!CJ223&amp;"–"&amp;csv!CL223&amp;"–"&amp;csv!CN223&amp;"–"&amp;csv!CP223&amp;"–"&amp;csv!CR223&amp;"–"&amp;csv!CT223&amp;"–"&amp;csv!CV223&amp;"–"&amp;csv!CX222&amp;"–"&amp;csv!CZ222)</f>
        <v>68–64–53–67–70–31–55–100–––––––––––––––––––––</v>
      </c>
      <c r="F228" t="s">
        <v>0</v>
      </c>
      <c r="O228" s="1" t="str">
        <f t="shared" si="26"/>
        <v/>
      </c>
      <c r="X228" t="s">
        <v>0</v>
      </c>
    </row>
    <row r="229" spans="1:24" x14ac:dyDescent="0.25">
      <c r="A229" t="s">
        <v>0</v>
      </c>
      <c r="B229" s="52" t="str">
        <f>IF(csv!F224="","",csv!T224)</f>
        <v>Ž16</v>
      </c>
      <c r="C229" s="31" t="str">
        <f>IF(csv!F224="","",csv!AO224)</f>
        <v>Ž16</v>
      </c>
      <c r="D229" s="31" t="str">
        <f>IF(csv!F224="","",csv!AP224&amp;"–"&amp;csv!AQ224&amp;"–"&amp;csv!AR224)</f>
        <v>3.31–115–8</v>
      </c>
      <c r="E229" s="66" t="str">
        <f>IF(csv!AV224&amp;csv!AX224&amp;csv!AZ224&amp;csv!BB224&amp;csv!BD224="","",csv!AV224&amp;"–"&amp;csv!AX224&amp;"–"&amp;csv!AZ224&amp;"–"&amp;csv!BB224&amp;"–"&amp;csv!BD224&amp;"–"&amp;csv!BF224&amp;"–"&amp;csv!BH224&amp;"–"&amp;csv!BJ224&amp;"–"&amp;csv!BL224&amp;"–"&amp;csv!BN224&amp;"–"&amp;csv!BP224&amp;"–"&amp;csv!BR224&amp;"–"&amp;csv!BT224&amp;"–"&amp;csv!BV224&amp;"–"&amp;csv!BX224&amp;"–"&amp;csv!BZ224&amp;"–"&amp;csv!CB224&amp;"–"&amp;csv!CD224&amp;"–"&amp;csv!CF224&amp;"–"&amp;csv!CH224&amp;"–"&amp;csv!CJ224&amp;"–"&amp;csv!CL224&amp;"–"&amp;csv!CN224&amp;"–"&amp;csv!CP224&amp;"–"&amp;csv!CR224&amp;"–"&amp;csv!CT224&amp;"–"&amp;csv!CV224&amp;"–"&amp;csv!CX223&amp;"–"&amp;csv!CZ223)</f>
        <v>68–64–53–67–70–31–55–100–––––––––––––––––––––</v>
      </c>
      <c r="F229" t="s">
        <v>0</v>
      </c>
      <c r="O229" s="1" t="str">
        <f t="shared" si="26"/>
        <v/>
      </c>
      <c r="X229" t="s">
        <v>0</v>
      </c>
    </row>
    <row r="230" spans="1:24" x14ac:dyDescent="0.25">
      <c r="A230" t="s">
        <v>0</v>
      </c>
      <c r="B230" s="52" t="str">
        <f>IF(csv!F225="","",csv!T225)</f>
        <v>Ž16</v>
      </c>
      <c r="C230" s="31" t="str">
        <f>IF(csv!F225="","",csv!AO225)</f>
        <v>Ž16</v>
      </c>
      <c r="D230" s="31" t="str">
        <f>IF(csv!F225="","",csv!AP225&amp;"–"&amp;csv!AQ225&amp;"–"&amp;csv!AR225)</f>
        <v>3.31–115–8</v>
      </c>
      <c r="E230" s="66" t="str">
        <f>IF(csv!AV225&amp;csv!AX225&amp;csv!AZ225&amp;csv!BB225&amp;csv!BD225="","",csv!AV225&amp;"–"&amp;csv!AX225&amp;"–"&amp;csv!AZ225&amp;"–"&amp;csv!BB225&amp;"–"&amp;csv!BD225&amp;"–"&amp;csv!BF225&amp;"–"&amp;csv!BH225&amp;"–"&amp;csv!BJ225&amp;"–"&amp;csv!BL225&amp;"–"&amp;csv!BN225&amp;"–"&amp;csv!BP225&amp;"–"&amp;csv!BR225&amp;"–"&amp;csv!BT225&amp;"–"&amp;csv!BV225&amp;"–"&amp;csv!BX225&amp;"–"&amp;csv!BZ225&amp;"–"&amp;csv!CB225&amp;"–"&amp;csv!CD225&amp;"–"&amp;csv!CF225&amp;"–"&amp;csv!CH225&amp;"–"&amp;csv!CJ225&amp;"–"&amp;csv!CL225&amp;"–"&amp;csv!CN225&amp;"–"&amp;csv!CP225&amp;"–"&amp;csv!CR225&amp;"–"&amp;csv!CT225&amp;"–"&amp;csv!CV225&amp;"–"&amp;csv!CX224&amp;"–"&amp;csv!CZ224)</f>
        <v>68–64–53–67–70–31–55–100–––––––––––––––––––––</v>
      </c>
      <c r="F230" t="s">
        <v>0</v>
      </c>
      <c r="O230" s="1" t="str">
        <f t="shared" si="26"/>
        <v/>
      </c>
      <c r="X230" t="s">
        <v>0</v>
      </c>
    </row>
    <row r="231" spans="1:24" x14ac:dyDescent="0.25">
      <c r="A231" t="s">
        <v>0</v>
      </c>
      <c r="B231" s="52" t="str">
        <f>IF(csv!F226="","",csv!T226)</f>
        <v>Ž16</v>
      </c>
      <c r="C231" s="31" t="str">
        <f>IF(csv!F226="","",csv!AO226)</f>
        <v>Ž16</v>
      </c>
      <c r="D231" s="31" t="str">
        <f>IF(csv!F226="","",csv!AP226&amp;"–"&amp;csv!AQ226&amp;"–"&amp;csv!AR226)</f>
        <v>3.31–115–8</v>
      </c>
      <c r="E231" s="66" t="str">
        <f>IF(csv!AV226&amp;csv!AX226&amp;csv!AZ226&amp;csv!BB226&amp;csv!BD226="","",csv!AV226&amp;"–"&amp;csv!AX226&amp;"–"&amp;csv!AZ226&amp;"–"&amp;csv!BB226&amp;"–"&amp;csv!BD226&amp;"–"&amp;csv!BF226&amp;"–"&amp;csv!BH226&amp;"–"&amp;csv!BJ226&amp;"–"&amp;csv!BL226&amp;"–"&amp;csv!BN226&amp;"–"&amp;csv!BP226&amp;"–"&amp;csv!BR226&amp;"–"&amp;csv!BT226&amp;"–"&amp;csv!BV226&amp;"–"&amp;csv!BX226&amp;"–"&amp;csv!BZ226&amp;"–"&amp;csv!CB226&amp;"–"&amp;csv!CD226&amp;"–"&amp;csv!CF226&amp;"–"&amp;csv!CH226&amp;"–"&amp;csv!CJ226&amp;"–"&amp;csv!CL226&amp;"–"&amp;csv!CN226&amp;"–"&amp;csv!CP226&amp;"–"&amp;csv!CR226&amp;"–"&amp;csv!CT226&amp;"–"&amp;csv!CV226&amp;"–"&amp;csv!CX225&amp;"–"&amp;csv!CZ225)</f>
        <v>68–64–53–67–70–31–55–100–––––––––––––––––––––</v>
      </c>
      <c r="F231" t="s">
        <v>0</v>
      </c>
      <c r="O231" s="1" t="str">
        <f t="shared" si="26"/>
        <v/>
      </c>
      <c r="X231" t="s">
        <v>0</v>
      </c>
    </row>
    <row r="232" spans="1:24" x14ac:dyDescent="0.25">
      <c r="A232" t="s">
        <v>0</v>
      </c>
      <c r="B232" s="52" t="str">
        <f>IF(csv!F227="","",csv!T227)</f>
        <v>Ž16</v>
      </c>
      <c r="C232" s="31" t="str">
        <f>IF(csv!F227="","",csv!AO227)</f>
        <v>Ž16</v>
      </c>
      <c r="D232" s="31" t="str">
        <f>IF(csv!F227="","",csv!AP227&amp;"–"&amp;csv!AQ227&amp;"–"&amp;csv!AR227)</f>
        <v>3.31–115–8</v>
      </c>
      <c r="E232" s="66" t="str">
        <f>IF(csv!AV227&amp;csv!AX227&amp;csv!AZ227&amp;csv!BB227&amp;csv!BD227="","",csv!AV227&amp;"–"&amp;csv!AX227&amp;"–"&amp;csv!AZ227&amp;"–"&amp;csv!BB227&amp;"–"&amp;csv!BD227&amp;"–"&amp;csv!BF227&amp;"–"&amp;csv!BH227&amp;"–"&amp;csv!BJ227&amp;"–"&amp;csv!BL227&amp;"–"&amp;csv!BN227&amp;"–"&amp;csv!BP227&amp;"–"&amp;csv!BR227&amp;"–"&amp;csv!BT227&amp;"–"&amp;csv!BV227&amp;"–"&amp;csv!BX227&amp;"–"&amp;csv!BZ227&amp;"–"&amp;csv!CB227&amp;"–"&amp;csv!CD227&amp;"–"&amp;csv!CF227&amp;"–"&amp;csv!CH227&amp;"–"&amp;csv!CJ227&amp;"–"&amp;csv!CL227&amp;"–"&amp;csv!CN227&amp;"–"&amp;csv!CP227&amp;"–"&amp;csv!CR227&amp;"–"&amp;csv!CT227&amp;"–"&amp;csv!CV227&amp;"–"&amp;csv!CX226&amp;"–"&amp;csv!CZ226)</f>
        <v>68–64–53–67–70–31–55–100–––––––––––––––––––––</v>
      </c>
      <c r="F232" t="s">
        <v>0</v>
      </c>
      <c r="O232" s="1" t="str">
        <f t="shared" si="26"/>
        <v/>
      </c>
      <c r="X232" t="s">
        <v>0</v>
      </c>
    </row>
    <row r="233" spans="1:24" x14ac:dyDescent="0.25">
      <c r="A233" t="s">
        <v>0</v>
      </c>
      <c r="B233" s="52" t="str">
        <f>IF(csv!F228="","",csv!T228)</f>
        <v>Ž16</v>
      </c>
      <c r="C233" s="31" t="str">
        <f>IF(csv!F228="","",csv!AO228)</f>
        <v>Ž16</v>
      </c>
      <c r="D233" s="31" t="str">
        <f>IF(csv!F228="","",csv!AP228&amp;"–"&amp;csv!AQ228&amp;"–"&amp;csv!AR228)</f>
        <v>3.31–115–8</v>
      </c>
      <c r="E233" s="66" t="str">
        <f>IF(csv!AV228&amp;csv!AX228&amp;csv!AZ228&amp;csv!BB228&amp;csv!BD228="","",csv!AV228&amp;"–"&amp;csv!AX228&amp;"–"&amp;csv!AZ228&amp;"–"&amp;csv!BB228&amp;"–"&amp;csv!BD228&amp;"–"&amp;csv!BF228&amp;"–"&amp;csv!BH228&amp;"–"&amp;csv!BJ228&amp;"–"&amp;csv!BL228&amp;"–"&amp;csv!BN228&amp;"–"&amp;csv!BP228&amp;"–"&amp;csv!BR228&amp;"–"&amp;csv!BT228&amp;"–"&amp;csv!BV228&amp;"–"&amp;csv!BX228&amp;"–"&amp;csv!BZ228&amp;"–"&amp;csv!CB228&amp;"–"&amp;csv!CD228&amp;"–"&amp;csv!CF228&amp;"–"&amp;csv!CH228&amp;"–"&amp;csv!CJ228&amp;"–"&amp;csv!CL228&amp;"–"&amp;csv!CN228&amp;"–"&amp;csv!CP228&amp;"–"&amp;csv!CR228&amp;"–"&amp;csv!CT228&amp;"–"&amp;csv!CV228&amp;"–"&amp;csv!CX227&amp;"–"&amp;csv!CZ227)</f>
        <v>68–64–53–67–70–31–55–100–––––––––––––––––––––</v>
      </c>
      <c r="F233" t="s">
        <v>0</v>
      </c>
      <c r="O233" s="1" t="str">
        <f t="shared" si="26"/>
        <v/>
      </c>
      <c r="X233" t="s">
        <v>0</v>
      </c>
    </row>
    <row r="234" spans="1:24" x14ac:dyDescent="0.25">
      <c r="A234" t="s">
        <v>0</v>
      </c>
      <c r="B234" s="52" t="str">
        <f>IF(csv!F229="","",csv!T229)</f>
        <v>Ž16</v>
      </c>
      <c r="C234" s="31" t="str">
        <f>IF(csv!F229="","",csv!AO229)</f>
        <v>Ž16</v>
      </c>
      <c r="D234" s="31" t="str">
        <f>IF(csv!F229="","",csv!AP229&amp;"–"&amp;csv!AQ229&amp;"–"&amp;csv!AR229)</f>
        <v>3.31–115–8</v>
      </c>
      <c r="E234" s="66" t="str">
        <f>IF(csv!AV229&amp;csv!AX229&amp;csv!AZ229&amp;csv!BB229&amp;csv!BD229="","",csv!AV229&amp;"–"&amp;csv!AX229&amp;"–"&amp;csv!AZ229&amp;"–"&amp;csv!BB229&amp;"–"&amp;csv!BD229&amp;"–"&amp;csv!BF229&amp;"–"&amp;csv!BH229&amp;"–"&amp;csv!BJ229&amp;"–"&amp;csv!BL229&amp;"–"&amp;csv!BN229&amp;"–"&amp;csv!BP229&amp;"–"&amp;csv!BR229&amp;"–"&amp;csv!BT229&amp;"–"&amp;csv!BV229&amp;"–"&amp;csv!BX229&amp;"–"&amp;csv!BZ229&amp;"–"&amp;csv!CB229&amp;"–"&amp;csv!CD229&amp;"–"&amp;csv!CF229&amp;"–"&amp;csv!CH229&amp;"–"&amp;csv!CJ229&amp;"–"&amp;csv!CL229&amp;"–"&amp;csv!CN229&amp;"–"&amp;csv!CP229&amp;"–"&amp;csv!CR229&amp;"–"&amp;csv!CT229&amp;"–"&amp;csv!CV229&amp;"–"&amp;csv!CX228&amp;"–"&amp;csv!CZ228)</f>
        <v>68–64–53–67–70–31–55–100–––––––––––––––––––––</v>
      </c>
      <c r="F234" t="s">
        <v>0</v>
      </c>
      <c r="O234" s="1" t="str">
        <f t="shared" si="26"/>
        <v/>
      </c>
      <c r="X234" t="s">
        <v>0</v>
      </c>
    </row>
    <row r="235" spans="1:24" x14ac:dyDescent="0.25">
      <c r="A235" t="s">
        <v>0</v>
      </c>
      <c r="B235" s="52" t="str">
        <f>IF(csv!F230="","",csv!T230)</f>
        <v>Ž16</v>
      </c>
      <c r="C235" s="31" t="str">
        <f>IF(csv!F230="","",csv!AO230)</f>
        <v>Ž16</v>
      </c>
      <c r="D235" s="31" t="str">
        <f>IF(csv!F230="","",csv!AP230&amp;"–"&amp;csv!AQ230&amp;"–"&amp;csv!AR230)</f>
        <v>3.31–115–8</v>
      </c>
      <c r="E235" s="66" t="str">
        <f>IF(csv!AV230&amp;csv!AX230&amp;csv!AZ230&amp;csv!BB230&amp;csv!BD230="","",csv!AV230&amp;"–"&amp;csv!AX230&amp;"–"&amp;csv!AZ230&amp;"–"&amp;csv!BB230&amp;"–"&amp;csv!BD230&amp;"–"&amp;csv!BF230&amp;"–"&amp;csv!BH230&amp;"–"&amp;csv!BJ230&amp;"–"&amp;csv!BL230&amp;"–"&amp;csv!BN230&amp;"–"&amp;csv!BP230&amp;"–"&amp;csv!BR230&amp;"–"&amp;csv!BT230&amp;"–"&amp;csv!BV230&amp;"–"&amp;csv!BX230&amp;"–"&amp;csv!BZ230&amp;"–"&amp;csv!CB230&amp;"–"&amp;csv!CD230&amp;"–"&amp;csv!CF230&amp;"–"&amp;csv!CH230&amp;"–"&amp;csv!CJ230&amp;"–"&amp;csv!CL230&amp;"–"&amp;csv!CN230&amp;"–"&amp;csv!CP230&amp;"–"&amp;csv!CR230&amp;"–"&amp;csv!CT230&amp;"–"&amp;csv!CV230&amp;"–"&amp;csv!CX229&amp;"–"&amp;csv!CZ229)</f>
        <v>68–––67–70–31––100–––––––––––––––––––––</v>
      </c>
      <c r="F235" t="s">
        <v>0</v>
      </c>
      <c r="O235" s="1" t="str">
        <f t="shared" si="26"/>
        <v/>
      </c>
      <c r="X235" t="s">
        <v>0</v>
      </c>
    </row>
    <row r="236" spans="1:24" x14ac:dyDescent="0.25">
      <c r="A236" t="s">
        <v>0</v>
      </c>
      <c r="B236" s="52" t="str">
        <f>IF(csv!F231="","",csv!T231)</f>
        <v>Ž16</v>
      </c>
      <c r="C236" s="31" t="str">
        <f>IF(csv!F231="","",csv!AO231)</f>
        <v>Ž16</v>
      </c>
      <c r="D236" s="31" t="str">
        <f>IF(csv!F231="","",csv!AP231&amp;"–"&amp;csv!AQ231&amp;"–"&amp;csv!AR231)</f>
        <v>3.31–115–8</v>
      </c>
      <c r="E236" s="66" t="str">
        <f>IF(csv!AV231&amp;csv!AX231&amp;csv!AZ231&amp;csv!BB231&amp;csv!BD231="","",csv!AV231&amp;"–"&amp;csv!AX231&amp;"–"&amp;csv!AZ231&amp;"–"&amp;csv!BB231&amp;"–"&amp;csv!BD231&amp;"–"&amp;csv!BF231&amp;"–"&amp;csv!BH231&amp;"–"&amp;csv!BJ231&amp;"–"&amp;csv!BL231&amp;"–"&amp;csv!BN231&amp;"–"&amp;csv!BP231&amp;"–"&amp;csv!BR231&amp;"–"&amp;csv!BT231&amp;"–"&amp;csv!BV231&amp;"–"&amp;csv!BX231&amp;"–"&amp;csv!BZ231&amp;"–"&amp;csv!CB231&amp;"–"&amp;csv!CD231&amp;"–"&amp;csv!CF231&amp;"–"&amp;csv!CH231&amp;"–"&amp;csv!CJ231&amp;"–"&amp;csv!CL231&amp;"–"&amp;csv!CN231&amp;"–"&amp;csv!CP231&amp;"–"&amp;csv!CR231&amp;"–"&amp;csv!CT231&amp;"–"&amp;csv!CV231&amp;"–"&amp;csv!CX230&amp;"–"&amp;csv!CZ230)</f>
        <v/>
      </c>
      <c r="F236" t="s">
        <v>0</v>
      </c>
      <c r="O236" s="1" t="str">
        <f t="shared" si="26"/>
        <v/>
      </c>
      <c r="X236" t="s">
        <v>0</v>
      </c>
    </row>
    <row r="237" spans="1:24" x14ac:dyDescent="0.25">
      <c r="A237" t="s">
        <v>0</v>
      </c>
      <c r="B237" s="52" t="str">
        <f>IF(csv!F232="","",csv!T232)</f>
        <v>Ž16</v>
      </c>
      <c r="C237" s="31" t="str">
        <f>IF(csv!F232="","",csv!AO232)</f>
        <v>Ž16</v>
      </c>
      <c r="D237" s="31" t="str">
        <f>IF(csv!F232="","",csv!AP232&amp;"–"&amp;csv!AQ232&amp;"–"&amp;csv!AR232)</f>
        <v>3.31–115–8</v>
      </c>
      <c r="E237" s="66" t="str">
        <f>IF(csv!AV232&amp;csv!AX232&amp;csv!AZ232&amp;csv!BB232&amp;csv!BD232="","",csv!AV232&amp;"–"&amp;csv!AX232&amp;"–"&amp;csv!AZ232&amp;"–"&amp;csv!BB232&amp;"–"&amp;csv!BD232&amp;"–"&amp;csv!BF232&amp;"–"&amp;csv!BH232&amp;"–"&amp;csv!BJ232&amp;"–"&amp;csv!BL232&amp;"–"&amp;csv!BN232&amp;"–"&amp;csv!BP232&amp;"–"&amp;csv!BR232&amp;"–"&amp;csv!BT232&amp;"–"&amp;csv!BV232&amp;"–"&amp;csv!BX232&amp;"–"&amp;csv!BZ232&amp;"–"&amp;csv!CB232&amp;"–"&amp;csv!CD232&amp;"–"&amp;csv!CF232&amp;"–"&amp;csv!CH232&amp;"–"&amp;csv!CJ232&amp;"–"&amp;csv!CL232&amp;"–"&amp;csv!CN232&amp;"–"&amp;csv!CP232&amp;"–"&amp;csv!CR232&amp;"–"&amp;csv!CT232&amp;"–"&amp;csv!CV232&amp;"–"&amp;csv!CX231&amp;"–"&amp;csv!CZ231)</f>
        <v/>
      </c>
      <c r="F237" t="s">
        <v>0</v>
      </c>
      <c r="O237" s="1" t="str">
        <f t="shared" si="26"/>
        <v/>
      </c>
      <c r="X237" t="s">
        <v>0</v>
      </c>
    </row>
    <row r="238" spans="1:24" x14ac:dyDescent="0.25">
      <c r="A238" t="s">
        <v>0</v>
      </c>
      <c r="B238" s="52" t="str">
        <f>IF(csv!F233="","",csv!T233)</f>
        <v>Ž16</v>
      </c>
      <c r="C238" s="31" t="str">
        <f>IF(csv!F233="","",csv!AO233)</f>
        <v>Ž16</v>
      </c>
      <c r="D238" s="31" t="str">
        <f>IF(csv!F233="","",csv!AP233&amp;"–"&amp;csv!AQ233&amp;"–"&amp;csv!AR233)</f>
        <v>3.31–115–8</v>
      </c>
      <c r="E238" s="66" t="str">
        <f>IF(csv!AV233&amp;csv!AX233&amp;csv!AZ233&amp;csv!BB233&amp;csv!BD233="","",csv!AV233&amp;"–"&amp;csv!AX233&amp;"–"&amp;csv!AZ233&amp;"–"&amp;csv!BB233&amp;"–"&amp;csv!BD233&amp;"–"&amp;csv!BF233&amp;"–"&amp;csv!BH233&amp;"–"&amp;csv!BJ233&amp;"–"&amp;csv!BL233&amp;"–"&amp;csv!BN233&amp;"–"&amp;csv!BP233&amp;"–"&amp;csv!BR233&amp;"–"&amp;csv!BT233&amp;"–"&amp;csv!BV233&amp;"–"&amp;csv!BX233&amp;"–"&amp;csv!BZ233&amp;"–"&amp;csv!CB233&amp;"–"&amp;csv!CD233&amp;"–"&amp;csv!CF233&amp;"–"&amp;csv!CH233&amp;"–"&amp;csv!CJ233&amp;"–"&amp;csv!CL233&amp;"–"&amp;csv!CN233&amp;"–"&amp;csv!CP233&amp;"–"&amp;csv!CR233&amp;"–"&amp;csv!CT233&amp;"–"&amp;csv!CV233&amp;"–"&amp;csv!CX232&amp;"–"&amp;csv!CZ232)</f>
        <v/>
      </c>
      <c r="F238" t="s">
        <v>0</v>
      </c>
      <c r="O238" s="1" t="str">
        <f t="shared" si="26"/>
        <v/>
      </c>
      <c r="X238" t="s">
        <v>0</v>
      </c>
    </row>
    <row r="239" spans="1:24" x14ac:dyDescent="0.25">
      <c r="A239" t="s">
        <v>0</v>
      </c>
      <c r="B239" s="52" t="str">
        <f>IF(csv!F234="","",csv!T234)</f>
        <v>Ž20</v>
      </c>
      <c r="C239" s="31" t="str">
        <f>IF(csv!F234="","",csv!AO234)</f>
        <v>Ž20</v>
      </c>
      <c r="D239" s="31" t="str">
        <f>IF(csv!F234="","",csv!AP234&amp;"–"&amp;csv!AQ234&amp;"–"&amp;csv!AR234)</f>
        <v>4.33–155–9</v>
      </c>
      <c r="E239" s="66" t="str">
        <f>IF(csv!AV234&amp;csv!AX234&amp;csv!AZ234&amp;csv!BB234&amp;csv!BD234="","",csv!AV234&amp;"–"&amp;csv!AX234&amp;"–"&amp;csv!AZ234&amp;"–"&amp;csv!BB234&amp;"–"&amp;csv!BD234&amp;"–"&amp;csv!BF234&amp;"–"&amp;csv!BH234&amp;"–"&amp;csv!BJ234&amp;"–"&amp;csv!BL234&amp;"–"&amp;csv!BN234&amp;"–"&amp;csv!BP234&amp;"–"&amp;csv!BR234&amp;"–"&amp;csv!BT234&amp;"–"&amp;csv!BV234&amp;"–"&amp;csv!BX234&amp;"–"&amp;csv!BZ234&amp;"–"&amp;csv!CB234&amp;"–"&amp;csv!CD234&amp;"–"&amp;csv!CF234&amp;"–"&amp;csv!CH234&amp;"–"&amp;csv!CJ234&amp;"–"&amp;csv!CL234&amp;"–"&amp;csv!CN234&amp;"–"&amp;csv!CP234&amp;"–"&amp;csv!CR234&amp;"–"&amp;csv!CT234&amp;"–"&amp;csv!CV234&amp;"–"&amp;csv!CX233&amp;"–"&amp;csv!CZ233)</f>
        <v>36–58–52–53–51–32–33–54–100––––––––––––––––––––</v>
      </c>
      <c r="F239" t="s">
        <v>0</v>
      </c>
      <c r="O239" s="1" t="str">
        <f t="shared" si="26"/>
        <v/>
      </c>
      <c r="X239" t="s">
        <v>0</v>
      </c>
    </row>
    <row r="240" spans="1:24" x14ac:dyDescent="0.25">
      <c r="A240" t="s">
        <v>0</v>
      </c>
      <c r="B240" s="52" t="str">
        <f>IF(csv!F235="","",csv!T235)</f>
        <v>Ž20</v>
      </c>
      <c r="C240" s="31" t="str">
        <f>IF(csv!F235="","",csv!AO235)</f>
        <v>Ž20</v>
      </c>
      <c r="D240" s="31" t="str">
        <f>IF(csv!F235="","",csv!AP235&amp;"–"&amp;csv!AQ235&amp;"–"&amp;csv!AR235)</f>
        <v>4.33–155–9</v>
      </c>
      <c r="E240" s="66" t="str">
        <f>IF(csv!AV235&amp;csv!AX235&amp;csv!AZ235&amp;csv!BB235&amp;csv!BD235="","",csv!AV235&amp;"–"&amp;csv!AX235&amp;"–"&amp;csv!AZ235&amp;"–"&amp;csv!BB235&amp;"–"&amp;csv!BD235&amp;"–"&amp;csv!BF235&amp;"–"&amp;csv!BH235&amp;"–"&amp;csv!BJ235&amp;"–"&amp;csv!BL235&amp;"–"&amp;csv!BN235&amp;"–"&amp;csv!BP235&amp;"–"&amp;csv!BR235&amp;"–"&amp;csv!BT235&amp;"–"&amp;csv!BV235&amp;"–"&amp;csv!BX235&amp;"–"&amp;csv!BZ235&amp;"–"&amp;csv!CB235&amp;"–"&amp;csv!CD235&amp;"–"&amp;csv!CF235&amp;"–"&amp;csv!CH235&amp;"–"&amp;csv!CJ235&amp;"–"&amp;csv!CL235&amp;"–"&amp;csv!CN235&amp;"–"&amp;csv!CP235&amp;"–"&amp;csv!CR235&amp;"–"&amp;csv!CT235&amp;"–"&amp;csv!CV235&amp;"–"&amp;csv!CX234&amp;"–"&amp;csv!CZ234)</f>
        <v>36–58–52–53–51–32–33–54–100––––––––––––––––––––</v>
      </c>
      <c r="F240" t="s">
        <v>0</v>
      </c>
      <c r="O240" s="1" t="str">
        <f t="shared" si="26"/>
        <v/>
      </c>
      <c r="X240" t="s">
        <v>0</v>
      </c>
    </row>
    <row r="241" spans="1:24" x14ac:dyDescent="0.25">
      <c r="A241" t="s">
        <v>0</v>
      </c>
      <c r="B241" s="52" t="str">
        <f>IF(csv!F236="","",csv!T236)</f>
        <v>Ž20</v>
      </c>
      <c r="C241" s="31" t="str">
        <f>IF(csv!F236="","",csv!AO236)</f>
        <v>Ž20</v>
      </c>
      <c r="D241" s="31" t="str">
        <f>IF(csv!F236="","",csv!AP236&amp;"–"&amp;csv!AQ236&amp;"–"&amp;csv!AR236)</f>
        <v>4.33–155–9</v>
      </c>
      <c r="E241" s="66" t="str">
        <f>IF(csv!AV236&amp;csv!AX236&amp;csv!AZ236&amp;csv!BB236&amp;csv!BD236="","",csv!AV236&amp;"–"&amp;csv!AX236&amp;"–"&amp;csv!AZ236&amp;"–"&amp;csv!BB236&amp;"–"&amp;csv!BD236&amp;"–"&amp;csv!BF236&amp;"–"&amp;csv!BH236&amp;"–"&amp;csv!BJ236&amp;"–"&amp;csv!BL236&amp;"–"&amp;csv!BN236&amp;"–"&amp;csv!BP236&amp;"–"&amp;csv!BR236&amp;"–"&amp;csv!BT236&amp;"–"&amp;csv!BV236&amp;"–"&amp;csv!BX236&amp;"–"&amp;csv!BZ236&amp;"–"&amp;csv!CB236&amp;"–"&amp;csv!CD236&amp;"–"&amp;csv!CF236&amp;"–"&amp;csv!CH236&amp;"–"&amp;csv!CJ236&amp;"–"&amp;csv!CL236&amp;"–"&amp;csv!CN236&amp;"–"&amp;csv!CP236&amp;"–"&amp;csv!CR236&amp;"–"&amp;csv!CT236&amp;"–"&amp;csv!CV236&amp;"–"&amp;csv!CX235&amp;"–"&amp;csv!CZ235)</f>
        <v>36–58–52–53–51–32–33–54–100––––––––––––––––––––</v>
      </c>
      <c r="F241" t="s">
        <v>0</v>
      </c>
      <c r="O241" s="1" t="str">
        <f t="shared" si="26"/>
        <v/>
      </c>
      <c r="X241" t="s">
        <v>0</v>
      </c>
    </row>
    <row r="242" spans="1:24" x14ac:dyDescent="0.25">
      <c r="A242" t="s">
        <v>0</v>
      </c>
      <c r="B242" s="52" t="str">
        <f>IF(csv!F237="","",csv!T237)</f>
        <v>Ž20</v>
      </c>
      <c r="C242" s="31" t="str">
        <f>IF(csv!F237="","",csv!AO237)</f>
        <v>Ž20</v>
      </c>
      <c r="D242" s="31" t="str">
        <f>IF(csv!F237="","",csv!AP237&amp;"–"&amp;csv!AQ237&amp;"–"&amp;csv!AR237)</f>
        <v>4.33–155–9</v>
      </c>
      <c r="E242" s="66" t="str">
        <f>IF(csv!AV237&amp;csv!AX237&amp;csv!AZ237&amp;csv!BB237&amp;csv!BD237="","",csv!AV237&amp;"–"&amp;csv!AX237&amp;"–"&amp;csv!AZ237&amp;"–"&amp;csv!BB237&amp;"–"&amp;csv!BD237&amp;"–"&amp;csv!BF237&amp;"–"&amp;csv!BH237&amp;"–"&amp;csv!BJ237&amp;"–"&amp;csv!BL237&amp;"–"&amp;csv!BN237&amp;"–"&amp;csv!BP237&amp;"–"&amp;csv!BR237&amp;"–"&amp;csv!BT237&amp;"–"&amp;csv!BV237&amp;"–"&amp;csv!BX237&amp;"–"&amp;csv!BZ237&amp;"–"&amp;csv!CB237&amp;"–"&amp;csv!CD237&amp;"–"&amp;csv!CF237&amp;"–"&amp;csv!CH237&amp;"–"&amp;csv!CJ237&amp;"–"&amp;csv!CL237&amp;"–"&amp;csv!CN237&amp;"–"&amp;csv!CP237&amp;"–"&amp;csv!CR237&amp;"–"&amp;csv!CT237&amp;"–"&amp;csv!CV237&amp;"–"&amp;csv!CX236&amp;"–"&amp;csv!CZ236)</f>
        <v>36–58–52–53–51–32–33–54–100––––––––––––––––––––</v>
      </c>
      <c r="F242" t="s">
        <v>0</v>
      </c>
      <c r="O242" s="1" t="str">
        <f t="shared" si="26"/>
        <v/>
      </c>
      <c r="X242" t="s">
        <v>0</v>
      </c>
    </row>
    <row r="243" spans="1:24" x14ac:dyDescent="0.25">
      <c r="A243" t="s">
        <v>0</v>
      </c>
      <c r="B243" s="52" t="str">
        <f>IF(csv!F238="","",csv!T238)</f>
        <v>Ž20</v>
      </c>
      <c r="C243" s="31" t="str">
        <f>IF(csv!F238="","",csv!AO238)</f>
        <v>Ž20</v>
      </c>
      <c r="D243" s="31" t="str">
        <f>IF(csv!F238="","",csv!AP238&amp;"–"&amp;csv!AQ238&amp;"–"&amp;csv!AR238)</f>
        <v>4.33–155–9</v>
      </c>
      <c r="E243" s="66" t="str">
        <f>IF(csv!AV238&amp;csv!AX238&amp;csv!AZ238&amp;csv!BB238&amp;csv!BD238="","",csv!AV238&amp;"–"&amp;csv!AX238&amp;"–"&amp;csv!AZ238&amp;"–"&amp;csv!BB238&amp;"–"&amp;csv!BD238&amp;"–"&amp;csv!BF238&amp;"–"&amp;csv!BH238&amp;"–"&amp;csv!BJ238&amp;"–"&amp;csv!BL238&amp;"–"&amp;csv!BN238&amp;"–"&amp;csv!BP238&amp;"–"&amp;csv!BR238&amp;"–"&amp;csv!BT238&amp;"–"&amp;csv!BV238&amp;"–"&amp;csv!BX238&amp;"–"&amp;csv!BZ238&amp;"–"&amp;csv!CB238&amp;"–"&amp;csv!CD238&amp;"–"&amp;csv!CF238&amp;"–"&amp;csv!CH238&amp;"–"&amp;csv!CJ238&amp;"–"&amp;csv!CL238&amp;"–"&amp;csv!CN238&amp;"–"&amp;csv!CP238&amp;"–"&amp;csv!CR238&amp;"–"&amp;csv!CT238&amp;"–"&amp;csv!CV238&amp;"–"&amp;csv!CX237&amp;"–"&amp;csv!CZ237)</f>
        <v>36–58–52–53–51–32–33–54–100––––––––––––––––––––</v>
      </c>
      <c r="F243" t="s">
        <v>0</v>
      </c>
      <c r="O243" s="1" t="str">
        <f t="shared" si="26"/>
        <v/>
      </c>
      <c r="X243" t="s">
        <v>0</v>
      </c>
    </row>
    <row r="244" spans="1:24" x14ac:dyDescent="0.25">
      <c r="A244" t="s">
        <v>0</v>
      </c>
      <c r="B244" s="52" t="str">
        <f>IF(csv!F239="","",csv!T239)</f>
        <v>Ž20</v>
      </c>
      <c r="C244" s="31" t="str">
        <f>IF(csv!F239="","",csv!AO239)</f>
        <v>Ž20</v>
      </c>
      <c r="D244" s="31" t="str">
        <f>IF(csv!F239="","",csv!AP239&amp;"–"&amp;csv!AQ239&amp;"–"&amp;csv!AR239)</f>
        <v>4.33–155–9</v>
      </c>
      <c r="E244" s="66" t="str">
        <f>IF(csv!AV239&amp;csv!AX239&amp;csv!AZ239&amp;csv!BB239&amp;csv!BD239="","",csv!AV239&amp;"–"&amp;csv!AX239&amp;"–"&amp;csv!AZ239&amp;"–"&amp;csv!BB239&amp;"–"&amp;csv!BD239&amp;"–"&amp;csv!BF239&amp;"–"&amp;csv!BH239&amp;"–"&amp;csv!BJ239&amp;"–"&amp;csv!BL239&amp;"–"&amp;csv!BN239&amp;"–"&amp;csv!BP239&amp;"–"&amp;csv!BR239&amp;"–"&amp;csv!BT239&amp;"–"&amp;csv!BV239&amp;"–"&amp;csv!BX239&amp;"–"&amp;csv!BZ239&amp;"–"&amp;csv!CB239&amp;"–"&amp;csv!CD239&amp;"–"&amp;csv!CF239&amp;"–"&amp;csv!CH239&amp;"–"&amp;csv!CJ239&amp;"–"&amp;csv!CL239&amp;"–"&amp;csv!CN239&amp;"–"&amp;csv!CP239&amp;"–"&amp;csv!CR239&amp;"–"&amp;csv!CT239&amp;"–"&amp;csv!CV239&amp;"–"&amp;csv!CX238&amp;"–"&amp;csv!CZ238)</f>
        <v>36–58–52–53–51–32–33–54–100––––––––––––––––––––</v>
      </c>
      <c r="F244" t="s">
        <v>0</v>
      </c>
      <c r="O244" s="1" t="str">
        <f t="shared" si="26"/>
        <v/>
      </c>
      <c r="X244" t="s">
        <v>0</v>
      </c>
    </row>
    <row r="245" spans="1:24" x14ac:dyDescent="0.25">
      <c r="A245" t="s">
        <v>0</v>
      </c>
      <c r="B245" s="52" t="str">
        <f>IF(csv!F240="","",csv!T240)</f>
        <v>Ž20</v>
      </c>
      <c r="C245" s="31" t="str">
        <f>IF(csv!F240="","",csv!AO240)</f>
        <v>Ž20</v>
      </c>
      <c r="D245" s="31" t="str">
        <f>IF(csv!F240="","",csv!AP240&amp;"–"&amp;csv!AQ240&amp;"–"&amp;csv!AR240)</f>
        <v>4.33–155–9</v>
      </c>
      <c r="E245" s="66" t="str">
        <f>IF(csv!AV240&amp;csv!AX240&amp;csv!AZ240&amp;csv!BB240&amp;csv!BD240="","",csv!AV240&amp;"–"&amp;csv!AX240&amp;"–"&amp;csv!AZ240&amp;"–"&amp;csv!BB240&amp;"–"&amp;csv!BD240&amp;"–"&amp;csv!BF240&amp;"–"&amp;csv!BH240&amp;"–"&amp;csv!BJ240&amp;"–"&amp;csv!BL240&amp;"–"&amp;csv!BN240&amp;"–"&amp;csv!BP240&amp;"–"&amp;csv!BR240&amp;"–"&amp;csv!BT240&amp;"–"&amp;csv!BV240&amp;"–"&amp;csv!BX240&amp;"–"&amp;csv!BZ240&amp;"–"&amp;csv!CB240&amp;"–"&amp;csv!CD240&amp;"–"&amp;csv!CF240&amp;"–"&amp;csv!CH240&amp;"–"&amp;csv!CJ240&amp;"–"&amp;csv!CL240&amp;"–"&amp;csv!CN240&amp;"–"&amp;csv!CP240&amp;"–"&amp;csv!CR240&amp;"–"&amp;csv!CT240&amp;"–"&amp;csv!CV240&amp;"–"&amp;csv!CX239&amp;"–"&amp;csv!CZ239)</f>
        <v/>
      </c>
      <c r="F245" t="s">
        <v>0</v>
      </c>
      <c r="O245" s="1" t="str">
        <f t="shared" si="26"/>
        <v/>
      </c>
      <c r="X245" t="s">
        <v>0</v>
      </c>
    </row>
    <row r="246" spans="1:24" x14ac:dyDescent="0.25">
      <c r="A246" t="s">
        <v>0</v>
      </c>
      <c r="B246" s="52" t="str">
        <f>IF(csv!F241="","",csv!T241)</f>
        <v>Ž20</v>
      </c>
      <c r="C246" s="31" t="str">
        <f>IF(csv!F241="","",csv!AO241)</f>
        <v>Ž20</v>
      </c>
      <c r="D246" s="31" t="str">
        <f>IF(csv!F241="","",csv!AP241&amp;"–"&amp;csv!AQ241&amp;"–"&amp;csv!AR241)</f>
        <v>4.33–155–9</v>
      </c>
      <c r="E246" s="66" t="str">
        <f>IF(csv!AV241&amp;csv!AX241&amp;csv!AZ241&amp;csv!BB241&amp;csv!BD241="","",csv!AV241&amp;"–"&amp;csv!AX241&amp;"–"&amp;csv!AZ241&amp;"–"&amp;csv!BB241&amp;"–"&amp;csv!BD241&amp;"–"&amp;csv!BF241&amp;"–"&amp;csv!BH241&amp;"–"&amp;csv!BJ241&amp;"–"&amp;csv!BL241&amp;"–"&amp;csv!BN241&amp;"–"&amp;csv!BP241&amp;"–"&amp;csv!BR241&amp;"–"&amp;csv!BT241&amp;"–"&amp;csv!BV241&amp;"–"&amp;csv!BX241&amp;"–"&amp;csv!BZ241&amp;"–"&amp;csv!CB241&amp;"–"&amp;csv!CD241&amp;"–"&amp;csv!CF241&amp;"–"&amp;csv!CH241&amp;"–"&amp;csv!CJ241&amp;"–"&amp;csv!CL241&amp;"–"&amp;csv!CN241&amp;"–"&amp;csv!CP241&amp;"–"&amp;csv!CR241&amp;"–"&amp;csv!CT241&amp;"–"&amp;csv!CV241&amp;"–"&amp;csv!CX240&amp;"–"&amp;csv!CZ240)</f>
        <v/>
      </c>
      <c r="F246" t="s">
        <v>0</v>
      </c>
      <c r="O246" s="1" t="str">
        <f t="shared" si="26"/>
        <v/>
      </c>
      <c r="X246" t="s">
        <v>0</v>
      </c>
    </row>
    <row r="247" spans="1:24" x14ac:dyDescent="0.25">
      <c r="A247" t="s">
        <v>0</v>
      </c>
      <c r="B247" s="52" t="str">
        <f>IF(csv!F242="","",csv!T242)</f>
        <v>Ž20</v>
      </c>
      <c r="C247" s="31" t="str">
        <f>IF(csv!F242="","",csv!AO242)</f>
        <v>Ž20</v>
      </c>
      <c r="D247" s="31" t="str">
        <f>IF(csv!F242="","",csv!AP242&amp;"–"&amp;csv!AQ242&amp;"–"&amp;csv!AR242)</f>
        <v>4.33–155–9</v>
      </c>
      <c r="E247" s="66" t="str">
        <f>IF(csv!AV242&amp;csv!AX242&amp;csv!AZ242&amp;csv!BB242&amp;csv!BD242="","",csv!AV242&amp;"–"&amp;csv!AX242&amp;"–"&amp;csv!AZ242&amp;"–"&amp;csv!BB242&amp;"–"&amp;csv!BD242&amp;"–"&amp;csv!BF242&amp;"–"&amp;csv!BH242&amp;"–"&amp;csv!BJ242&amp;"–"&amp;csv!BL242&amp;"–"&amp;csv!BN242&amp;"–"&amp;csv!BP242&amp;"–"&amp;csv!BR242&amp;"–"&amp;csv!BT242&amp;"–"&amp;csv!BV242&amp;"–"&amp;csv!BX242&amp;"–"&amp;csv!BZ242&amp;"–"&amp;csv!CB242&amp;"–"&amp;csv!CD242&amp;"–"&amp;csv!CF242&amp;"–"&amp;csv!CH242&amp;"–"&amp;csv!CJ242&amp;"–"&amp;csv!CL242&amp;"–"&amp;csv!CN242&amp;"–"&amp;csv!CP242&amp;"–"&amp;csv!CR242&amp;"–"&amp;csv!CT242&amp;"–"&amp;csv!CV242&amp;"–"&amp;csv!CX241&amp;"–"&amp;csv!CZ241)</f>
        <v/>
      </c>
      <c r="F247" t="s">
        <v>0</v>
      </c>
      <c r="O247" s="1" t="str">
        <f t="shared" si="26"/>
        <v/>
      </c>
      <c r="X247" t="s">
        <v>0</v>
      </c>
    </row>
    <row r="248" spans="1:24" x14ac:dyDescent="0.25">
      <c r="A248" t="s">
        <v>0</v>
      </c>
      <c r="B248" s="52" t="str">
        <f>IF(csv!F243="","",csv!T243)</f>
        <v>Ž21A</v>
      </c>
      <c r="C248" s="31" t="str">
        <f>IF(csv!F243="","",csv!AO243)</f>
        <v>Ž21A</v>
      </c>
      <c r="D248" s="31" t="str">
        <f>IF(csv!F243="","",csv!AP243&amp;"–"&amp;csv!AQ243&amp;"–"&amp;csv!AR243)</f>
        <v>5.91–270–12</v>
      </c>
      <c r="E248" s="66" t="str">
        <f>IF(csv!AV243&amp;csv!AX243&amp;csv!AZ243&amp;csv!BB243&amp;csv!BD243="","",csv!AV243&amp;"–"&amp;csv!AX243&amp;"–"&amp;csv!AZ243&amp;"–"&amp;csv!BB243&amp;"–"&amp;csv!BD243&amp;"–"&amp;csv!BF243&amp;"–"&amp;csv!BH243&amp;"–"&amp;csv!BJ243&amp;"–"&amp;csv!BL243&amp;"–"&amp;csv!BN243&amp;"–"&amp;csv!BP243&amp;"–"&amp;csv!BR243&amp;"–"&amp;csv!BT243&amp;"–"&amp;csv!BV243&amp;"–"&amp;csv!BX243&amp;"–"&amp;csv!BZ243&amp;"–"&amp;csv!CB243&amp;"–"&amp;csv!CD243&amp;"–"&amp;csv!CF243&amp;"–"&amp;csv!CH243&amp;"–"&amp;csv!CJ243&amp;"–"&amp;csv!CL243&amp;"–"&amp;csv!CN243&amp;"–"&amp;csv!CP243&amp;"–"&amp;csv!CR243&amp;"–"&amp;csv!CT243&amp;"–"&amp;csv!CV243&amp;"–"&amp;csv!CX242&amp;"–"&amp;csv!CZ242)</f>
        <v>40–36–43–44–45–50–46–49–57–62–54–100–––––––––––––––––</v>
      </c>
      <c r="F248" t="s">
        <v>0</v>
      </c>
      <c r="O248" s="1" t="str">
        <f t="shared" si="26"/>
        <v/>
      </c>
      <c r="X248" t="s">
        <v>0</v>
      </c>
    </row>
    <row r="249" spans="1:24" x14ac:dyDescent="0.25">
      <c r="A249" t="s">
        <v>0</v>
      </c>
      <c r="B249" s="52" t="str">
        <f>IF(csv!F244="","",csv!T244)</f>
        <v>Ž21A</v>
      </c>
      <c r="C249" s="31" t="str">
        <f>IF(csv!F244="","",csv!AO244)</f>
        <v>Ž21A</v>
      </c>
      <c r="D249" s="31" t="str">
        <f>IF(csv!F244="","",csv!AP244&amp;"–"&amp;csv!AQ244&amp;"–"&amp;csv!AR244)</f>
        <v>5.91–270–12</v>
      </c>
      <c r="E249" s="66" t="str">
        <f>IF(csv!AV244&amp;csv!AX244&amp;csv!AZ244&amp;csv!BB244&amp;csv!BD244="","",csv!AV244&amp;"–"&amp;csv!AX244&amp;"–"&amp;csv!AZ244&amp;"–"&amp;csv!BB244&amp;"–"&amp;csv!BD244&amp;"–"&amp;csv!BF244&amp;"–"&amp;csv!BH244&amp;"–"&amp;csv!BJ244&amp;"–"&amp;csv!BL244&amp;"–"&amp;csv!BN244&amp;"–"&amp;csv!BP244&amp;"–"&amp;csv!BR244&amp;"–"&amp;csv!BT244&amp;"–"&amp;csv!BV244&amp;"–"&amp;csv!BX244&amp;"–"&amp;csv!BZ244&amp;"–"&amp;csv!CB244&amp;"–"&amp;csv!CD244&amp;"–"&amp;csv!CF244&amp;"–"&amp;csv!CH244&amp;"–"&amp;csv!CJ244&amp;"–"&amp;csv!CL244&amp;"–"&amp;csv!CN244&amp;"–"&amp;csv!CP244&amp;"–"&amp;csv!CR244&amp;"–"&amp;csv!CT244&amp;"–"&amp;csv!CV244&amp;"–"&amp;csv!CX243&amp;"–"&amp;csv!CZ243)</f>
        <v>40–36–43–44–45–50–46–49–57–62–54–100–––––––––––––––––</v>
      </c>
      <c r="F249" t="s">
        <v>0</v>
      </c>
      <c r="O249" s="1" t="str">
        <f t="shared" si="26"/>
        <v/>
      </c>
      <c r="X249" t="s">
        <v>0</v>
      </c>
    </row>
    <row r="250" spans="1:24" x14ac:dyDescent="0.25">
      <c r="A250" t="s">
        <v>0</v>
      </c>
      <c r="B250" s="52" t="str">
        <f>IF(csv!F245="","",csv!T245)</f>
        <v>Ž21A</v>
      </c>
      <c r="C250" s="31" t="str">
        <f>IF(csv!F245="","",csv!AO245)</f>
        <v>Ž21A</v>
      </c>
      <c r="D250" s="31" t="str">
        <f>IF(csv!F245="","",csv!AP245&amp;"–"&amp;csv!AQ245&amp;"–"&amp;csv!AR245)</f>
        <v>5.91–270–12</v>
      </c>
      <c r="E250" s="66" t="str">
        <f>IF(csv!AV245&amp;csv!AX245&amp;csv!AZ245&amp;csv!BB245&amp;csv!BD245="","",csv!AV245&amp;"–"&amp;csv!AX245&amp;"–"&amp;csv!AZ245&amp;"–"&amp;csv!BB245&amp;"–"&amp;csv!BD245&amp;"–"&amp;csv!BF245&amp;"–"&amp;csv!BH245&amp;"–"&amp;csv!BJ245&amp;"–"&amp;csv!BL245&amp;"–"&amp;csv!BN245&amp;"–"&amp;csv!BP245&amp;"–"&amp;csv!BR245&amp;"–"&amp;csv!BT245&amp;"–"&amp;csv!BV245&amp;"–"&amp;csv!BX245&amp;"–"&amp;csv!BZ245&amp;"–"&amp;csv!CB245&amp;"–"&amp;csv!CD245&amp;"–"&amp;csv!CF245&amp;"–"&amp;csv!CH245&amp;"–"&amp;csv!CJ245&amp;"–"&amp;csv!CL245&amp;"–"&amp;csv!CN245&amp;"–"&amp;csv!CP245&amp;"–"&amp;csv!CR245&amp;"–"&amp;csv!CT245&amp;"–"&amp;csv!CV245&amp;"–"&amp;csv!CX244&amp;"–"&amp;csv!CZ244)</f>
        <v>40–36–43–44–45–50–46–49–57–62–54–100–––––––––––––––––</v>
      </c>
      <c r="F250" t="s">
        <v>0</v>
      </c>
      <c r="O250" s="1" t="str">
        <f t="shared" si="26"/>
        <v/>
      </c>
      <c r="X250" t="s">
        <v>0</v>
      </c>
    </row>
    <row r="251" spans="1:24" x14ac:dyDescent="0.25">
      <c r="A251" t="s">
        <v>0</v>
      </c>
      <c r="B251" s="52" t="str">
        <f>IF(csv!F246="","",csv!T246)</f>
        <v>Ž21A</v>
      </c>
      <c r="C251" s="31" t="str">
        <f>IF(csv!F246="","",csv!AO246)</f>
        <v>Ž21A</v>
      </c>
      <c r="D251" s="31" t="str">
        <f>IF(csv!F246="","",csv!AP246&amp;"–"&amp;csv!AQ246&amp;"–"&amp;csv!AR246)</f>
        <v>5.91–270–12</v>
      </c>
      <c r="E251" s="66" t="str">
        <f>IF(csv!AV246&amp;csv!AX246&amp;csv!AZ246&amp;csv!BB246&amp;csv!BD246="","",csv!AV246&amp;"–"&amp;csv!AX246&amp;"–"&amp;csv!AZ246&amp;"–"&amp;csv!BB246&amp;"–"&amp;csv!BD246&amp;"–"&amp;csv!BF246&amp;"–"&amp;csv!BH246&amp;"–"&amp;csv!BJ246&amp;"–"&amp;csv!BL246&amp;"–"&amp;csv!BN246&amp;"–"&amp;csv!BP246&amp;"–"&amp;csv!BR246&amp;"–"&amp;csv!BT246&amp;"–"&amp;csv!BV246&amp;"–"&amp;csv!BX246&amp;"–"&amp;csv!BZ246&amp;"–"&amp;csv!CB246&amp;"–"&amp;csv!CD246&amp;"–"&amp;csv!CF246&amp;"–"&amp;csv!CH246&amp;"–"&amp;csv!CJ246&amp;"–"&amp;csv!CL246&amp;"–"&amp;csv!CN246&amp;"–"&amp;csv!CP246&amp;"–"&amp;csv!CR246&amp;"–"&amp;csv!CT246&amp;"–"&amp;csv!CV246&amp;"–"&amp;csv!CX245&amp;"–"&amp;csv!CZ245)</f>
        <v>40–36–43–44–45–50–46–49–57–62–54–100–––––––––––––––––</v>
      </c>
      <c r="F251" t="s">
        <v>0</v>
      </c>
      <c r="O251" s="1" t="str">
        <f t="shared" si="26"/>
        <v/>
      </c>
      <c r="X251" t="s">
        <v>0</v>
      </c>
    </row>
    <row r="252" spans="1:24" x14ac:dyDescent="0.25">
      <c r="A252" t="s">
        <v>0</v>
      </c>
      <c r="B252" s="52" t="str">
        <f>IF(csv!F247="","",csv!T247)</f>
        <v>Ž21A</v>
      </c>
      <c r="C252" s="31" t="str">
        <f>IF(csv!F247="","",csv!AO247)</f>
        <v>Ž21A</v>
      </c>
      <c r="D252" s="31" t="str">
        <f>IF(csv!F247="","",csv!AP247&amp;"–"&amp;csv!AQ247&amp;"–"&amp;csv!AR247)</f>
        <v>5.91–270–12</v>
      </c>
      <c r="E252" s="66" t="str">
        <f>IF(csv!AV247&amp;csv!AX247&amp;csv!AZ247&amp;csv!BB247&amp;csv!BD247="","",csv!AV247&amp;"–"&amp;csv!AX247&amp;"–"&amp;csv!AZ247&amp;"–"&amp;csv!BB247&amp;"–"&amp;csv!BD247&amp;"–"&amp;csv!BF247&amp;"–"&amp;csv!BH247&amp;"–"&amp;csv!BJ247&amp;"–"&amp;csv!BL247&amp;"–"&amp;csv!BN247&amp;"–"&amp;csv!BP247&amp;"–"&amp;csv!BR247&amp;"–"&amp;csv!BT247&amp;"–"&amp;csv!BV247&amp;"–"&amp;csv!BX247&amp;"–"&amp;csv!BZ247&amp;"–"&amp;csv!CB247&amp;"–"&amp;csv!CD247&amp;"–"&amp;csv!CF247&amp;"–"&amp;csv!CH247&amp;"–"&amp;csv!CJ247&amp;"–"&amp;csv!CL247&amp;"–"&amp;csv!CN247&amp;"–"&amp;csv!CP247&amp;"–"&amp;csv!CR247&amp;"–"&amp;csv!CT247&amp;"–"&amp;csv!CV247&amp;"–"&amp;csv!CX246&amp;"–"&amp;csv!CZ246)</f>
        <v>40–36–43–44–45–50–46–49–57–62–54–100–––––––––––––––––</v>
      </c>
      <c r="F252" t="s">
        <v>0</v>
      </c>
      <c r="O252" s="1" t="str">
        <f t="shared" si="26"/>
        <v/>
      </c>
      <c r="X252" t="s">
        <v>0</v>
      </c>
    </row>
    <row r="253" spans="1:24" x14ac:dyDescent="0.25">
      <c r="A253" t="s">
        <v>0</v>
      </c>
      <c r="B253" s="52" t="str">
        <f>IF(csv!F248="","",csv!T248)</f>
        <v>Ž21A</v>
      </c>
      <c r="C253" s="31" t="str">
        <f>IF(csv!F248="","",csv!AO248)</f>
        <v>Ž21A</v>
      </c>
      <c r="D253" s="31" t="str">
        <f>IF(csv!F248="","",csv!AP248&amp;"–"&amp;csv!AQ248&amp;"–"&amp;csv!AR248)</f>
        <v>5.91–270–12</v>
      </c>
      <c r="E253" s="66" t="str">
        <f>IF(csv!AV248&amp;csv!AX248&amp;csv!AZ248&amp;csv!BB248&amp;csv!BD248="","",csv!AV248&amp;"–"&amp;csv!AX248&amp;"–"&amp;csv!AZ248&amp;"–"&amp;csv!BB248&amp;"–"&amp;csv!BD248&amp;"–"&amp;csv!BF248&amp;"–"&amp;csv!BH248&amp;"–"&amp;csv!BJ248&amp;"–"&amp;csv!BL248&amp;"–"&amp;csv!BN248&amp;"–"&amp;csv!BP248&amp;"–"&amp;csv!BR248&amp;"–"&amp;csv!BT248&amp;"–"&amp;csv!BV248&amp;"–"&amp;csv!BX248&amp;"–"&amp;csv!BZ248&amp;"–"&amp;csv!CB248&amp;"–"&amp;csv!CD248&amp;"–"&amp;csv!CF248&amp;"–"&amp;csv!CH248&amp;"–"&amp;csv!CJ248&amp;"–"&amp;csv!CL248&amp;"–"&amp;csv!CN248&amp;"–"&amp;csv!CP248&amp;"–"&amp;csv!CR248&amp;"–"&amp;csv!CT248&amp;"–"&amp;csv!CV248&amp;"–"&amp;csv!CX247&amp;"–"&amp;csv!CZ247)</f>
        <v>40–36–43–44–45–50–46–49–57–62–54–100–––––––––––––––––</v>
      </c>
      <c r="F253" t="s">
        <v>0</v>
      </c>
      <c r="O253" s="1" t="str">
        <f t="shared" si="26"/>
        <v/>
      </c>
      <c r="X253" t="s">
        <v>0</v>
      </c>
    </row>
    <row r="254" spans="1:24" x14ac:dyDescent="0.25">
      <c r="A254" t="s">
        <v>0</v>
      </c>
      <c r="B254" s="52" t="str">
        <f>IF(csv!F249="","",csv!T249)</f>
        <v>Ž21A</v>
      </c>
      <c r="C254" s="31" t="str">
        <f>IF(csv!F249="","",csv!AO249)</f>
        <v>Ž21A</v>
      </c>
      <c r="D254" s="31" t="str">
        <f>IF(csv!F249="","",csv!AP249&amp;"–"&amp;csv!AQ249&amp;"–"&amp;csv!AR249)</f>
        <v>5.91–270–12</v>
      </c>
      <c r="E254" s="66" t="str">
        <f>IF(csv!AV249&amp;csv!AX249&amp;csv!AZ249&amp;csv!BB249&amp;csv!BD249="","",csv!AV249&amp;"–"&amp;csv!AX249&amp;"–"&amp;csv!AZ249&amp;"–"&amp;csv!BB249&amp;"–"&amp;csv!BD249&amp;"–"&amp;csv!BF249&amp;"–"&amp;csv!BH249&amp;"–"&amp;csv!BJ249&amp;"–"&amp;csv!BL249&amp;"–"&amp;csv!BN249&amp;"–"&amp;csv!BP249&amp;"–"&amp;csv!BR249&amp;"–"&amp;csv!BT249&amp;"–"&amp;csv!BV249&amp;"–"&amp;csv!BX249&amp;"–"&amp;csv!BZ249&amp;"–"&amp;csv!CB249&amp;"–"&amp;csv!CD249&amp;"–"&amp;csv!CF249&amp;"–"&amp;csv!CH249&amp;"–"&amp;csv!CJ249&amp;"–"&amp;csv!CL249&amp;"–"&amp;csv!CN249&amp;"–"&amp;csv!CP249&amp;"–"&amp;csv!CR249&amp;"–"&amp;csv!CT249&amp;"–"&amp;csv!CV249&amp;"–"&amp;csv!CX248&amp;"–"&amp;csv!CZ248)</f>
        <v>40–36–43–44–45–50–46–49–57–62–54–100–––––––––––––––––</v>
      </c>
      <c r="F254" t="s">
        <v>0</v>
      </c>
      <c r="O254" s="1" t="str">
        <f t="shared" si="26"/>
        <v/>
      </c>
      <c r="X254" t="s">
        <v>0</v>
      </c>
    </row>
    <row r="255" spans="1:24" x14ac:dyDescent="0.25">
      <c r="A255" t="s">
        <v>0</v>
      </c>
      <c r="B255" s="52" t="str">
        <f>IF(csv!F250="","",csv!T250)</f>
        <v>Ž21A</v>
      </c>
      <c r="C255" s="31" t="str">
        <f>IF(csv!F250="","",csv!AO250)</f>
        <v>Ž21A</v>
      </c>
      <c r="D255" s="31" t="str">
        <f>IF(csv!F250="","",csv!AP250&amp;"–"&amp;csv!AQ250&amp;"–"&amp;csv!AR250)</f>
        <v>5.91–270–12</v>
      </c>
      <c r="E255" s="66" t="str">
        <f>IF(csv!AV250&amp;csv!AX250&amp;csv!AZ250&amp;csv!BB250&amp;csv!BD250="","",csv!AV250&amp;"–"&amp;csv!AX250&amp;"–"&amp;csv!AZ250&amp;"–"&amp;csv!BB250&amp;"–"&amp;csv!BD250&amp;"–"&amp;csv!BF250&amp;"–"&amp;csv!BH250&amp;"–"&amp;csv!BJ250&amp;"–"&amp;csv!BL250&amp;"–"&amp;csv!BN250&amp;"–"&amp;csv!BP250&amp;"–"&amp;csv!BR250&amp;"–"&amp;csv!BT250&amp;"–"&amp;csv!BV250&amp;"–"&amp;csv!BX250&amp;"–"&amp;csv!BZ250&amp;"–"&amp;csv!CB250&amp;"–"&amp;csv!CD250&amp;"–"&amp;csv!CF250&amp;"–"&amp;csv!CH250&amp;"–"&amp;csv!CJ250&amp;"–"&amp;csv!CL250&amp;"–"&amp;csv!CN250&amp;"–"&amp;csv!CP250&amp;"–"&amp;csv!CR250&amp;"–"&amp;csv!CT250&amp;"–"&amp;csv!CV250&amp;"–"&amp;csv!CX249&amp;"–"&amp;csv!CZ249)</f>
        <v/>
      </c>
      <c r="F255" t="s">
        <v>0</v>
      </c>
      <c r="O255" s="1" t="str">
        <f t="shared" si="26"/>
        <v/>
      </c>
      <c r="X255" t="s">
        <v>0</v>
      </c>
    </row>
    <row r="256" spans="1:24" x14ac:dyDescent="0.25">
      <c r="A256" t="s">
        <v>0</v>
      </c>
      <c r="B256" s="52" t="str">
        <f>IF(csv!F251="","",csv!T251)</f>
        <v>Ž21A</v>
      </c>
      <c r="C256" s="31" t="str">
        <f>IF(csv!F251="","",csv!AO251)</f>
        <v>Ž21A</v>
      </c>
      <c r="D256" s="31" t="str">
        <f>IF(csv!F251="","",csv!AP251&amp;"–"&amp;csv!AQ251&amp;"–"&amp;csv!AR251)</f>
        <v>5.91–270–12</v>
      </c>
      <c r="E256" s="66" t="str">
        <f>IF(csv!AV251&amp;csv!AX251&amp;csv!AZ251&amp;csv!BB251&amp;csv!BD251="","",csv!AV251&amp;"–"&amp;csv!AX251&amp;"–"&amp;csv!AZ251&amp;"–"&amp;csv!BB251&amp;"–"&amp;csv!BD251&amp;"–"&amp;csv!BF251&amp;"–"&amp;csv!BH251&amp;"–"&amp;csv!BJ251&amp;"–"&amp;csv!BL251&amp;"–"&amp;csv!BN251&amp;"–"&amp;csv!BP251&amp;"–"&amp;csv!BR251&amp;"–"&amp;csv!BT251&amp;"–"&amp;csv!BV251&amp;"–"&amp;csv!BX251&amp;"–"&amp;csv!BZ251&amp;"–"&amp;csv!CB251&amp;"–"&amp;csv!CD251&amp;"–"&amp;csv!CF251&amp;"–"&amp;csv!CH251&amp;"–"&amp;csv!CJ251&amp;"–"&amp;csv!CL251&amp;"–"&amp;csv!CN251&amp;"–"&amp;csv!CP251&amp;"–"&amp;csv!CR251&amp;"–"&amp;csv!CT251&amp;"–"&amp;csv!CV251&amp;"–"&amp;csv!CX250&amp;"–"&amp;csv!CZ250)</f>
        <v/>
      </c>
      <c r="F256" t="s">
        <v>0</v>
      </c>
      <c r="O256" s="1" t="str">
        <f t="shared" si="26"/>
        <v/>
      </c>
      <c r="X256" t="s">
        <v>0</v>
      </c>
    </row>
    <row r="257" spans="1:24" x14ac:dyDescent="0.25">
      <c r="A257" t="s">
        <v>0</v>
      </c>
      <c r="B257" s="52" t="str">
        <f>IF(csv!F252="","",csv!T252)</f>
        <v>Ž21A</v>
      </c>
      <c r="C257" s="31" t="str">
        <f>IF(csv!F252="","",csv!AO252)</f>
        <v>Ž21A</v>
      </c>
      <c r="D257" s="31" t="str">
        <f>IF(csv!F252="","",csv!AP252&amp;"–"&amp;csv!AQ252&amp;"–"&amp;csv!AR252)</f>
        <v>5.91–270–12</v>
      </c>
      <c r="E257" s="66" t="str">
        <f>IF(csv!AV252&amp;csv!AX252&amp;csv!AZ252&amp;csv!BB252&amp;csv!BD252="","",csv!AV252&amp;"–"&amp;csv!AX252&amp;"–"&amp;csv!AZ252&amp;"–"&amp;csv!BB252&amp;"–"&amp;csv!BD252&amp;"–"&amp;csv!BF252&amp;"–"&amp;csv!BH252&amp;"–"&amp;csv!BJ252&amp;"–"&amp;csv!BL252&amp;"–"&amp;csv!BN252&amp;"–"&amp;csv!BP252&amp;"–"&amp;csv!BR252&amp;"–"&amp;csv!BT252&amp;"–"&amp;csv!BV252&amp;"–"&amp;csv!BX252&amp;"–"&amp;csv!BZ252&amp;"–"&amp;csv!CB252&amp;"–"&amp;csv!CD252&amp;"–"&amp;csv!CF252&amp;"–"&amp;csv!CH252&amp;"–"&amp;csv!CJ252&amp;"–"&amp;csv!CL252&amp;"–"&amp;csv!CN252&amp;"–"&amp;csv!CP252&amp;"–"&amp;csv!CR252&amp;"–"&amp;csv!CT252&amp;"–"&amp;csv!CV252&amp;"–"&amp;csv!CX251&amp;"–"&amp;csv!CZ251)</f>
        <v/>
      </c>
      <c r="F257" t="s">
        <v>0</v>
      </c>
      <c r="O257" s="1" t="str">
        <f t="shared" si="26"/>
        <v/>
      </c>
      <c r="X257" t="s">
        <v>0</v>
      </c>
    </row>
    <row r="258" spans="1:24" x14ac:dyDescent="0.25">
      <c r="A258" t="s">
        <v>0</v>
      </c>
      <c r="B258" s="52" t="str">
        <f>IF(csv!F253="","",csv!T253)</f>
        <v>Ž21A</v>
      </c>
      <c r="C258" s="31" t="str">
        <f>IF(csv!F253="","",csv!AO253)</f>
        <v>Ž21A</v>
      </c>
      <c r="D258" s="31" t="str">
        <f>IF(csv!F253="","",csv!AP253&amp;"–"&amp;csv!AQ253&amp;"–"&amp;csv!AR253)</f>
        <v>5.91–270–12</v>
      </c>
      <c r="E258" s="66" t="str">
        <f>IF(csv!AV253&amp;csv!AX253&amp;csv!AZ253&amp;csv!BB253&amp;csv!BD253="","",csv!AV253&amp;"–"&amp;csv!AX253&amp;"–"&amp;csv!AZ253&amp;"–"&amp;csv!BB253&amp;"–"&amp;csv!BD253&amp;"–"&amp;csv!BF253&amp;"–"&amp;csv!BH253&amp;"–"&amp;csv!BJ253&amp;"–"&amp;csv!BL253&amp;"–"&amp;csv!BN253&amp;"–"&amp;csv!BP253&amp;"–"&amp;csv!BR253&amp;"–"&amp;csv!BT253&amp;"–"&amp;csv!BV253&amp;"–"&amp;csv!BX253&amp;"–"&amp;csv!BZ253&amp;"–"&amp;csv!CB253&amp;"–"&amp;csv!CD253&amp;"–"&amp;csv!CF253&amp;"–"&amp;csv!CH253&amp;"–"&amp;csv!CJ253&amp;"–"&amp;csv!CL253&amp;"–"&amp;csv!CN253&amp;"–"&amp;csv!CP253&amp;"–"&amp;csv!CR253&amp;"–"&amp;csv!CT253&amp;"–"&amp;csv!CV253&amp;"–"&amp;csv!CX252&amp;"–"&amp;csv!CZ252)</f>
        <v/>
      </c>
      <c r="F258" t="s">
        <v>0</v>
      </c>
      <c r="O258" s="1" t="str">
        <f t="shared" si="26"/>
        <v/>
      </c>
      <c r="X258" t="s">
        <v>0</v>
      </c>
    </row>
    <row r="259" spans="1:24" x14ac:dyDescent="0.25">
      <c r="A259" t="s">
        <v>0</v>
      </c>
      <c r="B259" s="52" t="str">
        <f>IF(csv!F254="","",csv!T254)</f>
        <v>Ž21B</v>
      </c>
      <c r="C259" s="31" t="str">
        <f>IF(csv!F254="","",csv!AO254)</f>
        <v>Ž21B</v>
      </c>
      <c r="D259" s="31" t="str">
        <f>IF(csv!F254="","",csv!AP254&amp;"–"&amp;csv!AQ254&amp;"–"&amp;csv!AR254)</f>
        <v>3.31–115–8</v>
      </c>
      <c r="E259" s="66" t="str">
        <f>IF(csv!AV254&amp;csv!AX254&amp;csv!AZ254&amp;csv!BB254&amp;csv!BD254="","",csv!AV254&amp;"–"&amp;csv!AX254&amp;"–"&amp;csv!AZ254&amp;"–"&amp;csv!BB254&amp;"–"&amp;csv!BD254&amp;"–"&amp;csv!BF254&amp;"–"&amp;csv!BH254&amp;"–"&amp;csv!BJ254&amp;"–"&amp;csv!BL254&amp;"–"&amp;csv!BN254&amp;"–"&amp;csv!BP254&amp;"–"&amp;csv!BR254&amp;"–"&amp;csv!BT254&amp;"–"&amp;csv!BV254&amp;"–"&amp;csv!BX254&amp;"–"&amp;csv!BZ254&amp;"–"&amp;csv!CB254&amp;"–"&amp;csv!CD254&amp;"–"&amp;csv!CF254&amp;"–"&amp;csv!CH254&amp;"–"&amp;csv!CJ254&amp;"–"&amp;csv!CL254&amp;"–"&amp;csv!CN254&amp;"–"&amp;csv!CP254&amp;"–"&amp;csv!CR254&amp;"–"&amp;csv!CT254&amp;"–"&amp;csv!CV254&amp;"–"&amp;csv!CX253&amp;"–"&amp;csv!CZ253)</f>
        <v>68–64–53–67–70–31–55–100–––––––––––––––––––––</v>
      </c>
      <c r="F259" t="s">
        <v>0</v>
      </c>
      <c r="O259" s="1" t="str">
        <f t="shared" si="26"/>
        <v/>
      </c>
      <c r="X259" t="s">
        <v>0</v>
      </c>
    </row>
    <row r="260" spans="1:24" x14ac:dyDescent="0.25">
      <c r="A260" t="s">
        <v>0</v>
      </c>
      <c r="B260" s="52" t="str">
        <f>IF(csv!F255="","",csv!T255)</f>
        <v>Ž21B</v>
      </c>
      <c r="C260" s="31" t="str">
        <f>IF(csv!F255="","",csv!AO255)</f>
        <v>Ž21B</v>
      </c>
      <c r="D260" s="31" t="str">
        <f>IF(csv!F255="","",csv!AP255&amp;"–"&amp;csv!AQ255&amp;"–"&amp;csv!AR255)</f>
        <v>3.31–115–8</v>
      </c>
      <c r="E260" s="66" t="str">
        <f>IF(csv!AV255&amp;csv!AX255&amp;csv!AZ255&amp;csv!BB255&amp;csv!BD255="","",csv!AV255&amp;"–"&amp;csv!AX255&amp;"–"&amp;csv!AZ255&amp;"–"&amp;csv!BB255&amp;"–"&amp;csv!BD255&amp;"–"&amp;csv!BF255&amp;"–"&amp;csv!BH255&amp;"–"&amp;csv!BJ255&amp;"–"&amp;csv!BL255&amp;"–"&amp;csv!BN255&amp;"–"&amp;csv!BP255&amp;"–"&amp;csv!BR255&amp;"–"&amp;csv!BT255&amp;"–"&amp;csv!BV255&amp;"–"&amp;csv!BX255&amp;"–"&amp;csv!BZ255&amp;"–"&amp;csv!CB255&amp;"–"&amp;csv!CD255&amp;"–"&amp;csv!CF255&amp;"–"&amp;csv!CH255&amp;"–"&amp;csv!CJ255&amp;"–"&amp;csv!CL255&amp;"–"&amp;csv!CN255&amp;"–"&amp;csv!CP255&amp;"–"&amp;csv!CR255&amp;"–"&amp;csv!CT255&amp;"–"&amp;csv!CV255&amp;"–"&amp;csv!CX254&amp;"–"&amp;csv!CZ254)</f>
        <v>68–64–53–67–70–31–55–100–––––––––––––––––––––</v>
      </c>
      <c r="F260" t="s">
        <v>0</v>
      </c>
      <c r="O260" s="1" t="str">
        <f t="shared" si="26"/>
        <v/>
      </c>
      <c r="X260" t="s">
        <v>0</v>
      </c>
    </row>
    <row r="261" spans="1:24" x14ac:dyDescent="0.25">
      <c r="A261" t="s">
        <v>0</v>
      </c>
      <c r="B261" s="52" t="str">
        <f>IF(csv!F256="","",csv!T256)</f>
        <v>Ž21B</v>
      </c>
      <c r="C261" s="31" t="str">
        <f>IF(csv!F256="","",csv!AO256)</f>
        <v>Ž21B</v>
      </c>
      <c r="D261" s="31" t="str">
        <f>IF(csv!F256="","",csv!AP256&amp;"–"&amp;csv!AQ256&amp;"–"&amp;csv!AR256)</f>
        <v>3.31–115–8</v>
      </c>
      <c r="E261" s="66" t="str">
        <f>IF(csv!AV256&amp;csv!AX256&amp;csv!AZ256&amp;csv!BB256&amp;csv!BD256="","",csv!AV256&amp;"–"&amp;csv!AX256&amp;"–"&amp;csv!AZ256&amp;"–"&amp;csv!BB256&amp;"–"&amp;csv!BD256&amp;"–"&amp;csv!BF256&amp;"–"&amp;csv!BH256&amp;"–"&amp;csv!BJ256&amp;"–"&amp;csv!BL256&amp;"–"&amp;csv!BN256&amp;"–"&amp;csv!BP256&amp;"–"&amp;csv!BR256&amp;"–"&amp;csv!BT256&amp;"–"&amp;csv!BV256&amp;"–"&amp;csv!BX256&amp;"–"&amp;csv!BZ256&amp;"–"&amp;csv!CB256&amp;"–"&amp;csv!CD256&amp;"–"&amp;csv!CF256&amp;"–"&amp;csv!CH256&amp;"–"&amp;csv!CJ256&amp;"–"&amp;csv!CL256&amp;"–"&amp;csv!CN256&amp;"–"&amp;csv!CP256&amp;"–"&amp;csv!CR256&amp;"–"&amp;csv!CT256&amp;"–"&amp;csv!CV256&amp;"–"&amp;csv!CX255&amp;"–"&amp;csv!CZ255)</f>
        <v>68–64–53–67–70–31–55–100–––––––––––––––––––––</v>
      </c>
      <c r="F261" t="s">
        <v>0</v>
      </c>
      <c r="O261" s="1" t="str">
        <f t="shared" si="26"/>
        <v/>
      </c>
      <c r="X261" t="s">
        <v>0</v>
      </c>
    </row>
    <row r="262" spans="1:24" x14ac:dyDescent="0.25">
      <c r="A262" t="s">
        <v>0</v>
      </c>
      <c r="B262" s="52" t="str">
        <f>IF(csv!F257="","",csv!T257)</f>
        <v>Ž21B</v>
      </c>
      <c r="C262" s="31" t="str">
        <f>IF(csv!F257="","",csv!AO257)</f>
        <v>Ž21B</v>
      </c>
      <c r="D262" s="31" t="str">
        <f>IF(csv!F257="","",csv!AP257&amp;"–"&amp;csv!AQ257&amp;"–"&amp;csv!AR257)</f>
        <v>3.31–115–8</v>
      </c>
      <c r="E262" s="66" t="str">
        <f>IF(csv!AV257&amp;csv!AX257&amp;csv!AZ257&amp;csv!BB257&amp;csv!BD257="","",csv!AV257&amp;"–"&amp;csv!AX257&amp;"–"&amp;csv!AZ257&amp;"–"&amp;csv!BB257&amp;"–"&amp;csv!BD257&amp;"–"&amp;csv!BF257&amp;"–"&amp;csv!BH257&amp;"–"&amp;csv!BJ257&amp;"–"&amp;csv!BL257&amp;"–"&amp;csv!BN257&amp;"–"&amp;csv!BP257&amp;"–"&amp;csv!BR257&amp;"–"&amp;csv!BT257&amp;"–"&amp;csv!BV257&amp;"–"&amp;csv!BX257&amp;"–"&amp;csv!BZ257&amp;"–"&amp;csv!CB257&amp;"–"&amp;csv!CD257&amp;"–"&amp;csv!CF257&amp;"–"&amp;csv!CH257&amp;"–"&amp;csv!CJ257&amp;"–"&amp;csv!CL257&amp;"–"&amp;csv!CN257&amp;"–"&amp;csv!CP257&amp;"–"&amp;csv!CR257&amp;"–"&amp;csv!CT257&amp;"–"&amp;csv!CV257&amp;"–"&amp;csv!CX256&amp;"–"&amp;csv!CZ256)</f>
        <v>68–64–53–67–70–31–55–100–––––––––––––––––––––</v>
      </c>
      <c r="F262" t="s">
        <v>0</v>
      </c>
      <c r="O262" s="1" t="str">
        <f t="shared" si="26"/>
        <v/>
      </c>
      <c r="X262" t="s">
        <v>0</v>
      </c>
    </row>
    <row r="263" spans="1:24" x14ac:dyDescent="0.25">
      <c r="A263" t="s">
        <v>0</v>
      </c>
      <c r="B263" s="52" t="str">
        <f>IF(csv!F258="","",csv!T258)</f>
        <v>Ž21B</v>
      </c>
      <c r="C263" s="31" t="str">
        <f>IF(csv!F258="","",csv!AO258)</f>
        <v>Ž21B</v>
      </c>
      <c r="D263" s="31" t="str">
        <f>IF(csv!F258="","",csv!AP258&amp;"–"&amp;csv!AQ258&amp;"–"&amp;csv!AR258)</f>
        <v>3.31–115–8</v>
      </c>
      <c r="E263" s="66" t="str">
        <f>IF(csv!AV258&amp;csv!AX258&amp;csv!AZ258&amp;csv!BB258&amp;csv!BD258="","",csv!AV258&amp;"–"&amp;csv!AX258&amp;"–"&amp;csv!AZ258&amp;"–"&amp;csv!BB258&amp;"–"&amp;csv!BD258&amp;"–"&amp;csv!BF258&amp;"–"&amp;csv!BH258&amp;"–"&amp;csv!BJ258&amp;"–"&amp;csv!BL258&amp;"–"&amp;csv!BN258&amp;"–"&amp;csv!BP258&amp;"–"&amp;csv!BR258&amp;"–"&amp;csv!BT258&amp;"–"&amp;csv!BV258&amp;"–"&amp;csv!BX258&amp;"–"&amp;csv!BZ258&amp;"–"&amp;csv!CB258&amp;"–"&amp;csv!CD258&amp;"–"&amp;csv!CF258&amp;"–"&amp;csv!CH258&amp;"–"&amp;csv!CJ258&amp;"–"&amp;csv!CL258&amp;"–"&amp;csv!CN258&amp;"–"&amp;csv!CP258&amp;"–"&amp;csv!CR258&amp;"–"&amp;csv!CT258&amp;"–"&amp;csv!CV258&amp;"–"&amp;csv!CX257&amp;"–"&amp;csv!CZ257)</f>
        <v>68–64–53–67–70–31–55–100–––––––––––––––––––––</v>
      </c>
      <c r="F263" t="s">
        <v>0</v>
      </c>
      <c r="O263" s="1" t="str">
        <f t="shared" si="26"/>
        <v/>
      </c>
      <c r="X263" t="s">
        <v>0</v>
      </c>
    </row>
    <row r="264" spans="1:24" x14ac:dyDescent="0.25">
      <c r="A264" t="s">
        <v>0</v>
      </c>
      <c r="B264" s="52" t="str">
        <f>IF(csv!F259="","",csv!T259)</f>
        <v>Ž21B</v>
      </c>
      <c r="C264" s="31" t="str">
        <f>IF(csv!F259="","",csv!AO259)</f>
        <v>Ž21B</v>
      </c>
      <c r="D264" s="31" t="str">
        <f>IF(csv!F259="","",csv!AP259&amp;"–"&amp;csv!AQ259&amp;"–"&amp;csv!AR259)</f>
        <v>3.31–115–8</v>
      </c>
      <c r="E264" s="66" t="str">
        <f>IF(csv!AV259&amp;csv!AX259&amp;csv!AZ259&amp;csv!BB259&amp;csv!BD259="","",csv!AV259&amp;"–"&amp;csv!AX259&amp;"–"&amp;csv!AZ259&amp;"–"&amp;csv!BB259&amp;"–"&amp;csv!BD259&amp;"–"&amp;csv!BF259&amp;"–"&amp;csv!BH259&amp;"–"&amp;csv!BJ259&amp;"–"&amp;csv!BL259&amp;"–"&amp;csv!BN259&amp;"–"&amp;csv!BP259&amp;"–"&amp;csv!BR259&amp;"–"&amp;csv!BT259&amp;"–"&amp;csv!BV259&amp;"–"&amp;csv!BX259&amp;"–"&amp;csv!BZ259&amp;"–"&amp;csv!CB259&amp;"–"&amp;csv!CD259&amp;"–"&amp;csv!CF259&amp;"–"&amp;csv!CH259&amp;"–"&amp;csv!CJ259&amp;"–"&amp;csv!CL259&amp;"–"&amp;csv!CN259&amp;"–"&amp;csv!CP259&amp;"–"&amp;csv!CR259&amp;"–"&amp;csv!CT259&amp;"–"&amp;csv!CV259&amp;"–"&amp;csv!CX258&amp;"–"&amp;csv!CZ258)</f>
        <v>68–64–53–67–70–31–55–100–––––––––––––––––––––</v>
      </c>
      <c r="F264" t="s">
        <v>0</v>
      </c>
      <c r="O264" s="1" t="str">
        <f t="shared" si="26"/>
        <v/>
      </c>
      <c r="X264" t="s">
        <v>0</v>
      </c>
    </row>
    <row r="265" spans="1:24" x14ac:dyDescent="0.25">
      <c r="A265" t="s">
        <v>0</v>
      </c>
      <c r="B265" s="52" t="str">
        <f>IF(csv!F260="","",csv!T260)</f>
        <v>Ž21B</v>
      </c>
      <c r="C265" s="31" t="str">
        <f>IF(csv!F260="","",csv!AO260)</f>
        <v>Ž21B</v>
      </c>
      <c r="D265" s="31" t="str">
        <f>IF(csv!F260="","",csv!AP260&amp;"–"&amp;csv!AQ260&amp;"–"&amp;csv!AR260)</f>
        <v>3.31–115–8</v>
      </c>
      <c r="E265" s="66" t="str">
        <f>IF(csv!AV260&amp;csv!AX260&amp;csv!AZ260&amp;csv!BB260&amp;csv!BD260="","",csv!AV260&amp;"–"&amp;csv!AX260&amp;"–"&amp;csv!AZ260&amp;"–"&amp;csv!BB260&amp;"–"&amp;csv!BD260&amp;"–"&amp;csv!BF260&amp;"–"&amp;csv!BH260&amp;"–"&amp;csv!BJ260&amp;"–"&amp;csv!BL260&amp;"–"&amp;csv!BN260&amp;"–"&amp;csv!BP260&amp;"–"&amp;csv!BR260&amp;"–"&amp;csv!BT260&amp;"–"&amp;csv!BV260&amp;"–"&amp;csv!BX260&amp;"–"&amp;csv!BZ260&amp;"–"&amp;csv!CB260&amp;"–"&amp;csv!CD260&amp;"–"&amp;csv!CF260&amp;"–"&amp;csv!CH260&amp;"–"&amp;csv!CJ260&amp;"–"&amp;csv!CL260&amp;"–"&amp;csv!CN260&amp;"–"&amp;csv!CP260&amp;"–"&amp;csv!CR260&amp;"–"&amp;csv!CT260&amp;"–"&amp;csv!CV260&amp;"–"&amp;csv!CX259&amp;"–"&amp;csv!CZ259)</f>
        <v>68–64–53–67–70–31–55–100–––––––––––––––––––––</v>
      </c>
      <c r="F265" t="s">
        <v>0</v>
      </c>
      <c r="O265" s="1" t="str">
        <f t="shared" ref="O265:O328" si="27">IF(N265="","",IF(N265&lt;&gt;N264,N265,""))</f>
        <v/>
      </c>
      <c r="X265" t="s">
        <v>0</v>
      </c>
    </row>
    <row r="266" spans="1:24" x14ac:dyDescent="0.25">
      <c r="A266" t="s">
        <v>0</v>
      </c>
      <c r="B266" s="52" t="str">
        <f>IF(csv!F261="","",csv!T261)</f>
        <v>Ž21B</v>
      </c>
      <c r="C266" s="31" t="str">
        <f>IF(csv!F261="","",csv!AO261)</f>
        <v>Ž21B</v>
      </c>
      <c r="D266" s="31" t="str">
        <f>IF(csv!F261="","",csv!AP261&amp;"–"&amp;csv!AQ261&amp;"–"&amp;csv!AR261)</f>
        <v>3.31–115–8</v>
      </c>
      <c r="E266" s="66" t="str">
        <f>IF(csv!AV261&amp;csv!AX261&amp;csv!AZ261&amp;csv!BB261&amp;csv!BD261="","",csv!AV261&amp;"–"&amp;csv!AX261&amp;"–"&amp;csv!AZ261&amp;"–"&amp;csv!BB261&amp;"–"&amp;csv!BD261&amp;"–"&amp;csv!BF261&amp;"–"&amp;csv!BH261&amp;"–"&amp;csv!BJ261&amp;"–"&amp;csv!BL261&amp;"–"&amp;csv!BN261&amp;"–"&amp;csv!BP261&amp;"–"&amp;csv!BR261&amp;"–"&amp;csv!BT261&amp;"–"&amp;csv!BV261&amp;"–"&amp;csv!BX261&amp;"–"&amp;csv!BZ261&amp;"–"&amp;csv!CB261&amp;"–"&amp;csv!CD261&amp;"–"&amp;csv!CF261&amp;"–"&amp;csv!CH261&amp;"–"&amp;csv!CJ261&amp;"–"&amp;csv!CL261&amp;"–"&amp;csv!CN261&amp;"–"&amp;csv!CP261&amp;"–"&amp;csv!CR261&amp;"–"&amp;csv!CT261&amp;"–"&amp;csv!CV261&amp;"–"&amp;csv!CX260&amp;"–"&amp;csv!CZ260)</f>
        <v>68–64–53–67–70–31–55–100–––––––––––––––––––––</v>
      </c>
      <c r="F266" t="s">
        <v>0</v>
      </c>
      <c r="O266" s="1" t="str">
        <f t="shared" si="27"/>
        <v/>
      </c>
      <c r="X266" t="s">
        <v>0</v>
      </c>
    </row>
    <row r="267" spans="1:24" x14ac:dyDescent="0.25">
      <c r="A267" t="s">
        <v>0</v>
      </c>
      <c r="B267" s="52" t="str">
        <f>IF(csv!F262="","",csv!T262)</f>
        <v>Ž21B</v>
      </c>
      <c r="C267" s="31" t="str">
        <f>IF(csv!F262="","",csv!AO262)</f>
        <v>Ž21B</v>
      </c>
      <c r="D267" s="31" t="str">
        <f>IF(csv!F262="","",csv!AP262&amp;"–"&amp;csv!AQ262&amp;"–"&amp;csv!AR262)</f>
        <v>3.31–115–8</v>
      </c>
      <c r="E267" s="66" t="str">
        <f>IF(csv!AV262&amp;csv!AX262&amp;csv!AZ262&amp;csv!BB262&amp;csv!BD262="","",csv!AV262&amp;"–"&amp;csv!AX262&amp;"–"&amp;csv!AZ262&amp;"–"&amp;csv!BB262&amp;"–"&amp;csv!BD262&amp;"–"&amp;csv!BF262&amp;"–"&amp;csv!BH262&amp;"–"&amp;csv!BJ262&amp;"–"&amp;csv!BL262&amp;"–"&amp;csv!BN262&amp;"–"&amp;csv!BP262&amp;"–"&amp;csv!BR262&amp;"–"&amp;csv!BT262&amp;"–"&amp;csv!BV262&amp;"–"&amp;csv!BX262&amp;"–"&amp;csv!BZ262&amp;"–"&amp;csv!CB262&amp;"–"&amp;csv!CD262&amp;"–"&amp;csv!CF262&amp;"–"&amp;csv!CH262&amp;"–"&amp;csv!CJ262&amp;"–"&amp;csv!CL262&amp;"–"&amp;csv!CN262&amp;"–"&amp;csv!CP262&amp;"–"&amp;csv!CR262&amp;"–"&amp;csv!CT262&amp;"–"&amp;csv!CV262&amp;"–"&amp;csv!CX261&amp;"–"&amp;csv!CZ261)</f>
        <v>68–64–53–67–70–31–55–100–––––––––––––––––––––</v>
      </c>
      <c r="F267" t="s">
        <v>0</v>
      </c>
      <c r="O267" s="1" t="str">
        <f t="shared" si="27"/>
        <v/>
      </c>
      <c r="X267" t="s">
        <v>0</v>
      </c>
    </row>
    <row r="268" spans="1:24" x14ac:dyDescent="0.25">
      <c r="A268" t="s">
        <v>0</v>
      </c>
      <c r="B268" s="52" t="str">
        <f>IF(csv!F263="","",csv!T263)</f>
        <v>Ž21B</v>
      </c>
      <c r="C268" s="31" t="str">
        <f>IF(csv!F263="","",csv!AO263)</f>
        <v>Ž21B</v>
      </c>
      <c r="D268" s="31" t="str">
        <f>IF(csv!F263="","",csv!AP263&amp;"–"&amp;csv!AQ263&amp;"–"&amp;csv!AR263)</f>
        <v>3.31–115–8</v>
      </c>
      <c r="E268" s="66" t="str">
        <f>IF(csv!AV263&amp;csv!AX263&amp;csv!AZ263&amp;csv!BB263&amp;csv!BD263="","",csv!AV263&amp;"–"&amp;csv!AX263&amp;"–"&amp;csv!AZ263&amp;"–"&amp;csv!BB263&amp;"–"&amp;csv!BD263&amp;"–"&amp;csv!BF263&amp;"–"&amp;csv!BH263&amp;"–"&amp;csv!BJ263&amp;"–"&amp;csv!BL263&amp;"–"&amp;csv!BN263&amp;"–"&amp;csv!BP263&amp;"–"&amp;csv!BR263&amp;"–"&amp;csv!BT263&amp;"–"&amp;csv!BV263&amp;"–"&amp;csv!BX263&amp;"–"&amp;csv!BZ263&amp;"–"&amp;csv!CB263&amp;"–"&amp;csv!CD263&amp;"–"&amp;csv!CF263&amp;"–"&amp;csv!CH263&amp;"–"&amp;csv!CJ263&amp;"–"&amp;csv!CL263&amp;"–"&amp;csv!CN263&amp;"–"&amp;csv!CP263&amp;"–"&amp;csv!CR263&amp;"–"&amp;csv!CT263&amp;"–"&amp;csv!CV263&amp;"–"&amp;csv!CX262&amp;"–"&amp;csv!CZ262)</f>
        <v>68–64–53–67–70–31–55–100–––––––––––––––––––––</v>
      </c>
      <c r="F268" t="s">
        <v>0</v>
      </c>
      <c r="O268" s="1" t="str">
        <f t="shared" si="27"/>
        <v/>
      </c>
      <c r="X268" t="s">
        <v>0</v>
      </c>
    </row>
    <row r="269" spans="1:24" x14ac:dyDescent="0.25">
      <c r="A269" t="s">
        <v>0</v>
      </c>
      <c r="B269" s="52" t="str">
        <f>IF(csv!F264="","",csv!T264)</f>
        <v>Ž21B</v>
      </c>
      <c r="C269" s="31" t="str">
        <f>IF(csv!F264="","",csv!AO264)</f>
        <v>Ž21B</v>
      </c>
      <c r="D269" s="31" t="str">
        <f>IF(csv!F264="","",csv!AP264&amp;"–"&amp;csv!AQ264&amp;"–"&amp;csv!AR264)</f>
        <v>3.31–115–8</v>
      </c>
      <c r="E269" s="66" t="str">
        <f>IF(csv!AV264&amp;csv!AX264&amp;csv!AZ264&amp;csv!BB264&amp;csv!BD264="","",csv!AV264&amp;"–"&amp;csv!AX264&amp;"–"&amp;csv!AZ264&amp;"–"&amp;csv!BB264&amp;"–"&amp;csv!BD264&amp;"–"&amp;csv!BF264&amp;"–"&amp;csv!BH264&amp;"–"&amp;csv!BJ264&amp;"–"&amp;csv!BL264&amp;"–"&amp;csv!BN264&amp;"–"&amp;csv!BP264&amp;"–"&amp;csv!BR264&amp;"–"&amp;csv!BT264&amp;"–"&amp;csv!BV264&amp;"–"&amp;csv!BX264&amp;"–"&amp;csv!BZ264&amp;"–"&amp;csv!CB264&amp;"–"&amp;csv!CD264&amp;"–"&amp;csv!CF264&amp;"–"&amp;csv!CH264&amp;"–"&amp;csv!CJ264&amp;"–"&amp;csv!CL264&amp;"–"&amp;csv!CN264&amp;"–"&amp;csv!CP264&amp;"–"&amp;csv!CR264&amp;"–"&amp;csv!CT264&amp;"–"&amp;csv!CV264&amp;"–"&amp;csv!CX263&amp;"–"&amp;csv!CZ263)</f>
        <v>68–64–53–67–70–31–55–100–––––––––––––––––––––</v>
      </c>
      <c r="F269" t="s">
        <v>0</v>
      </c>
      <c r="O269" s="1" t="str">
        <f t="shared" si="27"/>
        <v/>
      </c>
      <c r="X269" t="s">
        <v>0</v>
      </c>
    </row>
    <row r="270" spans="1:24" x14ac:dyDescent="0.25">
      <c r="A270" t="s">
        <v>0</v>
      </c>
      <c r="B270" s="52" t="str">
        <f>IF(csv!F265="","",csv!T265)</f>
        <v>Ž21B</v>
      </c>
      <c r="C270" s="31" t="str">
        <f>IF(csv!F265="","",csv!AO265)</f>
        <v>Ž21B</v>
      </c>
      <c r="D270" s="31" t="str">
        <f>IF(csv!F265="","",csv!AP265&amp;"–"&amp;csv!AQ265&amp;"–"&amp;csv!AR265)</f>
        <v>3.31–115–8</v>
      </c>
      <c r="E270" s="66" t="str">
        <f>IF(csv!AV265&amp;csv!AX265&amp;csv!AZ265&amp;csv!BB265&amp;csv!BD265="","",csv!AV265&amp;"–"&amp;csv!AX265&amp;"–"&amp;csv!AZ265&amp;"–"&amp;csv!BB265&amp;"–"&amp;csv!BD265&amp;"–"&amp;csv!BF265&amp;"–"&amp;csv!BH265&amp;"–"&amp;csv!BJ265&amp;"–"&amp;csv!BL265&amp;"–"&amp;csv!BN265&amp;"–"&amp;csv!BP265&amp;"–"&amp;csv!BR265&amp;"–"&amp;csv!BT265&amp;"–"&amp;csv!BV265&amp;"–"&amp;csv!BX265&amp;"–"&amp;csv!BZ265&amp;"–"&amp;csv!CB265&amp;"–"&amp;csv!CD265&amp;"–"&amp;csv!CF265&amp;"–"&amp;csv!CH265&amp;"–"&amp;csv!CJ265&amp;"–"&amp;csv!CL265&amp;"–"&amp;csv!CN265&amp;"–"&amp;csv!CP265&amp;"–"&amp;csv!CR265&amp;"–"&amp;csv!CT265&amp;"–"&amp;csv!CV265&amp;"–"&amp;csv!CX264&amp;"–"&amp;csv!CZ264)</f>
        <v>68–64–53–67–70–31–55–100–––––––––––––––––––––</v>
      </c>
      <c r="F270" t="s">
        <v>0</v>
      </c>
      <c r="O270" s="1" t="str">
        <f t="shared" si="27"/>
        <v/>
      </c>
      <c r="X270" t="s">
        <v>0</v>
      </c>
    </row>
    <row r="271" spans="1:24" x14ac:dyDescent="0.25">
      <c r="A271" t="s">
        <v>0</v>
      </c>
      <c r="B271" s="52" t="str">
        <f>IF(csv!F266="","",csv!T266)</f>
        <v>Ž21B</v>
      </c>
      <c r="C271" s="31" t="str">
        <f>IF(csv!F266="","",csv!AO266)</f>
        <v>Ž21B</v>
      </c>
      <c r="D271" s="31" t="str">
        <f>IF(csv!F266="","",csv!AP266&amp;"–"&amp;csv!AQ266&amp;"–"&amp;csv!AR266)</f>
        <v>3.31–115–8</v>
      </c>
      <c r="E271" s="66" t="str">
        <f>IF(csv!AV266&amp;csv!AX266&amp;csv!AZ266&amp;csv!BB266&amp;csv!BD266="","",csv!AV266&amp;"–"&amp;csv!AX266&amp;"–"&amp;csv!AZ266&amp;"–"&amp;csv!BB266&amp;"–"&amp;csv!BD266&amp;"–"&amp;csv!BF266&amp;"–"&amp;csv!BH266&amp;"–"&amp;csv!BJ266&amp;"–"&amp;csv!BL266&amp;"–"&amp;csv!BN266&amp;"–"&amp;csv!BP266&amp;"–"&amp;csv!BR266&amp;"–"&amp;csv!BT266&amp;"–"&amp;csv!BV266&amp;"–"&amp;csv!BX266&amp;"–"&amp;csv!BZ266&amp;"–"&amp;csv!CB266&amp;"–"&amp;csv!CD266&amp;"–"&amp;csv!CF266&amp;"–"&amp;csv!CH266&amp;"–"&amp;csv!CJ266&amp;"–"&amp;csv!CL266&amp;"–"&amp;csv!CN266&amp;"–"&amp;csv!CP266&amp;"–"&amp;csv!CR266&amp;"–"&amp;csv!CT266&amp;"–"&amp;csv!CV266&amp;"–"&amp;csv!CX265&amp;"–"&amp;csv!CZ265)</f>
        <v>68–64–53–67–70–31–55–100–––––––––––––––––––––</v>
      </c>
      <c r="F271" t="s">
        <v>0</v>
      </c>
      <c r="O271" s="1" t="str">
        <f t="shared" si="27"/>
        <v/>
      </c>
      <c r="X271" t="s">
        <v>0</v>
      </c>
    </row>
    <row r="272" spans="1:24" x14ac:dyDescent="0.25">
      <c r="A272" t="s">
        <v>0</v>
      </c>
      <c r="B272" s="52" t="str">
        <f>IF(csv!F267="","",csv!T267)</f>
        <v>Ž21B</v>
      </c>
      <c r="C272" s="31" t="str">
        <f>IF(csv!F267="","",csv!AO267)</f>
        <v>Ž21B</v>
      </c>
      <c r="D272" s="31" t="str">
        <f>IF(csv!F267="","",csv!AP267&amp;"–"&amp;csv!AQ267&amp;"–"&amp;csv!AR267)</f>
        <v>3.31–115–8</v>
      </c>
      <c r="E272" s="66" t="str">
        <f>IF(csv!AV267&amp;csv!AX267&amp;csv!AZ267&amp;csv!BB267&amp;csv!BD267="","",csv!AV267&amp;"–"&amp;csv!AX267&amp;"–"&amp;csv!AZ267&amp;"–"&amp;csv!BB267&amp;"–"&amp;csv!BD267&amp;"–"&amp;csv!BF267&amp;"–"&amp;csv!BH267&amp;"–"&amp;csv!BJ267&amp;"–"&amp;csv!BL267&amp;"–"&amp;csv!BN267&amp;"–"&amp;csv!BP267&amp;"–"&amp;csv!BR267&amp;"–"&amp;csv!BT267&amp;"–"&amp;csv!BV267&amp;"–"&amp;csv!BX267&amp;"–"&amp;csv!BZ267&amp;"–"&amp;csv!CB267&amp;"–"&amp;csv!CD267&amp;"–"&amp;csv!CF267&amp;"–"&amp;csv!CH267&amp;"–"&amp;csv!CJ267&amp;"–"&amp;csv!CL267&amp;"–"&amp;csv!CN267&amp;"–"&amp;csv!CP267&amp;"–"&amp;csv!CR267&amp;"–"&amp;csv!CT267&amp;"–"&amp;csv!CV267&amp;"–"&amp;csv!CX266&amp;"–"&amp;csv!CZ266)</f>
        <v/>
      </c>
      <c r="F272" t="s">
        <v>0</v>
      </c>
      <c r="O272" s="1" t="str">
        <f t="shared" si="27"/>
        <v/>
      </c>
      <c r="X272" t="s">
        <v>0</v>
      </c>
    </row>
    <row r="273" spans="1:24" x14ac:dyDescent="0.25">
      <c r="A273" t="s">
        <v>0</v>
      </c>
      <c r="B273" s="52" t="str">
        <f>IF(csv!F268="","",csv!T268)</f>
        <v>Ž21B</v>
      </c>
      <c r="C273" s="31" t="str">
        <f>IF(csv!F268="","",csv!AO268)</f>
        <v>Ž21B</v>
      </c>
      <c r="D273" s="31" t="str">
        <f>IF(csv!F268="","",csv!AP268&amp;"–"&amp;csv!AQ268&amp;"–"&amp;csv!AR268)</f>
        <v>3.31–115–8</v>
      </c>
      <c r="E273" s="66" t="str">
        <f>IF(csv!AV268&amp;csv!AX268&amp;csv!AZ268&amp;csv!BB268&amp;csv!BD268="","",csv!AV268&amp;"–"&amp;csv!AX268&amp;"–"&amp;csv!AZ268&amp;"–"&amp;csv!BB268&amp;"–"&amp;csv!BD268&amp;"–"&amp;csv!BF268&amp;"–"&amp;csv!BH268&amp;"–"&amp;csv!BJ268&amp;"–"&amp;csv!BL268&amp;"–"&amp;csv!BN268&amp;"–"&amp;csv!BP268&amp;"–"&amp;csv!BR268&amp;"–"&amp;csv!BT268&amp;"–"&amp;csv!BV268&amp;"–"&amp;csv!BX268&amp;"–"&amp;csv!BZ268&amp;"–"&amp;csv!CB268&amp;"–"&amp;csv!CD268&amp;"–"&amp;csv!CF268&amp;"–"&amp;csv!CH268&amp;"–"&amp;csv!CJ268&amp;"–"&amp;csv!CL268&amp;"–"&amp;csv!CN268&amp;"–"&amp;csv!CP268&amp;"–"&amp;csv!CR268&amp;"–"&amp;csv!CT268&amp;"–"&amp;csv!CV268&amp;"–"&amp;csv!CX267&amp;"–"&amp;csv!CZ267)</f>
        <v/>
      </c>
      <c r="F273" t="s">
        <v>0</v>
      </c>
      <c r="O273" s="1" t="str">
        <f t="shared" si="27"/>
        <v/>
      </c>
      <c r="X273" t="s">
        <v>0</v>
      </c>
    </row>
    <row r="274" spans="1:24" x14ac:dyDescent="0.25">
      <c r="A274" t="s">
        <v>0</v>
      </c>
      <c r="B274" s="52" t="str">
        <f>IF(csv!F269="","",csv!T269)</f>
        <v>Ž21B</v>
      </c>
      <c r="C274" s="31" t="str">
        <f>IF(csv!F269="","",csv!AO269)</f>
        <v>Ž21B</v>
      </c>
      <c r="D274" s="31" t="str">
        <f>IF(csv!F269="","",csv!AP269&amp;"–"&amp;csv!AQ269&amp;"–"&amp;csv!AR269)</f>
        <v>3.31–115–8</v>
      </c>
      <c r="E274" s="66" t="str">
        <f>IF(csv!AV269&amp;csv!AX269&amp;csv!AZ269&amp;csv!BB269&amp;csv!BD269="","",csv!AV269&amp;"–"&amp;csv!AX269&amp;"–"&amp;csv!AZ269&amp;"–"&amp;csv!BB269&amp;"–"&amp;csv!BD269&amp;"–"&amp;csv!BF269&amp;"–"&amp;csv!BH269&amp;"–"&amp;csv!BJ269&amp;"–"&amp;csv!BL269&amp;"–"&amp;csv!BN269&amp;"–"&amp;csv!BP269&amp;"–"&amp;csv!BR269&amp;"–"&amp;csv!BT269&amp;"–"&amp;csv!BV269&amp;"–"&amp;csv!BX269&amp;"–"&amp;csv!BZ269&amp;"–"&amp;csv!CB269&amp;"–"&amp;csv!CD269&amp;"–"&amp;csv!CF269&amp;"–"&amp;csv!CH269&amp;"–"&amp;csv!CJ269&amp;"–"&amp;csv!CL269&amp;"–"&amp;csv!CN269&amp;"–"&amp;csv!CP269&amp;"–"&amp;csv!CR269&amp;"–"&amp;csv!CT269&amp;"–"&amp;csv!CV269&amp;"–"&amp;csv!CX268&amp;"–"&amp;csv!CZ268)</f>
        <v/>
      </c>
      <c r="F274" t="s">
        <v>0</v>
      </c>
      <c r="O274" s="1" t="str">
        <f t="shared" si="27"/>
        <v/>
      </c>
      <c r="X274" t="s">
        <v>0</v>
      </c>
    </row>
    <row r="275" spans="1:24" x14ac:dyDescent="0.25">
      <c r="A275" t="s">
        <v>0</v>
      </c>
      <c r="B275" s="52" t="str">
        <f>IF(csv!F270="","",csv!T270)</f>
        <v>Ž21B</v>
      </c>
      <c r="C275" s="31" t="str">
        <f>IF(csv!F270="","",csv!AO270)</f>
        <v>Ž21B</v>
      </c>
      <c r="D275" s="31" t="str">
        <f>IF(csv!F270="","",csv!AP270&amp;"–"&amp;csv!AQ270&amp;"–"&amp;csv!AR270)</f>
        <v>3.31–115–8</v>
      </c>
      <c r="E275" s="66" t="str">
        <f>IF(csv!AV270&amp;csv!AX270&amp;csv!AZ270&amp;csv!BB270&amp;csv!BD270="","",csv!AV270&amp;"–"&amp;csv!AX270&amp;"–"&amp;csv!AZ270&amp;"–"&amp;csv!BB270&amp;"–"&amp;csv!BD270&amp;"–"&amp;csv!BF270&amp;"–"&amp;csv!BH270&amp;"–"&amp;csv!BJ270&amp;"–"&amp;csv!BL270&amp;"–"&amp;csv!BN270&amp;"–"&amp;csv!BP270&amp;"–"&amp;csv!BR270&amp;"–"&amp;csv!BT270&amp;"–"&amp;csv!BV270&amp;"–"&amp;csv!BX270&amp;"–"&amp;csv!BZ270&amp;"–"&amp;csv!CB270&amp;"–"&amp;csv!CD270&amp;"–"&amp;csv!CF270&amp;"–"&amp;csv!CH270&amp;"–"&amp;csv!CJ270&amp;"–"&amp;csv!CL270&amp;"–"&amp;csv!CN270&amp;"–"&amp;csv!CP270&amp;"–"&amp;csv!CR270&amp;"–"&amp;csv!CT270&amp;"–"&amp;csv!CV270&amp;"–"&amp;csv!CX269&amp;"–"&amp;csv!CZ269)</f>
        <v/>
      </c>
      <c r="F275" t="s">
        <v>0</v>
      </c>
      <c r="O275" s="1" t="str">
        <f t="shared" si="27"/>
        <v/>
      </c>
      <c r="X275" t="s">
        <v>0</v>
      </c>
    </row>
    <row r="276" spans="1:24" x14ac:dyDescent="0.25">
      <c r="A276" t="s">
        <v>0</v>
      </c>
      <c r="B276" s="52" t="str">
        <f>IF(csv!F271="","",csv!T271)</f>
        <v>Ž21B</v>
      </c>
      <c r="C276" s="31" t="str">
        <f>IF(csv!F271="","",csv!AO271)</f>
        <v>Ž21B</v>
      </c>
      <c r="D276" s="31" t="str">
        <f>IF(csv!F271="","",csv!AP271&amp;"–"&amp;csv!AQ271&amp;"–"&amp;csv!AR271)</f>
        <v>3.31–115–8</v>
      </c>
      <c r="E276" s="66" t="str">
        <f>IF(csv!AV271&amp;csv!AX271&amp;csv!AZ271&amp;csv!BB271&amp;csv!BD271="","",csv!AV271&amp;"–"&amp;csv!AX271&amp;"–"&amp;csv!AZ271&amp;"–"&amp;csv!BB271&amp;"–"&amp;csv!BD271&amp;"–"&amp;csv!BF271&amp;"–"&amp;csv!BH271&amp;"–"&amp;csv!BJ271&amp;"–"&amp;csv!BL271&amp;"–"&amp;csv!BN271&amp;"–"&amp;csv!BP271&amp;"–"&amp;csv!BR271&amp;"–"&amp;csv!BT271&amp;"–"&amp;csv!BV271&amp;"–"&amp;csv!BX271&amp;"–"&amp;csv!BZ271&amp;"–"&amp;csv!CB271&amp;"–"&amp;csv!CD271&amp;"–"&amp;csv!CF271&amp;"–"&amp;csv!CH271&amp;"–"&amp;csv!CJ271&amp;"–"&amp;csv!CL271&amp;"–"&amp;csv!CN271&amp;"–"&amp;csv!CP271&amp;"–"&amp;csv!CR271&amp;"–"&amp;csv!CT271&amp;"–"&amp;csv!CV271&amp;"–"&amp;csv!CX270&amp;"–"&amp;csv!CZ270)</f>
        <v/>
      </c>
      <c r="F276" t="s">
        <v>0</v>
      </c>
      <c r="O276" s="1" t="str">
        <f t="shared" si="27"/>
        <v/>
      </c>
      <c r="X276" t="s">
        <v>0</v>
      </c>
    </row>
    <row r="277" spans="1:24" x14ac:dyDescent="0.25">
      <c r="A277" t="s">
        <v>0</v>
      </c>
      <c r="B277" s="52" t="str">
        <f>IF(csv!F272="","",csv!T272)</f>
        <v>Ž21B</v>
      </c>
      <c r="C277" s="31" t="str">
        <f>IF(csv!F272="","",csv!AO272)</f>
        <v>Ž21B</v>
      </c>
      <c r="D277" s="31" t="str">
        <f>IF(csv!F272="","",csv!AP272&amp;"–"&amp;csv!AQ272&amp;"–"&amp;csv!AR272)</f>
        <v>3.31–115–8</v>
      </c>
      <c r="E277" s="66" t="str">
        <f>IF(csv!AV272&amp;csv!AX272&amp;csv!AZ272&amp;csv!BB272&amp;csv!BD272="","",csv!AV272&amp;"–"&amp;csv!AX272&amp;"–"&amp;csv!AZ272&amp;"–"&amp;csv!BB272&amp;"–"&amp;csv!BD272&amp;"–"&amp;csv!BF272&amp;"–"&amp;csv!BH272&amp;"–"&amp;csv!BJ272&amp;"–"&amp;csv!BL272&amp;"–"&amp;csv!BN272&amp;"–"&amp;csv!BP272&amp;"–"&amp;csv!BR272&amp;"–"&amp;csv!BT272&amp;"–"&amp;csv!BV272&amp;"–"&amp;csv!BX272&amp;"–"&amp;csv!BZ272&amp;"–"&amp;csv!CB272&amp;"–"&amp;csv!CD272&amp;"–"&amp;csv!CF272&amp;"–"&amp;csv!CH272&amp;"–"&amp;csv!CJ272&amp;"–"&amp;csv!CL272&amp;"–"&amp;csv!CN272&amp;"–"&amp;csv!CP272&amp;"–"&amp;csv!CR272&amp;"–"&amp;csv!CT272&amp;"–"&amp;csv!CV272&amp;"–"&amp;csv!CX271&amp;"–"&amp;csv!CZ271)</f>
        <v/>
      </c>
      <c r="F277" t="s">
        <v>0</v>
      </c>
      <c r="O277" s="1" t="str">
        <f t="shared" si="27"/>
        <v/>
      </c>
      <c r="X277" t="s">
        <v>0</v>
      </c>
    </row>
    <row r="278" spans="1:24" x14ac:dyDescent="0.25">
      <c r="A278" t="s">
        <v>0</v>
      </c>
      <c r="B278" s="52" t="str">
        <f>IF(csv!F273="","",csv!T273)</f>
        <v>Ž21B</v>
      </c>
      <c r="C278" s="31" t="str">
        <f>IF(csv!F273="","",csv!AO273)</f>
        <v>Ž21B</v>
      </c>
      <c r="D278" s="31" t="str">
        <f>IF(csv!F273="","",csv!AP273&amp;"–"&amp;csv!AQ273&amp;"–"&amp;csv!AR273)</f>
        <v>3.31–115–8</v>
      </c>
      <c r="E278" s="66" t="str">
        <f>IF(csv!AV273&amp;csv!AX273&amp;csv!AZ273&amp;csv!BB273&amp;csv!BD273="","",csv!AV273&amp;"–"&amp;csv!AX273&amp;"–"&amp;csv!AZ273&amp;"–"&amp;csv!BB273&amp;"–"&amp;csv!BD273&amp;"–"&amp;csv!BF273&amp;"–"&amp;csv!BH273&amp;"–"&amp;csv!BJ273&amp;"–"&amp;csv!BL273&amp;"–"&amp;csv!BN273&amp;"–"&amp;csv!BP273&amp;"–"&amp;csv!BR273&amp;"–"&amp;csv!BT273&amp;"–"&amp;csv!BV273&amp;"–"&amp;csv!BX273&amp;"–"&amp;csv!BZ273&amp;"–"&amp;csv!CB273&amp;"–"&amp;csv!CD273&amp;"–"&amp;csv!CF273&amp;"–"&amp;csv!CH273&amp;"–"&amp;csv!CJ273&amp;"–"&amp;csv!CL273&amp;"–"&amp;csv!CN273&amp;"–"&amp;csv!CP273&amp;"–"&amp;csv!CR273&amp;"–"&amp;csv!CT273&amp;"–"&amp;csv!CV273&amp;"–"&amp;csv!CX272&amp;"–"&amp;csv!CZ272)</f>
        <v/>
      </c>
      <c r="F278" t="s">
        <v>0</v>
      </c>
      <c r="O278" s="1" t="str">
        <f t="shared" si="27"/>
        <v/>
      </c>
      <c r="X278" t="s">
        <v>0</v>
      </c>
    </row>
    <row r="279" spans="1:24" x14ac:dyDescent="0.25">
      <c r="A279" t="s">
        <v>0</v>
      </c>
      <c r="B279" s="52" t="str">
        <f>IF(csv!F274="","",csv!T274)</f>
        <v>Ž21B</v>
      </c>
      <c r="C279" s="31" t="str">
        <f>IF(csv!F274="","",csv!AO274)</f>
        <v>Ž21B</v>
      </c>
      <c r="D279" s="31" t="str">
        <f>IF(csv!F274="","",csv!AP274&amp;"–"&amp;csv!AQ274&amp;"–"&amp;csv!AR274)</f>
        <v>3.31–115–8</v>
      </c>
      <c r="E279" s="66" t="str">
        <f>IF(csv!AV274&amp;csv!AX274&amp;csv!AZ274&amp;csv!BB274&amp;csv!BD274="","",csv!AV274&amp;"–"&amp;csv!AX274&amp;"–"&amp;csv!AZ274&amp;"–"&amp;csv!BB274&amp;"–"&amp;csv!BD274&amp;"–"&amp;csv!BF274&amp;"–"&amp;csv!BH274&amp;"–"&amp;csv!BJ274&amp;"–"&amp;csv!BL274&amp;"–"&amp;csv!BN274&amp;"–"&amp;csv!BP274&amp;"–"&amp;csv!BR274&amp;"–"&amp;csv!BT274&amp;"–"&amp;csv!BV274&amp;"–"&amp;csv!BX274&amp;"–"&amp;csv!BZ274&amp;"–"&amp;csv!CB274&amp;"–"&amp;csv!CD274&amp;"–"&amp;csv!CF274&amp;"–"&amp;csv!CH274&amp;"–"&amp;csv!CJ274&amp;"–"&amp;csv!CL274&amp;"–"&amp;csv!CN274&amp;"–"&amp;csv!CP274&amp;"–"&amp;csv!CR274&amp;"–"&amp;csv!CT274&amp;"–"&amp;csv!CV274&amp;"–"&amp;csv!CX273&amp;"–"&amp;csv!CZ273)</f>
        <v/>
      </c>
      <c r="F279" t="s">
        <v>0</v>
      </c>
      <c r="O279" s="1" t="str">
        <f t="shared" si="27"/>
        <v/>
      </c>
      <c r="X279" t="s">
        <v>0</v>
      </c>
    </row>
    <row r="280" spans="1:24" x14ac:dyDescent="0.25">
      <c r="A280" t="s">
        <v>0</v>
      </c>
      <c r="B280" s="52" t="str">
        <f>IF(csv!F275="","",csv!T275)</f>
        <v>Ž21B</v>
      </c>
      <c r="C280" s="31" t="str">
        <f>IF(csv!F275="","",csv!AO275)</f>
        <v>Ž21B</v>
      </c>
      <c r="D280" s="31" t="str">
        <f>IF(csv!F275="","",csv!AP275&amp;"–"&amp;csv!AQ275&amp;"–"&amp;csv!AR275)</f>
        <v>3.31–115–8</v>
      </c>
      <c r="E280" s="66" t="str">
        <f>IF(csv!AV275&amp;csv!AX275&amp;csv!AZ275&amp;csv!BB275&amp;csv!BD275="","",csv!AV275&amp;"–"&amp;csv!AX275&amp;"–"&amp;csv!AZ275&amp;"–"&amp;csv!BB275&amp;"–"&amp;csv!BD275&amp;"–"&amp;csv!BF275&amp;"–"&amp;csv!BH275&amp;"–"&amp;csv!BJ275&amp;"–"&amp;csv!BL275&amp;"–"&amp;csv!BN275&amp;"–"&amp;csv!BP275&amp;"–"&amp;csv!BR275&amp;"–"&amp;csv!BT275&amp;"–"&amp;csv!BV275&amp;"–"&amp;csv!BX275&amp;"–"&amp;csv!BZ275&amp;"–"&amp;csv!CB275&amp;"–"&amp;csv!CD275&amp;"–"&amp;csv!CF275&amp;"–"&amp;csv!CH275&amp;"–"&amp;csv!CJ275&amp;"–"&amp;csv!CL275&amp;"–"&amp;csv!CN275&amp;"–"&amp;csv!CP275&amp;"–"&amp;csv!CR275&amp;"–"&amp;csv!CT275&amp;"–"&amp;csv!CV275&amp;"–"&amp;csv!CX274&amp;"–"&amp;csv!CZ274)</f>
        <v/>
      </c>
      <c r="F280" t="s">
        <v>0</v>
      </c>
      <c r="O280" s="1" t="str">
        <f t="shared" si="27"/>
        <v/>
      </c>
      <c r="X280" t="s">
        <v>0</v>
      </c>
    </row>
    <row r="281" spans="1:24" x14ac:dyDescent="0.25">
      <c r="A281" t="s">
        <v>0</v>
      </c>
      <c r="B281" s="52" t="str">
        <f>IF(csv!F276="","",csv!T276)</f>
        <v>Ž21B</v>
      </c>
      <c r="C281" s="31" t="str">
        <f>IF(csv!F276="","",csv!AO276)</f>
        <v>Ž21B</v>
      </c>
      <c r="D281" s="31" t="str">
        <f>IF(csv!F276="","",csv!AP276&amp;"–"&amp;csv!AQ276&amp;"–"&amp;csv!AR276)</f>
        <v>3.31–115–8</v>
      </c>
      <c r="E281" s="66" t="str">
        <f>IF(csv!AV276&amp;csv!AX276&amp;csv!AZ276&amp;csv!BB276&amp;csv!BD276="","",csv!AV276&amp;"–"&amp;csv!AX276&amp;"–"&amp;csv!AZ276&amp;"–"&amp;csv!BB276&amp;"–"&amp;csv!BD276&amp;"–"&amp;csv!BF276&amp;"–"&amp;csv!BH276&amp;"–"&amp;csv!BJ276&amp;"–"&amp;csv!BL276&amp;"–"&amp;csv!BN276&amp;"–"&amp;csv!BP276&amp;"–"&amp;csv!BR276&amp;"–"&amp;csv!BT276&amp;"–"&amp;csv!BV276&amp;"–"&amp;csv!BX276&amp;"–"&amp;csv!BZ276&amp;"–"&amp;csv!CB276&amp;"–"&amp;csv!CD276&amp;"–"&amp;csv!CF276&amp;"–"&amp;csv!CH276&amp;"–"&amp;csv!CJ276&amp;"–"&amp;csv!CL276&amp;"–"&amp;csv!CN276&amp;"–"&amp;csv!CP276&amp;"–"&amp;csv!CR276&amp;"–"&amp;csv!CT276&amp;"–"&amp;csv!CV276&amp;"–"&amp;csv!CX275&amp;"–"&amp;csv!CZ275)</f>
        <v/>
      </c>
      <c r="F281" t="s">
        <v>0</v>
      </c>
      <c r="O281" s="1" t="str">
        <f t="shared" si="27"/>
        <v/>
      </c>
      <c r="X281" t="s">
        <v>0</v>
      </c>
    </row>
    <row r="282" spans="1:24" x14ac:dyDescent="0.25">
      <c r="A282" t="s">
        <v>0</v>
      </c>
      <c r="B282" s="52" t="str">
        <f>IF(csv!F277="","",csv!T277)</f>
        <v>Ž21B</v>
      </c>
      <c r="C282" s="31" t="str">
        <f>IF(csv!F277="","",csv!AO277)</f>
        <v>Ž21B</v>
      </c>
      <c r="D282" s="31" t="str">
        <f>IF(csv!F277="","",csv!AP277&amp;"–"&amp;csv!AQ277&amp;"–"&amp;csv!AR277)</f>
        <v>3.31–115–8</v>
      </c>
      <c r="E282" s="66" t="str">
        <f>IF(csv!AV277&amp;csv!AX277&amp;csv!AZ277&amp;csv!BB277&amp;csv!BD277="","",csv!AV277&amp;"–"&amp;csv!AX277&amp;"–"&amp;csv!AZ277&amp;"–"&amp;csv!BB277&amp;"–"&amp;csv!BD277&amp;"–"&amp;csv!BF277&amp;"–"&amp;csv!BH277&amp;"–"&amp;csv!BJ277&amp;"–"&amp;csv!BL277&amp;"–"&amp;csv!BN277&amp;"–"&amp;csv!BP277&amp;"–"&amp;csv!BR277&amp;"–"&amp;csv!BT277&amp;"–"&amp;csv!BV277&amp;"–"&amp;csv!BX277&amp;"–"&amp;csv!BZ277&amp;"–"&amp;csv!CB277&amp;"–"&amp;csv!CD277&amp;"–"&amp;csv!CF277&amp;"–"&amp;csv!CH277&amp;"–"&amp;csv!CJ277&amp;"–"&amp;csv!CL277&amp;"–"&amp;csv!CN277&amp;"–"&amp;csv!CP277&amp;"–"&amp;csv!CR277&amp;"–"&amp;csv!CT277&amp;"–"&amp;csv!CV277&amp;"–"&amp;csv!CX276&amp;"–"&amp;csv!CZ276)</f>
        <v/>
      </c>
      <c r="F282" t="s">
        <v>0</v>
      </c>
      <c r="O282" s="1" t="str">
        <f t="shared" si="27"/>
        <v/>
      </c>
      <c r="X282" t="s">
        <v>0</v>
      </c>
    </row>
    <row r="283" spans="1:24" x14ac:dyDescent="0.25">
      <c r="A283" t="s">
        <v>0</v>
      </c>
      <c r="B283" s="52" t="str">
        <f>IF(csv!F278="","",csv!T278)</f>
        <v>Ž21B</v>
      </c>
      <c r="C283" s="31" t="str">
        <f>IF(csv!F278="","",csv!AO278)</f>
        <v>Ž21B</v>
      </c>
      <c r="D283" s="31" t="str">
        <f>IF(csv!F278="","",csv!AP278&amp;"–"&amp;csv!AQ278&amp;"–"&amp;csv!AR278)</f>
        <v>3.31–115–8</v>
      </c>
      <c r="E283" s="66" t="str">
        <f>IF(csv!AV278&amp;csv!AX278&amp;csv!AZ278&amp;csv!BB278&amp;csv!BD278="","",csv!AV278&amp;"–"&amp;csv!AX278&amp;"–"&amp;csv!AZ278&amp;"–"&amp;csv!BB278&amp;"–"&amp;csv!BD278&amp;"–"&amp;csv!BF278&amp;"–"&amp;csv!BH278&amp;"–"&amp;csv!BJ278&amp;"–"&amp;csv!BL278&amp;"–"&amp;csv!BN278&amp;"–"&amp;csv!BP278&amp;"–"&amp;csv!BR278&amp;"–"&amp;csv!BT278&amp;"–"&amp;csv!BV278&amp;"–"&amp;csv!BX278&amp;"–"&amp;csv!BZ278&amp;"–"&amp;csv!CB278&amp;"–"&amp;csv!CD278&amp;"–"&amp;csv!CF278&amp;"–"&amp;csv!CH278&amp;"–"&amp;csv!CJ278&amp;"–"&amp;csv!CL278&amp;"–"&amp;csv!CN278&amp;"–"&amp;csv!CP278&amp;"–"&amp;csv!CR278&amp;"–"&amp;csv!CT278&amp;"–"&amp;csv!CV278&amp;"–"&amp;csv!CX277&amp;"–"&amp;csv!CZ277)</f>
        <v>68–64–––––––––––––––––––––––––––</v>
      </c>
      <c r="F283" t="s">
        <v>0</v>
      </c>
      <c r="O283" s="1" t="str">
        <f t="shared" si="27"/>
        <v/>
      </c>
      <c r="X283" t="s">
        <v>0</v>
      </c>
    </row>
    <row r="284" spans="1:24" x14ac:dyDescent="0.25">
      <c r="A284" t="s">
        <v>0</v>
      </c>
      <c r="B284" s="52" t="str">
        <f>IF(csv!F279="","",csv!T279)</f>
        <v>Ž21B</v>
      </c>
      <c r="C284" s="31" t="str">
        <f>IF(csv!F279="","",csv!AO279)</f>
        <v>Ž21B</v>
      </c>
      <c r="D284" s="31" t="str">
        <f>IF(csv!F279="","",csv!AP279&amp;"–"&amp;csv!AQ279&amp;"–"&amp;csv!AR279)</f>
        <v>3.31–115–8</v>
      </c>
      <c r="E284" s="66" t="str">
        <f>IF(csv!AV279&amp;csv!AX279&amp;csv!AZ279&amp;csv!BB279&amp;csv!BD279="","",csv!AV279&amp;"–"&amp;csv!AX279&amp;"–"&amp;csv!AZ279&amp;"–"&amp;csv!BB279&amp;"–"&amp;csv!BD279&amp;"–"&amp;csv!BF279&amp;"–"&amp;csv!BH279&amp;"–"&amp;csv!BJ279&amp;"–"&amp;csv!BL279&amp;"–"&amp;csv!BN279&amp;"–"&amp;csv!BP279&amp;"–"&amp;csv!BR279&amp;"–"&amp;csv!BT279&amp;"–"&amp;csv!BV279&amp;"–"&amp;csv!BX279&amp;"–"&amp;csv!BZ279&amp;"–"&amp;csv!CB279&amp;"–"&amp;csv!CD279&amp;"–"&amp;csv!CF279&amp;"–"&amp;csv!CH279&amp;"–"&amp;csv!CJ279&amp;"–"&amp;csv!CL279&amp;"–"&amp;csv!CN279&amp;"–"&amp;csv!CP279&amp;"–"&amp;csv!CR279&amp;"–"&amp;csv!CT279&amp;"–"&amp;csv!CV279&amp;"–"&amp;csv!CX278&amp;"–"&amp;csv!CZ278)</f>
        <v/>
      </c>
      <c r="F284" t="s">
        <v>0</v>
      </c>
      <c r="O284" s="1" t="str">
        <f t="shared" si="27"/>
        <v/>
      </c>
      <c r="X284" t="s">
        <v>0</v>
      </c>
    </row>
    <row r="285" spans="1:24" x14ac:dyDescent="0.25">
      <c r="A285" t="s">
        <v>0</v>
      </c>
      <c r="B285" s="52" t="str">
        <f>IF(csv!F280="","",csv!T280)</f>
        <v>Ž35</v>
      </c>
      <c r="C285" s="31" t="str">
        <f>IF(csv!F280="","",csv!AO280)</f>
        <v>Ž35</v>
      </c>
      <c r="D285" s="31" t="str">
        <f>IF(csv!F280="","",csv!AP280&amp;"–"&amp;csv!AQ280&amp;"–"&amp;csv!AR280)</f>
        <v>3.82–155–8</v>
      </c>
      <c r="E285" s="66" t="str">
        <f>IF(csv!AV280&amp;csv!AX280&amp;csv!AZ280&amp;csv!BB280&amp;csv!BD280="","",csv!AV280&amp;"–"&amp;csv!AX280&amp;"–"&amp;csv!AZ280&amp;"–"&amp;csv!BB280&amp;"–"&amp;csv!BD280&amp;"–"&amp;csv!BF280&amp;"–"&amp;csv!BH280&amp;"–"&amp;csv!BJ280&amp;"–"&amp;csv!BL280&amp;"–"&amp;csv!BN280&amp;"–"&amp;csv!BP280&amp;"–"&amp;csv!BR280&amp;"–"&amp;csv!BT280&amp;"–"&amp;csv!BV280&amp;"–"&amp;csv!BX280&amp;"–"&amp;csv!BZ280&amp;"–"&amp;csv!CB280&amp;"–"&amp;csv!CD280&amp;"–"&amp;csv!CF280&amp;"–"&amp;csv!CH280&amp;"–"&amp;csv!CJ280&amp;"–"&amp;csv!CL280&amp;"–"&amp;csv!CN280&amp;"–"&amp;csv!CP280&amp;"–"&amp;csv!CR280&amp;"–"&amp;csv!CT280&amp;"–"&amp;csv!CV280&amp;"–"&amp;csv!CX279&amp;"–"&amp;csv!CZ279)</f>
        <v>36–58–52–51–32–37–54–100–––––––––––––––––––––</v>
      </c>
      <c r="F285" t="s">
        <v>0</v>
      </c>
      <c r="O285" s="1" t="str">
        <f t="shared" si="27"/>
        <v/>
      </c>
      <c r="X285" t="s">
        <v>0</v>
      </c>
    </row>
    <row r="286" spans="1:24" x14ac:dyDescent="0.25">
      <c r="A286" t="s">
        <v>0</v>
      </c>
      <c r="B286" s="52" t="str">
        <f>IF(csv!F281="","",csv!T281)</f>
        <v>Ž35</v>
      </c>
      <c r="C286" s="31" t="str">
        <f>IF(csv!F281="","",csv!AO281)</f>
        <v>Ž35</v>
      </c>
      <c r="D286" s="31" t="str">
        <f>IF(csv!F281="","",csv!AP281&amp;"–"&amp;csv!AQ281&amp;"–"&amp;csv!AR281)</f>
        <v>3.82–155–8</v>
      </c>
      <c r="E286" s="66" t="str">
        <f>IF(csv!AV281&amp;csv!AX281&amp;csv!AZ281&amp;csv!BB281&amp;csv!BD281="","",csv!AV281&amp;"–"&amp;csv!AX281&amp;"–"&amp;csv!AZ281&amp;"–"&amp;csv!BB281&amp;"–"&amp;csv!BD281&amp;"–"&amp;csv!BF281&amp;"–"&amp;csv!BH281&amp;"–"&amp;csv!BJ281&amp;"–"&amp;csv!BL281&amp;"–"&amp;csv!BN281&amp;"–"&amp;csv!BP281&amp;"–"&amp;csv!BR281&amp;"–"&amp;csv!BT281&amp;"–"&amp;csv!BV281&amp;"–"&amp;csv!BX281&amp;"–"&amp;csv!BZ281&amp;"–"&amp;csv!CB281&amp;"–"&amp;csv!CD281&amp;"–"&amp;csv!CF281&amp;"–"&amp;csv!CH281&amp;"–"&amp;csv!CJ281&amp;"–"&amp;csv!CL281&amp;"–"&amp;csv!CN281&amp;"–"&amp;csv!CP281&amp;"–"&amp;csv!CR281&amp;"–"&amp;csv!CT281&amp;"–"&amp;csv!CV281&amp;"–"&amp;csv!CX280&amp;"–"&amp;csv!CZ280)</f>
        <v>36–58–52–51–32–37–54–100–––––––––––––––––––––</v>
      </c>
      <c r="F286" t="s">
        <v>0</v>
      </c>
      <c r="O286" s="1" t="str">
        <f t="shared" si="27"/>
        <v/>
      </c>
      <c r="X286" t="s">
        <v>0</v>
      </c>
    </row>
    <row r="287" spans="1:24" x14ac:dyDescent="0.25">
      <c r="A287" t="s">
        <v>0</v>
      </c>
      <c r="B287" s="52" t="str">
        <f>IF(csv!F282="","",csv!T282)</f>
        <v>Ž35</v>
      </c>
      <c r="C287" s="31" t="str">
        <f>IF(csv!F282="","",csv!AO282)</f>
        <v>Ž35</v>
      </c>
      <c r="D287" s="31" t="str">
        <f>IF(csv!F282="","",csv!AP282&amp;"–"&amp;csv!AQ282&amp;"–"&amp;csv!AR282)</f>
        <v>3.82–155–8</v>
      </c>
      <c r="E287" s="66" t="str">
        <f>IF(csv!AV282&amp;csv!AX282&amp;csv!AZ282&amp;csv!BB282&amp;csv!BD282="","",csv!AV282&amp;"–"&amp;csv!AX282&amp;"–"&amp;csv!AZ282&amp;"–"&amp;csv!BB282&amp;"–"&amp;csv!BD282&amp;"–"&amp;csv!BF282&amp;"–"&amp;csv!BH282&amp;"–"&amp;csv!BJ282&amp;"–"&amp;csv!BL282&amp;"–"&amp;csv!BN282&amp;"–"&amp;csv!BP282&amp;"–"&amp;csv!BR282&amp;"–"&amp;csv!BT282&amp;"–"&amp;csv!BV282&amp;"–"&amp;csv!BX282&amp;"–"&amp;csv!BZ282&amp;"–"&amp;csv!CB282&amp;"–"&amp;csv!CD282&amp;"–"&amp;csv!CF282&amp;"–"&amp;csv!CH282&amp;"–"&amp;csv!CJ282&amp;"–"&amp;csv!CL282&amp;"–"&amp;csv!CN282&amp;"–"&amp;csv!CP282&amp;"–"&amp;csv!CR282&amp;"–"&amp;csv!CT282&amp;"–"&amp;csv!CV282&amp;"–"&amp;csv!CX281&amp;"–"&amp;csv!CZ281)</f>
        <v>36–58–52–51–32–37–54–100–––––––––––––––––––––</v>
      </c>
      <c r="F287" t="s">
        <v>0</v>
      </c>
      <c r="O287" s="1" t="str">
        <f t="shared" si="27"/>
        <v/>
      </c>
      <c r="X287" t="s">
        <v>0</v>
      </c>
    </row>
    <row r="288" spans="1:24" x14ac:dyDescent="0.25">
      <c r="A288" t="s">
        <v>0</v>
      </c>
      <c r="B288" s="52" t="str">
        <f>IF(csv!F283="","",csv!T283)</f>
        <v>Ž35</v>
      </c>
      <c r="C288" s="31" t="str">
        <f>IF(csv!F283="","",csv!AO283)</f>
        <v>Ž35</v>
      </c>
      <c r="D288" s="31" t="str">
        <f>IF(csv!F283="","",csv!AP283&amp;"–"&amp;csv!AQ283&amp;"–"&amp;csv!AR283)</f>
        <v>3.82–155–8</v>
      </c>
      <c r="E288" s="66" t="str">
        <f>IF(csv!AV283&amp;csv!AX283&amp;csv!AZ283&amp;csv!BB283&amp;csv!BD283="","",csv!AV283&amp;"–"&amp;csv!AX283&amp;"–"&amp;csv!AZ283&amp;"–"&amp;csv!BB283&amp;"–"&amp;csv!BD283&amp;"–"&amp;csv!BF283&amp;"–"&amp;csv!BH283&amp;"–"&amp;csv!BJ283&amp;"–"&amp;csv!BL283&amp;"–"&amp;csv!BN283&amp;"–"&amp;csv!BP283&amp;"–"&amp;csv!BR283&amp;"–"&amp;csv!BT283&amp;"–"&amp;csv!BV283&amp;"–"&amp;csv!BX283&amp;"–"&amp;csv!BZ283&amp;"–"&amp;csv!CB283&amp;"–"&amp;csv!CD283&amp;"–"&amp;csv!CF283&amp;"–"&amp;csv!CH283&amp;"–"&amp;csv!CJ283&amp;"–"&amp;csv!CL283&amp;"–"&amp;csv!CN283&amp;"–"&amp;csv!CP283&amp;"–"&amp;csv!CR283&amp;"–"&amp;csv!CT283&amp;"–"&amp;csv!CV283&amp;"–"&amp;csv!CX282&amp;"–"&amp;csv!CZ282)</f>
        <v>36–58–52–51–32–37–54–100–––––––––––––––––––––</v>
      </c>
      <c r="F288" t="s">
        <v>0</v>
      </c>
      <c r="O288" s="1" t="str">
        <f t="shared" si="27"/>
        <v/>
      </c>
      <c r="X288" t="s">
        <v>0</v>
      </c>
    </row>
    <row r="289" spans="1:24" x14ac:dyDescent="0.25">
      <c r="A289" t="s">
        <v>0</v>
      </c>
      <c r="B289" s="52" t="str">
        <f>IF(csv!F284="","",csv!T284)</f>
        <v>Ž35</v>
      </c>
      <c r="C289" s="31" t="str">
        <f>IF(csv!F284="","",csv!AO284)</f>
        <v>Ž35</v>
      </c>
      <c r="D289" s="31" t="str">
        <f>IF(csv!F284="","",csv!AP284&amp;"–"&amp;csv!AQ284&amp;"–"&amp;csv!AR284)</f>
        <v>3.82–155–8</v>
      </c>
      <c r="E289" s="66" t="str">
        <f>IF(csv!AV284&amp;csv!AX284&amp;csv!AZ284&amp;csv!BB284&amp;csv!BD284="","",csv!AV284&amp;"–"&amp;csv!AX284&amp;"–"&amp;csv!AZ284&amp;"–"&amp;csv!BB284&amp;"–"&amp;csv!BD284&amp;"–"&amp;csv!BF284&amp;"–"&amp;csv!BH284&amp;"–"&amp;csv!BJ284&amp;"–"&amp;csv!BL284&amp;"–"&amp;csv!BN284&amp;"–"&amp;csv!BP284&amp;"–"&amp;csv!BR284&amp;"–"&amp;csv!BT284&amp;"–"&amp;csv!BV284&amp;"–"&amp;csv!BX284&amp;"–"&amp;csv!BZ284&amp;"–"&amp;csv!CB284&amp;"–"&amp;csv!CD284&amp;"–"&amp;csv!CF284&amp;"–"&amp;csv!CH284&amp;"–"&amp;csv!CJ284&amp;"–"&amp;csv!CL284&amp;"–"&amp;csv!CN284&amp;"–"&amp;csv!CP284&amp;"–"&amp;csv!CR284&amp;"–"&amp;csv!CT284&amp;"–"&amp;csv!CV284&amp;"–"&amp;csv!CX283&amp;"–"&amp;csv!CZ283)</f>
        <v>36–58–52–51–32–37–54–100–––––––––––––––––––––</v>
      </c>
      <c r="F289" t="s">
        <v>0</v>
      </c>
      <c r="O289" s="1" t="str">
        <f t="shared" si="27"/>
        <v/>
      </c>
      <c r="X289" t="s">
        <v>0</v>
      </c>
    </row>
    <row r="290" spans="1:24" x14ac:dyDescent="0.25">
      <c r="A290" t="s">
        <v>0</v>
      </c>
      <c r="B290" s="52" t="str">
        <f>IF(csv!F285="","",csv!T285)</f>
        <v>Ž35</v>
      </c>
      <c r="C290" s="31" t="str">
        <f>IF(csv!F285="","",csv!AO285)</f>
        <v>Ž35</v>
      </c>
      <c r="D290" s="31" t="str">
        <f>IF(csv!F285="","",csv!AP285&amp;"–"&amp;csv!AQ285&amp;"–"&amp;csv!AR285)</f>
        <v>3.82–155–8</v>
      </c>
      <c r="E290" s="66" t="str">
        <f>IF(csv!AV285&amp;csv!AX285&amp;csv!AZ285&amp;csv!BB285&amp;csv!BD285="","",csv!AV285&amp;"–"&amp;csv!AX285&amp;"–"&amp;csv!AZ285&amp;"–"&amp;csv!BB285&amp;"–"&amp;csv!BD285&amp;"–"&amp;csv!BF285&amp;"–"&amp;csv!BH285&amp;"–"&amp;csv!BJ285&amp;"–"&amp;csv!BL285&amp;"–"&amp;csv!BN285&amp;"–"&amp;csv!BP285&amp;"–"&amp;csv!BR285&amp;"–"&amp;csv!BT285&amp;"–"&amp;csv!BV285&amp;"–"&amp;csv!BX285&amp;"–"&amp;csv!BZ285&amp;"–"&amp;csv!CB285&amp;"–"&amp;csv!CD285&amp;"–"&amp;csv!CF285&amp;"–"&amp;csv!CH285&amp;"–"&amp;csv!CJ285&amp;"–"&amp;csv!CL285&amp;"–"&amp;csv!CN285&amp;"–"&amp;csv!CP285&amp;"–"&amp;csv!CR285&amp;"–"&amp;csv!CT285&amp;"–"&amp;csv!CV285&amp;"–"&amp;csv!CX284&amp;"–"&amp;csv!CZ284)</f>
        <v>36–58–52–51–32–37–54–100–––––––––––––––––––––</v>
      </c>
      <c r="F290" t="s">
        <v>0</v>
      </c>
      <c r="O290" s="1" t="str">
        <f t="shared" si="27"/>
        <v/>
      </c>
      <c r="X290" t="s">
        <v>0</v>
      </c>
    </row>
    <row r="291" spans="1:24" x14ac:dyDescent="0.25">
      <c r="A291" t="s">
        <v>0</v>
      </c>
      <c r="B291" s="52" t="str">
        <f>IF(csv!F286="","",csv!T286)</f>
        <v>Ž35</v>
      </c>
      <c r="C291" s="31" t="str">
        <f>IF(csv!F286="","",csv!AO286)</f>
        <v>Ž35</v>
      </c>
      <c r="D291" s="31" t="str">
        <f>IF(csv!F286="","",csv!AP286&amp;"–"&amp;csv!AQ286&amp;"–"&amp;csv!AR286)</f>
        <v>3.82–155–8</v>
      </c>
      <c r="E291" s="66" t="str">
        <f>IF(csv!AV286&amp;csv!AX286&amp;csv!AZ286&amp;csv!BB286&amp;csv!BD286="","",csv!AV286&amp;"–"&amp;csv!AX286&amp;"–"&amp;csv!AZ286&amp;"–"&amp;csv!BB286&amp;"–"&amp;csv!BD286&amp;"–"&amp;csv!BF286&amp;"–"&amp;csv!BH286&amp;"–"&amp;csv!BJ286&amp;"–"&amp;csv!BL286&amp;"–"&amp;csv!BN286&amp;"–"&amp;csv!BP286&amp;"–"&amp;csv!BR286&amp;"–"&amp;csv!BT286&amp;"–"&amp;csv!BV286&amp;"–"&amp;csv!BX286&amp;"–"&amp;csv!BZ286&amp;"–"&amp;csv!CB286&amp;"–"&amp;csv!CD286&amp;"–"&amp;csv!CF286&amp;"–"&amp;csv!CH286&amp;"–"&amp;csv!CJ286&amp;"–"&amp;csv!CL286&amp;"–"&amp;csv!CN286&amp;"–"&amp;csv!CP286&amp;"–"&amp;csv!CR286&amp;"–"&amp;csv!CT286&amp;"–"&amp;csv!CV286&amp;"–"&amp;csv!CX285&amp;"–"&amp;csv!CZ285)</f>
        <v>36–58–52–51–32–37–54–100–––––––––––––––––––––</v>
      </c>
      <c r="F291" t="s">
        <v>0</v>
      </c>
      <c r="O291" s="1" t="str">
        <f t="shared" si="27"/>
        <v/>
      </c>
      <c r="X291" t="s">
        <v>0</v>
      </c>
    </row>
    <row r="292" spans="1:24" x14ac:dyDescent="0.25">
      <c r="A292" t="s">
        <v>0</v>
      </c>
      <c r="B292" s="52" t="str">
        <f>IF(csv!F287="","",csv!T287)</f>
        <v>Ž35</v>
      </c>
      <c r="C292" s="31" t="str">
        <f>IF(csv!F287="","",csv!AO287)</f>
        <v>Ž35</v>
      </c>
      <c r="D292" s="31" t="str">
        <f>IF(csv!F287="","",csv!AP287&amp;"–"&amp;csv!AQ287&amp;"–"&amp;csv!AR287)</f>
        <v>3.82–155–8</v>
      </c>
      <c r="E292" s="66" t="str">
        <f>IF(csv!AV287&amp;csv!AX287&amp;csv!AZ287&amp;csv!BB287&amp;csv!BD287="","",csv!AV287&amp;"–"&amp;csv!AX287&amp;"–"&amp;csv!AZ287&amp;"–"&amp;csv!BB287&amp;"–"&amp;csv!BD287&amp;"–"&amp;csv!BF287&amp;"–"&amp;csv!BH287&amp;"–"&amp;csv!BJ287&amp;"–"&amp;csv!BL287&amp;"–"&amp;csv!BN287&amp;"–"&amp;csv!BP287&amp;"–"&amp;csv!BR287&amp;"–"&amp;csv!BT287&amp;"–"&amp;csv!BV287&amp;"–"&amp;csv!BX287&amp;"–"&amp;csv!BZ287&amp;"–"&amp;csv!CB287&amp;"–"&amp;csv!CD287&amp;"–"&amp;csv!CF287&amp;"–"&amp;csv!CH287&amp;"–"&amp;csv!CJ287&amp;"–"&amp;csv!CL287&amp;"–"&amp;csv!CN287&amp;"–"&amp;csv!CP287&amp;"–"&amp;csv!CR287&amp;"–"&amp;csv!CT287&amp;"–"&amp;csv!CV287&amp;"–"&amp;csv!CX286&amp;"–"&amp;csv!CZ286)</f>
        <v>36–58–52–51–32–37–54–100–––––––––––––––––––––</v>
      </c>
      <c r="F292" t="s">
        <v>0</v>
      </c>
      <c r="O292" s="1" t="str">
        <f t="shared" si="27"/>
        <v/>
      </c>
      <c r="X292" t="s">
        <v>0</v>
      </c>
    </row>
    <row r="293" spans="1:24" x14ac:dyDescent="0.25">
      <c r="A293" t="s">
        <v>0</v>
      </c>
      <c r="B293" s="52" t="str">
        <f>IF(csv!F288="","",csv!T288)</f>
        <v>Ž35</v>
      </c>
      <c r="C293" s="31" t="str">
        <f>IF(csv!F288="","",csv!AO288)</f>
        <v>Ž35</v>
      </c>
      <c r="D293" s="31" t="str">
        <f>IF(csv!F288="","",csv!AP288&amp;"–"&amp;csv!AQ288&amp;"–"&amp;csv!AR288)</f>
        <v>3.82–155–8</v>
      </c>
      <c r="E293" s="66" t="str">
        <f>IF(csv!AV288&amp;csv!AX288&amp;csv!AZ288&amp;csv!BB288&amp;csv!BD288="","",csv!AV288&amp;"–"&amp;csv!AX288&amp;"–"&amp;csv!AZ288&amp;"–"&amp;csv!BB288&amp;"–"&amp;csv!BD288&amp;"–"&amp;csv!BF288&amp;"–"&amp;csv!BH288&amp;"–"&amp;csv!BJ288&amp;"–"&amp;csv!BL288&amp;"–"&amp;csv!BN288&amp;"–"&amp;csv!BP288&amp;"–"&amp;csv!BR288&amp;"–"&amp;csv!BT288&amp;"–"&amp;csv!BV288&amp;"–"&amp;csv!BX288&amp;"–"&amp;csv!BZ288&amp;"–"&amp;csv!CB288&amp;"–"&amp;csv!CD288&amp;"–"&amp;csv!CF288&amp;"–"&amp;csv!CH288&amp;"–"&amp;csv!CJ288&amp;"–"&amp;csv!CL288&amp;"–"&amp;csv!CN288&amp;"–"&amp;csv!CP288&amp;"–"&amp;csv!CR288&amp;"–"&amp;csv!CT288&amp;"–"&amp;csv!CV288&amp;"–"&amp;csv!CX287&amp;"–"&amp;csv!CZ287)</f>
        <v>36–58–52–51–32–37–54–100–––––––––––––––––––––</v>
      </c>
      <c r="F293" t="s">
        <v>0</v>
      </c>
      <c r="O293" s="1" t="str">
        <f t="shared" si="27"/>
        <v/>
      </c>
      <c r="X293" t="s">
        <v>0</v>
      </c>
    </row>
    <row r="294" spans="1:24" x14ac:dyDescent="0.25">
      <c r="A294" t="s">
        <v>0</v>
      </c>
      <c r="B294" s="52" t="str">
        <f>IF(csv!F289="","",csv!T289)</f>
        <v>Ž35</v>
      </c>
      <c r="C294" s="31" t="str">
        <f>IF(csv!F289="","",csv!AO289)</f>
        <v>Ž35</v>
      </c>
      <c r="D294" s="31" t="str">
        <f>IF(csv!F289="","",csv!AP289&amp;"–"&amp;csv!AQ289&amp;"–"&amp;csv!AR289)</f>
        <v>3.82–155–8</v>
      </c>
      <c r="E294" s="66" t="str">
        <f>IF(csv!AV289&amp;csv!AX289&amp;csv!AZ289&amp;csv!BB289&amp;csv!BD289="","",csv!AV289&amp;"–"&amp;csv!AX289&amp;"–"&amp;csv!AZ289&amp;"–"&amp;csv!BB289&amp;"–"&amp;csv!BD289&amp;"–"&amp;csv!BF289&amp;"–"&amp;csv!BH289&amp;"–"&amp;csv!BJ289&amp;"–"&amp;csv!BL289&amp;"–"&amp;csv!BN289&amp;"–"&amp;csv!BP289&amp;"–"&amp;csv!BR289&amp;"–"&amp;csv!BT289&amp;"–"&amp;csv!BV289&amp;"–"&amp;csv!BX289&amp;"–"&amp;csv!BZ289&amp;"–"&amp;csv!CB289&amp;"–"&amp;csv!CD289&amp;"–"&amp;csv!CF289&amp;"–"&amp;csv!CH289&amp;"–"&amp;csv!CJ289&amp;"–"&amp;csv!CL289&amp;"–"&amp;csv!CN289&amp;"–"&amp;csv!CP289&amp;"–"&amp;csv!CR289&amp;"–"&amp;csv!CT289&amp;"–"&amp;csv!CV289&amp;"–"&amp;csv!CX288&amp;"–"&amp;csv!CZ288)</f>
        <v>36–58–52–51–32–37–54–100–––––––––––––––––––––</v>
      </c>
      <c r="F294" t="s">
        <v>0</v>
      </c>
      <c r="O294" s="1" t="str">
        <f t="shared" si="27"/>
        <v/>
      </c>
      <c r="X294" t="s">
        <v>0</v>
      </c>
    </row>
    <row r="295" spans="1:24" x14ac:dyDescent="0.25">
      <c r="A295" t="s">
        <v>0</v>
      </c>
      <c r="B295" s="52" t="str">
        <f>IF(csv!F290="","",csv!T290)</f>
        <v>Ž35</v>
      </c>
      <c r="C295" s="31" t="str">
        <f>IF(csv!F290="","",csv!AO290)</f>
        <v>Ž35</v>
      </c>
      <c r="D295" s="31" t="str">
        <f>IF(csv!F290="","",csv!AP290&amp;"–"&amp;csv!AQ290&amp;"–"&amp;csv!AR290)</f>
        <v>3.82–155–8</v>
      </c>
      <c r="E295" s="66" t="str">
        <f>IF(csv!AV290&amp;csv!AX290&amp;csv!AZ290&amp;csv!BB290&amp;csv!BD290="","",csv!AV290&amp;"–"&amp;csv!AX290&amp;"–"&amp;csv!AZ290&amp;"–"&amp;csv!BB290&amp;"–"&amp;csv!BD290&amp;"–"&amp;csv!BF290&amp;"–"&amp;csv!BH290&amp;"–"&amp;csv!BJ290&amp;"–"&amp;csv!BL290&amp;"–"&amp;csv!BN290&amp;"–"&amp;csv!BP290&amp;"–"&amp;csv!BR290&amp;"–"&amp;csv!BT290&amp;"–"&amp;csv!BV290&amp;"–"&amp;csv!BX290&amp;"–"&amp;csv!BZ290&amp;"–"&amp;csv!CB290&amp;"–"&amp;csv!CD290&amp;"–"&amp;csv!CF290&amp;"–"&amp;csv!CH290&amp;"–"&amp;csv!CJ290&amp;"–"&amp;csv!CL290&amp;"–"&amp;csv!CN290&amp;"–"&amp;csv!CP290&amp;"–"&amp;csv!CR290&amp;"–"&amp;csv!CT290&amp;"–"&amp;csv!CV290&amp;"–"&amp;csv!CX289&amp;"–"&amp;csv!CZ289)</f>
        <v>36–58–52–51–32–37–54–100–––––––––––––––––––––</v>
      </c>
      <c r="F295" t="s">
        <v>0</v>
      </c>
      <c r="O295" s="1" t="str">
        <f t="shared" si="27"/>
        <v/>
      </c>
      <c r="X295" t="s">
        <v>0</v>
      </c>
    </row>
    <row r="296" spans="1:24" x14ac:dyDescent="0.25">
      <c r="A296" t="s">
        <v>0</v>
      </c>
      <c r="B296" s="52" t="str">
        <f>IF(csv!F291="","",csv!T291)</f>
        <v>Ž35</v>
      </c>
      <c r="C296" s="31" t="str">
        <f>IF(csv!F291="","",csv!AO291)</f>
        <v>Ž35</v>
      </c>
      <c r="D296" s="31" t="str">
        <f>IF(csv!F291="","",csv!AP291&amp;"–"&amp;csv!AQ291&amp;"–"&amp;csv!AR291)</f>
        <v>3.82–155–8</v>
      </c>
      <c r="E296" s="66" t="str">
        <f>IF(csv!AV291&amp;csv!AX291&amp;csv!AZ291&amp;csv!BB291&amp;csv!BD291="","",csv!AV291&amp;"–"&amp;csv!AX291&amp;"–"&amp;csv!AZ291&amp;"–"&amp;csv!BB291&amp;"–"&amp;csv!BD291&amp;"–"&amp;csv!BF291&amp;"–"&amp;csv!BH291&amp;"–"&amp;csv!BJ291&amp;"–"&amp;csv!BL291&amp;"–"&amp;csv!BN291&amp;"–"&amp;csv!BP291&amp;"–"&amp;csv!BR291&amp;"–"&amp;csv!BT291&amp;"–"&amp;csv!BV291&amp;"–"&amp;csv!BX291&amp;"–"&amp;csv!BZ291&amp;"–"&amp;csv!CB291&amp;"–"&amp;csv!CD291&amp;"–"&amp;csv!CF291&amp;"–"&amp;csv!CH291&amp;"–"&amp;csv!CJ291&amp;"–"&amp;csv!CL291&amp;"–"&amp;csv!CN291&amp;"–"&amp;csv!CP291&amp;"–"&amp;csv!CR291&amp;"–"&amp;csv!CT291&amp;"–"&amp;csv!CV291&amp;"–"&amp;csv!CX290&amp;"–"&amp;csv!CZ290)</f>
        <v>36–58–52–51–32–37–54–100–––––––––––––––––––––</v>
      </c>
      <c r="F296" t="s">
        <v>0</v>
      </c>
      <c r="O296" s="1" t="str">
        <f t="shared" si="27"/>
        <v/>
      </c>
      <c r="X296" t="s">
        <v>0</v>
      </c>
    </row>
    <row r="297" spans="1:24" x14ac:dyDescent="0.25">
      <c r="A297" t="s">
        <v>0</v>
      </c>
      <c r="B297" s="52" t="str">
        <f>IF(csv!F292="","",csv!T292)</f>
        <v>Ž35</v>
      </c>
      <c r="C297" s="31" t="str">
        <f>IF(csv!F292="","",csv!AO292)</f>
        <v>Ž35</v>
      </c>
      <c r="D297" s="31" t="str">
        <f>IF(csv!F292="","",csv!AP292&amp;"–"&amp;csv!AQ292&amp;"–"&amp;csv!AR292)</f>
        <v>3.82–155–8</v>
      </c>
      <c r="E297" s="66" t="str">
        <f>IF(csv!AV292&amp;csv!AX292&amp;csv!AZ292&amp;csv!BB292&amp;csv!BD292="","",csv!AV292&amp;"–"&amp;csv!AX292&amp;"–"&amp;csv!AZ292&amp;"–"&amp;csv!BB292&amp;"–"&amp;csv!BD292&amp;"–"&amp;csv!BF292&amp;"–"&amp;csv!BH292&amp;"–"&amp;csv!BJ292&amp;"–"&amp;csv!BL292&amp;"–"&amp;csv!BN292&amp;"–"&amp;csv!BP292&amp;"–"&amp;csv!BR292&amp;"–"&amp;csv!BT292&amp;"–"&amp;csv!BV292&amp;"–"&amp;csv!BX292&amp;"–"&amp;csv!BZ292&amp;"–"&amp;csv!CB292&amp;"–"&amp;csv!CD292&amp;"–"&amp;csv!CF292&amp;"–"&amp;csv!CH292&amp;"–"&amp;csv!CJ292&amp;"–"&amp;csv!CL292&amp;"–"&amp;csv!CN292&amp;"–"&amp;csv!CP292&amp;"–"&amp;csv!CR292&amp;"–"&amp;csv!CT292&amp;"–"&amp;csv!CV292&amp;"–"&amp;csv!CX291&amp;"–"&amp;csv!CZ291)</f>
        <v>36–58–52–51–32–37–54–100–––––––––––––––––––––</v>
      </c>
      <c r="F297" t="s">
        <v>0</v>
      </c>
      <c r="O297" s="1" t="str">
        <f t="shared" si="27"/>
        <v/>
      </c>
      <c r="X297" t="s">
        <v>0</v>
      </c>
    </row>
    <row r="298" spans="1:24" x14ac:dyDescent="0.25">
      <c r="A298" t="s">
        <v>0</v>
      </c>
      <c r="B298" s="52" t="str">
        <f>IF(csv!F293="","",csv!T293)</f>
        <v>Ž35</v>
      </c>
      <c r="C298" s="31" t="str">
        <f>IF(csv!F293="","",csv!AO293)</f>
        <v>Ž35</v>
      </c>
      <c r="D298" s="31" t="str">
        <f>IF(csv!F293="","",csv!AP293&amp;"–"&amp;csv!AQ293&amp;"–"&amp;csv!AR293)</f>
        <v>3.82–155–8</v>
      </c>
      <c r="E298" s="66" t="str">
        <f>IF(csv!AV293&amp;csv!AX293&amp;csv!AZ293&amp;csv!BB293&amp;csv!BD293="","",csv!AV293&amp;"–"&amp;csv!AX293&amp;"–"&amp;csv!AZ293&amp;"–"&amp;csv!BB293&amp;"–"&amp;csv!BD293&amp;"–"&amp;csv!BF293&amp;"–"&amp;csv!BH293&amp;"–"&amp;csv!BJ293&amp;"–"&amp;csv!BL293&amp;"–"&amp;csv!BN293&amp;"–"&amp;csv!BP293&amp;"–"&amp;csv!BR293&amp;"–"&amp;csv!BT293&amp;"–"&amp;csv!BV293&amp;"–"&amp;csv!BX293&amp;"–"&amp;csv!BZ293&amp;"–"&amp;csv!CB293&amp;"–"&amp;csv!CD293&amp;"–"&amp;csv!CF293&amp;"–"&amp;csv!CH293&amp;"–"&amp;csv!CJ293&amp;"–"&amp;csv!CL293&amp;"–"&amp;csv!CN293&amp;"–"&amp;csv!CP293&amp;"–"&amp;csv!CR293&amp;"–"&amp;csv!CT293&amp;"–"&amp;csv!CV293&amp;"–"&amp;csv!CX292&amp;"–"&amp;csv!CZ292)</f>
        <v>36–58–52–51–32–37–54–100–––––––––––––––––––––</v>
      </c>
      <c r="F298" t="s">
        <v>0</v>
      </c>
      <c r="O298" s="1" t="str">
        <f t="shared" si="27"/>
        <v/>
      </c>
      <c r="X298" t="s">
        <v>0</v>
      </c>
    </row>
    <row r="299" spans="1:24" x14ac:dyDescent="0.25">
      <c r="A299" t="s">
        <v>0</v>
      </c>
      <c r="B299" s="52" t="str">
        <f>IF(csv!F294="","",csv!T294)</f>
        <v>Ž35</v>
      </c>
      <c r="C299" s="31" t="str">
        <f>IF(csv!F294="","",csv!AO294)</f>
        <v>Ž35</v>
      </c>
      <c r="D299" s="31" t="str">
        <f>IF(csv!F294="","",csv!AP294&amp;"–"&amp;csv!AQ294&amp;"–"&amp;csv!AR294)</f>
        <v>3.82–155–8</v>
      </c>
      <c r="E299" s="66" t="str">
        <f>IF(csv!AV294&amp;csv!AX294&amp;csv!AZ294&amp;csv!BB294&amp;csv!BD294="","",csv!AV294&amp;"–"&amp;csv!AX294&amp;"–"&amp;csv!AZ294&amp;"–"&amp;csv!BB294&amp;"–"&amp;csv!BD294&amp;"–"&amp;csv!BF294&amp;"–"&amp;csv!BH294&amp;"–"&amp;csv!BJ294&amp;"–"&amp;csv!BL294&amp;"–"&amp;csv!BN294&amp;"–"&amp;csv!BP294&amp;"–"&amp;csv!BR294&amp;"–"&amp;csv!BT294&amp;"–"&amp;csv!BV294&amp;"–"&amp;csv!BX294&amp;"–"&amp;csv!BZ294&amp;"–"&amp;csv!CB294&amp;"–"&amp;csv!CD294&amp;"–"&amp;csv!CF294&amp;"–"&amp;csv!CH294&amp;"–"&amp;csv!CJ294&amp;"–"&amp;csv!CL294&amp;"–"&amp;csv!CN294&amp;"–"&amp;csv!CP294&amp;"–"&amp;csv!CR294&amp;"–"&amp;csv!CT294&amp;"–"&amp;csv!CV294&amp;"–"&amp;csv!CX293&amp;"–"&amp;csv!CZ293)</f>
        <v>36–58–52–51–32–37–54–100–––––––––––––––––––––</v>
      </c>
      <c r="F299" t="s">
        <v>0</v>
      </c>
      <c r="O299" s="1" t="str">
        <f t="shared" si="27"/>
        <v/>
      </c>
      <c r="X299" t="s">
        <v>0</v>
      </c>
    </row>
    <row r="300" spans="1:24" x14ac:dyDescent="0.25">
      <c r="A300" t="s">
        <v>0</v>
      </c>
      <c r="B300" s="52" t="str">
        <f>IF(csv!F295="","",csv!T295)</f>
        <v>Ž35</v>
      </c>
      <c r="C300" s="31" t="str">
        <f>IF(csv!F295="","",csv!AO295)</f>
        <v>Ž35</v>
      </c>
      <c r="D300" s="31" t="str">
        <f>IF(csv!F295="","",csv!AP295&amp;"–"&amp;csv!AQ295&amp;"–"&amp;csv!AR295)</f>
        <v>3.82–155–8</v>
      </c>
      <c r="E300" s="66" t="str">
        <f>IF(csv!AV295&amp;csv!AX295&amp;csv!AZ295&amp;csv!BB295&amp;csv!BD295="","",csv!AV295&amp;"–"&amp;csv!AX295&amp;"–"&amp;csv!AZ295&amp;"–"&amp;csv!BB295&amp;"–"&amp;csv!BD295&amp;"–"&amp;csv!BF295&amp;"–"&amp;csv!BH295&amp;"–"&amp;csv!BJ295&amp;"–"&amp;csv!BL295&amp;"–"&amp;csv!BN295&amp;"–"&amp;csv!BP295&amp;"–"&amp;csv!BR295&amp;"–"&amp;csv!BT295&amp;"–"&amp;csv!BV295&amp;"–"&amp;csv!BX295&amp;"–"&amp;csv!BZ295&amp;"–"&amp;csv!CB295&amp;"–"&amp;csv!CD295&amp;"–"&amp;csv!CF295&amp;"–"&amp;csv!CH295&amp;"–"&amp;csv!CJ295&amp;"–"&amp;csv!CL295&amp;"–"&amp;csv!CN295&amp;"–"&amp;csv!CP295&amp;"–"&amp;csv!CR295&amp;"–"&amp;csv!CT295&amp;"–"&amp;csv!CV295&amp;"–"&amp;csv!CX294&amp;"–"&amp;csv!CZ294)</f>
        <v>36–58–52–51–32–37–54–100–––––––––––––––––––––</v>
      </c>
      <c r="F300" t="s">
        <v>0</v>
      </c>
      <c r="O300" s="1" t="str">
        <f t="shared" si="27"/>
        <v/>
      </c>
      <c r="X300" t="s">
        <v>0</v>
      </c>
    </row>
    <row r="301" spans="1:24" x14ac:dyDescent="0.25">
      <c r="A301" t="s">
        <v>0</v>
      </c>
      <c r="B301" s="52" t="str">
        <f>IF(csv!F296="","",csv!T296)</f>
        <v>Ž35</v>
      </c>
      <c r="C301" s="31" t="str">
        <f>IF(csv!F296="","",csv!AO296)</f>
        <v>Ž35</v>
      </c>
      <c r="D301" s="31" t="str">
        <f>IF(csv!F296="","",csv!AP296&amp;"–"&amp;csv!AQ296&amp;"–"&amp;csv!AR296)</f>
        <v>3.82–155–8</v>
      </c>
      <c r="E301" s="66" t="str">
        <f>IF(csv!AV296&amp;csv!AX296&amp;csv!AZ296&amp;csv!BB296&amp;csv!BD296="","",csv!AV296&amp;"–"&amp;csv!AX296&amp;"–"&amp;csv!AZ296&amp;"–"&amp;csv!BB296&amp;"–"&amp;csv!BD296&amp;"–"&amp;csv!BF296&amp;"–"&amp;csv!BH296&amp;"–"&amp;csv!BJ296&amp;"–"&amp;csv!BL296&amp;"–"&amp;csv!BN296&amp;"–"&amp;csv!BP296&amp;"–"&amp;csv!BR296&amp;"–"&amp;csv!BT296&amp;"–"&amp;csv!BV296&amp;"–"&amp;csv!BX296&amp;"–"&amp;csv!BZ296&amp;"–"&amp;csv!CB296&amp;"–"&amp;csv!CD296&amp;"–"&amp;csv!CF296&amp;"–"&amp;csv!CH296&amp;"–"&amp;csv!CJ296&amp;"–"&amp;csv!CL296&amp;"–"&amp;csv!CN296&amp;"–"&amp;csv!CP296&amp;"–"&amp;csv!CR296&amp;"–"&amp;csv!CT296&amp;"–"&amp;csv!CV296&amp;"–"&amp;csv!CX295&amp;"–"&amp;csv!CZ295)</f>
        <v>36–58–52–51–32–37–54–100–––––––––––––––––––––</v>
      </c>
      <c r="F301" t="s">
        <v>0</v>
      </c>
      <c r="O301" s="1" t="str">
        <f t="shared" si="27"/>
        <v/>
      </c>
      <c r="X301" t="s">
        <v>0</v>
      </c>
    </row>
    <row r="302" spans="1:24" x14ac:dyDescent="0.25">
      <c r="A302" t="s">
        <v>0</v>
      </c>
      <c r="B302" s="52" t="str">
        <f>IF(csv!F297="","",csv!T297)</f>
        <v>Ž35</v>
      </c>
      <c r="C302" s="31" t="str">
        <f>IF(csv!F297="","",csv!AO297)</f>
        <v>Ž35</v>
      </c>
      <c r="D302" s="31" t="str">
        <f>IF(csv!F297="","",csv!AP297&amp;"–"&amp;csv!AQ297&amp;"–"&amp;csv!AR297)</f>
        <v>3.82–155–8</v>
      </c>
      <c r="E302" s="66" t="str">
        <f>IF(csv!AV297&amp;csv!AX297&amp;csv!AZ297&amp;csv!BB297&amp;csv!BD297="","",csv!AV297&amp;"–"&amp;csv!AX297&amp;"–"&amp;csv!AZ297&amp;"–"&amp;csv!BB297&amp;"–"&amp;csv!BD297&amp;"–"&amp;csv!BF297&amp;"–"&amp;csv!BH297&amp;"–"&amp;csv!BJ297&amp;"–"&amp;csv!BL297&amp;"–"&amp;csv!BN297&amp;"–"&amp;csv!BP297&amp;"–"&amp;csv!BR297&amp;"–"&amp;csv!BT297&amp;"–"&amp;csv!BV297&amp;"–"&amp;csv!BX297&amp;"–"&amp;csv!BZ297&amp;"–"&amp;csv!CB297&amp;"–"&amp;csv!CD297&amp;"–"&amp;csv!CF297&amp;"–"&amp;csv!CH297&amp;"–"&amp;csv!CJ297&amp;"–"&amp;csv!CL297&amp;"–"&amp;csv!CN297&amp;"–"&amp;csv!CP297&amp;"–"&amp;csv!CR297&amp;"–"&amp;csv!CT297&amp;"–"&amp;csv!CV297&amp;"–"&amp;csv!CX296&amp;"–"&amp;csv!CZ296)</f>
        <v/>
      </c>
      <c r="F302" t="s">
        <v>0</v>
      </c>
      <c r="O302" s="1" t="str">
        <f t="shared" si="27"/>
        <v/>
      </c>
      <c r="X302" t="s">
        <v>0</v>
      </c>
    </row>
    <row r="303" spans="1:24" x14ac:dyDescent="0.25">
      <c r="A303" t="s">
        <v>0</v>
      </c>
      <c r="B303" s="52" t="str">
        <f>IF(csv!F298="","",csv!T298)</f>
        <v>Ž35</v>
      </c>
      <c r="C303" s="31" t="str">
        <f>IF(csv!F298="","",csv!AO298)</f>
        <v>Ž35</v>
      </c>
      <c r="D303" s="31" t="str">
        <f>IF(csv!F298="","",csv!AP298&amp;"–"&amp;csv!AQ298&amp;"–"&amp;csv!AR298)</f>
        <v>3.82–155–8</v>
      </c>
      <c r="E303" s="66" t="str">
        <f>IF(csv!AV298&amp;csv!AX298&amp;csv!AZ298&amp;csv!BB298&amp;csv!BD298="","",csv!AV298&amp;"–"&amp;csv!AX298&amp;"–"&amp;csv!AZ298&amp;"–"&amp;csv!BB298&amp;"–"&amp;csv!BD298&amp;"–"&amp;csv!BF298&amp;"–"&amp;csv!BH298&amp;"–"&amp;csv!BJ298&amp;"–"&amp;csv!BL298&amp;"–"&amp;csv!BN298&amp;"–"&amp;csv!BP298&amp;"–"&amp;csv!BR298&amp;"–"&amp;csv!BT298&amp;"–"&amp;csv!BV298&amp;"–"&amp;csv!BX298&amp;"–"&amp;csv!BZ298&amp;"–"&amp;csv!CB298&amp;"–"&amp;csv!CD298&amp;"–"&amp;csv!CF298&amp;"–"&amp;csv!CH298&amp;"–"&amp;csv!CJ298&amp;"–"&amp;csv!CL298&amp;"–"&amp;csv!CN298&amp;"–"&amp;csv!CP298&amp;"–"&amp;csv!CR298&amp;"–"&amp;csv!CT298&amp;"–"&amp;csv!CV298&amp;"–"&amp;csv!CX297&amp;"–"&amp;csv!CZ297)</f>
        <v/>
      </c>
      <c r="F303" t="s">
        <v>0</v>
      </c>
      <c r="O303" s="1" t="str">
        <f t="shared" si="27"/>
        <v/>
      </c>
      <c r="X303" t="s">
        <v>0</v>
      </c>
    </row>
    <row r="304" spans="1:24" x14ac:dyDescent="0.25">
      <c r="A304" t="s">
        <v>0</v>
      </c>
      <c r="B304" s="52" t="str">
        <f>IF(csv!F299="","",csv!T299)</f>
        <v>Ž35</v>
      </c>
      <c r="C304" s="31" t="str">
        <f>IF(csv!F299="","",csv!AO299)</f>
        <v>Ž35</v>
      </c>
      <c r="D304" s="31" t="str">
        <f>IF(csv!F299="","",csv!AP299&amp;"–"&amp;csv!AQ299&amp;"–"&amp;csv!AR299)</f>
        <v>3.82–155–8</v>
      </c>
      <c r="E304" s="66" t="str">
        <f>IF(csv!AV299&amp;csv!AX299&amp;csv!AZ299&amp;csv!BB299&amp;csv!BD299="","",csv!AV299&amp;"–"&amp;csv!AX299&amp;"–"&amp;csv!AZ299&amp;"–"&amp;csv!BB299&amp;"–"&amp;csv!BD299&amp;"–"&amp;csv!BF299&amp;"–"&amp;csv!BH299&amp;"–"&amp;csv!BJ299&amp;"–"&amp;csv!BL299&amp;"–"&amp;csv!BN299&amp;"–"&amp;csv!BP299&amp;"–"&amp;csv!BR299&amp;"–"&amp;csv!BT299&amp;"–"&amp;csv!BV299&amp;"–"&amp;csv!BX299&amp;"–"&amp;csv!BZ299&amp;"–"&amp;csv!CB299&amp;"–"&amp;csv!CD299&amp;"–"&amp;csv!CF299&amp;"–"&amp;csv!CH299&amp;"–"&amp;csv!CJ299&amp;"–"&amp;csv!CL299&amp;"–"&amp;csv!CN299&amp;"–"&amp;csv!CP299&amp;"–"&amp;csv!CR299&amp;"–"&amp;csv!CT299&amp;"–"&amp;csv!CV299&amp;"–"&amp;csv!CX298&amp;"–"&amp;csv!CZ298)</f>
        <v/>
      </c>
      <c r="F304" t="s">
        <v>0</v>
      </c>
      <c r="O304" s="1" t="str">
        <f t="shared" si="27"/>
        <v/>
      </c>
      <c r="X304" t="s">
        <v>0</v>
      </c>
    </row>
    <row r="305" spans="1:24" x14ac:dyDescent="0.25">
      <c r="A305" t="s">
        <v>0</v>
      </c>
      <c r="B305" s="52" t="str">
        <f>IF(csv!F300="","",csv!T300)</f>
        <v>Ž35</v>
      </c>
      <c r="C305" s="31" t="str">
        <f>IF(csv!F300="","",csv!AO300)</f>
        <v>Ž35</v>
      </c>
      <c r="D305" s="31" t="str">
        <f>IF(csv!F300="","",csv!AP300&amp;"–"&amp;csv!AQ300&amp;"–"&amp;csv!AR300)</f>
        <v>3.82–155–8</v>
      </c>
      <c r="E305" s="66" t="str">
        <f>IF(csv!AV300&amp;csv!AX300&amp;csv!AZ300&amp;csv!BB300&amp;csv!BD300="","",csv!AV300&amp;"–"&amp;csv!AX300&amp;"–"&amp;csv!AZ300&amp;"–"&amp;csv!BB300&amp;"–"&amp;csv!BD300&amp;"–"&amp;csv!BF300&amp;"–"&amp;csv!BH300&amp;"–"&amp;csv!BJ300&amp;"–"&amp;csv!BL300&amp;"–"&amp;csv!BN300&amp;"–"&amp;csv!BP300&amp;"–"&amp;csv!BR300&amp;"–"&amp;csv!BT300&amp;"–"&amp;csv!BV300&amp;"–"&amp;csv!BX300&amp;"–"&amp;csv!BZ300&amp;"–"&amp;csv!CB300&amp;"–"&amp;csv!CD300&amp;"–"&amp;csv!CF300&amp;"–"&amp;csv!CH300&amp;"–"&amp;csv!CJ300&amp;"–"&amp;csv!CL300&amp;"–"&amp;csv!CN300&amp;"–"&amp;csv!CP300&amp;"–"&amp;csv!CR300&amp;"–"&amp;csv!CT300&amp;"–"&amp;csv!CV300&amp;"–"&amp;csv!CX299&amp;"–"&amp;csv!CZ299)</f>
        <v/>
      </c>
      <c r="F305" t="s">
        <v>0</v>
      </c>
      <c r="O305" s="1" t="str">
        <f t="shared" si="27"/>
        <v/>
      </c>
      <c r="X305" t="s">
        <v>0</v>
      </c>
    </row>
    <row r="306" spans="1:24" x14ac:dyDescent="0.25">
      <c r="A306" t="s">
        <v>0</v>
      </c>
      <c r="B306" s="52" t="str">
        <f>IF(csv!F301="","",csv!T301)</f>
        <v>Ž35</v>
      </c>
      <c r="C306" s="31" t="str">
        <f>IF(csv!F301="","",csv!AO301)</f>
        <v>Ž35</v>
      </c>
      <c r="D306" s="31" t="str">
        <f>IF(csv!F301="","",csv!AP301&amp;"–"&amp;csv!AQ301&amp;"–"&amp;csv!AR301)</f>
        <v>3.82–155–8</v>
      </c>
      <c r="E306" s="66" t="str">
        <f>IF(csv!AV301&amp;csv!AX301&amp;csv!AZ301&amp;csv!BB301&amp;csv!BD301="","",csv!AV301&amp;"–"&amp;csv!AX301&amp;"–"&amp;csv!AZ301&amp;"–"&amp;csv!BB301&amp;"–"&amp;csv!BD301&amp;"–"&amp;csv!BF301&amp;"–"&amp;csv!BH301&amp;"–"&amp;csv!BJ301&amp;"–"&amp;csv!BL301&amp;"–"&amp;csv!BN301&amp;"–"&amp;csv!BP301&amp;"–"&amp;csv!BR301&amp;"–"&amp;csv!BT301&amp;"–"&amp;csv!BV301&amp;"–"&amp;csv!BX301&amp;"–"&amp;csv!BZ301&amp;"–"&amp;csv!CB301&amp;"–"&amp;csv!CD301&amp;"–"&amp;csv!CF301&amp;"–"&amp;csv!CH301&amp;"–"&amp;csv!CJ301&amp;"–"&amp;csv!CL301&amp;"–"&amp;csv!CN301&amp;"–"&amp;csv!CP301&amp;"–"&amp;csv!CR301&amp;"–"&amp;csv!CT301&amp;"–"&amp;csv!CV301&amp;"–"&amp;csv!CX300&amp;"–"&amp;csv!CZ300)</f>
        <v/>
      </c>
      <c r="F306" t="s">
        <v>0</v>
      </c>
      <c r="O306" s="1" t="str">
        <f t="shared" si="27"/>
        <v/>
      </c>
      <c r="X306" t="s">
        <v>0</v>
      </c>
    </row>
    <row r="307" spans="1:24" x14ac:dyDescent="0.25">
      <c r="A307" t="s">
        <v>0</v>
      </c>
      <c r="B307" s="52" t="str">
        <f>IF(csv!F302="","",csv!T302)</f>
        <v>Ž45</v>
      </c>
      <c r="C307" s="31" t="str">
        <f>IF(csv!F302="","",csv!AO302)</f>
        <v>Ž45</v>
      </c>
      <c r="D307" s="31" t="str">
        <f>IF(csv!F302="","",csv!AP302&amp;"–"&amp;csv!AQ302&amp;"–"&amp;csv!AR302)</f>
        <v>3.39–110–8</v>
      </c>
      <c r="E307" s="66" t="str">
        <f>IF(csv!AV302&amp;csv!AX302&amp;csv!AZ302&amp;csv!BB302&amp;csv!BD302="","",csv!AV302&amp;"–"&amp;csv!AX302&amp;"–"&amp;csv!AZ302&amp;"–"&amp;csv!BB302&amp;"–"&amp;csv!BD302&amp;"–"&amp;csv!BF302&amp;"–"&amp;csv!BH302&amp;"–"&amp;csv!BJ302&amp;"–"&amp;csv!BL302&amp;"–"&amp;csv!BN302&amp;"–"&amp;csv!BP302&amp;"–"&amp;csv!BR302&amp;"–"&amp;csv!BT302&amp;"–"&amp;csv!BV302&amp;"–"&amp;csv!BX302&amp;"–"&amp;csv!BZ302&amp;"–"&amp;csv!CB302&amp;"–"&amp;csv!CD302&amp;"–"&amp;csv!CF302&amp;"–"&amp;csv!CH302&amp;"–"&amp;csv!CJ302&amp;"–"&amp;csv!CL302&amp;"–"&amp;csv!CN302&amp;"–"&amp;csv!CP302&amp;"–"&amp;csv!CR302&amp;"–"&amp;csv!CT302&amp;"–"&amp;csv!CV302&amp;"–"&amp;csv!CX301&amp;"–"&amp;csv!CZ301)</f>
        <v>40–36–57–51–32–37–62–100–––––––––––––––––––––</v>
      </c>
      <c r="F307" t="s">
        <v>0</v>
      </c>
      <c r="O307" s="1" t="str">
        <f t="shared" si="27"/>
        <v/>
      </c>
      <c r="X307" t="s">
        <v>0</v>
      </c>
    </row>
    <row r="308" spans="1:24" x14ac:dyDescent="0.25">
      <c r="A308" t="s">
        <v>0</v>
      </c>
      <c r="B308" s="52" t="str">
        <f>IF(csv!F303="","",csv!T303)</f>
        <v>Ž45</v>
      </c>
      <c r="C308" s="31" t="str">
        <f>IF(csv!F303="","",csv!AO303)</f>
        <v>Ž45</v>
      </c>
      <c r="D308" s="31" t="str">
        <f>IF(csv!F303="","",csv!AP303&amp;"–"&amp;csv!AQ303&amp;"–"&amp;csv!AR303)</f>
        <v>3.39–110–8</v>
      </c>
      <c r="E308" s="66" t="str">
        <f>IF(csv!AV303&amp;csv!AX303&amp;csv!AZ303&amp;csv!BB303&amp;csv!BD303="","",csv!AV303&amp;"–"&amp;csv!AX303&amp;"–"&amp;csv!AZ303&amp;"–"&amp;csv!BB303&amp;"–"&amp;csv!BD303&amp;"–"&amp;csv!BF303&amp;"–"&amp;csv!BH303&amp;"–"&amp;csv!BJ303&amp;"–"&amp;csv!BL303&amp;"–"&amp;csv!BN303&amp;"–"&amp;csv!BP303&amp;"–"&amp;csv!BR303&amp;"–"&amp;csv!BT303&amp;"–"&amp;csv!BV303&amp;"–"&amp;csv!BX303&amp;"–"&amp;csv!BZ303&amp;"–"&amp;csv!CB303&amp;"–"&amp;csv!CD303&amp;"–"&amp;csv!CF303&amp;"–"&amp;csv!CH303&amp;"–"&amp;csv!CJ303&amp;"–"&amp;csv!CL303&amp;"–"&amp;csv!CN303&amp;"–"&amp;csv!CP303&amp;"–"&amp;csv!CR303&amp;"–"&amp;csv!CT303&amp;"–"&amp;csv!CV303&amp;"–"&amp;csv!CX302&amp;"–"&amp;csv!CZ302)</f>
        <v>40–36–57–51–32–37–62–100–––––––––––––––––––––</v>
      </c>
      <c r="F308" t="s">
        <v>0</v>
      </c>
      <c r="O308" s="1" t="str">
        <f t="shared" si="27"/>
        <v/>
      </c>
      <c r="X308" t="s">
        <v>0</v>
      </c>
    </row>
    <row r="309" spans="1:24" x14ac:dyDescent="0.25">
      <c r="A309" t="s">
        <v>0</v>
      </c>
      <c r="B309" s="52" t="str">
        <f>IF(csv!F304="","",csv!T304)</f>
        <v>Ž45</v>
      </c>
      <c r="C309" s="31" t="str">
        <f>IF(csv!F304="","",csv!AO304)</f>
        <v>Ž45</v>
      </c>
      <c r="D309" s="31" t="str">
        <f>IF(csv!F304="","",csv!AP304&amp;"–"&amp;csv!AQ304&amp;"–"&amp;csv!AR304)</f>
        <v>3.39–110–8</v>
      </c>
      <c r="E309" s="66" t="str">
        <f>IF(csv!AV304&amp;csv!AX304&amp;csv!AZ304&amp;csv!BB304&amp;csv!BD304="","",csv!AV304&amp;"–"&amp;csv!AX304&amp;"–"&amp;csv!AZ304&amp;"–"&amp;csv!BB304&amp;"–"&amp;csv!BD304&amp;"–"&amp;csv!BF304&amp;"–"&amp;csv!BH304&amp;"–"&amp;csv!BJ304&amp;"–"&amp;csv!BL304&amp;"–"&amp;csv!BN304&amp;"–"&amp;csv!BP304&amp;"–"&amp;csv!BR304&amp;"–"&amp;csv!BT304&amp;"–"&amp;csv!BV304&amp;"–"&amp;csv!BX304&amp;"–"&amp;csv!BZ304&amp;"–"&amp;csv!CB304&amp;"–"&amp;csv!CD304&amp;"–"&amp;csv!CF304&amp;"–"&amp;csv!CH304&amp;"–"&amp;csv!CJ304&amp;"–"&amp;csv!CL304&amp;"–"&amp;csv!CN304&amp;"–"&amp;csv!CP304&amp;"–"&amp;csv!CR304&amp;"–"&amp;csv!CT304&amp;"–"&amp;csv!CV304&amp;"–"&amp;csv!CX303&amp;"–"&amp;csv!CZ303)</f>
        <v>40–36–57–51–32–37–62–100–––––––––––––––––––––</v>
      </c>
      <c r="F309" t="s">
        <v>0</v>
      </c>
      <c r="O309" s="1" t="str">
        <f t="shared" si="27"/>
        <v/>
      </c>
      <c r="X309" t="s">
        <v>0</v>
      </c>
    </row>
    <row r="310" spans="1:24" x14ac:dyDescent="0.25">
      <c r="A310" t="s">
        <v>0</v>
      </c>
      <c r="B310" s="52" t="str">
        <f>IF(csv!F305="","",csv!T305)</f>
        <v>Ž45</v>
      </c>
      <c r="C310" s="31" t="str">
        <f>IF(csv!F305="","",csv!AO305)</f>
        <v>Ž45</v>
      </c>
      <c r="D310" s="31" t="str">
        <f>IF(csv!F305="","",csv!AP305&amp;"–"&amp;csv!AQ305&amp;"–"&amp;csv!AR305)</f>
        <v>3.39–110–8</v>
      </c>
      <c r="E310" s="66" t="str">
        <f>IF(csv!AV305&amp;csv!AX305&amp;csv!AZ305&amp;csv!BB305&amp;csv!BD305="","",csv!AV305&amp;"–"&amp;csv!AX305&amp;"–"&amp;csv!AZ305&amp;"–"&amp;csv!BB305&amp;"–"&amp;csv!BD305&amp;"–"&amp;csv!BF305&amp;"–"&amp;csv!BH305&amp;"–"&amp;csv!BJ305&amp;"–"&amp;csv!BL305&amp;"–"&amp;csv!BN305&amp;"–"&amp;csv!BP305&amp;"–"&amp;csv!BR305&amp;"–"&amp;csv!BT305&amp;"–"&amp;csv!BV305&amp;"–"&amp;csv!BX305&amp;"–"&amp;csv!BZ305&amp;"–"&amp;csv!CB305&amp;"–"&amp;csv!CD305&amp;"–"&amp;csv!CF305&amp;"–"&amp;csv!CH305&amp;"–"&amp;csv!CJ305&amp;"–"&amp;csv!CL305&amp;"–"&amp;csv!CN305&amp;"–"&amp;csv!CP305&amp;"–"&amp;csv!CR305&amp;"–"&amp;csv!CT305&amp;"–"&amp;csv!CV305&amp;"–"&amp;csv!CX304&amp;"–"&amp;csv!CZ304)</f>
        <v>40–36–57–51–32–37–62–100–––––––––––––––––––––</v>
      </c>
      <c r="F310" t="s">
        <v>0</v>
      </c>
      <c r="O310" s="1" t="str">
        <f t="shared" si="27"/>
        <v/>
      </c>
      <c r="X310" t="s">
        <v>0</v>
      </c>
    </row>
    <row r="311" spans="1:24" x14ac:dyDescent="0.25">
      <c r="A311" t="s">
        <v>0</v>
      </c>
      <c r="B311" s="52" t="str">
        <f>IF(csv!F306="","",csv!T306)</f>
        <v>Ž45</v>
      </c>
      <c r="C311" s="31" t="str">
        <f>IF(csv!F306="","",csv!AO306)</f>
        <v>Ž45</v>
      </c>
      <c r="D311" s="31" t="str">
        <f>IF(csv!F306="","",csv!AP306&amp;"–"&amp;csv!AQ306&amp;"–"&amp;csv!AR306)</f>
        <v>3.39–110–8</v>
      </c>
      <c r="E311" s="66" t="str">
        <f>IF(csv!AV306&amp;csv!AX306&amp;csv!AZ306&amp;csv!BB306&amp;csv!BD306="","",csv!AV306&amp;"–"&amp;csv!AX306&amp;"–"&amp;csv!AZ306&amp;"–"&amp;csv!BB306&amp;"–"&amp;csv!BD306&amp;"–"&amp;csv!BF306&amp;"–"&amp;csv!BH306&amp;"–"&amp;csv!BJ306&amp;"–"&amp;csv!BL306&amp;"–"&amp;csv!BN306&amp;"–"&amp;csv!BP306&amp;"–"&amp;csv!BR306&amp;"–"&amp;csv!BT306&amp;"–"&amp;csv!BV306&amp;"–"&amp;csv!BX306&amp;"–"&amp;csv!BZ306&amp;"–"&amp;csv!CB306&amp;"–"&amp;csv!CD306&amp;"–"&amp;csv!CF306&amp;"–"&amp;csv!CH306&amp;"–"&amp;csv!CJ306&amp;"–"&amp;csv!CL306&amp;"–"&amp;csv!CN306&amp;"–"&amp;csv!CP306&amp;"–"&amp;csv!CR306&amp;"–"&amp;csv!CT306&amp;"–"&amp;csv!CV306&amp;"–"&amp;csv!CX305&amp;"–"&amp;csv!CZ305)</f>
        <v>40–36–57–51–32–37–62–100–––––––––––––––––––––</v>
      </c>
      <c r="F311" t="s">
        <v>0</v>
      </c>
      <c r="O311" s="1" t="str">
        <f t="shared" si="27"/>
        <v/>
      </c>
      <c r="X311" t="s">
        <v>0</v>
      </c>
    </row>
    <row r="312" spans="1:24" x14ac:dyDescent="0.25">
      <c r="A312" t="s">
        <v>0</v>
      </c>
      <c r="B312" s="52" t="str">
        <f>IF(csv!F307="","",csv!T307)</f>
        <v>Ž45</v>
      </c>
      <c r="C312" s="31" t="str">
        <f>IF(csv!F307="","",csv!AO307)</f>
        <v>Ž45</v>
      </c>
      <c r="D312" s="31" t="str">
        <f>IF(csv!F307="","",csv!AP307&amp;"–"&amp;csv!AQ307&amp;"–"&amp;csv!AR307)</f>
        <v>3.39–110–8</v>
      </c>
      <c r="E312" s="66" t="str">
        <f>IF(csv!AV307&amp;csv!AX307&amp;csv!AZ307&amp;csv!BB307&amp;csv!BD307="","",csv!AV307&amp;"–"&amp;csv!AX307&amp;"–"&amp;csv!AZ307&amp;"–"&amp;csv!BB307&amp;"–"&amp;csv!BD307&amp;"–"&amp;csv!BF307&amp;"–"&amp;csv!BH307&amp;"–"&amp;csv!BJ307&amp;"–"&amp;csv!BL307&amp;"–"&amp;csv!BN307&amp;"–"&amp;csv!BP307&amp;"–"&amp;csv!BR307&amp;"–"&amp;csv!BT307&amp;"–"&amp;csv!BV307&amp;"–"&amp;csv!BX307&amp;"–"&amp;csv!BZ307&amp;"–"&amp;csv!CB307&amp;"–"&amp;csv!CD307&amp;"–"&amp;csv!CF307&amp;"–"&amp;csv!CH307&amp;"–"&amp;csv!CJ307&amp;"–"&amp;csv!CL307&amp;"–"&amp;csv!CN307&amp;"–"&amp;csv!CP307&amp;"–"&amp;csv!CR307&amp;"–"&amp;csv!CT307&amp;"–"&amp;csv!CV307&amp;"–"&amp;csv!CX306&amp;"–"&amp;csv!CZ306)</f>
        <v>40–36–57–51–32–37–62–100–––––––––––––––––––––</v>
      </c>
      <c r="F312" t="s">
        <v>0</v>
      </c>
      <c r="O312" s="1" t="str">
        <f t="shared" si="27"/>
        <v/>
      </c>
      <c r="X312" t="s">
        <v>0</v>
      </c>
    </row>
    <row r="313" spans="1:24" x14ac:dyDescent="0.25">
      <c r="A313" t="s">
        <v>0</v>
      </c>
      <c r="B313" s="52" t="str">
        <f>IF(csv!F308="","",csv!T308)</f>
        <v>Ž45</v>
      </c>
      <c r="C313" s="31" t="str">
        <f>IF(csv!F308="","",csv!AO308)</f>
        <v>Ž45</v>
      </c>
      <c r="D313" s="31" t="str">
        <f>IF(csv!F308="","",csv!AP308&amp;"–"&amp;csv!AQ308&amp;"–"&amp;csv!AR308)</f>
        <v>3.39–110–8</v>
      </c>
      <c r="E313" s="66" t="str">
        <f>IF(csv!AV308&amp;csv!AX308&amp;csv!AZ308&amp;csv!BB308&amp;csv!BD308="","",csv!AV308&amp;"–"&amp;csv!AX308&amp;"–"&amp;csv!AZ308&amp;"–"&amp;csv!BB308&amp;"–"&amp;csv!BD308&amp;"–"&amp;csv!BF308&amp;"–"&amp;csv!BH308&amp;"–"&amp;csv!BJ308&amp;"–"&amp;csv!BL308&amp;"–"&amp;csv!BN308&amp;"–"&amp;csv!BP308&amp;"–"&amp;csv!BR308&amp;"–"&amp;csv!BT308&amp;"–"&amp;csv!BV308&amp;"–"&amp;csv!BX308&amp;"–"&amp;csv!BZ308&amp;"–"&amp;csv!CB308&amp;"–"&amp;csv!CD308&amp;"–"&amp;csv!CF308&amp;"–"&amp;csv!CH308&amp;"–"&amp;csv!CJ308&amp;"–"&amp;csv!CL308&amp;"–"&amp;csv!CN308&amp;"–"&amp;csv!CP308&amp;"–"&amp;csv!CR308&amp;"–"&amp;csv!CT308&amp;"–"&amp;csv!CV308&amp;"–"&amp;csv!CX307&amp;"–"&amp;csv!CZ307)</f>
        <v>40–36–57–51–32–37–62–100–––––––––––––––––––––</v>
      </c>
      <c r="F313" t="s">
        <v>0</v>
      </c>
      <c r="O313" s="1" t="str">
        <f t="shared" si="27"/>
        <v/>
      </c>
      <c r="X313" t="s">
        <v>0</v>
      </c>
    </row>
    <row r="314" spans="1:24" x14ac:dyDescent="0.25">
      <c r="A314" t="s">
        <v>0</v>
      </c>
      <c r="B314" s="52" t="str">
        <f>IF(csv!F309="","",csv!T309)</f>
        <v>Ž45</v>
      </c>
      <c r="C314" s="31" t="str">
        <f>IF(csv!F309="","",csv!AO309)</f>
        <v>Ž45</v>
      </c>
      <c r="D314" s="31" t="str">
        <f>IF(csv!F309="","",csv!AP309&amp;"–"&amp;csv!AQ309&amp;"–"&amp;csv!AR309)</f>
        <v>3.39–110–8</v>
      </c>
      <c r="E314" s="66" t="str">
        <f>IF(csv!AV309&amp;csv!AX309&amp;csv!AZ309&amp;csv!BB309&amp;csv!BD309="","",csv!AV309&amp;"–"&amp;csv!AX309&amp;"–"&amp;csv!AZ309&amp;"–"&amp;csv!BB309&amp;"–"&amp;csv!BD309&amp;"–"&amp;csv!BF309&amp;"–"&amp;csv!BH309&amp;"–"&amp;csv!BJ309&amp;"–"&amp;csv!BL309&amp;"–"&amp;csv!BN309&amp;"–"&amp;csv!BP309&amp;"–"&amp;csv!BR309&amp;"–"&amp;csv!BT309&amp;"–"&amp;csv!BV309&amp;"–"&amp;csv!BX309&amp;"–"&amp;csv!BZ309&amp;"–"&amp;csv!CB309&amp;"–"&amp;csv!CD309&amp;"–"&amp;csv!CF309&amp;"–"&amp;csv!CH309&amp;"–"&amp;csv!CJ309&amp;"–"&amp;csv!CL309&amp;"–"&amp;csv!CN309&amp;"–"&amp;csv!CP309&amp;"–"&amp;csv!CR309&amp;"–"&amp;csv!CT309&amp;"–"&amp;csv!CV309&amp;"–"&amp;csv!CX308&amp;"–"&amp;csv!CZ308)</f>
        <v>40–36–57–51–32–37–62–100–––––––––––––––––––––</v>
      </c>
      <c r="F314" t="s">
        <v>0</v>
      </c>
      <c r="O314" s="1" t="str">
        <f t="shared" si="27"/>
        <v/>
      </c>
      <c r="X314" t="s">
        <v>0</v>
      </c>
    </row>
    <row r="315" spans="1:24" x14ac:dyDescent="0.25">
      <c r="A315" t="s">
        <v>0</v>
      </c>
      <c r="B315" s="52" t="str">
        <f>IF(csv!F310="","",csv!T310)</f>
        <v>Ž45</v>
      </c>
      <c r="C315" s="31" t="str">
        <f>IF(csv!F310="","",csv!AO310)</f>
        <v>Ž45</v>
      </c>
      <c r="D315" s="31" t="str">
        <f>IF(csv!F310="","",csv!AP310&amp;"–"&amp;csv!AQ310&amp;"–"&amp;csv!AR310)</f>
        <v>3.39–110–8</v>
      </c>
      <c r="E315" s="66" t="str">
        <f>IF(csv!AV310&amp;csv!AX310&amp;csv!AZ310&amp;csv!BB310&amp;csv!BD310="","",csv!AV310&amp;"–"&amp;csv!AX310&amp;"–"&amp;csv!AZ310&amp;"–"&amp;csv!BB310&amp;"–"&amp;csv!BD310&amp;"–"&amp;csv!BF310&amp;"–"&amp;csv!BH310&amp;"–"&amp;csv!BJ310&amp;"–"&amp;csv!BL310&amp;"–"&amp;csv!BN310&amp;"–"&amp;csv!BP310&amp;"–"&amp;csv!BR310&amp;"–"&amp;csv!BT310&amp;"–"&amp;csv!BV310&amp;"–"&amp;csv!BX310&amp;"–"&amp;csv!BZ310&amp;"–"&amp;csv!CB310&amp;"–"&amp;csv!CD310&amp;"–"&amp;csv!CF310&amp;"–"&amp;csv!CH310&amp;"–"&amp;csv!CJ310&amp;"–"&amp;csv!CL310&amp;"–"&amp;csv!CN310&amp;"–"&amp;csv!CP310&amp;"–"&amp;csv!CR310&amp;"–"&amp;csv!CT310&amp;"–"&amp;csv!CV310&amp;"–"&amp;csv!CX309&amp;"–"&amp;csv!CZ309)</f>
        <v>40–36–57–51–32–37–62–100–––––––––––––––––––––</v>
      </c>
      <c r="F315" t="s">
        <v>0</v>
      </c>
      <c r="O315" s="1" t="str">
        <f t="shared" si="27"/>
        <v/>
      </c>
      <c r="X315" t="s">
        <v>0</v>
      </c>
    </row>
    <row r="316" spans="1:24" x14ac:dyDescent="0.25">
      <c r="A316" t="s">
        <v>0</v>
      </c>
      <c r="B316" s="52" t="str">
        <f>IF(csv!F311="","",csv!T311)</f>
        <v>Ž45</v>
      </c>
      <c r="C316" s="31" t="str">
        <f>IF(csv!F311="","",csv!AO311)</f>
        <v>Ž45</v>
      </c>
      <c r="D316" s="31" t="str">
        <f>IF(csv!F311="","",csv!AP311&amp;"–"&amp;csv!AQ311&amp;"–"&amp;csv!AR311)</f>
        <v>3.39–110–8</v>
      </c>
      <c r="E316" s="66" t="str">
        <f>IF(csv!AV311&amp;csv!AX311&amp;csv!AZ311&amp;csv!BB311&amp;csv!BD311="","",csv!AV311&amp;"–"&amp;csv!AX311&amp;"–"&amp;csv!AZ311&amp;"–"&amp;csv!BB311&amp;"–"&amp;csv!BD311&amp;"–"&amp;csv!BF311&amp;"–"&amp;csv!BH311&amp;"–"&amp;csv!BJ311&amp;"–"&amp;csv!BL311&amp;"–"&amp;csv!BN311&amp;"–"&amp;csv!BP311&amp;"–"&amp;csv!BR311&amp;"–"&amp;csv!BT311&amp;"–"&amp;csv!BV311&amp;"–"&amp;csv!BX311&amp;"–"&amp;csv!BZ311&amp;"–"&amp;csv!CB311&amp;"–"&amp;csv!CD311&amp;"–"&amp;csv!CF311&amp;"–"&amp;csv!CH311&amp;"–"&amp;csv!CJ311&amp;"–"&amp;csv!CL311&amp;"–"&amp;csv!CN311&amp;"–"&amp;csv!CP311&amp;"–"&amp;csv!CR311&amp;"–"&amp;csv!CT311&amp;"–"&amp;csv!CV311&amp;"–"&amp;csv!CX310&amp;"–"&amp;csv!CZ310)</f>
        <v>40–36–57–51–32–37–62–100–––––––––––––––––––––</v>
      </c>
      <c r="F316" t="s">
        <v>0</v>
      </c>
      <c r="O316" s="1" t="str">
        <f t="shared" si="27"/>
        <v/>
      </c>
      <c r="X316" t="s">
        <v>0</v>
      </c>
    </row>
    <row r="317" spans="1:24" x14ac:dyDescent="0.25">
      <c r="A317" t="s">
        <v>0</v>
      </c>
      <c r="B317" s="52" t="str">
        <f>IF(csv!F312="","",csv!T312)</f>
        <v>Ž45</v>
      </c>
      <c r="C317" s="31" t="str">
        <f>IF(csv!F312="","",csv!AO312)</f>
        <v>Ž45</v>
      </c>
      <c r="D317" s="31" t="str">
        <f>IF(csv!F312="","",csv!AP312&amp;"–"&amp;csv!AQ312&amp;"–"&amp;csv!AR312)</f>
        <v>3.39–110–8</v>
      </c>
      <c r="E317" s="66" t="str">
        <f>IF(csv!AV312&amp;csv!AX312&amp;csv!AZ312&amp;csv!BB312&amp;csv!BD312="","",csv!AV312&amp;"–"&amp;csv!AX312&amp;"–"&amp;csv!AZ312&amp;"–"&amp;csv!BB312&amp;"–"&amp;csv!BD312&amp;"–"&amp;csv!BF312&amp;"–"&amp;csv!BH312&amp;"–"&amp;csv!BJ312&amp;"–"&amp;csv!BL312&amp;"–"&amp;csv!BN312&amp;"–"&amp;csv!BP312&amp;"–"&amp;csv!BR312&amp;"–"&amp;csv!BT312&amp;"–"&amp;csv!BV312&amp;"–"&amp;csv!BX312&amp;"–"&amp;csv!BZ312&amp;"–"&amp;csv!CB312&amp;"–"&amp;csv!CD312&amp;"–"&amp;csv!CF312&amp;"–"&amp;csv!CH312&amp;"–"&amp;csv!CJ312&amp;"–"&amp;csv!CL312&amp;"–"&amp;csv!CN312&amp;"–"&amp;csv!CP312&amp;"–"&amp;csv!CR312&amp;"–"&amp;csv!CT312&amp;"–"&amp;csv!CV312&amp;"–"&amp;csv!CX311&amp;"–"&amp;csv!CZ311)</f>
        <v>40–36–57–51–32–37–62–100–––––––––––––––––––––</v>
      </c>
      <c r="F317" t="s">
        <v>0</v>
      </c>
      <c r="O317" s="1" t="str">
        <f t="shared" si="27"/>
        <v/>
      </c>
      <c r="X317" t="s">
        <v>0</v>
      </c>
    </row>
    <row r="318" spans="1:24" x14ac:dyDescent="0.25">
      <c r="A318" t="s">
        <v>0</v>
      </c>
      <c r="B318" s="52" t="str">
        <f>IF(csv!F313="","",csv!T313)</f>
        <v>Ž45</v>
      </c>
      <c r="C318" s="31" t="str">
        <f>IF(csv!F313="","",csv!AO313)</f>
        <v>Ž45</v>
      </c>
      <c r="D318" s="31" t="str">
        <f>IF(csv!F313="","",csv!AP313&amp;"–"&amp;csv!AQ313&amp;"–"&amp;csv!AR313)</f>
        <v>3.39–110–8</v>
      </c>
      <c r="E318" s="66" t="str">
        <f>IF(csv!AV313&amp;csv!AX313&amp;csv!AZ313&amp;csv!BB313&amp;csv!BD313="","",csv!AV313&amp;"–"&amp;csv!AX313&amp;"–"&amp;csv!AZ313&amp;"–"&amp;csv!BB313&amp;"–"&amp;csv!BD313&amp;"–"&amp;csv!BF313&amp;"–"&amp;csv!BH313&amp;"–"&amp;csv!BJ313&amp;"–"&amp;csv!BL313&amp;"–"&amp;csv!BN313&amp;"–"&amp;csv!BP313&amp;"–"&amp;csv!BR313&amp;"–"&amp;csv!BT313&amp;"–"&amp;csv!BV313&amp;"–"&amp;csv!BX313&amp;"–"&amp;csv!BZ313&amp;"–"&amp;csv!CB313&amp;"–"&amp;csv!CD313&amp;"–"&amp;csv!CF313&amp;"–"&amp;csv!CH313&amp;"–"&amp;csv!CJ313&amp;"–"&amp;csv!CL313&amp;"–"&amp;csv!CN313&amp;"–"&amp;csv!CP313&amp;"–"&amp;csv!CR313&amp;"–"&amp;csv!CT313&amp;"–"&amp;csv!CV313&amp;"–"&amp;csv!CX312&amp;"–"&amp;csv!CZ312)</f>
        <v>40–36–57–51–32–37–62–100–––––––––––––––––––––</v>
      </c>
      <c r="F318" t="s">
        <v>0</v>
      </c>
      <c r="O318" s="1" t="str">
        <f t="shared" si="27"/>
        <v/>
      </c>
      <c r="X318" t="s">
        <v>0</v>
      </c>
    </row>
    <row r="319" spans="1:24" x14ac:dyDescent="0.25">
      <c r="A319" t="s">
        <v>0</v>
      </c>
      <c r="B319" s="52" t="str">
        <f>IF(csv!F314="","",csv!T314)</f>
        <v>Ž45</v>
      </c>
      <c r="C319" s="31" t="str">
        <f>IF(csv!F314="","",csv!AO314)</f>
        <v>Ž45</v>
      </c>
      <c r="D319" s="31" t="str">
        <f>IF(csv!F314="","",csv!AP314&amp;"–"&amp;csv!AQ314&amp;"–"&amp;csv!AR314)</f>
        <v>3.39–110–8</v>
      </c>
      <c r="E319" s="66" t="str">
        <f>IF(csv!AV314&amp;csv!AX314&amp;csv!AZ314&amp;csv!BB314&amp;csv!BD314="","",csv!AV314&amp;"–"&amp;csv!AX314&amp;"–"&amp;csv!AZ314&amp;"–"&amp;csv!BB314&amp;"–"&amp;csv!BD314&amp;"–"&amp;csv!BF314&amp;"–"&amp;csv!BH314&amp;"–"&amp;csv!BJ314&amp;"–"&amp;csv!BL314&amp;"–"&amp;csv!BN314&amp;"–"&amp;csv!BP314&amp;"–"&amp;csv!BR314&amp;"–"&amp;csv!BT314&amp;"–"&amp;csv!BV314&amp;"–"&amp;csv!BX314&amp;"–"&amp;csv!BZ314&amp;"–"&amp;csv!CB314&amp;"–"&amp;csv!CD314&amp;"–"&amp;csv!CF314&amp;"–"&amp;csv!CH314&amp;"–"&amp;csv!CJ314&amp;"–"&amp;csv!CL314&amp;"–"&amp;csv!CN314&amp;"–"&amp;csv!CP314&amp;"–"&amp;csv!CR314&amp;"–"&amp;csv!CT314&amp;"–"&amp;csv!CV314&amp;"–"&amp;csv!CX313&amp;"–"&amp;csv!CZ313)</f>
        <v>40–36–57–51–32–37–62–100–––––––––––––––––––––</v>
      </c>
      <c r="F319" t="s">
        <v>0</v>
      </c>
      <c r="O319" s="1" t="str">
        <f t="shared" si="27"/>
        <v/>
      </c>
      <c r="X319" t="s">
        <v>0</v>
      </c>
    </row>
    <row r="320" spans="1:24" x14ac:dyDescent="0.25">
      <c r="A320" t="s">
        <v>0</v>
      </c>
      <c r="B320" s="52" t="str">
        <f>IF(csv!F315="","",csv!T315)</f>
        <v>Ž45</v>
      </c>
      <c r="C320" s="31" t="str">
        <f>IF(csv!F315="","",csv!AO315)</f>
        <v>Ž45</v>
      </c>
      <c r="D320" s="31" t="str">
        <f>IF(csv!F315="","",csv!AP315&amp;"–"&amp;csv!AQ315&amp;"–"&amp;csv!AR315)</f>
        <v>3.39–110–8</v>
      </c>
      <c r="E320" s="66" t="str">
        <f>IF(csv!AV315&amp;csv!AX315&amp;csv!AZ315&amp;csv!BB315&amp;csv!BD315="","",csv!AV315&amp;"–"&amp;csv!AX315&amp;"–"&amp;csv!AZ315&amp;"–"&amp;csv!BB315&amp;"–"&amp;csv!BD315&amp;"–"&amp;csv!BF315&amp;"–"&amp;csv!BH315&amp;"–"&amp;csv!BJ315&amp;"–"&amp;csv!BL315&amp;"–"&amp;csv!BN315&amp;"–"&amp;csv!BP315&amp;"–"&amp;csv!BR315&amp;"–"&amp;csv!BT315&amp;"–"&amp;csv!BV315&amp;"–"&amp;csv!BX315&amp;"–"&amp;csv!BZ315&amp;"–"&amp;csv!CB315&amp;"–"&amp;csv!CD315&amp;"–"&amp;csv!CF315&amp;"–"&amp;csv!CH315&amp;"–"&amp;csv!CJ315&amp;"–"&amp;csv!CL315&amp;"–"&amp;csv!CN315&amp;"–"&amp;csv!CP315&amp;"–"&amp;csv!CR315&amp;"–"&amp;csv!CT315&amp;"–"&amp;csv!CV315&amp;"–"&amp;csv!CX314&amp;"–"&amp;csv!CZ314)</f>
        <v>40–36–57–51–32–37–62–100–––––––––––––––––––––</v>
      </c>
      <c r="F320" t="s">
        <v>0</v>
      </c>
      <c r="O320" s="1" t="str">
        <f t="shared" si="27"/>
        <v/>
      </c>
      <c r="X320" t="s">
        <v>0</v>
      </c>
    </row>
    <row r="321" spans="1:24" x14ac:dyDescent="0.25">
      <c r="A321" t="s">
        <v>0</v>
      </c>
      <c r="B321" s="52" t="str">
        <f>IF(csv!F316="","",csv!T316)</f>
        <v>Ž45</v>
      </c>
      <c r="C321" s="31" t="str">
        <f>IF(csv!F316="","",csv!AO316)</f>
        <v>Ž45</v>
      </c>
      <c r="D321" s="31" t="str">
        <f>IF(csv!F316="","",csv!AP316&amp;"–"&amp;csv!AQ316&amp;"–"&amp;csv!AR316)</f>
        <v>3.39–110–8</v>
      </c>
      <c r="E321" s="66" t="str">
        <f>IF(csv!AV316&amp;csv!AX316&amp;csv!AZ316&amp;csv!BB316&amp;csv!BD316="","",csv!AV316&amp;"–"&amp;csv!AX316&amp;"–"&amp;csv!AZ316&amp;"–"&amp;csv!BB316&amp;"–"&amp;csv!BD316&amp;"–"&amp;csv!BF316&amp;"–"&amp;csv!BH316&amp;"–"&amp;csv!BJ316&amp;"–"&amp;csv!BL316&amp;"–"&amp;csv!BN316&amp;"–"&amp;csv!BP316&amp;"–"&amp;csv!BR316&amp;"–"&amp;csv!BT316&amp;"–"&amp;csv!BV316&amp;"–"&amp;csv!BX316&amp;"–"&amp;csv!BZ316&amp;"–"&amp;csv!CB316&amp;"–"&amp;csv!CD316&amp;"–"&amp;csv!CF316&amp;"–"&amp;csv!CH316&amp;"–"&amp;csv!CJ316&amp;"–"&amp;csv!CL316&amp;"–"&amp;csv!CN316&amp;"–"&amp;csv!CP316&amp;"–"&amp;csv!CR316&amp;"–"&amp;csv!CT316&amp;"–"&amp;csv!CV316&amp;"–"&amp;csv!CX315&amp;"–"&amp;csv!CZ315)</f>
        <v>40–36–57–51–32–37–62–100–––––––––––––––––––––</v>
      </c>
      <c r="F321" t="s">
        <v>0</v>
      </c>
      <c r="O321" s="1" t="str">
        <f t="shared" si="27"/>
        <v/>
      </c>
      <c r="X321" t="s">
        <v>0</v>
      </c>
    </row>
    <row r="322" spans="1:24" x14ac:dyDescent="0.25">
      <c r="A322" t="s">
        <v>0</v>
      </c>
      <c r="B322" s="52" t="str">
        <f>IF(csv!F317="","",csv!T317)</f>
        <v>Ž45</v>
      </c>
      <c r="C322" s="31" t="str">
        <f>IF(csv!F317="","",csv!AO317)</f>
        <v>Ž45</v>
      </c>
      <c r="D322" s="31" t="str">
        <f>IF(csv!F317="","",csv!AP317&amp;"–"&amp;csv!AQ317&amp;"–"&amp;csv!AR317)</f>
        <v>3.39–110–8</v>
      </c>
      <c r="E322" s="66" t="str">
        <f>IF(csv!AV317&amp;csv!AX317&amp;csv!AZ317&amp;csv!BB317&amp;csv!BD317="","",csv!AV317&amp;"–"&amp;csv!AX317&amp;"–"&amp;csv!AZ317&amp;"–"&amp;csv!BB317&amp;"–"&amp;csv!BD317&amp;"–"&amp;csv!BF317&amp;"–"&amp;csv!BH317&amp;"–"&amp;csv!BJ317&amp;"–"&amp;csv!BL317&amp;"–"&amp;csv!BN317&amp;"–"&amp;csv!BP317&amp;"–"&amp;csv!BR317&amp;"–"&amp;csv!BT317&amp;"–"&amp;csv!BV317&amp;"–"&amp;csv!BX317&amp;"–"&amp;csv!BZ317&amp;"–"&amp;csv!CB317&amp;"–"&amp;csv!CD317&amp;"–"&amp;csv!CF317&amp;"–"&amp;csv!CH317&amp;"–"&amp;csv!CJ317&amp;"–"&amp;csv!CL317&amp;"–"&amp;csv!CN317&amp;"–"&amp;csv!CP317&amp;"–"&amp;csv!CR317&amp;"–"&amp;csv!CT317&amp;"–"&amp;csv!CV317&amp;"–"&amp;csv!CX316&amp;"–"&amp;csv!CZ316)</f>
        <v>40–36–57–51–32–37–62–100–––––––––––––––––––––</v>
      </c>
      <c r="F322" t="s">
        <v>0</v>
      </c>
      <c r="O322" s="1" t="str">
        <f t="shared" si="27"/>
        <v/>
      </c>
      <c r="X322" t="s">
        <v>0</v>
      </c>
    </row>
    <row r="323" spans="1:24" x14ac:dyDescent="0.25">
      <c r="A323" t="s">
        <v>0</v>
      </c>
      <c r="B323" s="52" t="str">
        <f>IF(csv!F318="","",csv!T318)</f>
        <v>Ž45</v>
      </c>
      <c r="C323" s="31" t="str">
        <f>IF(csv!F318="","",csv!AO318)</f>
        <v>Ž45</v>
      </c>
      <c r="D323" s="31" t="str">
        <f>IF(csv!F318="","",csv!AP318&amp;"–"&amp;csv!AQ318&amp;"–"&amp;csv!AR318)</f>
        <v>3.39–110–8</v>
      </c>
      <c r="E323" s="66" t="str">
        <f>IF(csv!AV318&amp;csv!AX318&amp;csv!AZ318&amp;csv!BB318&amp;csv!BD318="","",csv!AV318&amp;"–"&amp;csv!AX318&amp;"–"&amp;csv!AZ318&amp;"–"&amp;csv!BB318&amp;"–"&amp;csv!BD318&amp;"–"&amp;csv!BF318&amp;"–"&amp;csv!BH318&amp;"–"&amp;csv!BJ318&amp;"–"&amp;csv!BL318&amp;"–"&amp;csv!BN318&amp;"–"&amp;csv!BP318&amp;"–"&amp;csv!BR318&amp;"–"&amp;csv!BT318&amp;"–"&amp;csv!BV318&amp;"–"&amp;csv!BX318&amp;"–"&amp;csv!BZ318&amp;"–"&amp;csv!CB318&amp;"–"&amp;csv!CD318&amp;"–"&amp;csv!CF318&amp;"–"&amp;csv!CH318&amp;"–"&amp;csv!CJ318&amp;"–"&amp;csv!CL318&amp;"–"&amp;csv!CN318&amp;"–"&amp;csv!CP318&amp;"–"&amp;csv!CR318&amp;"–"&amp;csv!CT318&amp;"–"&amp;csv!CV318&amp;"–"&amp;csv!CX317&amp;"–"&amp;csv!CZ317)</f>
        <v>40–36–57–51–32–37–62–100–––––––––––––––––––––</v>
      </c>
      <c r="F323" t="s">
        <v>0</v>
      </c>
      <c r="O323" s="1" t="str">
        <f t="shared" si="27"/>
        <v/>
      </c>
      <c r="X323" t="s">
        <v>0</v>
      </c>
    </row>
    <row r="324" spans="1:24" x14ac:dyDescent="0.25">
      <c r="A324" t="s">
        <v>0</v>
      </c>
      <c r="B324" s="52" t="str">
        <f>IF(csv!F319="","",csv!T319)</f>
        <v>Ž45</v>
      </c>
      <c r="C324" s="31" t="str">
        <f>IF(csv!F319="","",csv!AO319)</f>
        <v>Ž45</v>
      </c>
      <c r="D324" s="31" t="str">
        <f>IF(csv!F319="","",csv!AP319&amp;"–"&amp;csv!AQ319&amp;"–"&amp;csv!AR319)</f>
        <v>3.39–110–8</v>
      </c>
      <c r="E324" s="66" t="str">
        <f>IF(csv!AV319&amp;csv!AX319&amp;csv!AZ319&amp;csv!BB319&amp;csv!BD319="","",csv!AV319&amp;"–"&amp;csv!AX319&amp;"–"&amp;csv!AZ319&amp;"–"&amp;csv!BB319&amp;"–"&amp;csv!BD319&amp;"–"&amp;csv!BF319&amp;"–"&amp;csv!BH319&amp;"–"&amp;csv!BJ319&amp;"–"&amp;csv!BL319&amp;"–"&amp;csv!BN319&amp;"–"&amp;csv!BP319&amp;"–"&amp;csv!BR319&amp;"–"&amp;csv!BT319&amp;"–"&amp;csv!BV319&amp;"–"&amp;csv!BX319&amp;"–"&amp;csv!BZ319&amp;"–"&amp;csv!CB319&amp;"–"&amp;csv!CD319&amp;"–"&amp;csv!CF319&amp;"–"&amp;csv!CH319&amp;"–"&amp;csv!CJ319&amp;"–"&amp;csv!CL319&amp;"–"&amp;csv!CN319&amp;"–"&amp;csv!CP319&amp;"–"&amp;csv!CR319&amp;"–"&amp;csv!CT319&amp;"–"&amp;csv!CV319&amp;"–"&amp;csv!CX318&amp;"–"&amp;csv!CZ318)</f>
        <v/>
      </c>
      <c r="F324" t="s">
        <v>0</v>
      </c>
      <c r="O324" s="1" t="str">
        <f t="shared" si="27"/>
        <v/>
      </c>
      <c r="X324" t="s">
        <v>0</v>
      </c>
    </row>
    <row r="325" spans="1:24" x14ac:dyDescent="0.25">
      <c r="A325" t="s">
        <v>0</v>
      </c>
      <c r="B325" s="52" t="str">
        <f>IF(csv!F320="","",csv!T320)</f>
        <v>Ž45</v>
      </c>
      <c r="C325" s="31" t="str">
        <f>IF(csv!F320="","",csv!AO320)</f>
        <v>Ž45</v>
      </c>
      <c r="D325" s="31" t="str">
        <f>IF(csv!F320="","",csv!AP320&amp;"–"&amp;csv!AQ320&amp;"–"&amp;csv!AR320)</f>
        <v>3.39–110–8</v>
      </c>
      <c r="E325" s="66" t="str">
        <f>IF(csv!AV320&amp;csv!AX320&amp;csv!AZ320&amp;csv!BB320&amp;csv!BD320="","",csv!AV320&amp;"–"&amp;csv!AX320&amp;"–"&amp;csv!AZ320&amp;"–"&amp;csv!BB320&amp;"–"&amp;csv!BD320&amp;"–"&amp;csv!BF320&amp;"–"&amp;csv!BH320&amp;"–"&amp;csv!BJ320&amp;"–"&amp;csv!BL320&amp;"–"&amp;csv!BN320&amp;"–"&amp;csv!BP320&amp;"–"&amp;csv!BR320&amp;"–"&amp;csv!BT320&amp;"–"&amp;csv!BV320&amp;"–"&amp;csv!BX320&amp;"–"&amp;csv!BZ320&amp;"–"&amp;csv!CB320&amp;"–"&amp;csv!CD320&amp;"–"&amp;csv!CF320&amp;"–"&amp;csv!CH320&amp;"–"&amp;csv!CJ320&amp;"–"&amp;csv!CL320&amp;"–"&amp;csv!CN320&amp;"–"&amp;csv!CP320&amp;"–"&amp;csv!CR320&amp;"–"&amp;csv!CT320&amp;"–"&amp;csv!CV320&amp;"–"&amp;csv!CX319&amp;"–"&amp;csv!CZ319)</f>
        <v/>
      </c>
      <c r="F325" t="s">
        <v>0</v>
      </c>
      <c r="O325" s="1" t="str">
        <f t="shared" si="27"/>
        <v/>
      </c>
      <c r="X325" t="s">
        <v>0</v>
      </c>
    </row>
    <row r="326" spans="1:24" x14ac:dyDescent="0.25">
      <c r="A326" t="s">
        <v>0</v>
      </c>
      <c r="B326" s="52" t="str">
        <f>IF(csv!F321="","",csv!T321)</f>
        <v>Ž45</v>
      </c>
      <c r="C326" s="31" t="str">
        <f>IF(csv!F321="","",csv!AO321)</f>
        <v>Ž45</v>
      </c>
      <c r="D326" s="31" t="str">
        <f>IF(csv!F321="","",csv!AP321&amp;"–"&amp;csv!AQ321&amp;"–"&amp;csv!AR321)</f>
        <v>3.39–110–8</v>
      </c>
      <c r="E326" s="66" t="str">
        <f>IF(csv!AV321&amp;csv!AX321&amp;csv!AZ321&amp;csv!BB321&amp;csv!BD321="","",csv!AV321&amp;"–"&amp;csv!AX321&amp;"–"&amp;csv!AZ321&amp;"–"&amp;csv!BB321&amp;"–"&amp;csv!BD321&amp;"–"&amp;csv!BF321&amp;"–"&amp;csv!BH321&amp;"–"&amp;csv!BJ321&amp;"–"&amp;csv!BL321&amp;"–"&amp;csv!BN321&amp;"–"&amp;csv!BP321&amp;"–"&amp;csv!BR321&amp;"–"&amp;csv!BT321&amp;"–"&amp;csv!BV321&amp;"–"&amp;csv!BX321&amp;"–"&amp;csv!BZ321&amp;"–"&amp;csv!CB321&amp;"–"&amp;csv!CD321&amp;"–"&amp;csv!CF321&amp;"–"&amp;csv!CH321&amp;"–"&amp;csv!CJ321&amp;"–"&amp;csv!CL321&amp;"–"&amp;csv!CN321&amp;"–"&amp;csv!CP321&amp;"–"&amp;csv!CR321&amp;"–"&amp;csv!CT321&amp;"–"&amp;csv!CV321&amp;"–"&amp;csv!CX320&amp;"–"&amp;csv!CZ320)</f>
        <v/>
      </c>
      <c r="F326" t="s">
        <v>0</v>
      </c>
      <c r="O326" s="1" t="str">
        <f t="shared" si="27"/>
        <v/>
      </c>
      <c r="X326" t="s">
        <v>0</v>
      </c>
    </row>
    <row r="327" spans="1:24" x14ac:dyDescent="0.25">
      <c r="A327" t="s">
        <v>0</v>
      </c>
      <c r="B327" s="52" t="str">
        <f>IF(csv!F322="","",csv!T322)</f>
        <v>Ž55</v>
      </c>
      <c r="C327" s="31" t="str">
        <f>IF(csv!F322="","",csv!AO322)</f>
        <v>Ž55</v>
      </c>
      <c r="D327" s="31" t="str">
        <f>IF(csv!F322="","",csv!AP322&amp;"–"&amp;csv!AQ322&amp;"–"&amp;csv!AR322)</f>
        <v>2.81–90–7</v>
      </c>
      <c r="E327" s="66" t="str">
        <f>IF(csv!AV322&amp;csv!AX322&amp;csv!AZ322&amp;csv!BB322&amp;csv!BD322="","",csv!AV322&amp;"–"&amp;csv!AX322&amp;"–"&amp;csv!AZ322&amp;"–"&amp;csv!BB322&amp;"–"&amp;csv!BD322&amp;"–"&amp;csv!BF322&amp;"–"&amp;csv!BH322&amp;"–"&amp;csv!BJ322&amp;"–"&amp;csv!BL322&amp;"–"&amp;csv!BN322&amp;"–"&amp;csv!BP322&amp;"–"&amp;csv!BR322&amp;"–"&amp;csv!BT322&amp;"–"&amp;csv!BV322&amp;"–"&amp;csv!BX322&amp;"–"&amp;csv!BZ322&amp;"–"&amp;csv!CB322&amp;"–"&amp;csv!CD322&amp;"–"&amp;csv!CF322&amp;"–"&amp;csv!CH322&amp;"–"&amp;csv!CJ322&amp;"–"&amp;csv!CL322&amp;"–"&amp;csv!CN322&amp;"–"&amp;csv!CP322&amp;"–"&amp;csv!CR322&amp;"–"&amp;csv!CT322&amp;"–"&amp;csv!CV322&amp;"–"&amp;csv!CX321&amp;"–"&amp;csv!CZ321)</f>
        <v>33–68–42–72–57–54–100––––––––––––––––––––––</v>
      </c>
      <c r="F327" t="s">
        <v>0</v>
      </c>
      <c r="O327" s="1" t="str">
        <f t="shared" si="27"/>
        <v/>
      </c>
      <c r="X327" t="s">
        <v>0</v>
      </c>
    </row>
    <row r="328" spans="1:24" x14ac:dyDescent="0.25">
      <c r="A328" t="s">
        <v>0</v>
      </c>
      <c r="B328" s="52" t="str">
        <f>IF(csv!F323="","",csv!T323)</f>
        <v>Ž55</v>
      </c>
      <c r="C328" s="31" t="str">
        <f>IF(csv!F323="","",csv!AO323)</f>
        <v>Ž55</v>
      </c>
      <c r="D328" s="31" t="str">
        <f>IF(csv!F323="","",csv!AP323&amp;"–"&amp;csv!AQ323&amp;"–"&amp;csv!AR323)</f>
        <v>2.81–90–7</v>
      </c>
      <c r="E328" s="66" t="str">
        <f>IF(csv!AV323&amp;csv!AX323&amp;csv!AZ323&amp;csv!BB323&amp;csv!BD323="","",csv!AV323&amp;"–"&amp;csv!AX323&amp;"–"&amp;csv!AZ323&amp;"–"&amp;csv!BB323&amp;"–"&amp;csv!BD323&amp;"–"&amp;csv!BF323&amp;"–"&amp;csv!BH323&amp;"–"&amp;csv!BJ323&amp;"–"&amp;csv!BL323&amp;"–"&amp;csv!BN323&amp;"–"&amp;csv!BP323&amp;"–"&amp;csv!BR323&amp;"–"&amp;csv!BT323&amp;"–"&amp;csv!BV323&amp;"–"&amp;csv!BX323&amp;"–"&amp;csv!BZ323&amp;"–"&amp;csv!CB323&amp;"–"&amp;csv!CD323&amp;"–"&amp;csv!CF323&amp;"–"&amp;csv!CH323&amp;"–"&amp;csv!CJ323&amp;"–"&amp;csv!CL323&amp;"–"&amp;csv!CN323&amp;"–"&amp;csv!CP323&amp;"–"&amp;csv!CR323&amp;"–"&amp;csv!CT323&amp;"–"&amp;csv!CV323&amp;"–"&amp;csv!CX322&amp;"–"&amp;csv!CZ322)</f>
        <v>33–68–42–72–57–54–100––––––––––––––––––––––</v>
      </c>
      <c r="F328" t="s">
        <v>0</v>
      </c>
      <c r="O328" s="1" t="str">
        <f t="shared" si="27"/>
        <v/>
      </c>
      <c r="X328" t="s">
        <v>0</v>
      </c>
    </row>
    <row r="329" spans="1:24" x14ac:dyDescent="0.25">
      <c r="A329" t="s">
        <v>0</v>
      </c>
      <c r="B329" s="52" t="str">
        <f>IF(csv!F324="","",csv!T324)</f>
        <v>Ž55</v>
      </c>
      <c r="C329" s="31" t="str">
        <f>IF(csv!F324="","",csv!AO324)</f>
        <v>Ž55</v>
      </c>
      <c r="D329" s="31" t="str">
        <f>IF(csv!F324="","",csv!AP324&amp;"–"&amp;csv!AQ324&amp;"–"&amp;csv!AR324)</f>
        <v>2.81–90–7</v>
      </c>
      <c r="E329" s="66" t="str">
        <f>IF(csv!AV324&amp;csv!AX324&amp;csv!AZ324&amp;csv!BB324&amp;csv!BD324="","",csv!AV324&amp;"–"&amp;csv!AX324&amp;"–"&amp;csv!AZ324&amp;"–"&amp;csv!BB324&amp;"–"&amp;csv!BD324&amp;"–"&amp;csv!BF324&amp;"–"&amp;csv!BH324&amp;"–"&amp;csv!BJ324&amp;"–"&amp;csv!BL324&amp;"–"&amp;csv!BN324&amp;"–"&amp;csv!BP324&amp;"–"&amp;csv!BR324&amp;"–"&amp;csv!BT324&amp;"–"&amp;csv!BV324&amp;"–"&amp;csv!BX324&amp;"–"&amp;csv!BZ324&amp;"–"&amp;csv!CB324&amp;"–"&amp;csv!CD324&amp;"–"&amp;csv!CF324&amp;"–"&amp;csv!CH324&amp;"–"&amp;csv!CJ324&amp;"–"&amp;csv!CL324&amp;"–"&amp;csv!CN324&amp;"–"&amp;csv!CP324&amp;"–"&amp;csv!CR324&amp;"–"&amp;csv!CT324&amp;"–"&amp;csv!CV324&amp;"–"&amp;csv!CX323&amp;"–"&amp;csv!CZ323)</f>
        <v>33–68–42–72–57–54–100––––––––––––––––––––––</v>
      </c>
      <c r="F329" t="s">
        <v>0</v>
      </c>
      <c r="O329" s="1" t="str">
        <f t="shared" ref="O329:O392" si="28">IF(N329="","",IF(N329&lt;&gt;N328,N329,""))</f>
        <v/>
      </c>
      <c r="X329" t="s">
        <v>0</v>
      </c>
    </row>
    <row r="330" spans="1:24" x14ac:dyDescent="0.25">
      <c r="A330" t="s">
        <v>0</v>
      </c>
      <c r="B330" s="52" t="str">
        <f>IF(csv!F325="","",csv!T325)</f>
        <v>Ž55</v>
      </c>
      <c r="C330" s="31" t="str">
        <f>IF(csv!F325="","",csv!AO325)</f>
        <v>Ž55</v>
      </c>
      <c r="D330" s="31" t="str">
        <f>IF(csv!F325="","",csv!AP325&amp;"–"&amp;csv!AQ325&amp;"–"&amp;csv!AR325)</f>
        <v>2.81–90–7</v>
      </c>
      <c r="E330" s="66" t="str">
        <f>IF(csv!AV325&amp;csv!AX325&amp;csv!AZ325&amp;csv!BB325&amp;csv!BD325="","",csv!AV325&amp;"–"&amp;csv!AX325&amp;"–"&amp;csv!AZ325&amp;"–"&amp;csv!BB325&amp;"–"&amp;csv!BD325&amp;"–"&amp;csv!BF325&amp;"–"&amp;csv!BH325&amp;"–"&amp;csv!BJ325&amp;"–"&amp;csv!BL325&amp;"–"&amp;csv!BN325&amp;"–"&amp;csv!BP325&amp;"–"&amp;csv!BR325&amp;"–"&amp;csv!BT325&amp;"–"&amp;csv!BV325&amp;"–"&amp;csv!BX325&amp;"–"&amp;csv!BZ325&amp;"–"&amp;csv!CB325&amp;"–"&amp;csv!CD325&amp;"–"&amp;csv!CF325&amp;"–"&amp;csv!CH325&amp;"–"&amp;csv!CJ325&amp;"–"&amp;csv!CL325&amp;"–"&amp;csv!CN325&amp;"–"&amp;csv!CP325&amp;"–"&amp;csv!CR325&amp;"–"&amp;csv!CT325&amp;"–"&amp;csv!CV325&amp;"–"&amp;csv!CX324&amp;"–"&amp;csv!CZ324)</f>
        <v>33–68–42–72–57–54–100––––––––––––––––––––––</v>
      </c>
      <c r="F330" t="s">
        <v>0</v>
      </c>
      <c r="O330" s="1" t="str">
        <f t="shared" si="28"/>
        <v/>
      </c>
      <c r="X330" t="s">
        <v>0</v>
      </c>
    </row>
    <row r="331" spans="1:24" x14ac:dyDescent="0.25">
      <c r="A331" t="s">
        <v>0</v>
      </c>
      <c r="B331" s="52" t="str">
        <f>IF(csv!F326="","",csv!T326)</f>
        <v>Ž55</v>
      </c>
      <c r="C331" s="31" t="str">
        <f>IF(csv!F326="","",csv!AO326)</f>
        <v>Ž55</v>
      </c>
      <c r="D331" s="31" t="str">
        <f>IF(csv!F326="","",csv!AP326&amp;"–"&amp;csv!AQ326&amp;"–"&amp;csv!AR326)</f>
        <v>2.81–90–7</v>
      </c>
      <c r="E331" s="66" t="str">
        <f>IF(csv!AV326&amp;csv!AX326&amp;csv!AZ326&amp;csv!BB326&amp;csv!BD326="","",csv!AV326&amp;"–"&amp;csv!AX326&amp;"–"&amp;csv!AZ326&amp;"–"&amp;csv!BB326&amp;"–"&amp;csv!BD326&amp;"–"&amp;csv!BF326&amp;"–"&amp;csv!BH326&amp;"–"&amp;csv!BJ326&amp;"–"&amp;csv!BL326&amp;"–"&amp;csv!BN326&amp;"–"&amp;csv!BP326&amp;"–"&amp;csv!BR326&amp;"–"&amp;csv!BT326&amp;"–"&amp;csv!BV326&amp;"–"&amp;csv!BX326&amp;"–"&amp;csv!BZ326&amp;"–"&amp;csv!CB326&amp;"–"&amp;csv!CD326&amp;"–"&amp;csv!CF326&amp;"–"&amp;csv!CH326&amp;"–"&amp;csv!CJ326&amp;"–"&amp;csv!CL326&amp;"–"&amp;csv!CN326&amp;"–"&amp;csv!CP326&amp;"–"&amp;csv!CR326&amp;"–"&amp;csv!CT326&amp;"–"&amp;csv!CV326&amp;"–"&amp;csv!CX325&amp;"–"&amp;csv!CZ325)</f>
        <v>33–68–42–72–57–54–100––––––––––––––––––––––</v>
      </c>
      <c r="F331" t="s">
        <v>0</v>
      </c>
      <c r="O331" s="1" t="str">
        <f t="shared" si="28"/>
        <v/>
      </c>
      <c r="X331" t="s">
        <v>0</v>
      </c>
    </row>
    <row r="332" spans="1:24" x14ac:dyDescent="0.25">
      <c r="A332" t="s">
        <v>0</v>
      </c>
      <c r="B332" s="52" t="str">
        <f>IF(csv!F327="","",csv!T327)</f>
        <v>Ž55</v>
      </c>
      <c r="C332" s="31" t="str">
        <f>IF(csv!F327="","",csv!AO327)</f>
        <v>Ž55</v>
      </c>
      <c r="D332" s="31" t="str">
        <f>IF(csv!F327="","",csv!AP327&amp;"–"&amp;csv!AQ327&amp;"–"&amp;csv!AR327)</f>
        <v>2.81–90–7</v>
      </c>
      <c r="E332" s="66" t="str">
        <f>IF(csv!AV327&amp;csv!AX327&amp;csv!AZ327&amp;csv!BB327&amp;csv!BD327="","",csv!AV327&amp;"–"&amp;csv!AX327&amp;"–"&amp;csv!AZ327&amp;"–"&amp;csv!BB327&amp;"–"&amp;csv!BD327&amp;"–"&amp;csv!BF327&amp;"–"&amp;csv!BH327&amp;"–"&amp;csv!BJ327&amp;"–"&amp;csv!BL327&amp;"–"&amp;csv!BN327&amp;"–"&amp;csv!BP327&amp;"–"&amp;csv!BR327&amp;"–"&amp;csv!BT327&amp;"–"&amp;csv!BV327&amp;"–"&amp;csv!BX327&amp;"–"&amp;csv!BZ327&amp;"–"&amp;csv!CB327&amp;"–"&amp;csv!CD327&amp;"–"&amp;csv!CF327&amp;"–"&amp;csv!CH327&amp;"–"&amp;csv!CJ327&amp;"–"&amp;csv!CL327&amp;"–"&amp;csv!CN327&amp;"–"&amp;csv!CP327&amp;"–"&amp;csv!CR327&amp;"–"&amp;csv!CT327&amp;"–"&amp;csv!CV327&amp;"–"&amp;csv!CX326&amp;"–"&amp;csv!CZ326)</f>
        <v>33–68–42–72–57–54–100––––––––––––––––––––––</v>
      </c>
      <c r="F332" t="s">
        <v>0</v>
      </c>
      <c r="O332" s="1" t="str">
        <f t="shared" si="28"/>
        <v/>
      </c>
      <c r="X332" t="s">
        <v>0</v>
      </c>
    </row>
    <row r="333" spans="1:24" x14ac:dyDescent="0.25">
      <c r="A333" t="s">
        <v>0</v>
      </c>
      <c r="B333" s="52" t="str">
        <f>IF(csv!F328="","",csv!T328)</f>
        <v>Ž55</v>
      </c>
      <c r="C333" s="31" t="str">
        <f>IF(csv!F328="","",csv!AO328)</f>
        <v>Ž55</v>
      </c>
      <c r="D333" s="31" t="str">
        <f>IF(csv!F328="","",csv!AP328&amp;"–"&amp;csv!AQ328&amp;"–"&amp;csv!AR328)</f>
        <v>2.81–90–7</v>
      </c>
      <c r="E333" s="66" t="str">
        <f>IF(csv!AV328&amp;csv!AX328&amp;csv!AZ328&amp;csv!BB328&amp;csv!BD328="","",csv!AV328&amp;"–"&amp;csv!AX328&amp;"–"&amp;csv!AZ328&amp;"–"&amp;csv!BB328&amp;"–"&amp;csv!BD328&amp;"–"&amp;csv!BF328&amp;"–"&amp;csv!BH328&amp;"–"&amp;csv!BJ328&amp;"–"&amp;csv!BL328&amp;"–"&amp;csv!BN328&amp;"–"&amp;csv!BP328&amp;"–"&amp;csv!BR328&amp;"–"&amp;csv!BT328&amp;"–"&amp;csv!BV328&amp;"–"&amp;csv!BX328&amp;"–"&amp;csv!BZ328&amp;"–"&amp;csv!CB328&amp;"–"&amp;csv!CD328&amp;"–"&amp;csv!CF328&amp;"–"&amp;csv!CH328&amp;"–"&amp;csv!CJ328&amp;"–"&amp;csv!CL328&amp;"–"&amp;csv!CN328&amp;"–"&amp;csv!CP328&amp;"–"&amp;csv!CR328&amp;"–"&amp;csv!CT328&amp;"–"&amp;csv!CV328&amp;"–"&amp;csv!CX327&amp;"–"&amp;csv!CZ327)</f>
        <v/>
      </c>
      <c r="F333" t="s">
        <v>0</v>
      </c>
      <c r="O333" s="1" t="str">
        <f t="shared" si="28"/>
        <v/>
      </c>
      <c r="X333" t="s">
        <v>0</v>
      </c>
    </row>
    <row r="334" spans="1:24" x14ac:dyDescent="0.25">
      <c r="A334" t="s">
        <v>0</v>
      </c>
      <c r="B334" s="52" t="str">
        <f>IF(csv!F329="","",csv!T329)</f>
        <v>Ž55</v>
      </c>
      <c r="C334" s="31" t="str">
        <f>IF(csv!F329="","",csv!AO329)</f>
        <v>Ž55</v>
      </c>
      <c r="D334" s="31" t="str">
        <f>IF(csv!F329="","",csv!AP329&amp;"–"&amp;csv!AQ329&amp;"–"&amp;csv!AR329)</f>
        <v>2.81–90–7</v>
      </c>
      <c r="E334" s="66" t="str">
        <f>IF(csv!AV329&amp;csv!AX329&amp;csv!AZ329&amp;csv!BB329&amp;csv!BD329="","",csv!AV329&amp;"–"&amp;csv!AX329&amp;"–"&amp;csv!AZ329&amp;"–"&amp;csv!BB329&amp;"–"&amp;csv!BD329&amp;"–"&amp;csv!BF329&amp;"–"&amp;csv!BH329&amp;"–"&amp;csv!BJ329&amp;"–"&amp;csv!BL329&amp;"–"&amp;csv!BN329&amp;"–"&amp;csv!BP329&amp;"–"&amp;csv!BR329&amp;"–"&amp;csv!BT329&amp;"–"&amp;csv!BV329&amp;"–"&amp;csv!BX329&amp;"–"&amp;csv!BZ329&amp;"–"&amp;csv!CB329&amp;"–"&amp;csv!CD329&amp;"–"&amp;csv!CF329&amp;"–"&amp;csv!CH329&amp;"–"&amp;csv!CJ329&amp;"–"&amp;csv!CL329&amp;"–"&amp;csv!CN329&amp;"–"&amp;csv!CP329&amp;"–"&amp;csv!CR329&amp;"–"&amp;csv!CT329&amp;"–"&amp;csv!CV329&amp;"–"&amp;csv!CX328&amp;"–"&amp;csv!CZ328)</f>
        <v/>
      </c>
      <c r="F334" t="s">
        <v>0</v>
      </c>
      <c r="O334" s="1" t="str">
        <f t="shared" si="28"/>
        <v/>
      </c>
      <c r="X334" t="s">
        <v>0</v>
      </c>
    </row>
    <row r="335" spans="1:24" x14ac:dyDescent="0.25">
      <c r="A335" t="s">
        <v>0</v>
      </c>
      <c r="B335" s="52" t="str">
        <f>IF(csv!F330="","",csv!T330)</f>
        <v>Ž65</v>
      </c>
      <c r="C335" s="31" t="str">
        <f>IF(csv!F330="","",csv!AO330)</f>
        <v>Ž65</v>
      </c>
      <c r="D335" s="31" t="str">
        <f>IF(csv!F330="","",csv!AP330&amp;"–"&amp;csv!AQ330&amp;"–"&amp;csv!AR330)</f>
        <v>2.33–50–6</v>
      </c>
      <c r="E335" s="66" t="str">
        <f>IF(csv!AV330&amp;csv!AX330&amp;csv!AZ330&amp;csv!BB330&amp;csv!BD330="","",csv!AV330&amp;"–"&amp;csv!AX330&amp;"–"&amp;csv!AZ330&amp;"–"&amp;csv!BB330&amp;"–"&amp;csv!BD330&amp;"–"&amp;csv!BF330&amp;"–"&amp;csv!BH330&amp;"–"&amp;csv!BJ330&amp;"–"&amp;csv!BL330&amp;"–"&amp;csv!BN330&amp;"–"&amp;csv!BP330&amp;"–"&amp;csv!BR330&amp;"–"&amp;csv!BT330&amp;"–"&amp;csv!BV330&amp;"–"&amp;csv!BX330&amp;"–"&amp;csv!BZ330&amp;"–"&amp;csv!CB330&amp;"–"&amp;csv!CD330&amp;"–"&amp;csv!CF330&amp;"–"&amp;csv!CH330&amp;"–"&amp;csv!CJ330&amp;"–"&amp;csv!CL330&amp;"–"&amp;csv!CN330&amp;"–"&amp;csv!CP330&amp;"–"&amp;csv!CR330&amp;"–"&amp;csv!CT330&amp;"–"&amp;csv!CV330&amp;"–"&amp;csv!CX329&amp;"–"&amp;csv!CZ329)</f>
        <v>42–61–57–62–54–100–––––––––––––––––––––––</v>
      </c>
      <c r="F335" t="s">
        <v>0</v>
      </c>
      <c r="O335" s="1" t="str">
        <f t="shared" si="28"/>
        <v/>
      </c>
      <c r="X335" t="s">
        <v>0</v>
      </c>
    </row>
    <row r="336" spans="1:24" x14ac:dyDescent="0.25">
      <c r="A336" t="s">
        <v>0</v>
      </c>
      <c r="B336" s="52" t="str">
        <f>IF(csv!F331="","",csv!T331)</f>
        <v>Ž65</v>
      </c>
      <c r="C336" s="31" t="str">
        <f>IF(csv!F331="","",csv!AO331)</f>
        <v>Ž65</v>
      </c>
      <c r="D336" s="31" t="str">
        <f>IF(csv!F331="","",csv!AP331&amp;"–"&amp;csv!AQ331&amp;"–"&amp;csv!AR331)</f>
        <v>2.33–50–6</v>
      </c>
      <c r="E336" s="66" t="str">
        <f>IF(csv!AV331&amp;csv!AX331&amp;csv!AZ331&amp;csv!BB331&amp;csv!BD331="","",csv!AV331&amp;"–"&amp;csv!AX331&amp;"–"&amp;csv!AZ331&amp;"–"&amp;csv!BB331&amp;"–"&amp;csv!BD331&amp;"–"&amp;csv!BF331&amp;"–"&amp;csv!BH331&amp;"–"&amp;csv!BJ331&amp;"–"&amp;csv!BL331&amp;"–"&amp;csv!BN331&amp;"–"&amp;csv!BP331&amp;"–"&amp;csv!BR331&amp;"–"&amp;csv!BT331&amp;"–"&amp;csv!BV331&amp;"–"&amp;csv!BX331&amp;"–"&amp;csv!BZ331&amp;"–"&amp;csv!CB331&amp;"–"&amp;csv!CD331&amp;"–"&amp;csv!CF331&amp;"–"&amp;csv!CH331&amp;"–"&amp;csv!CJ331&amp;"–"&amp;csv!CL331&amp;"–"&amp;csv!CN331&amp;"–"&amp;csv!CP331&amp;"–"&amp;csv!CR331&amp;"–"&amp;csv!CT331&amp;"–"&amp;csv!CV331&amp;"–"&amp;csv!CX330&amp;"–"&amp;csv!CZ330)</f>
        <v>42–61–57–62–54–100–––––––––––––––––––––––</v>
      </c>
      <c r="F336" t="s">
        <v>0</v>
      </c>
      <c r="O336" s="1" t="str">
        <f t="shared" si="28"/>
        <v/>
      </c>
      <c r="X336" t="s">
        <v>0</v>
      </c>
    </row>
    <row r="337" spans="1:24" x14ac:dyDescent="0.25">
      <c r="A337" t="s">
        <v>0</v>
      </c>
      <c r="B337" s="52" t="str">
        <f>IF(csv!F332="","",csv!T332)</f>
        <v>Ž65</v>
      </c>
      <c r="C337" s="31" t="str">
        <f>IF(csv!F332="","",csv!AO332)</f>
        <v>Ž65</v>
      </c>
      <c r="D337" s="31" t="str">
        <f>IF(csv!F332="","",csv!AP332&amp;"–"&amp;csv!AQ332&amp;"–"&amp;csv!AR332)</f>
        <v>2.33–50–6</v>
      </c>
      <c r="E337" s="66" t="str">
        <f>IF(csv!AV332&amp;csv!AX332&amp;csv!AZ332&amp;csv!BB332&amp;csv!BD332="","",csv!AV332&amp;"–"&amp;csv!AX332&amp;"–"&amp;csv!AZ332&amp;"–"&amp;csv!BB332&amp;"–"&amp;csv!BD332&amp;"–"&amp;csv!BF332&amp;"–"&amp;csv!BH332&amp;"–"&amp;csv!BJ332&amp;"–"&amp;csv!BL332&amp;"–"&amp;csv!BN332&amp;"–"&amp;csv!BP332&amp;"–"&amp;csv!BR332&amp;"–"&amp;csv!BT332&amp;"–"&amp;csv!BV332&amp;"–"&amp;csv!BX332&amp;"–"&amp;csv!BZ332&amp;"–"&amp;csv!CB332&amp;"–"&amp;csv!CD332&amp;"–"&amp;csv!CF332&amp;"–"&amp;csv!CH332&amp;"–"&amp;csv!CJ332&amp;"–"&amp;csv!CL332&amp;"–"&amp;csv!CN332&amp;"–"&amp;csv!CP332&amp;"–"&amp;csv!CR332&amp;"–"&amp;csv!CT332&amp;"–"&amp;csv!CV332&amp;"–"&amp;csv!CX331&amp;"–"&amp;csv!CZ331)</f>
        <v>42–61–57–62–54–100–––––––––––––––––––––––</v>
      </c>
      <c r="F337" t="s">
        <v>0</v>
      </c>
      <c r="O337" s="1" t="str">
        <f t="shared" si="28"/>
        <v/>
      </c>
      <c r="X337" t="s">
        <v>0</v>
      </c>
    </row>
    <row r="338" spans="1:24" x14ac:dyDescent="0.25">
      <c r="A338" t="s">
        <v>0</v>
      </c>
      <c r="B338" s="52" t="str">
        <f>IF(csv!F333="","",csv!T333)</f>
        <v>Ž65</v>
      </c>
      <c r="C338" s="31" t="str">
        <f>IF(csv!F333="","",csv!AO333)</f>
        <v>Ž65</v>
      </c>
      <c r="D338" s="31" t="str">
        <f>IF(csv!F333="","",csv!AP333&amp;"–"&amp;csv!AQ333&amp;"–"&amp;csv!AR333)</f>
        <v>2.33–50–6</v>
      </c>
      <c r="E338" s="66" t="str">
        <f>IF(csv!AV333&amp;csv!AX333&amp;csv!AZ333&amp;csv!BB333&amp;csv!BD333="","",csv!AV333&amp;"–"&amp;csv!AX333&amp;"–"&amp;csv!AZ333&amp;"–"&amp;csv!BB333&amp;"–"&amp;csv!BD333&amp;"–"&amp;csv!BF333&amp;"–"&amp;csv!BH333&amp;"–"&amp;csv!BJ333&amp;"–"&amp;csv!BL333&amp;"–"&amp;csv!BN333&amp;"–"&amp;csv!BP333&amp;"–"&amp;csv!BR333&amp;"–"&amp;csv!BT333&amp;"–"&amp;csv!BV333&amp;"–"&amp;csv!BX333&amp;"–"&amp;csv!BZ333&amp;"–"&amp;csv!CB333&amp;"–"&amp;csv!CD333&amp;"–"&amp;csv!CF333&amp;"–"&amp;csv!CH333&amp;"–"&amp;csv!CJ333&amp;"–"&amp;csv!CL333&amp;"–"&amp;csv!CN333&amp;"–"&amp;csv!CP333&amp;"–"&amp;csv!CR333&amp;"–"&amp;csv!CT333&amp;"–"&amp;csv!CV333&amp;"–"&amp;csv!CX332&amp;"–"&amp;csv!CZ332)</f>
        <v/>
      </c>
      <c r="F338" t="s">
        <v>0</v>
      </c>
      <c r="O338" s="1" t="str">
        <f t="shared" si="28"/>
        <v/>
      </c>
      <c r="X338" t="s">
        <v>0</v>
      </c>
    </row>
    <row r="339" spans="1:24" x14ac:dyDescent="0.25">
      <c r="A339" t="s">
        <v>0</v>
      </c>
      <c r="B339" s="52" t="str">
        <f>IF(csv!F334="","",csv!T334)</f>
        <v>Ž65</v>
      </c>
      <c r="C339" s="31" t="str">
        <f>IF(csv!F334="","",csv!AO334)</f>
        <v>Ž65</v>
      </c>
      <c r="D339" s="31" t="str">
        <f>IF(csv!F334="","",csv!AP334&amp;"–"&amp;csv!AQ334&amp;"–"&amp;csv!AR334)</f>
        <v>2.33–50–6</v>
      </c>
      <c r="E339" s="66" t="str">
        <f>IF(csv!AV334&amp;csv!AX334&amp;csv!AZ334&amp;csv!BB334&amp;csv!BD334="","",csv!AV334&amp;"–"&amp;csv!AX334&amp;"–"&amp;csv!AZ334&amp;"–"&amp;csv!BB334&amp;"–"&amp;csv!BD334&amp;"–"&amp;csv!BF334&amp;"–"&amp;csv!BH334&amp;"–"&amp;csv!BJ334&amp;"–"&amp;csv!BL334&amp;"–"&amp;csv!BN334&amp;"–"&amp;csv!BP334&amp;"–"&amp;csv!BR334&amp;"–"&amp;csv!BT334&amp;"–"&amp;csv!BV334&amp;"–"&amp;csv!BX334&amp;"–"&amp;csv!BZ334&amp;"–"&amp;csv!CB334&amp;"–"&amp;csv!CD334&amp;"–"&amp;csv!CF334&amp;"–"&amp;csv!CH334&amp;"–"&amp;csv!CJ334&amp;"–"&amp;csv!CL334&amp;"–"&amp;csv!CN334&amp;"–"&amp;csv!CP334&amp;"–"&amp;csv!CR334&amp;"–"&amp;csv!CT334&amp;"–"&amp;csv!CV334&amp;"–"&amp;csv!CX333&amp;"–"&amp;csv!CZ333)</f>
        <v/>
      </c>
      <c r="F339" t="s">
        <v>0</v>
      </c>
      <c r="O339" s="1" t="str">
        <f t="shared" si="28"/>
        <v/>
      </c>
      <c r="X339" t="s">
        <v>0</v>
      </c>
    </row>
    <row r="340" spans="1:24" x14ac:dyDescent="0.25">
      <c r="A340" t="s">
        <v>0</v>
      </c>
      <c r="B340" s="52" t="str">
        <f>IF(csv!F335="","",csv!T335)</f>
        <v>Ž70</v>
      </c>
      <c r="C340" s="31" t="str">
        <f>IF(csv!F335="","",csv!AO335)</f>
        <v>Ž70</v>
      </c>
      <c r="D340" s="31" t="str">
        <f>IF(csv!F335="","",csv!AP335&amp;"–"&amp;csv!AQ335&amp;"–"&amp;csv!AR335)</f>
        <v>2.33–50–6</v>
      </c>
      <c r="E340" s="66" t="str">
        <f>IF(csv!AV335&amp;csv!AX335&amp;csv!AZ335&amp;csv!BB335&amp;csv!BD335="","",csv!AV335&amp;"–"&amp;csv!AX335&amp;"–"&amp;csv!AZ335&amp;"–"&amp;csv!BB335&amp;"–"&amp;csv!BD335&amp;"–"&amp;csv!BF335&amp;"–"&amp;csv!BH335&amp;"–"&amp;csv!BJ335&amp;"–"&amp;csv!BL335&amp;"–"&amp;csv!BN335&amp;"–"&amp;csv!BP335&amp;"–"&amp;csv!BR335&amp;"–"&amp;csv!BT335&amp;"–"&amp;csv!BV335&amp;"–"&amp;csv!BX335&amp;"–"&amp;csv!BZ335&amp;"–"&amp;csv!CB335&amp;"–"&amp;csv!CD335&amp;"–"&amp;csv!CF335&amp;"–"&amp;csv!CH335&amp;"–"&amp;csv!CJ335&amp;"–"&amp;csv!CL335&amp;"–"&amp;csv!CN335&amp;"–"&amp;csv!CP335&amp;"–"&amp;csv!CR335&amp;"–"&amp;csv!CT335&amp;"–"&amp;csv!CV335&amp;"–"&amp;csv!CX334&amp;"–"&amp;csv!CZ334)</f>
        <v/>
      </c>
      <c r="F340" t="s">
        <v>0</v>
      </c>
      <c r="O340" s="1" t="str">
        <f t="shared" si="28"/>
        <v/>
      </c>
      <c r="X340" t="s">
        <v>0</v>
      </c>
    </row>
    <row r="341" spans="1:24" x14ac:dyDescent="0.25">
      <c r="A341" t="s">
        <v>0</v>
      </c>
      <c r="B341" s="52" t="str">
        <f>IF(csv!F336="","",csv!T336)</f>
        <v>Ž70</v>
      </c>
      <c r="C341" s="31" t="str">
        <f>IF(csv!F336="","",csv!AO336)</f>
        <v>Ž70</v>
      </c>
      <c r="D341" s="31" t="str">
        <f>IF(csv!F336="","",csv!AP336&amp;"–"&amp;csv!AQ336&amp;"–"&amp;csv!AR336)</f>
        <v>2.33–50–6</v>
      </c>
      <c r="E341" s="66" t="str">
        <f>IF(csv!AV336&amp;csv!AX336&amp;csv!AZ336&amp;csv!BB336&amp;csv!BD336="","",csv!AV336&amp;"–"&amp;csv!AX336&amp;"–"&amp;csv!AZ336&amp;"–"&amp;csv!BB336&amp;"–"&amp;csv!BD336&amp;"–"&amp;csv!BF336&amp;"–"&amp;csv!BH336&amp;"–"&amp;csv!BJ336&amp;"–"&amp;csv!BL336&amp;"–"&amp;csv!BN336&amp;"–"&amp;csv!BP336&amp;"–"&amp;csv!BR336&amp;"–"&amp;csv!BT336&amp;"–"&amp;csv!BV336&amp;"–"&amp;csv!BX336&amp;"–"&amp;csv!BZ336&amp;"–"&amp;csv!CB336&amp;"–"&amp;csv!CD336&amp;"–"&amp;csv!CF336&amp;"–"&amp;csv!CH336&amp;"–"&amp;csv!CJ336&amp;"–"&amp;csv!CL336&amp;"–"&amp;csv!CN336&amp;"–"&amp;csv!CP336&amp;"–"&amp;csv!CR336&amp;"–"&amp;csv!CT336&amp;"–"&amp;csv!CV336&amp;"–"&amp;csv!CX335&amp;"–"&amp;csv!CZ335)</f>
        <v/>
      </c>
      <c r="F341" t="s">
        <v>0</v>
      </c>
      <c r="O341" s="1" t="str">
        <f t="shared" si="28"/>
        <v/>
      </c>
      <c r="X341" t="s">
        <v>0</v>
      </c>
    </row>
    <row r="342" spans="1:24" x14ac:dyDescent="0.25">
      <c r="A342" t="s">
        <v>0</v>
      </c>
      <c r="B342" s="52" t="str">
        <f>IF(csv!F337="","",csv!T337)</f>
        <v/>
      </c>
      <c r="C342" s="31" t="str">
        <f>IF(csv!F337="","",csv!AO337)</f>
        <v/>
      </c>
      <c r="D342" s="31" t="str">
        <f>IF(csv!F337="","",csv!AP337&amp;"–"&amp;csv!AQ337&amp;"–"&amp;csv!AR337)</f>
        <v/>
      </c>
      <c r="E342" s="66" t="str">
        <f>IF(csv!AV337&amp;csv!AX337&amp;csv!AZ337&amp;csv!BB337&amp;csv!BD337="","",csv!AV337&amp;"–"&amp;csv!AX337&amp;"–"&amp;csv!AZ337&amp;"–"&amp;csv!BB337&amp;"–"&amp;csv!BD337&amp;"–"&amp;csv!BF337&amp;"–"&amp;csv!BH337&amp;"–"&amp;csv!BJ337&amp;"–"&amp;csv!BL337&amp;"–"&amp;csv!BN337&amp;"–"&amp;csv!BP337&amp;"–"&amp;csv!BR337&amp;"–"&amp;csv!BT337&amp;"–"&amp;csv!BV337&amp;"–"&amp;csv!BX337&amp;"–"&amp;csv!BZ337&amp;"–"&amp;csv!CB337&amp;"–"&amp;csv!CD337&amp;"–"&amp;csv!CF337&amp;"–"&amp;csv!CH337&amp;"–"&amp;csv!CJ337&amp;"–"&amp;csv!CL337&amp;"–"&amp;csv!CN337&amp;"–"&amp;csv!CP337&amp;"–"&amp;csv!CR337&amp;"–"&amp;csv!CT337&amp;"–"&amp;csv!CV337&amp;"–"&amp;csv!CX336&amp;"–"&amp;csv!CZ336)</f>
        <v/>
      </c>
      <c r="F342" t="s">
        <v>0</v>
      </c>
      <c r="O342" s="1" t="str">
        <f t="shared" si="28"/>
        <v/>
      </c>
      <c r="X342" t="s">
        <v>0</v>
      </c>
    </row>
    <row r="343" spans="1:24" x14ac:dyDescent="0.25">
      <c r="A343" t="s">
        <v>0</v>
      </c>
      <c r="B343" s="52" t="str">
        <f>IF(csv!F338="","",csv!T338)</f>
        <v/>
      </c>
      <c r="C343" s="31" t="str">
        <f>IF(csv!F338="","",csv!AO338)</f>
        <v/>
      </c>
      <c r="D343" s="31" t="str">
        <f>IF(csv!F338="","",csv!AP338&amp;"–"&amp;csv!AQ338&amp;"–"&amp;csv!AR338)</f>
        <v/>
      </c>
      <c r="E343" s="66" t="str">
        <f>IF(csv!AV338&amp;csv!AX338&amp;csv!AZ338&amp;csv!BB338&amp;csv!BD338="","",csv!AV338&amp;"–"&amp;csv!AX338&amp;"–"&amp;csv!AZ338&amp;"–"&amp;csv!BB338&amp;"–"&amp;csv!BD338&amp;"–"&amp;csv!BF338&amp;"–"&amp;csv!BH338&amp;"–"&amp;csv!BJ338&amp;"–"&amp;csv!BL338&amp;"–"&amp;csv!BN338&amp;"–"&amp;csv!BP338&amp;"–"&amp;csv!BR338&amp;"–"&amp;csv!BT338&amp;"–"&amp;csv!BV338&amp;"–"&amp;csv!BX338&amp;"–"&amp;csv!BZ338&amp;"–"&amp;csv!CB338&amp;"–"&amp;csv!CD338&amp;"–"&amp;csv!CF338&amp;"–"&amp;csv!CH338&amp;"–"&amp;csv!CJ338&amp;"–"&amp;csv!CL338&amp;"–"&amp;csv!CN338&amp;"–"&amp;csv!CP338&amp;"–"&amp;csv!CR338&amp;"–"&amp;csv!CT338&amp;"–"&amp;csv!CV338&amp;"–"&amp;csv!CX337&amp;"–"&amp;csv!CZ337)</f>
        <v/>
      </c>
      <c r="F343" t="s">
        <v>0</v>
      </c>
      <c r="O343" s="1" t="str">
        <f t="shared" si="28"/>
        <v/>
      </c>
      <c r="X343" t="s">
        <v>0</v>
      </c>
    </row>
    <row r="344" spans="1:24" x14ac:dyDescent="0.25">
      <c r="A344" t="s">
        <v>0</v>
      </c>
      <c r="B344" s="52" t="str">
        <f>IF(csv!F339="","",csv!T339)</f>
        <v/>
      </c>
      <c r="C344" s="31" t="str">
        <f>IF(csv!F339="","",csv!AO339)</f>
        <v/>
      </c>
      <c r="D344" s="31" t="str">
        <f>IF(csv!F339="","",csv!AP339&amp;"–"&amp;csv!AQ339&amp;"–"&amp;csv!AR339)</f>
        <v/>
      </c>
      <c r="E344" s="66" t="str">
        <f>IF(csv!AV339&amp;csv!AX339&amp;csv!AZ339&amp;csv!BB339&amp;csv!BD339="","",csv!AV339&amp;"–"&amp;csv!AX339&amp;"–"&amp;csv!AZ339&amp;"–"&amp;csv!BB339&amp;"–"&amp;csv!BD339&amp;"–"&amp;csv!BF339&amp;"–"&amp;csv!BH339&amp;"–"&amp;csv!BJ339&amp;"–"&amp;csv!BL339&amp;"–"&amp;csv!BN339&amp;"–"&amp;csv!BP339&amp;"–"&amp;csv!BR339&amp;"–"&amp;csv!BT339&amp;"–"&amp;csv!BV339&amp;"–"&amp;csv!BX339&amp;"–"&amp;csv!BZ339&amp;"–"&amp;csv!CB339&amp;"–"&amp;csv!CD339&amp;"–"&amp;csv!CF339&amp;"–"&amp;csv!CH339&amp;"–"&amp;csv!CJ339&amp;"–"&amp;csv!CL339&amp;"–"&amp;csv!CN339&amp;"–"&amp;csv!CP339&amp;"–"&amp;csv!CR339&amp;"–"&amp;csv!CT339&amp;"–"&amp;csv!CV339&amp;"–"&amp;csv!CX338&amp;"–"&amp;csv!CZ338)</f>
        <v/>
      </c>
      <c r="F344" t="s">
        <v>0</v>
      </c>
      <c r="O344" s="1" t="str">
        <f t="shared" si="28"/>
        <v/>
      </c>
      <c r="X344" t="s">
        <v>0</v>
      </c>
    </row>
    <row r="345" spans="1:24" x14ac:dyDescent="0.25">
      <c r="A345" t="s">
        <v>0</v>
      </c>
      <c r="B345" s="52" t="str">
        <f>IF(csv!F340="","",csv!T340)</f>
        <v/>
      </c>
      <c r="C345" s="31" t="str">
        <f>IF(csv!F340="","",csv!AO340)</f>
        <v/>
      </c>
      <c r="D345" s="31" t="str">
        <f>IF(csv!F340="","",csv!AP340&amp;"–"&amp;csv!AQ340&amp;"–"&amp;csv!AR340)</f>
        <v/>
      </c>
      <c r="E345" s="66" t="str">
        <f>IF(csv!AV340&amp;csv!AX340&amp;csv!AZ340&amp;csv!BB340&amp;csv!BD340="","",csv!AV340&amp;"–"&amp;csv!AX340&amp;"–"&amp;csv!AZ340&amp;"–"&amp;csv!BB340&amp;"–"&amp;csv!BD340&amp;"–"&amp;csv!BF340&amp;"–"&amp;csv!BH340&amp;"–"&amp;csv!BJ340&amp;"–"&amp;csv!BL340&amp;"–"&amp;csv!BN340&amp;"–"&amp;csv!BP340&amp;"–"&amp;csv!BR340&amp;"–"&amp;csv!BT340&amp;"–"&amp;csv!BV340&amp;"–"&amp;csv!BX340&amp;"–"&amp;csv!BZ340&amp;"–"&amp;csv!CB340&amp;"–"&amp;csv!CD340&amp;"–"&amp;csv!CF340&amp;"–"&amp;csv!CH340&amp;"–"&amp;csv!CJ340&amp;"–"&amp;csv!CL340&amp;"–"&amp;csv!CN340&amp;"–"&amp;csv!CP340&amp;"–"&amp;csv!CR340&amp;"–"&amp;csv!CT340&amp;"–"&amp;csv!CV340&amp;"–"&amp;csv!CX339&amp;"–"&amp;csv!CZ339)</f>
        <v/>
      </c>
      <c r="F345" t="s">
        <v>0</v>
      </c>
      <c r="O345" s="1" t="str">
        <f t="shared" si="28"/>
        <v/>
      </c>
      <c r="X345" t="s">
        <v>0</v>
      </c>
    </row>
    <row r="346" spans="1:24" x14ac:dyDescent="0.25">
      <c r="A346" t="s">
        <v>0</v>
      </c>
      <c r="B346" s="52" t="str">
        <f>IF(csv!F341="","",csv!T341)</f>
        <v/>
      </c>
      <c r="C346" s="31" t="str">
        <f>IF(csv!F341="","",csv!AO341)</f>
        <v/>
      </c>
      <c r="D346" s="31" t="str">
        <f>IF(csv!F341="","",csv!AP341&amp;"–"&amp;csv!AQ341&amp;"–"&amp;csv!AR341)</f>
        <v/>
      </c>
      <c r="E346" s="66" t="str">
        <f>IF(csv!AV341&amp;csv!AX341&amp;csv!AZ341&amp;csv!BB341&amp;csv!BD341="","",csv!AV341&amp;"–"&amp;csv!AX341&amp;"–"&amp;csv!AZ341&amp;"–"&amp;csv!BB341&amp;"–"&amp;csv!BD341&amp;"–"&amp;csv!BF341&amp;"–"&amp;csv!BH341&amp;"–"&amp;csv!BJ341&amp;"–"&amp;csv!BL341&amp;"–"&amp;csv!BN341&amp;"–"&amp;csv!BP341&amp;"–"&amp;csv!BR341&amp;"–"&amp;csv!BT341&amp;"–"&amp;csv!BV341&amp;"–"&amp;csv!BX341&amp;"–"&amp;csv!BZ341&amp;"–"&amp;csv!CB341&amp;"–"&amp;csv!CD341&amp;"–"&amp;csv!CF341&amp;"–"&amp;csv!CH341&amp;"–"&amp;csv!CJ341&amp;"–"&amp;csv!CL341&amp;"–"&amp;csv!CN341&amp;"–"&amp;csv!CP341&amp;"–"&amp;csv!CR341&amp;"–"&amp;csv!CT341&amp;"–"&amp;csv!CV341&amp;"–"&amp;csv!CX340&amp;"–"&amp;csv!CZ340)</f>
        <v/>
      </c>
      <c r="F346" t="s">
        <v>0</v>
      </c>
      <c r="O346" s="1" t="str">
        <f t="shared" si="28"/>
        <v/>
      </c>
      <c r="X346" t="s">
        <v>0</v>
      </c>
    </row>
    <row r="347" spans="1:24" x14ac:dyDescent="0.25">
      <c r="A347" t="s">
        <v>0</v>
      </c>
      <c r="B347" s="52" t="str">
        <f>IF(csv!F342="","",csv!T342)</f>
        <v/>
      </c>
      <c r="C347" s="31" t="str">
        <f>IF(csv!F342="","",csv!AO342)</f>
        <v/>
      </c>
      <c r="D347" s="31" t="str">
        <f>IF(csv!F342="","",csv!AP342&amp;"–"&amp;csv!AQ342&amp;"–"&amp;csv!AR342)</f>
        <v/>
      </c>
      <c r="E347" s="66" t="str">
        <f>IF(csv!AV342&amp;csv!AX342&amp;csv!AZ342&amp;csv!BB342&amp;csv!BD342="","",csv!AV342&amp;"–"&amp;csv!AX342&amp;"–"&amp;csv!AZ342&amp;"–"&amp;csv!BB342&amp;"–"&amp;csv!BD342&amp;"–"&amp;csv!BF342&amp;"–"&amp;csv!BH342&amp;"–"&amp;csv!BJ342&amp;"–"&amp;csv!BL342&amp;"–"&amp;csv!BN342&amp;"–"&amp;csv!BP342&amp;"–"&amp;csv!BR342&amp;"–"&amp;csv!BT342&amp;"–"&amp;csv!BV342&amp;"–"&amp;csv!BX342&amp;"–"&amp;csv!BZ342&amp;"–"&amp;csv!CB342&amp;"–"&amp;csv!CD342&amp;"–"&amp;csv!CF342&amp;"–"&amp;csv!CH342&amp;"–"&amp;csv!CJ342&amp;"–"&amp;csv!CL342&amp;"–"&amp;csv!CN342&amp;"–"&amp;csv!CP342&amp;"–"&amp;csv!CR342&amp;"–"&amp;csv!CT342&amp;"–"&amp;csv!CV342&amp;"–"&amp;csv!CX341&amp;"–"&amp;csv!CZ341)</f>
        <v/>
      </c>
      <c r="F347" t="s">
        <v>0</v>
      </c>
      <c r="O347" s="1" t="str">
        <f t="shared" si="28"/>
        <v/>
      </c>
      <c r="X347" t="s">
        <v>0</v>
      </c>
    </row>
    <row r="348" spans="1:24" x14ac:dyDescent="0.25">
      <c r="A348" t="s">
        <v>0</v>
      </c>
      <c r="B348" s="52" t="str">
        <f>IF(csv!F343="","",csv!T343)</f>
        <v/>
      </c>
      <c r="C348" s="31" t="str">
        <f>IF(csv!F343="","",csv!AO343)</f>
        <v/>
      </c>
      <c r="D348" s="31" t="str">
        <f>IF(csv!F343="","",csv!AP343&amp;"–"&amp;csv!AQ343&amp;"–"&amp;csv!AR343)</f>
        <v/>
      </c>
      <c r="E348" s="66" t="str">
        <f>IF(csv!AV343&amp;csv!AX343&amp;csv!AZ343&amp;csv!BB343&amp;csv!BD343="","",csv!AV343&amp;"–"&amp;csv!AX343&amp;"–"&amp;csv!AZ343&amp;"–"&amp;csv!BB343&amp;"–"&amp;csv!BD343&amp;"–"&amp;csv!BF343&amp;"–"&amp;csv!BH343&amp;"–"&amp;csv!BJ343&amp;"–"&amp;csv!BL343&amp;"–"&amp;csv!BN343&amp;"–"&amp;csv!BP343&amp;"–"&amp;csv!BR343&amp;"–"&amp;csv!BT343&amp;"–"&amp;csv!BV343&amp;"–"&amp;csv!BX343&amp;"–"&amp;csv!BZ343&amp;"–"&amp;csv!CB343&amp;"–"&amp;csv!CD343&amp;"–"&amp;csv!CF343&amp;"–"&amp;csv!CH343&amp;"–"&amp;csv!CJ343&amp;"–"&amp;csv!CL343&amp;"–"&amp;csv!CN343&amp;"–"&amp;csv!CP343&amp;"–"&amp;csv!CR343&amp;"–"&amp;csv!CT343&amp;"–"&amp;csv!CV343&amp;"–"&amp;csv!CX342&amp;"–"&amp;csv!CZ342)</f>
        <v/>
      </c>
      <c r="F348" t="s">
        <v>0</v>
      </c>
      <c r="O348" s="1" t="str">
        <f t="shared" si="28"/>
        <v/>
      </c>
      <c r="X348" t="s">
        <v>0</v>
      </c>
    </row>
    <row r="349" spans="1:24" x14ac:dyDescent="0.25">
      <c r="A349" t="s">
        <v>0</v>
      </c>
      <c r="B349" s="52" t="str">
        <f>IF(csv!F344="","",csv!T344)</f>
        <v/>
      </c>
      <c r="C349" s="31" t="str">
        <f>IF(csv!F344="","",csv!AO344)</f>
        <v/>
      </c>
      <c r="D349" s="31" t="str">
        <f>IF(csv!F344="","",csv!AP344&amp;"–"&amp;csv!AQ344&amp;"–"&amp;csv!AR344)</f>
        <v/>
      </c>
      <c r="E349" s="66" t="str">
        <f>IF(csv!AV344&amp;csv!AX344&amp;csv!AZ344&amp;csv!BB344&amp;csv!BD344="","",csv!AV344&amp;"–"&amp;csv!AX344&amp;"–"&amp;csv!AZ344&amp;"–"&amp;csv!BB344&amp;"–"&amp;csv!BD344&amp;"–"&amp;csv!BF344&amp;"–"&amp;csv!BH344&amp;"–"&amp;csv!BJ344&amp;"–"&amp;csv!BL344&amp;"–"&amp;csv!BN344&amp;"–"&amp;csv!BP344&amp;"–"&amp;csv!BR344&amp;"–"&amp;csv!BT344&amp;"–"&amp;csv!BV344&amp;"–"&amp;csv!BX344&amp;"–"&amp;csv!BZ344&amp;"–"&amp;csv!CB344&amp;"–"&amp;csv!CD344&amp;"–"&amp;csv!CF344&amp;"–"&amp;csv!CH344&amp;"–"&amp;csv!CJ344&amp;"–"&amp;csv!CL344&amp;"–"&amp;csv!CN344&amp;"–"&amp;csv!CP344&amp;"–"&amp;csv!CR344&amp;"–"&amp;csv!CT344&amp;"–"&amp;csv!CV344&amp;"–"&amp;csv!CX343&amp;"–"&amp;csv!CZ343)</f>
        <v/>
      </c>
      <c r="F349" t="s">
        <v>0</v>
      </c>
      <c r="O349" s="1" t="str">
        <f t="shared" si="28"/>
        <v/>
      </c>
      <c r="X349" t="s">
        <v>0</v>
      </c>
    </row>
    <row r="350" spans="1:24" x14ac:dyDescent="0.25">
      <c r="A350" t="s">
        <v>0</v>
      </c>
      <c r="B350" s="52" t="str">
        <f>IF(csv!F345="","",csv!T345)</f>
        <v/>
      </c>
      <c r="C350" s="31" t="str">
        <f>IF(csv!F345="","",csv!AO345)</f>
        <v/>
      </c>
      <c r="D350" s="31" t="str">
        <f>IF(csv!F345="","",csv!AP345&amp;"–"&amp;csv!AQ345&amp;"–"&amp;csv!AR345)</f>
        <v/>
      </c>
      <c r="E350" s="66" t="str">
        <f>IF(csv!AV345&amp;csv!AX345&amp;csv!AZ345&amp;csv!BB345&amp;csv!BD345="","",csv!AV345&amp;"–"&amp;csv!AX345&amp;"–"&amp;csv!AZ345&amp;"–"&amp;csv!BB345&amp;"–"&amp;csv!BD345&amp;"–"&amp;csv!BF345&amp;"–"&amp;csv!BH345&amp;"–"&amp;csv!BJ345&amp;"–"&amp;csv!BL345&amp;"–"&amp;csv!BN345&amp;"–"&amp;csv!BP345&amp;"–"&amp;csv!BR345&amp;"–"&amp;csv!BT345&amp;"–"&amp;csv!BV345&amp;"–"&amp;csv!BX345&amp;"–"&amp;csv!BZ345&amp;"–"&amp;csv!CB345&amp;"–"&amp;csv!CD345&amp;"–"&amp;csv!CF345&amp;"–"&amp;csv!CH345&amp;"–"&amp;csv!CJ345&amp;"–"&amp;csv!CL345&amp;"–"&amp;csv!CN345&amp;"–"&amp;csv!CP345&amp;"–"&amp;csv!CR345&amp;"–"&amp;csv!CT345&amp;"–"&amp;csv!CV345&amp;"–"&amp;csv!CX344&amp;"–"&amp;csv!CZ344)</f>
        <v/>
      </c>
      <c r="F350" t="s">
        <v>0</v>
      </c>
      <c r="O350" s="1" t="str">
        <f t="shared" si="28"/>
        <v/>
      </c>
      <c r="X350" t="s">
        <v>0</v>
      </c>
    </row>
    <row r="351" spans="1:24" x14ac:dyDescent="0.25">
      <c r="A351" t="s">
        <v>0</v>
      </c>
      <c r="B351" s="52" t="str">
        <f>IF(csv!F346="","",csv!T346)</f>
        <v/>
      </c>
      <c r="C351" s="31" t="str">
        <f>IF(csv!F346="","",csv!AO346)</f>
        <v/>
      </c>
      <c r="D351" s="31" t="str">
        <f>IF(csv!F346="","",csv!AP346&amp;"–"&amp;csv!AQ346&amp;"–"&amp;csv!AR346)</f>
        <v/>
      </c>
      <c r="E351" s="66" t="str">
        <f>IF(csv!AV346&amp;csv!AX346&amp;csv!AZ346&amp;csv!BB346&amp;csv!BD346="","",csv!AV346&amp;"–"&amp;csv!AX346&amp;"–"&amp;csv!AZ346&amp;"–"&amp;csv!BB346&amp;"–"&amp;csv!BD346&amp;"–"&amp;csv!BF346&amp;"–"&amp;csv!BH346&amp;"–"&amp;csv!BJ346&amp;"–"&amp;csv!BL346&amp;"–"&amp;csv!BN346&amp;"–"&amp;csv!BP346&amp;"–"&amp;csv!BR346&amp;"–"&amp;csv!BT346&amp;"–"&amp;csv!BV346&amp;"–"&amp;csv!BX346&amp;"–"&amp;csv!BZ346&amp;"–"&amp;csv!CB346&amp;"–"&amp;csv!CD346&amp;"–"&amp;csv!CF346&amp;"–"&amp;csv!CH346&amp;"–"&amp;csv!CJ346&amp;"–"&amp;csv!CL346&amp;"–"&amp;csv!CN346&amp;"–"&amp;csv!CP346&amp;"–"&amp;csv!CR346&amp;"–"&amp;csv!CT346&amp;"–"&amp;csv!CV346&amp;"–"&amp;csv!CX345&amp;"–"&amp;csv!CZ345)</f>
        <v/>
      </c>
      <c r="F351" t="s">
        <v>0</v>
      </c>
      <c r="O351" s="1" t="str">
        <f t="shared" si="28"/>
        <v/>
      </c>
      <c r="X351" t="s">
        <v>0</v>
      </c>
    </row>
    <row r="352" spans="1:24" x14ac:dyDescent="0.25">
      <c r="A352" t="s">
        <v>0</v>
      </c>
      <c r="B352" s="52" t="str">
        <f>IF(csv!F347="","",csv!T347)</f>
        <v/>
      </c>
      <c r="C352" s="31" t="str">
        <f>IF(csv!F347="","",csv!AO347)</f>
        <v/>
      </c>
      <c r="D352" s="31" t="str">
        <f>IF(csv!F347="","",csv!AP347&amp;"–"&amp;csv!AQ347&amp;"–"&amp;csv!AR347)</f>
        <v/>
      </c>
      <c r="E352" s="66" t="str">
        <f>IF(csv!AV347&amp;csv!AX347&amp;csv!AZ347&amp;csv!BB347&amp;csv!BD347="","",csv!AV347&amp;"–"&amp;csv!AX347&amp;"–"&amp;csv!AZ347&amp;"–"&amp;csv!BB347&amp;"–"&amp;csv!BD347&amp;"–"&amp;csv!BF347&amp;"–"&amp;csv!BH347&amp;"–"&amp;csv!BJ347&amp;"–"&amp;csv!BL347&amp;"–"&amp;csv!BN347&amp;"–"&amp;csv!BP347&amp;"–"&amp;csv!BR347&amp;"–"&amp;csv!BT347&amp;"–"&amp;csv!BV347&amp;"–"&amp;csv!BX347&amp;"–"&amp;csv!BZ347&amp;"–"&amp;csv!CB347&amp;"–"&amp;csv!CD347&amp;"–"&amp;csv!CF347&amp;"–"&amp;csv!CH347&amp;"–"&amp;csv!CJ347&amp;"–"&amp;csv!CL347&amp;"–"&amp;csv!CN347&amp;"–"&amp;csv!CP347&amp;"–"&amp;csv!CR347&amp;"–"&amp;csv!CT347&amp;"–"&amp;csv!CV347&amp;"–"&amp;csv!CX346&amp;"–"&amp;csv!CZ346)</f>
        <v/>
      </c>
      <c r="F352" t="s">
        <v>0</v>
      </c>
      <c r="O352" s="1" t="str">
        <f t="shared" si="28"/>
        <v/>
      </c>
      <c r="X352" t="s">
        <v>0</v>
      </c>
    </row>
    <row r="353" spans="1:24" x14ac:dyDescent="0.25">
      <c r="A353" t="s">
        <v>0</v>
      </c>
      <c r="B353" s="52" t="str">
        <f>IF(csv!F348="","",csv!T348)</f>
        <v/>
      </c>
      <c r="C353" s="31" t="str">
        <f>IF(csv!F348="","",csv!AO348)</f>
        <v/>
      </c>
      <c r="D353" s="31" t="str">
        <f>IF(csv!F348="","",csv!AP348&amp;"–"&amp;csv!AQ348&amp;"–"&amp;csv!AR348)</f>
        <v/>
      </c>
      <c r="E353" s="66" t="str">
        <f>IF(csv!AV348&amp;csv!AX348&amp;csv!AZ348&amp;csv!BB348&amp;csv!BD348="","",csv!AV348&amp;"–"&amp;csv!AX348&amp;"–"&amp;csv!AZ348&amp;"–"&amp;csv!BB348&amp;"–"&amp;csv!BD348&amp;"–"&amp;csv!BF348&amp;"–"&amp;csv!BH348&amp;"–"&amp;csv!BJ348&amp;"–"&amp;csv!BL348&amp;"–"&amp;csv!BN348&amp;"–"&amp;csv!BP348&amp;"–"&amp;csv!BR348&amp;"–"&amp;csv!BT348&amp;"–"&amp;csv!BV348&amp;"–"&amp;csv!BX348&amp;"–"&amp;csv!BZ348&amp;"–"&amp;csv!CB348&amp;"–"&amp;csv!CD348&amp;"–"&amp;csv!CF348&amp;"–"&amp;csv!CH348&amp;"–"&amp;csv!CJ348&amp;"–"&amp;csv!CL348&amp;"–"&amp;csv!CN348&amp;"–"&amp;csv!CP348&amp;"–"&amp;csv!CR348&amp;"–"&amp;csv!CT348&amp;"–"&amp;csv!CV348&amp;"–"&amp;csv!CX347&amp;"–"&amp;csv!CZ347)</f>
        <v/>
      </c>
      <c r="F353" t="s">
        <v>0</v>
      </c>
      <c r="O353" s="1" t="str">
        <f t="shared" si="28"/>
        <v/>
      </c>
      <c r="X353" t="s">
        <v>0</v>
      </c>
    </row>
    <row r="354" spans="1:24" x14ac:dyDescent="0.25">
      <c r="A354" t="s">
        <v>0</v>
      </c>
      <c r="B354" s="52" t="str">
        <f>IF(csv!F349="","",csv!T349)</f>
        <v/>
      </c>
      <c r="C354" s="31" t="str">
        <f>IF(csv!F349="","",csv!AO349)</f>
        <v/>
      </c>
      <c r="D354" s="31" t="str">
        <f>IF(csv!F349="","",csv!AP349&amp;"–"&amp;csv!AQ349&amp;"–"&amp;csv!AR349)</f>
        <v/>
      </c>
      <c r="E354" s="66" t="str">
        <f>IF(csv!AV349&amp;csv!AX349&amp;csv!AZ349&amp;csv!BB349&amp;csv!BD349="","",csv!AV349&amp;"–"&amp;csv!AX349&amp;"–"&amp;csv!AZ349&amp;"–"&amp;csv!BB349&amp;"–"&amp;csv!BD349&amp;"–"&amp;csv!BF349&amp;"–"&amp;csv!BH349&amp;"–"&amp;csv!BJ349&amp;"–"&amp;csv!BL349&amp;"–"&amp;csv!BN349&amp;"–"&amp;csv!BP349&amp;"–"&amp;csv!BR349&amp;"–"&amp;csv!BT349&amp;"–"&amp;csv!BV349&amp;"–"&amp;csv!BX349&amp;"–"&amp;csv!BZ349&amp;"–"&amp;csv!CB349&amp;"–"&amp;csv!CD349&amp;"–"&amp;csv!CF349&amp;"–"&amp;csv!CH349&amp;"–"&amp;csv!CJ349&amp;"–"&amp;csv!CL349&amp;"–"&amp;csv!CN349&amp;"–"&amp;csv!CP349&amp;"–"&amp;csv!CR349&amp;"–"&amp;csv!CT349&amp;"–"&amp;csv!CV349&amp;"–"&amp;csv!CX348&amp;"–"&amp;csv!CZ348)</f>
        <v/>
      </c>
      <c r="F354" t="s">
        <v>0</v>
      </c>
      <c r="O354" s="1" t="str">
        <f t="shared" si="28"/>
        <v/>
      </c>
      <c r="X354" t="s">
        <v>0</v>
      </c>
    </row>
    <row r="355" spans="1:24" x14ac:dyDescent="0.25">
      <c r="A355" t="s">
        <v>0</v>
      </c>
      <c r="B355" s="52" t="str">
        <f>IF(csv!F350="","",csv!T350)</f>
        <v/>
      </c>
      <c r="C355" s="31" t="str">
        <f>IF(csv!F350="","",csv!AO350)</f>
        <v/>
      </c>
      <c r="D355" s="31" t="str">
        <f>IF(csv!F350="","",csv!AP350&amp;"–"&amp;csv!AQ350&amp;"–"&amp;csv!AR350)</f>
        <v/>
      </c>
      <c r="E355" s="66" t="str">
        <f>IF(csv!AV350&amp;csv!AX350&amp;csv!AZ350&amp;csv!BB350&amp;csv!BD350="","",csv!AV350&amp;"–"&amp;csv!AX350&amp;"–"&amp;csv!AZ350&amp;"–"&amp;csv!BB350&amp;"–"&amp;csv!BD350&amp;"–"&amp;csv!BF350&amp;"–"&amp;csv!BH350&amp;"–"&amp;csv!BJ350&amp;"–"&amp;csv!BL350&amp;"–"&amp;csv!BN350&amp;"–"&amp;csv!BP350&amp;"–"&amp;csv!BR350&amp;"–"&amp;csv!BT350&amp;"–"&amp;csv!BV350&amp;"–"&amp;csv!BX350&amp;"–"&amp;csv!BZ350&amp;"–"&amp;csv!CB350&amp;"–"&amp;csv!CD350&amp;"–"&amp;csv!CF350&amp;"–"&amp;csv!CH350&amp;"–"&amp;csv!CJ350&amp;"–"&amp;csv!CL350&amp;"–"&amp;csv!CN350&amp;"–"&amp;csv!CP350&amp;"–"&amp;csv!CR350&amp;"–"&amp;csv!CT350&amp;"–"&amp;csv!CV350&amp;"–"&amp;csv!CX349&amp;"–"&amp;csv!CZ349)</f>
        <v/>
      </c>
      <c r="F355" t="s">
        <v>0</v>
      </c>
      <c r="O355" s="1" t="str">
        <f t="shared" si="28"/>
        <v/>
      </c>
      <c r="X355" t="s">
        <v>0</v>
      </c>
    </row>
    <row r="356" spans="1:24" x14ac:dyDescent="0.25">
      <c r="A356" t="s">
        <v>0</v>
      </c>
      <c r="B356" s="52" t="str">
        <f>IF(csv!F351="","",csv!T351)</f>
        <v/>
      </c>
      <c r="C356" s="31" t="str">
        <f>IF(csv!F351="","",csv!AO351)</f>
        <v/>
      </c>
      <c r="D356" s="31" t="str">
        <f>IF(csv!F351="","",csv!AP351&amp;"–"&amp;csv!AQ351&amp;"–"&amp;csv!AR351)</f>
        <v/>
      </c>
      <c r="E356" s="66" t="str">
        <f>IF(csv!AV351&amp;csv!AX351&amp;csv!AZ351&amp;csv!BB351&amp;csv!BD351="","",csv!AV351&amp;"–"&amp;csv!AX351&amp;"–"&amp;csv!AZ351&amp;"–"&amp;csv!BB351&amp;"–"&amp;csv!BD351&amp;"–"&amp;csv!BF351&amp;"–"&amp;csv!BH351&amp;"–"&amp;csv!BJ351&amp;"–"&amp;csv!BL351&amp;"–"&amp;csv!BN351&amp;"–"&amp;csv!BP351&amp;"–"&amp;csv!BR351&amp;"–"&amp;csv!BT351&amp;"–"&amp;csv!BV351&amp;"–"&amp;csv!BX351&amp;"–"&amp;csv!BZ351&amp;"–"&amp;csv!CB351&amp;"–"&amp;csv!CD351&amp;"–"&amp;csv!CF351&amp;"–"&amp;csv!CH351&amp;"–"&amp;csv!CJ351&amp;"–"&amp;csv!CL351&amp;"–"&amp;csv!CN351&amp;"–"&amp;csv!CP351&amp;"–"&amp;csv!CR351&amp;"–"&amp;csv!CT351&amp;"–"&amp;csv!CV351&amp;"–"&amp;csv!CX350&amp;"–"&amp;csv!CZ350)</f>
        <v/>
      </c>
      <c r="F356" t="s">
        <v>0</v>
      </c>
      <c r="O356" s="1" t="str">
        <f t="shared" si="28"/>
        <v/>
      </c>
      <c r="X356" t="s">
        <v>0</v>
      </c>
    </row>
    <row r="357" spans="1:24" x14ac:dyDescent="0.25">
      <c r="A357" t="s">
        <v>0</v>
      </c>
      <c r="B357" s="52" t="str">
        <f>IF(csv!F352="","",csv!T352)</f>
        <v/>
      </c>
      <c r="C357" s="31" t="str">
        <f>IF(csv!F352="","",csv!AO352)</f>
        <v/>
      </c>
      <c r="D357" s="31" t="str">
        <f>IF(csv!F352="","",csv!AP352&amp;"–"&amp;csv!AQ352&amp;"–"&amp;csv!AR352)</f>
        <v/>
      </c>
      <c r="E357" s="66" t="str">
        <f>IF(csv!AV352&amp;csv!AX352&amp;csv!AZ352&amp;csv!BB352&amp;csv!BD352="","",csv!AV352&amp;"–"&amp;csv!AX352&amp;"–"&amp;csv!AZ352&amp;"–"&amp;csv!BB352&amp;"–"&amp;csv!BD352&amp;"–"&amp;csv!BF352&amp;"–"&amp;csv!BH352&amp;"–"&amp;csv!BJ352&amp;"–"&amp;csv!BL352&amp;"–"&amp;csv!BN352&amp;"–"&amp;csv!BP352&amp;"–"&amp;csv!BR352&amp;"–"&amp;csv!BT352&amp;"–"&amp;csv!BV352&amp;"–"&amp;csv!BX352&amp;"–"&amp;csv!BZ352&amp;"–"&amp;csv!CB352&amp;"–"&amp;csv!CD352&amp;"–"&amp;csv!CF352&amp;"–"&amp;csv!CH352&amp;"–"&amp;csv!CJ352&amp;"–"&amp;csv!CL352&amp;"–"&amp;csv!CN352&amp;"–"&amp;csv!CP352&amp;"–"&amp;csv!CR352&amp;"–"&amp;csv!CT352&amp;"–"&amp;csv!CV352&amp;"–"&amp;csv!CX351&amp;"–"&amp;csv!CZ351)</f>
        <v/>
      </c>
      <c r="F357" t="s">
        <v>0</v>
      </c>
      <c r="O357" s="1" t="str">
        <f t="shared" si="28"/>
        <v/>
      </c>
      <c r="X357" t="s">
        <v>0</v>
      </c>
    </row>
    <row r="358" spans="1:24" x14ac:dyDescent="0.25">
      <c r="A358" t="s">
        <v>0</v>
      </c>
      <c r="B358" s="52" t="str">
        <f>IF(csv!F353="","",csv!T353)</f>
        <v/>
      </c>
      <c r="C358" s="31" t="str">
        <f>IF(csv!F353="","",csv!AO353)</f>
        <v/>
      </c>
      <c r="D358" s="31" t="str">
        <f>IF(csv!F353="","",csv!AP353&amp;"–"&amp;csv!AQ353&amp;"–"&amp;csv!AR353)</f>
        <v/>
      </c>
      <c r="E358" s="66" t="str">
        <f>IF(csv!AV353&amp;csv!AX353&amp;csv!AZ353&amp;csv!BB353&amp;csv!BD353="","",csv!AV353&amp;"–"&amp;csv!AX353&amp;"–"&amp;csv!AZ353&amp;"–"&amp;csv!BB353&amp;"–"&amp;csv!BD353&amp;"–"&amp;csv!BF353&amp;"–"&amp;csv!BH353&amp;"–"&amp;csv!BJ353&amp;"–"&amp;csv!BL353&amp;"–"&amp;csv!BN353&amp;"–"&amp;csv!BP353&amp;"–"&amp;csv!BR353&amp;"–"&amp;csv!BT353&amp;"–"&amp;csv!BV353&amp;"–"&amp;csv!BX353&amp;"–"&amp;csv!BZ353&amp;"–"&amp;csv!CB353&amp;"–"&amp;csv!CD353&amp;"–"&amp;csv!CF353&amp;"–"&amp;csv!CH353&amp;"–"&amp;csv!CJ353&amp;"–"&amp;csv!CL353&amp;"–"&amp;csv!CN353&amp;"–"&amp;csv!CP353&amp;"–"&amp;csv!CR353&amp;"–"&amp;csv!CT353&amp;"–"&amp;csv!CV353&amp;"–"&amp;csv!CX352&amp;"–"&amp;csv!CZ352)</f>
        <v/>
      </c>
      <c r="F358" t="s">
        <v>0</v>
      </c>
      <c r="O358" s="1" t="str">
        <f t="shared" si="28"/>
        <v/>
      </c>
      <c r="X358" t="s">
        <v>0</v>
      </c>
    </row>
    <row r="359" spans="1:24" x14ac:dyDescent="0.25">
      <c r="A359" t="s">
        <v>0</v>
      </c>
      <c r="B359" s="52" t="str">
        <f>IF(csv!F354="","",csv!T354)</f>
        <v/>
      </c>
      <c r="C359" s="31" t="str">
        <f>IF(csv!F354="","",csv!AO354)</f>
        <v/>
      </c>
      <c r="D359" s="31" t="str">
        <f>IF(csv!F354="","",csv!AP354&amp;"–"&amp;csv!AQ354&amp;"–"&amp;csv!AR354)</f>
        <v/>
      </c>
      <c r="E359" s="66" t="str">
        <f>IF(csv!AV354&amp;csv!AX354&amp;csv!AZ354&amp;csv!BB354&amp;csv!BD354="","",csv!AV354&amp;"–"&amp;csv!AX354&amp;"–"&amp;csv!AZ354&amp;"–"&amp;csv!BB354&amp;"–"&amp;csv!BD354&amp;"–"&amp;csv!BF354&amp;"–"&amp;csv!BH354&amp;"–"&amp;csv!BJ354&amp;"–"&amp;csv!BL354&amp;"–"&amp;csv!BN354&amp;"–"&amp;csv!BP354&amp;"–"&amp;csv!BR354&amp;"–"&amp;csv!BT354&amp;"–"&amp;csv!BV354&amp;"–"&amp;csv!BX354&amp;"–"&amp;csv!BZ354&amp;"–"&amp;csv!CB354&amp;"–"&amp;csv!CD354&amp;"–"&amp;csv!CF354&amp;"–"&amp;csv!CH354&amp;"–"&amp;csv!CJ354&amp;"–"&amp;csv!CL354&amp;"–"&amp;csv!CN354&amp;"–"&amp;csv!CP354&amp;"–"&amp;csv!CR354&amp;"–"&amp;csv!CT354&amp;"–"&amp;csv!CV354&amp;"–"&amp;csv!CX353&amp;"–"&amp;csv!CZ353)</f>
        <v/>
      </c>
      <c r="F359" t="s">
        <v>0</v>
      </c>
      <c r="O359" s="1" t="str">
        <f t="shared" si="28"/>
        <v/>
      </c>
      <c r="X359" t="s">
        <v>0</v>
      </c>
    </row>
    <row r="360" spans="1:24" x14ac:dyDescent="0.25">
      <c r="A360" t="s">
        <v>0</v>
      </c>
      <c r="B360" s="52" t="str">
        <f>IF(csv!F355="","",csv!T355)</f>
        <v/>
      </c>
      <c r="C360" s="31" t="str">
        <f>IF(csv!F355="","",csv!AO355)</f>
        <v/>
      </c>
      <c r="D360" s="31" t="str">
        <f>IF(csv!F355="","",csv!AP355&amp;"–"&amp;csv!AQ355&amp;"–"&amp;csv!AR355)</f>
        <v/>
      </c>
      <c r="E360" s="66" t="str">
        <f>IF(csv!AV355&amp;csv!AX355&amp;csv!AZ355&amp;csv!BB355&amp;csv!BD355="","",csv!AV355&amp;"–"&amp;csv!AX355&amp;"–"&amp;csv!AZ355&amp;"–"&amp;csv!BB355&amp;"–"&amp;csv!BD355&amp;"–"&amp;csv!BF355&amp;"–"&amp;csv!BH355&amp;"–"&amp;csv!BJ355&amp;"–"&amp;csv!BL355&amp;"–"&amp;csv!BN355&amp;"–"&amp;csv!BP355&amp;"–"&amp;csv!BR355&amp;"–"&amp;csv!BT355&amp;"–"&amp;csv!BV355&amp;"–"&amp;csv!BX355&amp;"–"&amp;csv!BZ355&amp;"–"&amp;csv!CB355&amp;"–"&amp;csv!CD355&amp;"–"&amp;csv!CF355&amp;"–"&amp;csv!CH355&amp;"–"&amp;csv!CJ355&amp;"–"&amp;csv!CL355&amp;"–"&amp;csv!CN355&amp;"–"&amp;csv!CP355&amp;"–"&amp;csv!CR355&amp;"–"&amp;csv!CT355&amp;"–"&amp;csv!CV355&amp;"–"&amp;csv!CX354&amp;"–"&amp;csv!CZ354)</f>
        <v/>
      </c>
      <c r="F360" t="s">
        <v>0</v>
      </c>
      <c r="O360" s="1" t="str">
        <f t="shared" si="28"/>
        <v/>
      </c>
      <c r="X360" t="s">
        <v>0</v>
      </c>
    </row>
    <row r="361" spans="1:24" x14ac:dyDescent="0.25">
      <c r="A361" t="s">
        <v>0</v>
      </c>
      <c r="B361" s="52" t="str">
        <f>IF(csv!F356="","",csv!T356)</f>
        <v/>
      </c>
      <c r="C361" s="31" t="str">
        <f>IF(csv!F356="","",csv!AO356)</f>
        <v/>
      </c>
      <c r="D361" s="31" t="str">
        <f>IF(csv!F356="","",csv!AP356&amp;"–"&amp;csv!AQ356&amp;"–"&amp;csv!AR356)</f>
        <v/>
      </c>
      <c r="E361" s="66" t="str">
        <f>IF(csv!AV356&amp;csv!AX356&amp;csv!AZ356&amp;csv!BB356&amp;csv!BD356="","",csv!AV356&amp;"–"&amp;csv!AX356&amp;"–"&amp;csv!AZ356&amp;"–"&amp;csv!BB356&amp;"–"&amp;csv!BD356&amp;"–"&amp;csv!BF356&amp;"–"&amp;csv!BH356&amp;"–"&amp;csv!BJ356&amp;"–"&amp;csv!BL356&amp;"–"&amp;csv!BN356&amp;"–"&amp;csv!BP356&amp;"–"&amp;csv!BR356&amp;"–"&amp;csv!BT356&amp;"–"&amp;csv!BV356&amp;"–"&amp;csv!BX356&amp;"–"&amp;csv!BZ356&amp;"–"&amp;csv!CB356&amp;"–"&amp;csv!CD356&amp;"–"&amp;csv!CF356&amp;"–"&amp;csv!CH356&amp;"–"&amp;csv!CJ356&amp;"–"&amp;csv!CL356&amp;"–"&amp;csv!CN356&amp;"–"&amp;csv!CP356&amp;"–"&amp;csv!CR356&amp;"–"&amp;csv!CT356&amp;"–"&amp;csv!CV356&amp;"–"&amp;csv!CX355&amp;"–"&amp;csv!CZ355)</f>
        <v/>
      </c>
      <c r="F361" t="s">
        <v>0</v>
      </c>
      <c r="O361" s="1" t="str">
        <f t="shared" si="28"/>
        <v/>
      </c>
      <c r="X361" t="s">
        <v>0</v>
      </c>
    </row>
    <row r="362" spans="1:24" x14ac:dyDescent="0.25">
      <c r="A362" t="s">
        <v>0</v>
      </c>
      <c r="B362" s="52" t="str">
        <f>IF(csv!F357="","",csv!T357)</f>
        <v/>
      </c>
      <c r="C362" s="31" t="str">
        <f>IF(csv!F357="","",csv!AO357)</f>
        <v/>
      </c>
      <c r="D362" s="31" t="str">
        <f>IF(csv!F357="","",csv!AP357&amp;"–"&amp;csv!AQ357&amp;"–"&amp;csv!AR357)</f>
        <v/>
      </c>
      <c r="E362" s="66" t="str">
        <f>IF(csv!AV357&amp;csv!AX357&amp;csv!AZ357&amp;csv!BB357&amp;csv!BD357="","",csv!AV357&amp;"–"&amp;csv!AX357&amp;"–"&amp;csv!AZ357&amp;"–"&amp;csv!BB357&amp;"–"&amp;csv!BD357&amp;"–"&amp;csv!BF357&amp;"–"&amp;csv!BH357&amp;"–"&amp;csv!BJ357&amp;"–"&amp;csv!BL357&amp;"–"&amp;csv!BN357&amp;"–"&amp;csv!BP357&amp;"–"&amp;csv!BR357&amp;"–"&amp;csv!BT357&amp;"–"&amp;csv!BV357&amp;"–"&amp;csv!BX357&amp;"–"&amp;csv!BZ357&amp;"–"&amp;csv!CB357&amp;"–"&amp;csv!CD357&amp;"–"&amp;csv!CF357&amp;"–"&amp;csv!CH357&amp;"–"&amp;csv!CJ357&amp;"–"&amp;csv!CL357&amp;"–"&amp;csv!CN357&amp;"–"&amp;csv!CP357&amp;"–"&amp;csv!CR357&amp;"–"&amp;csv!CT357&amp;"–"&amp;csv!CV357&amp;"–"&amp;csv!CX356&amp;"–"&amp;csv!CZ356)</f>
        <v/>
      </c>
      <c r="F362" t="s">
        <v>0</v>
      </c>
      <c r="O362" s="1" t="str">
        <f t="shared" si="28"/>
        <v/>
      </c>
      <c r="X362" t="s">
        <v>0</v>
      </c>
    </row>
    <row r="363" spans="1:24" x14ac:dyDescent="0.25">
      <c r="A363" t="s">
        <v>0</v>
      </c>
      <c r="B363" s="52" t="str">
        <f>IF(csv!F358="","",csv!T358)</f>
        <v/>
      </c>
      <c r="C363" s="31" t="str">
        <f>IF(csv!F358="","",csv!AO358)</f>
        <v/>
      </c>
      <c r="D363" s="31" t="str">
        <f>IF(csv!F358="","",csv!AP358&amp;"–"&amp;csv!AQ358&amp;"–"&amp;csv!AR358)</f>
        <v/>
      </c>
      <c r="E363" s="66" t="str">
        <f>IF(csv!AV358&amp;csv!AX358&amp;csv!AZ358&amp;csv!BB358&amp;csv!BD358="","",csv!AV358&amp;"–"&amp;csv!AX358&amp;"–"&amp;csv!AZ358&amp;"–"&amp;csv!BB358&amp;"–"&amp;csv!BD358&amp;"–"&amp;csv!BF358&amp;"–"&amp;csv!BH358&amp;"–"&amp;csv!BJ358&amp;"–"&amp;csv!BL358&amp;"–"&amp;csv!BN358&amp;"–"&amp;csv!BP358&amp;"–"&amp;csv!BR358&amp;"–"&amp;csv!BT358&amp;"–"&amp;csv!BV358&amp;"–"&amp;csv!BX358&amp;"–"&amp;csv!BZ358&amp;"–"&amp;csv!CB358&amp;"–"&amp;csv!CD358&amp;"–"&amp;csv!CF358&amp;"–"&amp;csv!CH358&amp;"–"&amp;csv!CJ358&amp;"–"&amp;csv!CL358&amp;"–"&amp;csv!CN358&amp;"–"&amp;csv!CP358&amp;"–"&amp;csv!CR358&amp;"–"&amp;csv!CT358&amp;"–"&amp;csv!CV358&amp;"–"&amp;csv!CX357&amp;"–"&amp;csv!CZ357)</f>
        <v/>
      </c>
      <c r="F363" t="s">
        <v>0</v>
      </c>
      <c r="O363" s="1" t="str">
        <f t="shared" si="28"/>
        <v/>
      </c>
      <c r="X363" t="s">
        <v>0</v>
      </c>
    </row>
    <row r="364" spans="1:24" x14ac:dyDescent="0.25">
      <c r="A364" t="s">
        <v>0</v>
      </c>
      <c r="B364" s="52" t="str">
        <f>IF(csv!F359="","",csv!T359)</f>
        <v/>
      </c>
      <c r="C364" s="31" t="str">
        <f>IF(csv!F359="","",csv!AO359)</f>
        <v/>
      </c>
      <c r="D364" s="31" t="str">
        <f>IF(csv!F359="","",csv!AP359&amp;"–"&amp;csv!AQ359&amp;"–"&amp;csv!AR359)</f>
        <v/>
      </c>
      <c r="E364" s="66" t="str">
        <f>IF(csv!AV359&amp;csv!AX359&amp;csv!AZ359&amp;csv!BB359&amp;csv!BD359="","",csv!AV359&amp;"–"&amp;csv!AX359&amp;"–"&amp;csv!AZ359&amp;"–"&amp;csv!BB359&amp;"–"&amp;csv!BD359&amp;"–"&amp;csv!BF359&amp;"–"&amp;csv!BH359&amp;"–"&amp;csv!BJ359&amp;"–"&amp;csv!BL359&amp;"–"&amp;csv!BN359&amp;"–"&amp;csv!BP359&amp;"–"&amp;csv!BR359&amp;"–"&amp;csv!BT359&amp;"–"&amp;csv!BV359&amp;"–"&amp;csv!BX359&amp;"–"&amp;csv!BZ359&amp;"–"&amp;csv!CB359&amp;"–"&amp;csv!CD359&amp;"–"&amp;csv!CF359&amp;"–"&amp;csv!CH359&amp;"–"&amp;csv!CJ359&amp;"–"&amp;csv!CL359&amp;"–"&amp;csv!CN359&amp;"–"&amp;csv!CP359&amp;"–"&amp;csv!CR359&amp;"–"&amp;csv!CT359&amp;"–"&amp;csv!CV359&amp;"–"&amp;csv!CX358&amp;"–"&amp;csv!CZ358)</f>
        <v/>
      </c>
      <c r="F364" t="s">
        <v>0</v>
      </c>
      <c r="O364" s="1" t="str">
        <f t="shared" si="28"/>
        <v/>
      </c>
      <c r="X364" t="s">
        <v>0</v>
      </c>
    </row>
    <row r="365" spans="1:24" x14ac:dyDescent="0.25">
      <c r="A365" t="s">
        <v>0</v>
      </c>
      <c r="B365" s="52" t="str">
        <f>IF(csv!F360="","",csv!T360)</f>
        <v/>
      </c>
      <c r="C365" s="31" t="str">
        <f>IF(csv!F360="","",csv!AO360)</f>
        <v/>
      </c>
      <c r="D365" s="31" t="str">
        <f>IF(csv!F360="","",csv!AP360&amp;"–"&amp;csv!AQ360&amp;"–"&amp;csv!AR360)</f>
        <v/>
      </c>
      <c r="E365" s="66" t="str">
        <f>IF(csv!AV360&amp;csv!AX360&amp;csv!AZ360&amp;csv!BB360&amp;csv!BD360="","",csv!AV360&amp;"–"&amp;csv!AX360&amp;"–"&amp;csv!AZ360&amp;"–"&amp;csv!BB360&amp;"–"&amp;csv!BD360&amp;"–"&amp;csv!BF360&amp;"–"&amp;csv!BH360&amp;"–"&amp;csv!BJ360&amp;"–"&amp;csv!BL360&amp;"–"&amp;csv!BN360&amp;"–"&amp;csv!BP360&amp;"–"&amp;csv!BR360&amp;"–"&amp;csv!BT360&amp;"–"&amp;csv!BV360&amp;"–"&amp;csv!BX360&amp;"–"&amp;csv!BZ360&amp;"–"&amp;csv!CB360&amp;"–"&amp;csv!CD360&amp;"–"&amp;csv!CF360&amp;"–"&amp;csv!CH360&amp;"–"&amp;csv!CJ360&amp;"–"&amp;csv!CL360&amp;"–"&amp;csv!CN360&amp;"–"&amp;csv!CP360&amp;"–"&amp;csv!CR360&amp;"–"&amp;csv!CT360&amp;"–"&amp;csv!CV360&amp;"–"&amp;csv!CX359&amp;"–"&amp;csv!CZ359)</f>
        <v/>
      </c>
      <c r="F365" t="s">
        <v>0</v>
      </c>
      <c r="O365" s="1" t="str">
        <f t="shared" si="28"/>
        <v/>
      </c>
      <c r="X365" t="s">
        <v>0</v>
      </c>
    </row>
    <row r="366" spans="1:24" x14ac:dyDescent="0.25">
      <c r="A366" t="s">
        <v>0</v>
      </c>
      <c r="B366" s="52" t="str">
        <f>IF(csv!F361="","",csv!T361)</f>
        <v/>
      </c>
      <c r="C366" s="31" t="str">
        <f>IF(csv!F361="","",csv!AO361)</f>
        <v/>
      </c>
      <c r="D366" s="31" t="str">
        <f>IF(csv!F361="","",csv!AP361&amp;"–"&amp;csv!AQ361&amp;"–"&amp;csv!AR361)</f>
        <v/>
      </c>
      <c r="E366" s="66" t="str">
        <f>IF(csv!AV361&amp;csv!AX361&amp;csv!AZ361&amp;csv!BB361&amp;csv!BD361="","",csv!AV361&amp;"–"&amp;csv!AX361&amp;"–"&amp;csv!AZ361&amp;"–"&amp;csv!BB361&amp;"–"&amp;csv!BD361&amp;"–"&amp;csv!BF361&amp;"–"&amp;csv!BH361&amp;"–"&amp;csv!BJ361&amp;"–"&amp;csv!BL361&amp;"–"&amp;csv!BN361&amp;"–"&amp;csv!BP361&amp;"–"&amp;csv!BR361&amp;"–"&amp;csv!BT361&amp;"–"&amp;csv!BV361&amp;"–"&amp;csv!BX361&amp;"–"&amp;csv!BZ361&amp;"–"&amp;csv!CB361&amp;"–"&amp;csv!CD361&amp;"–"&amp;csv!CF361&amp;"–"&amp;csv!CH361&amp;"–"&amp;csv!CJ361&amp;"–"&amp;csv!CL361&amp;"–"&amp;csv!CN361&amp;"–"&amp;csv!CP361&amp;"–"&amp;csv!CR361&amp;"–"&amp;csv!CT361&amp;"–"&amp;csv!CV361&amp;"–"&amp;csv!CX360&amp;"–"&amp;csv!CZ360)</f>
        <v/>
      </c>
      <c r="F366" t="s">
        <v>0</v>
      </c>
      <c r="O366" s="1" t="str">
        <f t="shared" si="28"/>
        <v/>
      </c>
      <c r="X366" t="s">
        <v>0</v>
      </c>
    </row>
    <row r="367" spans="1:24" x14ac:dyDescent="0.25">
      <c r="A367" t="s">
        <v>0</v>
      </c>
      <c r="B367" s="52" t="str">
        <f>IF(csv!F362="","",csv!T362)</f>
        <v/>
      </c>
      <c r="C367" s="31" t="str">
        <f>IF(csv!F362="","",csv!AO362)</f>
        <v/>
      </c>
      <c r="D367" s="31" t="str">
        <f>IF(csv!F362="","",csv!AP362&amp;"–"&amp;csv!AQ362&amp;"–"&amp;csv!AR362)</f>
        <v/>
      </c>
      <c r="E367" s="66" t="str">
        <f>IF(csv!AV362&amp;csv!AX362&amp;csv!AZ362&amp;csv!BB362&amp;csv!BD362="","",csv!AV362&amp;"–"&amp;csv!AX362&amp;"–"&amp;csv!AZ362&amp;"–"&amp;csv!BB362&amp;"–"&amp;csv!BD362&amp;"–"&amp;csv!BF362&amp;"–"&amp;csv!BH362&amp;"–"&amp;csv!BJ362&amp;"–"&amp;csv!BL362&amp;"–"&amp;csv!BN362&amp;"–"&amp;csv!BP362&amp;"–"&amp;csv!BR362&amp;"–"&amp;csv!BT362&amp;"–"&amp;csv!BV362&amp;"–"&amp;csv!BX362&amp;"–"&amp;csv!BZ362&amp;"–"&amp;csv!CB362&amp;"–"&amp;csv!CD362&amp;"–"&amp;csv!CF362&amp;"–"&amp;csv!CH362&amp;"–"&amp;csv!CJ362&amp;"–"&amp;csv!CL362&amp;"–"&amp;csv!CN362&amp;"–"&amp;csv!CP362&amp;"–"&amp;csv!CR362&amp;"–"&amp;csv!CT362&amp;"–"&amp;csv!CV362&amp;"–"&amp;csv!CX361&amp;"–"&amp;csv!CZ361)</f>
        <v/>
      </c>
      <c r="F367" t="s">
        <v>0</v>
      </c>
      <c r="O367" s="1" t="str">
        <f t="shared" si="28"/>
        <v/>
      </c>
      <c r="X367" t="s">
        <v>0</v>
      </c>
    </row>
    <row r="368" spans="1:24" x14ac:dyDescent="0.25">
      <c r="A368" t="s">
        <v>0</v>
      </c>
      <c r="B368" s="52" t="str">
        <f>IF(csv!F363="","",csv!T363)</f>
        <v/>
      </c>
      <c r="C368" s="31" t="str">
        <f>IF(csv!F363="","",csv!AO363)</f>
        <v/>
      </c>
      <c r="D368" s="31" t="str">
        <f>IF(csv!F363="","",csv!AP363&amp;"–"&amp;csv!AQ363&amp;"–"&amp;csv!AR363)</f>
        <v/>
      </c>
      <c r="E368" s="66" t="str">
        <f>IF(csv!AV363&amp;csv!AX363&amp;csv!AZ363&amp;csv!BB363&amp;csv!BD363="","",csv!AV363&amp;"–"&amp;csv!AX363&amp;"–"&amp;csv!AZ363&amp;"–"&amp;csv!BB363&amp;"–"&amp;csv!BD363&amp;"–"&amp;csv!BF363&amp;"–"&amp;csv!BH363&amp;"–"&amp;csv!BJ363&amp;"–"&amp;csv!BL363&amp;"–"&amp;csv!BN363&amp;"–"&amp;csv!BP363&amp;"–"&amp;csv!BR363&amp;"–"&amp;csv!BT363&amp;"–"&amp;csv!BV363&amp;"–"&amp;csv!BX363&amp;"–"&amp;csv!BZ363&amp;"–"&amp;csv!CB363&amp;"–"&amp;csv!CD363&amp;"–"&amp;csv!CF363&amp;"–"&amp;csv!CH363&amp;"–"&amp;csv!CJ363&amp;"–"&amp;csv!CL363&amp;"–"&amp;csv!CN363&amp;"–"&amp;csv!CP363&amp;"–"&amp;csv!CR363&amp;"–"&amp;csv!CT363&amp;"–"&amp;csv!CV363&amp;"–"&amp;csv!CX362&amp;"–"&amp;csv!CZ362)</f>
        <v/>
      </c>
      <c r="F368" t="s">
        <v>0</v>
      </c>
      <c r="O368" s="1" t="str">
        <f t="shared" si="28"/>
        <v/>
      </c>
      <c r="X368" t="s">
        <v>0</v>
      </c>
    </row>
    <row r="369" spans="1:24" x14ac:dyDescent="0.25">
      <c r="A369" t="s">
        <v>0</v>
      </c>
      <c r="B369" s="52" t="str">
        <f>IF(csv!F364="","",csv!T364)</f>
        <v/>
      </c>
      <c r="C369" s="31" t="str">
        <f>IF(csv!F364="","",csv!AO364)</f>
        <v/>
      </c>
      <c r="D369" s="31" t="str">
        <f>IF(csv!F364="","",csv!AP364&amp;"–"&amp;csv!AQ364&amp;"–"&amp;csv!AR364)</f>
        <v/>
      </c>
      <c r="E369" s="66" t="str">
        <f>IF(csv!AV364&amp;csv!AX364&amp;csv!AZ364&amp;csv!BB364&amp;csv!BD364="","",csv!AV364&amp;"–"&amp;csv!AX364&amp;"–"&amp;csv!AZ364&amp;"–"&amp;csv!BB364&amp;"–"&amp;csv!BD364&amp;"–"&amp;csv!BF364&amp;"–"&amp;csv!BH364&amp;"–"&amp;csv!BJ364&amp;"–"&amp;csv!BL364&amp;"–"&amp;csv!BN364&amp;"–"&amp;csv!BP364&amp;"–"&amp;csv!BR364&amp;"–"&amp;csv!BT364&amp;"–"&amp;csv!BV364&amp;"–"&amp;csv!BX364&amp;"–"&amp;csv!BZ364&amp;"–"&amp;csv!CB364&amp;"–"&amp;csv!CD364&amp;"–"&amp;csv!CF364&amp;"–"&amp;csv!CH364&amp;"–"&amp;csv!CJ364&amp;"–"&amp;csv!CL364&amp;"–"&amp;csv!CN364&amp;"–"&amp;csv!CP364&amp;"–"&amp;csv!CR364&amp;"–"&amp;csv!CT364&amp;"–"&amp;csv!CV364&amp;"–"&amp;csv!CX363&amp;"–"&amp;csv!CZ363)</f>
        <v/>
      </c>
      <c r="F369" t="s">
        <v>0</v>
      </c>
      <c r="O369" s="1" t="str">
        <f t="shared" si="28"/>
        <v/>
      </c>
      <c r="X369" t="s">
        <v>0</v>
      </c>
    </row>
    <row r="370" spans="1:24" x14ac:dyDescent="0.25">
      <c r="A370" t="s">
        <v>0</v>
      </c>
      <c r="B370" s="52" t="str">
        <f>IF(csv!F365="","",csv!T365)</f>
        <v/>
      </c>
      <c r="C370" s="31" t="str">
        <f>IF(csv!F365="","",csv!AO365)</f>
        <v/>
      </c>
      <c r="D370" s="31" t="str">
        <f>IF(csv!F365="","",csv!AP365&amp;"–"&amp;csv!AQ365&amp;"–"&amp;csv!AR365)</f>
        <v/>
      </c>
      <c r="E370" s="66" t="str">
        <f>IF(csv!AV365&amp;csv!AX365&amp;csv!AZ365&amp;csv!BB365&amp;csv!BD365="","",csv!AV365&amp;"–"&amp;csv!AX365&amp;"–"&amp;csv!AZ365&amp;"–"&amp;csv!BB365&amp;"–"&amp;csv!BD365&amp;"–"&amp;csv!BF365&amp;"–"&amp;csv!BH365&amp;"–"&amp;csv!BJ365&amp;"–"&amp;csv!BL365&amp;"–"&amp;csv!BN365&amp;"–"&amp;csv!BP365&amp;"–"&amp;csv!BR365&amp;"–"&amp;csv!BT365&amp;"–"&amp;csv!BV365&amp;"–"&amp;csv!BX365&amp;"–"&amp;csv!BZ365&amp;"–"&amp;csv!CB365&amp;"–"&amp;csv!CD365&amp;"–"&amp;csv!CF365&amp;"–"&amp;csv!CH365&amp;"–"&amp;csv!CJ365&amp;"–"&amp;csv!CL365&amp;"–"&amp;csv!CN365&amp;"–"&amp;csv!CP365&amp;"–"&amp;csv!CR365&amp;"–"&amp;csv!CT365&amp;"–"&amp;csv!CV365&amp;"–"&amp;csv!CX364&amp;"–"&amp;csv!CZ364)</f>
        <v/>
      </c>
      <c r="F370" t="s">
        <v>0</v>
      </c>
      <c r="O370" s="1" t="str">
        <f t="shared" si="28"/>
        <v/>
      </c>
      <c r="X370" t="s">
        <v>0</v>
      </c>
    </row>
    <row r="371" spans="1:24" x14ac:dyDescent="0.25">
      <c r="A371" t="s">
        <v>0</v>
      </c>
      <c r="B371" s="52" t="str">
        <f>IF(csv!F366="","",csv!T366)</f>
        <v/>
      </c>
      <c r="C371" s="31" t="str">
        <f>IF(csv!F366="","",csv!AO366)</f>
        <v/>
      </c>
      <c r="D371" s="31" t="str">
        <f>IF(csv!F366="","",csv!AP366&amp;"–"&amp;csv!AQ366&amp;"–"&amp;csv!AR366)</f>
        <v/>
      </c>
      <c r="E371" s="66" t="str">
        <f>IF(csv!AV366&amp;csv!AX366&amp;csv!AZ366&amp;csv!BB366&amp;csv!BD366="","",csv!AV366&amp;"–"&amp;csv!AX366&amp;"–"&amp;csv!AZ366&amp;"–"&amp;csv!BB366&amp;"–"&amp;csv!BD366&amp;"–"&amp;csv!BF366&amp;"–"&amp;csv!BH366&amp;"–"&amp;csv!BJ366&amp;"–"&amp;csv!BL366&amp;"–"&amp;csv!BN366&amp;"–"&amp;csv!BP366&amp;"–"&amp;csv!BR366&amp;"–"&amp;csv!BT366&amp;"–"&amp;csv!BV366&amp;"–"&amp;csv!BX366&amp;"–"&amp;csv!BZ366&amp;"–"&amp;csv!CB366&amp;"–"&amp;csv!CD366&amp;"–"&amp;csv!CF366&amp;"–"&amp;csv!CH366&amp;"–"&amp;csv!CJ366&amp;"–"&amp;csv!CL366&amp;"–"&amp;csv!CN366&amp;"–"&amp;csv!CP366&amp;"–"&amp;csv!CR366&amp;"–"&amp;csv!CT366&amp;"–"&amp;csv!CV366&amp;"–"&amp;csv!CX365&amp;"–"&amp;csv!CZ365)</f>
        <v/>
      </c>
      <c r="F371" t="s">
        <v>0</v>
      </c>
      <c r="O371" s="1" t="str">
        <f t="shared" si="28"/>
        <v/>
      </c>
      <c r="X371" t="s">
        <v>0</v>
      </c>
    </row>
    <row r="372" spans="1:24" x14ac:dyDescent="0.25">
      <c r="A372" t="s">
        <v>0</v>
      </c>
      <c r="B372" s="52" t="str">
        <f>IF(csv!F367="","",csv!T367)</f>
        <v/>
      </c>
      <c r="C372" s="31" t="str">
        <f>IF(csv!F367="","",csv!AO367)</f>
        <v/>
      </c>
      <c r="D372" s="31" t="str">
        <f>IF(csv!F367="","",csv!AP367&amp;"–"&amp;csv!AQ367&amp;"–"&amp;csv!AR367)</f>
        <v/>
      </c>
      <c r="E372" s="66" t="str">
        <f>IF(csv!AV367&amp;csv!AX367&amp;csv!AZ367&amp;csv!BB367&amp;csv!BD367="","",csv!AV367&amp;"–"&amp;csv!AX367&amp;"–"&amp;csv!AZ367&amp;"–"&amp;csv!BB367&amp;"–"&amp;csv!BD367&amp;"–"&amp;csv!BF367&amp;"–"&amp;csv!BH367&amp;"–"&amp;csv!BJ367&amp;"–"&amp;csv!BL367&amp;"–"&amp;csv!BN367&amp;"–"&amp;csv!BP367&amp;"–"&amp;csv!BR367&amp;"–"&amp;csv!BT367&amp;"–"&amp;csv!BV367&amp;"–"&amp;csv!BX367&amp;"–"&amp;csv!BZ367&amp;"–"&amp;csv!CB367&amp;"–"&amp;csv!CD367&amp;"–"&amp;csv!CF367&amp;"–"&amp;csv!CH367&amp;"–"&amp;csv!CJ367&amp;"–"&amp;csv!CL367&amp;"–"&amp;csv!CN367&amp;"–"&amp;csv!CP367&amp;"–"&amp;csv!CR367&amp;"–"&amp;csv!CT367&amp;"–"&amp;csv!CV367&amp;"–"&amp;csv!CX366&amp;"–"&amp;csv!CZ366)</f>
        <v/>
      </c>
      <c r="F372" t="s">
        <v>0</v>
      </c>
      <c r="O372" s="1" t="str">
        <f t="shared" si="28"/>
        <v/>
      </c>
      <c r="X372" t="s">
        <v>0</v>
      </c>
    </row>
    <row r="373" spans="1:24" x14ac:dyDescent="0.25">
      <c r="A373" t="s">
        <v>0</v>
      </c>
      <c r="B373" s="52" t="str">
        <f>IF(csv!F368="","",csv!T368)</f>
        <v/>
      </c>
      <c r="C373" s="31" t="str">
        <f>IF(csv!F368="","",csv!AO368)</f>
        <v/>
      </c>
      <c r="D373" s="31" t="str">
        <f>IF(csv!F368="","",csv!AP368&amp;"–"&amp;csv!AQ368&amp;"–"&amp;csv!AR368)</f>
        <v/>
      </c>
      <c r="E373" s="66" t="str">
        <f>IF(csv!AV368&amp;csv!AX368&amp;csv!AZ368&amp;csv!BB368&amp;csv!BD368="","",csv!AV368&amp;"–"&amp;csv!AX368&amp;"–"&amp;csv!AZ368&amp;"–"&amp;csv!BB368&amp;"–"&amp;csv!BD368&amp;"–"&amp;csv!BF368&amp;"–"&amp;csv!BH368&amp;"–"&amp;csv!BJ368&amp;"–"&amp;csv!BL368&amp;"–"&amp;csv!BN368&amp;"–"&amp;csv!BP368&amp;"–"&amp;csv!BR368&amp;"–"&amp;csv!BT368&amp;"–"&amp;csv!BV368&amp;"–"&amp;csv!BX368&amp;"–"&amp;csv!BZ368&amp;"–"&amp;csv!CB368&amp;"–"&amp;csv!CD368&amp;"–"&amp;csv!CF368&amp;"–"&amp;csv!CH368&amp;"–"&amp;csv!CJ368&amp;"–"&amp;csv!CL368&amp;"–"&amp;csv!CN368&amp;"–"&amp;csv!CP368&amp;"–"&amp;csv!CR368&amp;"–"&amp;csv!CT368&amp;"–"&amp;csv!CV368&amp;"–"&amp;csv!CX367&amp;"–"&amp;csv!CZ367)</f>
        <v/>
      </c>
      <c r="F373" t="s">
        <v>0</v>
      </c>
      <c r="O373" s="1" t="str">
        <f t="shared" si="28"/>
        <v/>
      </c>
      <c r="X373" t="s">
        <v>0</v>
      </c>
    </row>
    <row r="374" spans="1:24" x14ac:dyDescent="0.25">
      <c r="A374" t="s">
        <v>0</v>
      </c>
      <c r="B374" s="52" t="str">
        <f>IF(csv!F369="","",csv!T369)</f>
        <v/>
      </c>
      <c r="C374" s="31" t="str">
        <f>IF(csv!F369="","",csv!AO369)</f>
        <v/>
      </c>
      <c r="D374" s="31" t="str">
        <f>IF(csv!F369="","",csv!AP369&amp;"–"&amp;csv!AQ369&amp;"–"&amp;csv!AR369)</f>
        <v/>
      </c>
      <c r="E374" s="66" t="str">
        <f>IF(csv!AV369&amp;csv!AX369&amp;csv!AZ369&amp;csv!BB369&amp;csv!BD369="","",csv!AV369&amp;"–"&amp;csv!AX369&amp;"–"&amp;csv!AZ369&amp;"–"&amp;csv!BB369&amp;"–"&amp;csv!BD369&amp;"–"&amp;csv!BF369&amp;"–"&amp;csv!BH369&amp;"–"&amp;csv!BJ369&amp;"–"&amp;csv!BL369&amp;"–"&amp;csv!BN369&amp;"–"&amp;csv!BP369&amp;"–"&amp;csv!BR369&amp;"–"&amp;csv!BT369&amp;"–"&amp;csv!BV369&amp;"–"&amp;csv!BX369&amp;"–"&amp;csv!BZ369&amp;"–"&amp;csv!CB369&amp;"–"&amp;csv!CD369&amp;"–"&amp;csv!CF369&amp;"–"&amp;csv!CH369&amp;"–"&amp;csv!CJ369&amp;"–"&amp;csv!CL369&amp;"–"&amp;csv!CN369&amp;"–"&amp;csv!CP369&amp;"–"&amp;csv!CR369&amp;"–"&amp;csv!CT369&amp;"–"&amp;csv!CV369&amp;"–"&amp;csv!CX368&amp;"–"&amp;csv!CZ368)</f>
        <v/>
      </c>
      <c r="F374" t="s">
        <v>0</v>
      </c>
      <c r="O374" s="1" t="str">
        <f t="shared" si="28"/>
        <v/>
      </c>
      <c r="X374" t="s">
        <v>0</v>
      </c>
    </row>
    <row r="375" spans="1:24" x14ac:dyDescent="0.25">
      <c r="A375" t="s">
        <v>0</v>
      </c>
      <c r="B375" s="52" t="str">
        <f>IF(csv!F370="","",csv!T370)</f>
        <v/>
      </c>
      <c r="C375" s="31" t="str">
        <f>IF(csv!F370="","",csv!AO370)</f>
        <v/>
      </c>
      <c r="D375" s="31" t="str">
        <f>IF(csv!F370="","",csv!AP370&amp;"–"&amp;csv!AQ370&amp;"–"&amp;csv!AR370)</f>
        <v/>
      </c>
      <c r="E375" s="66" t="str">
        <f>IF(csv!AV370&amp;csv!AX370&amp;csv!AZ370&amp;csv!BB370&amp;csv!BD370="","",csv!AV370&amp;"–"&amp;csv!AX370&amp;"–"&amp;csv!AZ370&amp;"–"&amp;csv!BB370&amp;"–"&amp;csv!BD370&amp;"–"&amp;csv!BF370&amp;"–"&amp;csv!BH370&amp;"–"&amp;csv!BJ370&amp;"–"&amp;csv!BL370&amp;"–"&amp;csv!BN370&amp;"–"&amp;csv!BP370&amp;"–"&amp;csv!BR370&amp;"–"&amp;csv!BT370&amp;"–"&amp;csv!BV370&amp;"–"&amp;csv!BX370&amp;"–"&amp;csv!BZ370&amp;"–"&amp;csv!CB370&amp;"–"&amp;csv!CD370&amp;"–"&amp;csv!CF370&amp;"–"&amp;csv!CH370&amp;"–"&amp;csv!CJ370&amp;"–"&amp;csv!CL370&amp;"–"&amp;csv!CN370&amp;"–"&amp;csv!CP370&amp;"–"&amp;csv!CR370&amp;"–"&amp;csv!CT370&amp;"–"&amp;csv!CV370&amp;"–"&amp;csv!CX369&amp;"–"&amp;csv!CZ369)</f>
        <v/>
      </c>
      <c r="F375" t="s">
        <v>0</v>
      </c>
      <c r="O375" s="1" t="str">
        <f t="shared" si="28"/>
        <v/>
      </c>
      <c r="X375" t="s">
        <v>0</v>
      </c>
    </row>
    <row r="376" spans="1:24" x14ac:dyDescent="0.25">
      <c r="A376" t="s">
        <v>0</v>
      </c>
      <c r="B376" s="52" t="str">
        <f>IF(csv!F371="","",csv!T371)</f>
        <v/>
      </c>
      <c r="C376" s="31" t="str">
        <f>IF(csv!F371="","",csv!AO371)</f>
        <v/>
      </c>
      <c r="D376" s="31" t="str">
        <f>IF(csv!F371="","",csv!AP371&amp;"–"&amp;csv!AQ371&amp;"–"&amp;csv!AR371)</f>
        <v/>
      </c>
      <c r="E376" s="66" t="str">
        <f>IF(csv!AV371&amp;csv!AX371&amp;csv!AZ371&amp;csv!BB371&amp;csv!BD371="","",csv!AV371&amp;"–"&amp;csv!AX371&amp;"–"&amp;csv!AZ371&amp;"–"&amp;csv!BB371&amp;"–"&amp;csv!BD371&amp;"–"&amp;csv!BF371&amp;"–"&amp;csv!BH371&amp;"–"&amp;csv!BJ371&amp;"–"&amp;csv!BL371&amp;"–"&amp;csv!BN371&amp;"–"&amp;csv!BP371&amp;"–"&amp;csv!BR371&amp;"–"&amp;csv!BT371&amp;"–"&amp;csv!BV371&amp;"–"&amp;csv!BX371&amp;"–"&amp;csv!BZ371&amp;"–"&amp;csv!CB371&amp;"–"&amp;csv!CD371&amp;"–"&amp;csv!CF371&amp;"–"&amp;csv!CH371&amp;"–"&amp;csv!CJ371&amp;"–"&amp;csv!CL371&amp;"–"&amp;csv!CN371&amp;"–"&amp;csv!CP371&amp;"–"&amp;csv!CR371&amp;"–"&amp;csv!CT371&amp;"–"&amp;csv!CV371&amp;"–"&amp;csv!CX370&amp;"–"&amp;csv!CZ370)</f>
        <v/>
      </c>
      <c r="F376" t="s">
        <v>0</v>
      </c>
      <c r="O376" s="1" t="str">
        <f t="shared" si="28"/>
        <v/>
      </c>
      <c r="X376" t="s">
        <v>0</v>
      </c>
    </row>
    <row r="377" spans="1:24" x14ac:dyDescent="0.25">
      <c r="A377" t="s">
        <v>0</v>
      </c>
      <c r="B377" s="52" t="str">
        <f>IF(csv!F372="","",csv!T372)</f>
        <v/>
      </c>
      <c r="C377" s="31" t="str">
        <f>IF(csv!F372="","",csv!AO372)</f>
        <v/>
      </c>
      <c r="D377" s="31" t="str">
        <f>IF(csv!F372="","",csv!AP372&amp;"–"&amp;csv!AQ372&amp;"–"&amp;csv!AR372)</f>
        <v/>
      </c>
      <c r="E377" s="66" t="str">
        <f>IF(csv!AV372&amp;csv!AX372&amp;csv!AZ372&amp;csv!BB372&amp;csv!BD372="","",csv!AV372&amp;"–"&amp;csv!AX372&amp;"–"&amp;csv!AZ372&amp;"–"&amp;csv!BB372&amp;"–"&amp;csv!BD372&amp;"–"&amp;csv!BF372&amp;"–"&amp;csv!BH372&amp;"–"&amp;csv!BJ372&amp;"–"&amp;csv!BL372&amp;"–"&amp;csv!BN372&amp;"–"&amp;csv!BP372&amp;"–"&amp;csv!BR372&amp;"–"&amp;csv!BT372&amp;"–"&amp;csv!BV372&amp;"–"&amp;csv!BX372&amp;"–"&amp;csv!BZ372&amp;"–"&amp;csv!CB372&amp;"–"&amp;csv!CD372&amp;"–"&amp;csv!CF372&amp;"–"&amp;csv!CH372&amp;"–"&amp;csv!CJ372&amp;"–"&amp;csv!CL372&amp;"–"&amp;csv!CN372&amp;"–"&amp;csv!CP372&amp;"–"&amp;csv!CR372&amp;"–"&amp;csv!CT372&amp;"–"&amp;csv!CV372&amp;"–"&amp;csv!CX371&amp;"–"&amp;csv!CZ371)</f>
        <v/>
      </c>
      <c r="F377" t="s">
        <v>0</v>
      </c>
      <c r="O377" s="1" t="str">
        <f t="shared" si="28"/>
        <v/>
      </c>
      <c r="X377" t="s">
        <v>0</v>
      </c>
    </row>
    <row r="378" spans="1:24" x14ac:dyDescent="0.25">
      <c r="A378" t="s">
        <v>0</v>
      </c>
      <c r="B378" s="52" t="str">
        <f>IF(csv!F373="","",csv!T373)</f>
        <v/>
      </c>
      <c r="C378" s="31" t="str">
        <f>IF(csv!F373="","",csv!AO373)</f>
        <v/>
      </c>
      <c r="D378" s="31" t="str">
        <f>IF(csv!F373="","",csv!AP373&amp;"–"&amp;csv!AQ373&amp;"–"&amp;csv!AR373)</f>
        <v/>
      </c>
      <c r="E378" s="66" t="str">
        <f>IF(csv!AV373&amp;csv!AX373&amp;csv!AZ373&amp;csv!BB373&amp;csv!BD373="","",csv!AV373&amp;"–"&amp;csv!AX373&amp;"–"&amp;csv!AZ373&amp;"–"&amp;csv!BB373&amp;"–"&amp;csv!BD373&amp;"–"&amp;csv!BF373&amp;"–"&amp;csv!BH373&amp;"–"&amp;csv!BJ373&amp;"–"&amp;csv!BL373&amp;"–"&amp;csv!BN373&amp;"–"&amp;csv!BP373&amp;"–"&amp;csv!BR373&amp;"–"&amp;csv!BT373&amp;"–"&amp;csv!BV373&amp;"–"&amp;csv!BX373&amp;"–"&amp;csv!BZ373&amp;"–"&amp;csv!CB373&amp;"–"&amp;csv!CD373&amp;"–"&amp;csv!CF373&amp;"–"&amp;csv!CH373&amp;"–"&amp;csv!CJ373&amp;"–"&amp;csv!CL373&amp;"–"&amp;csv!CN373&amp;"–"&amp;csv!CP373&amp;"–"&amp;csv!CR373&amp;"–"&amp;csv!CT373&amp;"–"&amp;csv!CV373&amp;"–"&amp;csv!CX372&amp;"–"&amp;csv!CZ372)</f>
        <v/>
      </c>
      <c r="F378" t="s">
        <v>0</v>
      </c>
      <c r="O378" s="1" t="str">
        <f t="shared" si="28"/>
        <v/>
      </c>
      <c r="X378" t="s">
        <v>0</v>
      </c>
    </row>
    <row r="379" spans="1:24" x14ac:dyDescent="0.25">
      <c r="A379" t="s">
        <v>0</v>
      </c>
      <c r="B379" s="52" t="str">
        <f>IF(csv!F374="","",csv!T374)</f>
        <v/>
      </c>
      <c r="C379" s="31" t="str">
        <f>IF(csv!F374="","",csv!AO374)</f>
        <v/>
      </c>
      <c r="D379" s="31" t="str">
        <f>IF(csv!F374="","",csv!AP374&amp;"–"&amp;csv!AQ374&amp;"–"&amp;csv!AR374)</f>
        <v/>
      </c>
      <c r="E379" s="66" t="str">
        <f>IF(csv!AV374&amp;csv!AX374&amp;csv!AZ374&amp;csv!BB374&amp;csv!BD374="","",csv!AV374&amp;"–"&amp;csv!AX374&amp;"–"&amp;csv!AZ374&amp;"–"&amp;csv!BB374&amp;"–"&amp;csv!BD374&amp;"–"&amp;csv!BF374&amp;"–"&amp;csv!BH374&amp;"–"&amp;csv!BJ374&amp;"–"&amp;csv!BL374&amp;"–"&amp;csv!BN374&amp;"–"&amp;csv!BP374&amp;"–"&amp;csv!BR374&amp;"–"&amp;csv!BT374&amp;"–"&amp;csv!BV374&amp;"–"&amp;csv!BX374&amp;"–"&amp;csv!BZ374&amp;"–"&amp;csv!CB374&amp;"–"&amp;csv!CD374&amp;"–"&amp;csv!CF374&amp;"–"&amp;csv!CH374&amp;"–"&amp;csv!CJ374&amp;"–"&amp;csv!CL374&amp;"–"&amp;csv!CN374&amp;"–"&amp;csv!CP374&amp;"–"&amp;csv!CR374&amp;"–"&amp;csv!CT374&amp;"–"&amp;csv!CV374&amp;"–"&amp;csv!CX373&amp;"–"&amp;csv!CZ373)</f>
        <v/>
      </c>
      <c r="F379" t="s">
        <v>0</v>
      </c>
      <c r="O379" s="1" t="str">
        <f t="shared" si="28"/>
        <v/>
      </c>
      <c r="X379" t="s">
        <v>0</v>
      </c>
    </row>
    <row r="380" spans="1:24" x14ac:dyDescent="0.25">
      <c r="A380" t="s">
        <v>0</v>
      </c>
      <c r="B380" s="52" t="str">
        <f>IF(csv!F375="","",csv!T375)</f>
        <v/>
      </c>
      <c r="C380" s="31" t="str">
        <f>IF(csv!F375="","",csv!AO375)</f>
        <v/>
      </c>
      <c r="D380" s="31" t="str">
        <f>IF(csv!F375="","",csv!AP375&amp;"–"&amp;csv!AQ375&amp;"–"&amp;csv!AR375)</f>
        <v/>
      </c>
      <c r="E380" s="66" t="str">
        <f>IF(csv!AV375&amp;csv!AX375&amp;csv!AZ375&amp;csv!BB375&amp;csv!BD375="","",csv!AV375&amp;"–"&amp;csv!AX375&amp;"–"&amp;csv!AZ375&amp;"–"&amp;csv!BB375&amp;"–"&amp;csv!BD375&amp;"–"&amp;csv!BF375&amp;"–"&amp;csv!BH375&amp;"–"&amp;csv!BJ375&amp;"–"&amp;csv!BL375&amp;"–"&amp;csv!BN375&amp;"–"&amp;csv!BP375&amp;"–"&amp;csv!BR375&amp;"–"&amp;csv!BT375&amp;"–"&amp;csv!BV375&amp;"–"&amp;csv!BX375&amp;"–"&amp;csv!BZ375&amp;"–"&amp;csv!CB375&amp;"–"&amp;csv!CD375&amp;"–"&amp;csv!CF375&amp;"–"&amp;csv!CH375&amp;"–"&amp;csv!CJ375&amp;"–"&amp;csv!CL375&amp;"–"&amp;csv!CN375&amp;"–"&amp;csv!CP375&amp;"–"&amp;csv!CR375&amp;"–"&amp;csv!CT375&amp;"–"&amp;csv!CV375&amp;"–"&amp;csv!CX374&amp;"–"&amp;csv!CZ374)</f>
        <v/>
      </c>
      <c r="F380" t="s">
        <v>0</v>
      </c>
      <c r="O380" s="1" t="str">
        <f t="shared" si="28"/>
        <v/>
      </c>
      <c r="X380" t="s">
        <v>0</v>
      </c>
    </row>
    <row r="381" spans="1:24" x14ac:dyDescent="0.25">
      <c r="A381" t="s">
        <v>0</v>
      </c>
      <c r="B381" s="52" t="str">
        <f>IF(csv!F376="","",csv!T376)</f>
        <v/>
      </c>
      <c r="C381" s="31" t="str">
        <f>IF(csv!F376="","",csv!AO376)</f>
        <v/>
      </c>
      <c r="D381" s="31" t="str">
        <f>IF(csv!F376="","",csv!AP376&amp;"–"&amp;csv!AQ376&amp;"–"&amp;csv!AR376)</f>
        <v/>
      </c>
      <c r="E381" s="66" t="str">
        <f>IF(csv!AV376&amp;csv!AX376&amp;csv!AZ376&amp;csv!BB376&amp;csv!BD376="","",csv!AV376&amp;"–"&amp;csv!AX376&amp;"–"&amp;csv!AZ376&amp;"–"&amp;csv!BB376&amp;"–"&amp;csv!BD376&amp;"–"&amp;csv!BF376&amp;"–"&amp;csv!BH376&amp;"–"&amp;csv!BJ376&amp;"–"&amp;csv!BL376&amp;"–"&amp;csv!BN376&amp;"–"&amp;csv!BP376&amp;"–"&amp;csv!BR376&amp;"–"&amp;csv!BT376&amp;"–"&amp;csv!BV376&amp;"–"&amp;csv!BX376&amp;"–"&amp;csv!BZ376&amp;"–"&amp;csv!CB376&amp;"–"&amp;csv!CD376&amp;"–"&amp;csv!CF376&amp;"–"&amp;csv!CH376&amp;"–"&amp;csv!CJ376&amp;"–"&amp;csv!CL376&amp;"–"&amp;csv!CN376&amp;"–"&amp;csv!CP376&amp;"–"&amp;csv!CR376&amp;"–"&amp;csv!CT376&amp;"–"&amp;csv!CV376&amp;"–"&amp;csv!CX375&amp;"–"&amp;csv!CZ375)</f>
        <v/>
      </c>
      <c r="F381" t="s">
        <v>0</v>
      </c>
      <c r="O381" s="1" t="str">
        <f t="shared" si="28"/>
        <v/>
      </c>
      <c r="X381" t="s">
        <v>0</v>
      </c>
    </row>
    <row r="382" spans="1:24" x14ac:dyDescent="0.25">
      <c r="A382" t="s">
        <v>0</v>
      </c>
      <c r="B382" s="52" t="str">
        <f>IF(csv!F377="","",csv!T377)</f>
        <v/>
      </c>
      <c r="C382" s="31" t="str">
        <f>IF(csv!F377="","",csv!AO377)</f>
        <v/>
      </c>
      <c r="D382" s="31" t="str">
        <f>IF(csv!F377="","",csv!AP377&amp;"–"&amp;csv!AQ377&amp;"–"&amp;csv!AR377)</f>
        <v/>
      </c>
      <c r="E382" s="66" t="str">
        <f>IF(csv!AV377&amp;csv!AX377&amp;csv!AZ377&amp;csv!BB377&amp;csv!BD377="","",csv!AV377&amp;"–"&amp;csv!AX377&amp;"–"&amp;csv!AZ377&amp;"–"&amp;csv!BB377&amp;"–"&amp;csv!BD377&amp;"–"&amp;csv!BF377&amp;"–"&amp;csv!BH377&amp;"–"&amp;csv!BJ377&amp;"–"&amp;csv!BL377&amp;"–"&amp;csv!BN377&amp;"–"&amp;csv!BP377&amp;"–"&amp;csv!BR377&amp;"–"&amp;csv!BT377&amp;"–"&amp;csv!BV377&amp;"–"&amp;csv!BX377&amp;"–"&amp;csv!BZ377&amp;"–"&amp;csv!CB377&amp;"–"&amp;csv!CD377&amp;"–"&amp;csv!CF377&amp;"–"&amp;csv!CH377&amp;"–"&amp;csv!CJ377&amp;"–"&amp;csv!CL377&amp;"–"&amp;csv!CN377&amp;"–"&amp;csv!CP377&amp;"–"&amp;csv!CR377&amp;"–"&amp;csv!CT377&amp;"–"&amp;csv!CV377&amp;"–"&amp;csv!CX376&amp;"–"&amp;csv!CZ376)</f>
        <v/>
      </c>
      <c r="F382" t="s">
        <v>0</v>
      </c>
      <c r="O382" s="1" t="str">
        <f t="shared" si="28"/>
        <v/>
      </c>
      <c r="X382" t="s">
        <v>0</v>
      </c>
    </row>
    <row r="383" spans="1:24" x14ac:dyDescent="0.25">
      <c r="A383" t="s">
        <v>0</v>
      </c>
      <c r="B383" s="52" t="str">
        <f>IF(csv!F378="","",csv!T378)</f>
        <v/>
      </c>
      <c r="C383" s="31" t="str">
        <f>IF(csv!F378="","",csv!AO378)</f>
        <v/>
      </c>
      <c r="D383" s="31" t="str">
        <f>IF(csv!F378="","",csv!AP378&amp;"–"&amp;csv!AQ378&amp;"–"&amp;csv!AR378)</f>
        <v/>
      </c>
      <c r="E383" s="66" t="str">
        <f>IF(csv!AV378&amp;csv!AX378&amp;csv!AZ378&amp;csv!BB378&amp;csv!BD378="","",csv!AV378&amp;"–"&amp;csv!AX378&amp;"–"&amp;csv!AZ378&amp;"–"&amp;csv!BB378&amp;"–"&amp;csv!BD378&amp;"–"&amp;csv!BF378&amp;"–"&amp;csv!BH378&amp;"–"&amp;csv!BJ378&amp;"–"&amp;csv!BL378&amp;"–"&amp;csv!BN378&amp;"–"&amp;csv!BP378&amp;"–"&amp;csv!BR378&amp;"–"&amp;csv!BT378&amp;"–"&amp;csv!BV378&amp;"–"&amp;csv!BX378&amp;"–"&amp;csv!BZ378&amp;"–"&amp;csv!CB378&amp;"–"&amp;csv!CD378&amp;"–"&amp;csv!CF378&amp;"–"&amp;csv!CH378&amp;"–"&amp;csv!CJ378&amp;"–"&amp;csv!CL378&amp;"–"&amp;csv!CN378&amp;"–"&amp;csv!CP378&amp;"–"&amp;csv!CR378&amp;"–"&amp;csv!CT378&amp;"–"&amp;csv!CV378&amp;"–"&amp;csv!CX377&amp;"–"&amp;csv!CZ377)</f>
        <v/>
      </c>
      <c r="F383" t="s">
        <v>0</v>
      </c>
      <c r="O383" s="1" t="str">
        <f t="shared" si="28"/>
        <v/>
      </c>
      <c r="X383" t="s">
        <v>0</v>
      </c>
    </row>
    <row r="384" spans="1:24" x14ac:dyDescent="0.25">
      <c r="A384" t="s">
        <v>0</v>
      </c>
      <c r="B384" s="52" t="str">
        <f>IF(csv!F379="","",csv!T379)</f>
        <v/>
      </c>
      <c r="C384" s="31" t="str">
        <f>IF(csv!F379="","",csv!AO379)</f>
        <v/>
      </c>
      <c r="D384" s="31" t="str">
        <f>IF(csv!F379="","",csv!AP379&amp;"–"&amp;csv!AQ379&amp;"–"&amp;csv!AR379)</f>
        <v/>
      </c>
      <c r="E384" s="66" t="str">
        <f>IF(csv!AV379&amp;csv!AX379&amp;csv!AZ379&amp;csv!BB379&amp;csv!BD379="","",csv!AV379&amp;"–"&amp;csv!AX379&amp;"–"&amp;csv!AZ379&amp;"–"&amp;csv!BB379&amp;"–"&amp;csv!BD379&amp;"–"&amp;csv!BF379&amp;"–"&amp;csv!BH379&amp;"–"&amp;csv!BJ379&amp;"–"&amp;csv!BL379&amp;"–"&amp;csv!BN379&amp;"–"&amp;csv!BP379&amp;"–"&amp;csv!BR379&amp;"–"&amp;csv!BT379&amp;"–"&amp;csv!BV379&amp;"–"&amp;csv!BX379&amp;"–"&amp;csv!BZ379&amp;"–"&amp;csv!CB379&amp;"–"&amp;csv!CD379&amp;"–"&amp;csv!CF379&amp;"–"&amp;csv!CH379&amp;"–"&amp;csv!CJ379&amp;"–"&amp;csv!CL379&amp;"–"&amp;csv!CN379&amp;"–"&amp;csv!CP379&amp;"–"&amp;csv!CR379&amp;"–"&amp;csv!CT379&amp;"–"&amp;csv!CV379&amp;"–"&amp;csv!CX378&amp;"–"&amp;csv!CZ378)</f>
        <v/>
      </c>
      <c r="F384" t="s">
        <v>0</v>
      </c>
      <c r="O384" s="1" t="str">
        <f t="shared" si="28"/>
        <v/>
      </c>
      <c r="X384" t="s">
        <v>0</v>
      </c>
    </row>
    <row r="385" spans="1:24" x14ac:dyDescent="0.25">
      <c r="A385" t="s">
        <v>0</v>
      </c>
      <c r="B385" s="52" t="str">
        <f>IF(csv!F380="","",csv!T380)</f>
        <v/>
      </c>
      <c r="C385" s="31" t="str">
        <f>IF(csv!F380="","",csv!AO380)</f>
        <v/>
      </c>
      <c r="D385" s="31" t="str">
        <f>IF(csv!F380="","",csv!AP380&amp;"–"&amp;csv!AQ380&amp;"–"&amp;csv!AR380)</f>
        <v/>
      </c>
      <c r="E385" s="66" t="str">
        <f>IF(csv!AV380&amp;csv!AX380&amp;csv!AZ380&amp;csv!BB380&amp;csv!BD380="","",csv!AV380&amp;"–"&amp;csv!AX380&amp;"–"&amp;csv!AZ380&amp;"–"&amp;csv!BB380&amp;"–"&amp;csv!BD380&amp;"–"&amp;csv!BF380&amp;"–"&amp;csv!BH380&amp;"–"&amp;csv!BJ380&amp;"–"&amp;csv!BL380&amp;"–"&amp;csv!BN380&amp;"–"&amp;csv!BP380&amp;"–"&amp;csv!BR380&amp;"–"&amp;csv!BT380&amp;"–"&amp;csv!BV380&amp;"–"&amp;csv!BX380&amp;"–"&amp;csv!BZ380&amp;"–"&amp;csv!CB380&amp;"–"&amp;csv!CD380&amp;"–"&amp;csv!CF380&amp;"–"&amp;csv!CH380&amp;"–"&amp;csv!CJ380&amp;"–"&amp;csv!CL380&amp;"–"&amp;csv!CN380&amp;"–"&amp;csv!CP380&amp;"–"&amp;csv!CR380&amp;"–"&amp;csv!CT380&amp;"–"&amp;csv!CV380&amp;"–"&amp;csv!CX379&amp;"–"&amp;csv!CZ379)</f>
        <v/>
      </c>
      <c r="F385" t="s">
        <v>0</v>
      </c>
      <c r="O385" s="1" t="str">
        <f t="shared" si="28"/>
        <v/>
      </c>
      <c r="X385" t="s">
        <v>0</v>
      </c>
    </row>
    <row r="386" spans="1:24" x14ac:dyDescent="0.25">
      <c r="A386" t="s">
        <v>0</v>
      </c>
      <c r="B386" s="52" t="str">
        <f>IF(csv!F381="","",csv!T381)</f>
        <v/>
      </c>
      <c r="C386" s="31" t="str">
        <f>IF(csv!F381="","",csv!AO381)</f>
        <v/>
      </c>
      <c r="D386" s="31" t="str">
        <f>IF(csv!F381="","",csv!AP381&amp;"–"&amp;csv!AQ381&amp;"–"&amp;csv!AR381)</f>
        <v/>
      </c>
      <c r="E386" s="66" t="str">
        <f>IF(csv!AV381&amp;csv!AX381&amp;csv!AZ381&amp;csv!BB381&amp;csv!BD381="","",csv!AV381&amp;"–"&amp;csv!AX381&amp;"–"&amp;csv!AZ381&amp;"–"&amp;csv!BB381&amp;"–"&amp;csv!BD381&amp;"–"&amp;csv!BF381&amp;"–"&amp;csv!BH381&amp;"–"&amp;csv!BJ381&amp;"–"&amp;csv!BL381&amp;"–"&amp;csv!BN381&amp;"–"&amp;csv!BP381&amp;"–"&amp;csv!BR381&amp;"–"&amp;csv!BT381&amp;"–"&amp;csv!BV381&amp;"–"&amp;csv!BX381&amp;"–"&amp;csv!BZ381&amp;"–"&amp;csv!CB381&amp;"–"&amp;csv!CD381&amp;"–"&amp;csv!CF381&amp;"–"&amp;csv!CH381&amp;"–"&amp;csv!CJ381&amp;"–"&amp;csv!CL381&amp;"–"&amp;csv!CN381&amp;"–"&amp;csv!CP381&amp;"–"&amp;csv!CR381&amp;"–"&amp;csv!CT381&amp;"–"&amp;csv!CV381&amp;"–"&amp;csv!CX380&amp;"–"&amp;csv!CZ380)</f>
        <v/>
      </c>
      <c r="F386" t="s">
        <v>0</v>
      </c>
      <c r="O386" s="1" t="str">
        <f t="shared" si="28"/>
        <v/>
      </c>
      <c r="X386" t="s">
        <v>0</v>
      </c>
    </row>
    <row r="387" spans="1:24" x14ac:dyDescent="0.25">
      <c r="A387" t="s">
        <v>0</v>
      </c>
      <c r="B387" s="52" t="str">
        <f>IF(csv!F382="","",csv!T382)</f>
        <v/>
      </c>
      <c r="C387" s="31" t="str">
        <f>IF(csv!F382="","",csv!AO382)</f>
        <v/>
      </c>
      <c r="D387" s="31" t="str">
        <f>IF(csv!F382="","",csv!AP382&amp;"–"&amp;csv!AQ382&amp;"–"&amp;csv!AR382)</f>
        <v/>
      </c>
      <c r="E387" s="66" t="str">
        <f>IF(csv!AV382&amp;csv!AX382&amp;csv!AZ382&amp;csv!BB382&amp;csv!BD382="","",csv!AV382&amp;"–"&amp;csv!AX382&amp;"–"&amp;csv!AZ382&amp;"–"&amp;csv!BB382&amp;"–"&amp;csv!BD382&amp;"–"&amp;csv!BF382&amp;"–"&amp;csv!BH382&amp;"–"&amp;csv!BJ382&amp;"–"&amp;csv!BL382&amp;"–"&amp;csv!BN382&amp;"–"&amp;csv!BP382&amp;"–"&amp;csv!BR382&amp;"–"&amp;csv!BT382&amp;"–"&amp;csv!BV382&amp;"–"&amp;csv!BX382&amp;"–"&amp;csv!BZ382&amp;"–"&amp;csv!CB382&amp;"–"&amp;csv!CD382&amp;"–"&amp;csv!CF382&amp;"–"&amp;csv!CH382&amp;"–"&amp;csv!CJ382&amp;"–"&amp;csv!CL382&amp;"–"&amp;csv!CN382&amp;"–"&amp;csv!CP382&amp;"–"&amp;csv!CR382&amp;"–"&amp;csv!CT382&amp;"–"&amp;csv!CV382&amp;"–"&amp;csv!CX381&amp;"–"&amp;csv!CZ381)</f>
        <v/>
      </c>
      <c r="F387" t="s">
        <v>0</v>
      </c>
      <c r="O387" s="1" t="str">
        <f t="shared" si="28"/>
        <v/>
      </c>
      <c r="X387" t="s">
        <v>0</v>
      </c>
    </row>
    <row r="388" spans="1:24" x14ac:dyDescent="0.25">
      <c r="A388" t="s">
        <v>0</v>
      </c>
      <c r="B388" s="52" t="str">
        <f>IF(csv!F383="","",csv!T383)</f>
        <v/>
      </c>
      <c r="C388" s="31" t="str">
        <f>IF(csv!F383="","",csv!AO383)</f>
        <v/>
      </c>
      <c r="D388" s="31" t="str">
        <f>IF(csv!F383="","",csv!AP383&amp;"–"&amp;csv!AQ383&amp;"–"&amp;csv!AR383)</f>
        <v/>
      </c>
      <c r="E388" s="66" t="str">
        <f>IF(csv!AV383&amp;csv!AX383&amp;csv!AZ383&amp;csv!BB383&amp;csv!BD383="","",csv!AV383&amp;"–"&amp;csv!AX383&amp;"–"&amp;csv!AZ383&amp;"–"&amp;csv!BB383&amp;"–"&amp;csv!BD383&amp;"–"&amp;csv!BF383&amp;"–"&amp;csv!BH383&amp;"–"&amp;csv!BJ383&amp;"–"&amp;csv!BL383&amp;"–"&amp;csv!BN383&amp;"–"&amp;csv!BP383&amp;"–"&amp;csv!BR383&amp;"–"&amp;csv!BT383&amp;"–"&amp;csv!BV383&amp;"–"&amp;csv!BX383&amp;"–"&amp;csv!BZ383&amp;"–"&amp;csv!CB383&amp;"–"&amp;csv!CD383&amp;"–"&amp;csv!CF383&amp;"–"&amp;csv!CH383&amp;"–"&amp;csv!CJ383&amp;"–"&amp;csv!CL383&amp;"–"&amp;csv!CN383&amp;"–"&amp;csv!CP383&amp;"–"&amp;csv!CR383&amp;"–"&amp;csv!CT383&amp;"–"&amp;csv!CV383&amp;"–"&amp;csv!CX382&amp;"–"&amp;csv!CZ382)</f>
        <v/>
      </c>
      <c r="F388" t="s">
        <v>0</v>
      </c>
      <c r="O388" s="1" t="str">
        <f t="shared" si="28"/>
        <v/>
      </c>
      <c r="X388" t="s">
        <v>0</v>
      </c>
    </row>
    <row r="389" spans="1:24" x14ac:dyDescent="0.25">
      <c r="A389" t="s">
        <v>0</v>
      </c>
      <c r="B389" s="52" t="str">
        <f>IF(csv!F384="","",csv!T384)</f>
        <v/>
      </c>
      <c r="C389" s="31" t="str">
        <f>IF(csv!F384="","",csv!AO384)</f>
        <v/>
      </c>
      <c r="D389" s="31" t="str">
        <f>IF(csv!F384="","",csv!AP384&amp;"–"&amp;csv!AQ384&amp;"–"&amp;csv!AR384)</f>
        <v/>
      </c>
      <c r="E389" s="66" t="str">
        <f>IF(csv!AV384&amp;csv!AX384&amp;csv!AZ384&amp;csv!BB384&amp;csv!BD384="","",csv!AV384&amp;"–"&amp;csv!AX384&amp;"–"&amp;csv!AZ384&amp;"–"&amp;csv!BB384&amp;"–"&amp;csv!BD384&amp;"–"&amp;csv!BF384&amp;"–"&amp;csv!BH384&amp;"–"&amp;csv!BJ384&amp;"–"&amp;csv!BL384&amp;"–"&amp;csv!BN384&amp;"–"&amp;csv!BP384&amp;"–"&amp;csv!BR384&amp;"–"&amp;csv!BT384&amp;"–"&amp;csv!BV384&amp;"–"&amp;csv!BX384&amp;"–"&amp;csv!BZ384&amp;"–"&amp;csv!CB384&amp;"–"&amp;csv!CD384&amp;"–"&amp;csv!CF384&amp;"–"&amp;csv!CH384&amp;"–"&amp;csv!CJ384&amp;"–"&amp;csv!CL384&amp;"–"&amp;csv!CN384&amp;"–"&amp;csv!CP384&amp;"–"&amp;csv!CR384&amp;"–"&amp;csv!CT384&amp;"–"&amp;csv!CV384&amp;"–"&amp;csv!CX383&amp;"–"&amp;csv!CZ383)</f>
        <v/>
      </c>
      <c r="F389" t="s">
        <v>0</v>
      </c>
      <c r="O389" s="1" t="str">
        <f t="shared" si="28"/>
        <v/>
      </c>
      <c r="X389" t="s">
        <v>0</v>
      </c>
    </row>
    <row r="390" spans="1:24" x14ac:dyDescent="0.25">
      <c r="A390" t="s">
        <v>0</v>
      </c>
      <c r="B390" s="52" t="str">
        <f>IF(csv!F385="","",csv!T385)</f>
        <v/>
      </c>
      <c r="C390" s="31" t="str">
        <f>IF(csv!F385="","",csv!AO385)</f>
        <v/>
      </c>
      <c r="D390" s="31" t="str">
        <f>IF(csv!F385="","",csv!AP385&amp;"–"&amp;csv!AQ385&amp;"–"&amp;csv!AR385)</f>
        <v/>
      </c>
      <c r="E390" s="66" t="str">
        <f>IF(csv!AV385&amp;csv!AX385&amp;csv!AZ385&amp;csv!BB385&amp;csv!BD385="","",csv!AV385&amp;"–"&amp;csv!AX385&amp;"–"&amp;csv!AZ385&amp;"–"&amp;csv!BB385&amp;"–"&amp;csv!BD385&amp;"–"&amp;csv!BF385&amp;"–"&amp;csv!BH385&amp;"–"&amp;csv!BJ385&amp;"–"&amp;csv!BL385&amp;"–"&amp;csv!BN385&amp;"–"&amp;csv!BP385&amp;"–"&amp;csv!BR385&amp;"–"&amp;csv!BT385&amp;"–"&amp;csv!BV385&amp;"–"&amp;csv!BX385&amp;"–"&amp;csv!BZ385&amp;"–"&amp;csv!CB385&amp;"–"&amp;csv!CD385&amp;"–"&amp;csv!CF385&amp;"–"&amp;csv!CH385&amp;"–"&amp;csv!CJ385&amp;"–"&amp;csv!CL385&amp;"–"&amp;csv!CN385&amp;"–"&amp;csv!CP385&amp;"–"&amp;csv!CR385&amp;"–"&amp;csv!CT385&amp;"–"&amp;csv!CV385&amp;"–"&amp;csv!CX384&amp;"–"&amp;csv!CZ384)</f>
        <v/>
      </c>
      <c r="F390" t="s">
        <v>0</v>
      </c>
      <c r="O390" s="1" t="str">
        <f t="shared" si="28"/>
        <v/>
      </c>
      <c r="X390" t="s">
        <v>0</v>
      </c>
    </row>
    <row r="391" spans="1:24" x14ac:dyDescent="0.25">
      <c r="A391" t="s">
        <v>0</v>
      </c>
      <c r="B391" s="52" t="str">
        <f>IF(csv!F386="","",csv!T386)</f>
        <v/>
      </c>
      <c r="C391" s="31" t="str">
        <f>IF(csv!F386="","",csv!AO386)</f>
        <v/>
      </c>
      <c r="D391" s="31" t="str">
        <f>IF(csv!F386="","",csv!AP386&amp;"–"&amp;csv!AQ386&amp;"–"&amp;csv!AR386)</f>
        <v/>
      </c>
      <c r="E391" s="66" t="str">
        <f>IF(csv!AV386&amp;csv!AX386&amp;csv!AZ386&amp;csv!BB386&amp;csv!BD386="","",csv!AV386&amp;"–"&amp;csv!AX386&amp;"–"&amp;csv!AZ386&amp;"–"&amp;csv!BB386&amp;"–"&amp;csv!BD386&amp;"–"&amp;csv!BF386&amp;"–"&amp;csv!BH386&amp;"–"&amp;csv!BJ386&amp;"–"&amp;csv!BL386&amp;"–"&amp;csv!BN386&amp;"–"&amp;csv!BP386&amp;"–"&amp;csv!BR386&amp;"–"&amp;csv!BT386&amp;"–"&amp;csv!BV386&amp;"–"&amp;csv!BX386&amp;"–"&amp;csv!BZ386&amp;"–"&amp;csv!CB386&amp;"–"&amp;csv!CD386&amp;"–"&amp;csv!CF386&amp;"–"&amp;csv!CH386&amp;"–"&amp;csv!CJ386&amp;"–"&amp;csv!CL386&amp;"–"&amp;csv!CN386&amp;"–"&amp;csv!CP386&amp;"–"&amp;csv!CR386&amp;"–"&amp;csv!CT386&amp;"–"&amp;csv!CV386&amp;"–"&amp;csv!CX385&amp;"–"&amp;csv!CZ385)</f>
        <v/>
      </c>
      <c r="F391" t="s">
        <v>0</v>
      </c>
      <c r="O391" s="1" t="str">
        <f t="shared" si="28"/>
        <v/>
      </c>
      <c r="X391" t="s">
        <v>0</v>
      </c>
    </row>
    <row r="392" spans="1:24" x14ac:dyDescent="0.25">
      <c r="A392" t="s">
        <v>0</v>
      </c>
      <c r="B392" s="52" t="str">
        <f>IF(csv!F387="","",csv!T387)</f>
        <v/>
      </c>
      <c r="C392" s="31" t="str">
        <f>IF(csv!F387="","",csv!AO387)</f>
        <v/>
      </c>
      <c r="D392" s="31" t="str">
        <f>IF(csv!F387="","",csv!AP387&amp;"–"&amp;csv!AQ387&amp;"–"&amp;csv!AR387)</f>
        <v/>
      </c>
      <c r="E392" s="66" t="str">
        <f>IF(csv!AV387&amp;csv!AX387&amp;csv!AZ387&amp;csv!BB387&amp;csv!BD387="","",csv!AV387&amp;"–"&amp;csv!AX387&amp;"–"&amp;csv!AZ387&amp;"–"&amp;csv!BB387&amp;"–"&amp;csv!BD387&amp;"–"&amp;csv!BF387&amp;"–"&amp;csv!BH387&amp;"–"&amp;csv!BJ387&amp;"–"&amp;csv!BL387&amp;"–"&amp;csv!BN387&amp;"–"&amp;csv!BP387&amp;"–"&amp;csv!BR387&amp;"–"&amp;csv!BT387&amp;"–"&amp;csv!BV387&amp;"–"&amp;csv!BX387&amp;"–"&amp;csv!BZ387&amp;"–"&amp;csv!CB387&amp;"–"&amp;csv!CD387&amp;"–"&amp;csv!CF387&amp;"–"&amp;csv!CH387&amp;"–"&amp;csv!CJ387&amp;"–"&amp;csv!CL387&amp;"–"&amp;csv!CN387&amp;"–"&amp;csv!CP387&amp;"–"&amp;csv!CR387&amp;"–"&amp;csv!CT387&amp;"–"&amp;csv!CV387&amp;"–"&amp;csv!CX386&amp;"–"&amp;csv!CZ386)</f>
        <v/>
      </c>
      <c r="F392" t="s">
        <v>0</v>
      </c>
      <c r="O392" s="1" t="str">
        <f t="shared" si="28"/>
        <v/>
      </c>
      <c r="X392" t="s">
        <v>0</v>
      </c>
    </row>
    <row r="393" spans="1:24" x14ac:dyDescent="0.25">
      <c r="A393" t="s">
        <v>0</v>
      </c>
      <c r="B393" s="52" t="str">
        <f>IF(csv!F388="","",csv!T388)</f>
        <v/>
      </c>
      <c r="C393" s="31" t="str">
        <f>IF(csv!F388="","",csv!AO388)</f>
        <v/>
      </c>
      <c r="D393" s="31" t="str">
        <f>IF(csv!F388="","",csv!AP388&amp;"–"&amp;csv!AQ388&amp;"–"&amp;csv!AR388)</f>
        <v/>
      </c>
      <c r="E393" s="66" t="str">
        <f>IF(csv!AV388&amp;csv!AX388&amp;csv!AZ388&amp;csv!BB388&amp;csv!BD388="","",csv!AV388&amp;"–"&amp;csv!AX388&amp;"–"&amp;csv!AZ388&amp;"–"&amp;csv!BB388&amp;"–"&amp;csv!BD388&amp;"–"&amp;csv!BF388&amp;"–"&amp;csv!BH388&amp;"–"&amp;csv!BJ388&amp;"–"&amp;csv!BL388&amp;"–"&amp;csv!BN388&amp;"–"&amp;csv!BP388&amp;"–"&amp;csv!BR388&amp;"–"&amp;csv!BT388&amp;"–"&amp;csv!BV388&amp;"–"&amp;csv!BX388&amp;"–"&amp;csv!BZ388&amp;"–"&amp;csv!CB388&amp;"–"&amp;csv!CD388&amp;"–"&amp;csv!CF388&amp;"–"&amp;csv!CH388&amp;"–"&amp;csv!CJ388&amp;"–"&amp;csv!CL388&amp;"–"&amp;csv!CN388&amp;"–"&amp;csv!CP388&amp;"–"&amp;csv!CR388&amp;"–"&amp;csv!CT388&amp;"–"&amp;csv!CV388&amp;"–"&amp;csv!CX387&amp;"–"&amp;csv!CZ387)</f>
        <v/>
      </c>
      <c r="F393" t="s">
        <v>0</v>
      </c>
      <c r="O393" s="1" t="str">
        <f t="shared" ref="O393:O410" si="29">IF(N393="","",IF(N393&lt;&gt;N392,N393,""))</f>
        <v/>
      </c>
      <c r="X393" t="s">
        <v>0</v>
      </c>
    </row>
    <row r="394" spans="1:24" x14ac:dyDescent="0.25">
      <c r="A394" t="s">
        <v>0</v>
      </c>
      <c r="B394" s="52" t="str">
        <f>IF(csv!F389="","",csv!T389)</f>
        <v/>
      </c>
      <c r="C394" s="31" t="str">
        <f>IF(csv!F389="","",csv!AO389)</f>
        <v/>
      </c>
      <c r="D394" s="31" t="str">
        <f>IF(csv!F389="","",csv!AP389&amp;"–"&amp;csv!AQ389&amp;"–"&amp;csv!AR389)</f>
        <v/>
      </c>
      <c r="E394" s="66" t="str">
        <f>IF(csv!AV389&amp;csv!AX389&amp;csv!AZ389&amp;csv!BB389&amp;csv!BD389="","",csv!AV389&amp;"–"&amp;csv!AX389&amp;"–"&amp;csv!AZ389&amp;"–"&amp;csv!BB389&amp;"–"&amp;csv!BD389&amp;"–"&amp;csv!BF389&amp;"–"&amp;csv!BH389&amp;"–"&amp;csv!BJ389&amp;"–"&amp;csv!BL389&amp;"–"&amp;csv!BN389&amp;"–"&amp;csv!BP389&amp;"–"&amp;csv!BR389&amp;"–"&amp;csv!BT389&amp;"–"&amp;csv!BV389&amp;"–"&amp;csv!BX389&amp;"–"&amp;csv!BZ389&amp;"–"&amp;csv!CB389&amp;"–"&amp;csv!CD389&amp;"–"&amp;csv!CF389&amp;"–"&amp;csv!CH389&amp;"–"&amp;csv!CJ389&amp;"–"&amp;csv!CL389&amp;"–"&amp;csv!CN389&amp;"–"&amp;csv!CP389&amp;"–"&amp;csv!CR389&amp;"–"&amp;csv!CT389&amp;"–"&amp;csv!CV389&amp;"–"&amp;csv!CX388&amp;"–"&amp;csv!CZ388)</f>
        <v/>
      </c>
      <c r="F394" t="s">
        <v>0</v>
      </c>
      <c r="O394" s="1" t="str">
        <f t="shared" si="29"/>
        <v/>
      </c>
      <c r="X394" t="s">
        <v>0</v>
      </c>
    </row>
    <row r="395" spans="1:24" x14ac:dyDescent="0.25">
      <c r="A395" t="s">
        <v>0</v>
      </c>
      <c r="B395" s="52" t="str">
        <f>IF(csv!F390="","",csv!T390)</f>
        <v/>
      </c>
      <c r="C395" s="31" t="str">
        <f>IF(csv!F390="","",csv!AO390)</f>
        <v/>
      </c>
      <c r="D395" s="31" t="str">
        <f>IF(csv!F390="","",csv!AP390&amp;"–"&amp;csv!AQ390&amp;"–"&amp;csv!AR390)</f>
        <v/>
      </c>
      <c r="E395" s="66" t="str">
        <f>IF(csv!AV390&amp;csv!AX390&amp;csv!AZ390&amp;csv!BB390&amp;csv!BD390="","",csv!AV390&amp;"–"&amp;csv!AX390&amp;"–"&amp;csv!AZ390&amp;"–"&amp;csv!BB390&amp;"–"&amp;csv!BD390&amp;"–"&amp;csv!BF390&amp;"–"&amp;csv!BH390&amp;"–"&amp;csv!BJ390&amp;"–"&amp;csv!BL390&amp;"–"&amp;csv!BN390&amp;"–"&amp;csv!BP390&amp;"–"&amp;csv!BR390&amp;"–"&amp;csv!BT390&amp;"–"&amp;csv!BV390&amp;"–"&amp;csv!BX390&amp;"–"&amp;csv!BZ390&amp;"–"&amp;csv!CB390&amp;"–"&amp;csv!CD390&amp;"–"&amp;csv!CF390&amp;"–"&amp;csv!CH390&amp;"–"&amp;csv!CJ390&amp;"–"&amp;csv!CL390&amp;"–"&amp;csv!CN390&amp;"–"&amp;csv!CP390&amp;"–"&amp;csv!CR390&amp;"–"&amp;csv!CT390&amp;"–"&amp;csv!CV390&amp;"–"&amp;csv!CX389&amp;"–"&amp;csv!CZ389)</f>
        <v/>
      </c>
      <c r="F395" t="s">
        <v>0</v>
      </c>
      <c r="O395" s="1" t="str">
        <f t="shared" si="29"/>
        <v/>
      </c>
      <c r="X395" t="s">
        <v>0</v>
      </c>
    </row>
    <row r="396" spans="1:24" x14ac:dyDescent="0.25">
      <c r="A396" t="s">
        <v>0</v>
      </c>
      <c r="B396" s="52" t="str">
        <f>IF(csv!F391="","",csv!T391)</f>
        <v/>
      </c>
      <c r="C396" s="31" t="str">
        <f>IF(csv!F391="","",csv!AO391)</f>
        <v/>
      </c>
      <c r="D396" s="31" t="str">
        <f>IF(csv!F391="","",csv!AP391&amp;"–"&amp;csv!AQ391&amp;"–"&amp;csv!AR391)</f>
        <v/>
      </c>
      <c r="E396" s="66" t="str">
        <f>IF(csv!AV391&amp;csv!AX391&amp;csv!AZ391&amp;csv!BB391&amp;csv!BD391="","",csv!AV391&amp;"–"&amp;csv!AX391&amp;"–"&amp;csv!AZ391&amp;"–"&amp;csv!BB391&amp;"–"&amp;csv!BD391&amp;"–"&amp;csv!BF391&amp;"–"&amp;csv!BH391&amp;"–"&amp;csv!BJ391&amp;"–"&amp;csv!BL391&amp;"–"&amp;csv!BN391&amp;"–"&amp;csv!BP391&amp;"–"&amp;csv!BR391&amp;"–"&amp;csv!BT391&amp;"–"&amp;csv!BV391&amp;"–"&amp;csv!BX391&amp;"–"&amp;csv!BZ391&amp;"–"&amp;csv!CB391&amp;"–"&amp;csv!CD391&amp;"–"&amp;csv!CF391&amp;"–"&amp;csv!CH391&amp;"–"&amp;csv!CJ391&amp;"–"&amp;csv!CL391&amp;"–"&amp;csv!CN391&amp;"–"&amp;csv!CP391&amp;"–"&amp;csv!CR391&amp;"–"&amp;csv!CT391&amp;"–"&amp;csv!CV391&amp;"–"&amp;csv!CX390&amp;"–"&amp;csv!CZ390)</f>
        <v/>
      </c>
      <c r="F396" t="s">
        <v>0</v>
      </c>
      <c r="O396" s="1" t="str">
        <f t="shared" si="29"/>
        <v/>
      </c>
      <c r="X396" t="s">
        <v>0</v>
      </c>
    </row>
    <row r="397" spans="1:24" x14ac:dyDescent="0.25">
      <c r="A397" t="s">
        <v>0</v>
      </c>
      <c r="B397" s="52" t="str">
        <f>IF(csv!F392="","",csv!T392)</f>
        <v/>
      </c>
      <c r="C397" s="31" t="str">
        <f>IF(csv!F392="","",csv!AO392)</f>
        <v/>
      </c>
      <c r="D397" s="31" t="str">
        <f>IF(csv!F392="","",csv!AP392&amp;"–"&amp;csv!AQ392&amp;"–"&amp;csv!AR392)</f>
        <v/>
      </c>
      <c r="E397" s="66" t="str">
        <f>IF(csv!AV392&amp;csv!AX392&amp;csv!AZ392&amp;csv!BB392&amp;csv!BD392="","",csv!AV392&amp;"–"&amp;csv!AX392&amp;"–"&amp;csv!AZ392&amp;"–"&amp;csv!BB392&amp;"–"&amp;csv!BD392&amp;"–"&amp;csv!BF392&amp;"–"&amp;csv!BH392&amp;"–"&amp;csv!BJ392&amp;"–"&amp;csv!BL392&amp;"–"&amp;csv!BN392&amp;"–"&amp;csv!BP392&amp;"–"&amp;csv!BR392&amp;"–"&amp;csv!BT392&amp;"–"&amp;csv!BV392&amp;"–"&amp;csv!BX392&amp;"–"&amp;csv!BZ392&amp;"–"&amp;csv!CB392&amp;"–"&amp;csv!CD392&amp;"–"&amp;csv!CF392&amp;"–"&amp;csv!CH392&amp;"–"&amp;csv!CJ392&amp;"–"&amp;csv!CL392&amp;"–"&amp;csv!CN392&amp;"–"&amp;csv!CP392&amp;"–"&amp;csv!CR392&amp;"–"&amp;csv!CT392&amp;"–"&amp;csv!CV392&amp;"–"&amp;csv!CX391&amp;"–"&amp;csv!CZ391)</f>
        <v/>
      </c>
      <c r="F397" t="s">
        <v>0</v>
      </c>
      <c r="O397" s="1" t="str">
        <f t="shared" si="29"/>
        <v/>
      </c>
      <c r="X397" t="s">
        <v>0</v>
      </c>
    </row>
    <row r="398" spans="1:24" x14ac:dyDescent="0.25">
      <c r="A398" t="s">
        <v>0</v>
      </c>
      <c r="B398" s="52" t="str">
        <f>IF(csv!F393="","",csv!T393)</f>
        <v/>
      </c>
      <c r="C398" s="31" t="str">
        <f>IF(csv!F393="","",csv!AO393)</f>
        <v/>
      </c>
      <c r="D398" s="31" t="str">
        <f>IF(csv!F393="","",csv!AP393&amp;"–"&amp;csv!AQ393&amp;"–"&amp;csv!AR393)</f>
        <v/>
      </c>
      <c r="E398" s="66" t="str">
        <f>IF(csv!AV393&amp;csv!AX393&amp;csv!AZ393&amp;csv!BB393&amp;csv!BD393="","",csv!AV393&amp;"–"&amp;csv!AX393&amp;"–"&amp;csv!AZ393&amp;"–"&amp;csv!BB393&amp;"–"&amp;csv!BD393&amp;"–"&amp;csv!BF393&amp;"–"&amp;csv!BH393&amp;"–"&amp;csv!BJ393&amp;"–"&amp;csv!BL393&amp;"–"&amp;csv!BN393&amp;"–"&amp;csv!BP393&amp;"–"&amp;csv!BR393&amp;"–"&amp;csv!BT393&amp;"–"&amp;csv!BV393&amp;"–"&amp;csv!BX393&amp;"–"&amp;csv!BZ393&amp;"–"&amp;csv!CB393&amp;"–"&amp;csv!CD393&amp;"–"&amp;csv!CF393&amp;"–"&amp;csv!CH393&amp;"–"&amp;csv!CJ393&amp;"–"&amp;csv!CL393&amp;"–"&amp;csv!CN393&amp;"–"&amp;csv!CP393&amp;"–"&amp;csv!CR393&amp;"–"&amp;csv!CT393&amp;"–"&amp;csv!CV393&amp;"–"&amp;csv!CX392&amp;"–"&amp;csv!CZ392)</f>
        <v/>
      </c>
      <c r="F398" t="s">
        <v>0</v>
      </c>
      <c r="O398" s="1" t="str">
        <f t="shared" si="29"/>
        <v/>
      </c>
      <c r="X398" t="s">
        <v>0</v>
      </c>
    </row>
    <row r="399" spans="1:24" x14ac:dyDescent="0.25">
      <c r="A399" t="s">
        <v>0</v>
      </c>
      <c r="B399" s="52" t="str">
        <f>IF(csv!F394="","",csv!T394)</f>
        <v/>
      </c>
      <c r="C399" s="31" t="str">
        <f>IF(csv!F394="","",csv!AO394)</f>
        <v/>
      </c>
      <c r="D399" s="31" t="str">
        <f>IF(csv!F394="","",csv!AP394&amp;"–"&amp;csv!AQ394&amp;"–"&amp;csv!AR394)</f>
        <v/>
      </c>
      <c r="E399" s="66" t="str">
        <f>IF(csv!AV394&amp;csv!AX394&amp;csv!AZ394&amp;csv!BB394&amp;csv!BD394="","",csv!AV394&amp;"–"&amp;csv!AX394&amp;"–"&amp;csv!AZ394&amp;"–"&amp;csv!BB394&amp;"–"&amp;csv!BD394&amp;"–"&amp;csv!BF394&amp;"–"&amp;csv!BH394&amp;"–"&amp;csv!BJ394&amp;"–"&amp;csv!BL394&amp;"–"&amp;csv!BN394&amp;"–"&amp;csv!BP394&amp;"–"&amp;csv!BR394&amp;"–"&amp;csv!BT394&amp;"–"&amp;csv!BV394&amp;"–"&amp;csv!BX394&amp;"–"&amp;csv!BZ394&amp;"–"&amp;csv!CB394&amp;"–"&amp;csv!CD394&amp;"–"&amp;csv!CF394&amp;"–"&amp;csv!CH394&amp;"–"&amp;csv!CJ394&amp;"–"&amp;csv!CL394&amp;"–"&amp;csv!CN394&amp;"–"&amp;csv!CP394&amp;"–"&amp;csv!CR394&amp;"–"&amp;csv!CT394&amp;"–"&amp;csv!CV394&amp;"–"&amp;csv!CX393&amp;"–"&amp;csv!CZ393)</f>
        <v/>
      </c>
      <c r="F399" t="s">
        <v>0</v>
      </c>
      <c r="O399" s="1" t="str">
        <f t="shared" si="29"/>
        <v/>
      </c>
      <c r="X399" t="s">
        <v>0</v>
      </c>
    </row>
    <row r="400" spans="1:24" x14ac:dyDescent="0.25">
      <c r="A400" t="s">
        <v>0</v>
      </c>
      <c r="B400" s="52" t="str">
        <f>IF(csv!F395="","",csv!T395)</f>
        <v/>
      </c>
      <c r="C400" s="31" t="str">
        <f>IF(csv!F395="","",csv!AO395)</f>
        <v/>
      </c>
      <c r="D400" s="31" t="str">
        <f>IF(csv!F395="","",csv!AP395&amp;"–"&amp;csv!AQ395&amp;"–"&amp;csv!AR395)</f>
        <v/>
      </c>
      <c r="E400" s="66" t="str">
        <f>IF(csv!AV395&amp;csv!AX395&amp;csv!AZ395&amp;csv!BB395&amp;csv!BD395="","",csv!AV395&amp;"–"&amp;csv!AX395&amp;"–"&amp;csv!AZ395&amp;"–"&amp;csv!BB395&amp;"–"&amp;csv!BD395&amp;"–"&amp;csv!BF395&amp;"–"&amp;csv!BH395&amp;"–"&amp;csv!BJ395&amp;"–"&amp;csv!BL395&amp;"–"&amp;csv!BN395&amp;"–"&amp;csv!BP395&amp;"–"&amp;csv!BR395&amp;"–"&amp;csv!BT395&amp;"–"&amp;csv!BV395&amp;"–"&amp;csv!BX395&amp;"–"&amp;csv!BZ395&amp;"–"&amp;csv!CB395&amp;"–"&amp;csv!CD395&amp;"–"&amp;csv!CF395&amp;"–"&amp;csv!CH395&amp;"–"&amp;csv!CJ395&amp;"–"&amp;csv!CL395&amp;"–"&amp;csv!CN395&amp;"–"&amp;csv!CP395&amp;"–"&amp;csv!CR395&amp;"–"&amp;csv!CT395&amp;"–"&amp;csv!CV395&amp;"–"&amp;csv!CX394&amp;"–"&amp;csv!CZ394)</f>
        <v/>
      </c>
      <c r="F400" t="s">
        <v>0</v>
      </c>
      <c r="O400" s="1" t="str">
        <f t="shared" si="29"/>
        <v/>
      </c>
      <c r="X400" t="s">
        <v>0</v>
      </c>
    </row>
    <row r="401" spans="1:24" x14ac:dyDescent="0.25">
      <c r="A401" t="s">
        <v>0</v>
      </c>
      <c r="B401" s="52" t="str">
        <f>IF(csv!F396="","",csv!T396)</f>
        <v/>
      </c>
      <c r="C401" s="31" t="str">
        <f>IF(csv!F396="","",csv!AO396)</f>
        <v/>
      </c>
      <c r="D401" s="31" t="str">
        <f>IF(csv!F396="","",csv!AP396&amp;"–"&amp;csv!AQ396&amp;"–"&amp;csv!AR396)</f>
        <v/>
      </c>
      <c r="E401" s="66" t="str">
        <f>IF(csv!AV396&amp;csv!AX396&amp;csv!AZ396&amp;csv!BB396&amp;csv!BD396="","",csv!AV396&amp;"–"&amp;csv!AX396&amp;"–"&amp;csv!AZ396&amp;"–"&amp;csv!BB396&amp;"–"&amp;csv!BD396&amp;"–"&amp;csv!BF396&amp;"–"&amp;csv!BH396&amp;"–"&amp;csv!BJ396&amp;"–"&amp;csv!BL396&amp;"–"&amp;csv!BN396&amp;"–"&amp;csv!BP396&amp;"–"&amp;csv!BR396&amp;"–"&amp;csv!BT396&amp;"–"&amp;csv!BV396&amp;"–"&amp;csv!BX396&amp;"–"&amp;csv!BZ396&amp;"–"&amp;csv!CB396&amp;"–"&amp;csv!CD396&amp;"–"&amp;csv!CF396&amp;"–"&amp;csv!CH396&amp;"–"&amp;csv!CJ396&amp;"–"&amp;csv!CL396&amp;"–"&amp;csv!CN396&amp;"–"&amp;csv!CP396&amp;"–"&amp;csv!CR396&amp;"–"&amp;csv!CT396&amp;"–"&amp;csv!CV396&amp;"–"&amp;csv!CX395&amp;"–"&amp;csv!CZ395)</f>
        <v/>
      </c>
      <c r="F401" t="s">
        <v>0</v>
      </c>
      <c r="O401" s="1" t="str">
        <f t="shared" si="29"/>
        <v/>
      </c>
      <c r="X401" t="s">
        <v>0</v>
      </c>
    </row>
    <row r="402" spans="1:24" x14ac:dyDescent="0.25">
      <c r="A402" t="s">
        <v>0</v>
      </c>
      <c r="B402" s="52" t="str">
        <f>IF(csv!F397="","",csv!T397)</f>
        <v/>
      </c>
      <c r="C402" s="31" t="str">
        <f>IF(csv!F397="","",csv!AO397)</f>
        <v/>
      </c>
      <c r="D402" s="31" t="str">
        <f>IF(csv!F397="","",csv!AP397&amp;"–"&amp;csv!AQ397&amp;"–"&amp;csv!AR397)</f>
        <v/>
      </c>
      <c r="E402" s="66" t="str">
        <f>IF(csv!AV397&amp;csv!AX397&amp;csv!AZ397&amp;csv!BB397&amp;csv!BD397="","",csv!AV397&amp;"–"&amp;csv!AX397&amp;"–"&amp;csv!AZ397&amp;"–"&amp;csv!BB397&amp;"–"&amp;csv!BD397&amp;"–"&amp;csv!BF397&amp;"–"&amp;csv!BH397&amp;"–"&amp;csv!BJ397&amp;"–"&amp;csv!BL397&amp;"–"&amp;csv!BN397&amp;"–"&amp;csv!BP397&amp;"–"&amp;csv!BR397&amp;"–"&amp;csv!BT397&amp;"–"&amp;csv!BV397&amp;"–"&amp;csv!BX397&amp;"–"&amp;csv!BZ397&amp;"–"&amp;csv!CB397&amp;"–"&amp;csv!CD397&amp;"–"&amp;csv!CF397&amp;"–"&amp;csv!CH397&amp;"–"&amp;csv!CJ397&amp;"–"&amp;csv!CL397&amp;"–"&amp;csv!CN397&amp;"–"&amp;csv!CP397&amp;"–"&amp;csv!CR397&amp;"–"&amp;csv!CT397&amp;"–"&amp;csv!CV397&amp;"–"&amp;csv!CX396&amp;"–"&amp;csv!CZ396)</f>
        <v/>
      </c>
      <c r="F402" t="s">
        <v>0</v>
      </c>
      <c r="O402" s="1" t="str">
        <f t="shared" si="29"/>
        <v/>
      </c>
      <c r="X402" t="s">
        <v>0</v>
      </c>
    </row>
    <row r="403" spans="1:24" x14ac:dyDescent="0.25">
      <c r="A403" t="s">
        <v>0</v>
      </c>
      <c r="B403" s="52" t="str">
        <f>IF(csv!F398="","",csv!T398)</f>
        <v/>
      </c>
      <c r="C403" s="31" t="str">
        <f>IF(csv!F398="","",csv!AO398)</f>
        <v/>
      </c>
      <c r="D403" s="31" t="str">
        <f>IF(csv!F398="","",csv!AP398&amp;"–"&amp;csv!AQ398&amp;"–"&amp;csv!AR398)</f>
        <v/>
      </c>
      <c r="E403" s="66" t="str">
        <f>IF(csv!AV398&amp;csv!AX398&amp;csv!AZ398&amp;csv!BB398&amp;csv!BD398="","",csv!AV398&amp;"–"&amp;csv!AX398&amp;"–"&amp;csv!AZ398&amp;"–"&amp;csv!BB398&amp;"–"&amp;csv!BD398&amp;"–"&amp;csv!BF398&amp;"–"&amp;csv!BH398&amp;"–"&amp;csv!BJ398&amp;"–"&amp;csv!BL398&amp;"–"&amp;csv!BN398&amp;"–"&amp;csv!BP398&amp;"–"&amp;csv!BR398&amp;"–"&amp;csv!BT398&amp;"–"&amp;csv!BV398&amp;"–"&amp;csv!BX398&amp;"–"&amp;csv!BZ398&amp;"–"&amp;csv!CB398&amp;"–"&amp;csv!CD398&amp;"–"&amp;csv!CF398&amp;"–"&amp;csv!CH398&amp;"–"&amp;csv!CJ398&amp;"–"&amp;csv!CL398&amp;"–"&amp;csv!CN398&amp;"–"&amp;csv!CP398&amp;"–"&amp;csv!CR398&amp;"–"&amp;csv!CT398&amp;"–"&amp;csv!CV398&amp;"–"&amp;csv!CX397&amp;"–"&amp;csv!CZ397)</f>
        <v/>
      </c>
      <c r="F403" t="s">
        <v>0</v>
      </c>
      <c r="O403" s="1" t="str">
        <f t="shared" si="29"/>
        <v/>
      </c>
      <c r="X403" t="s">
        <v>0</v>
      </c>
    </row>
    <row r="404" spans="1:24" x14ac:dyDescent="0.25">
      <c r="A404" t="s">
        <v>0</v>
      </c>
      <c r="B404" s="52" t="str">
        <f>IF(csv!F399="","",csv!T399)</f>
        <v/>
      </c>
      <c r="C404" s="31" t="str">
        <f>IF(csv!F399="","",csv!AO399)</f>
        <v/>
      </c>
      <c r="D404" s="31" t="str">
        <f>IF(csv!F399="","",csv!AP399&amp;"–"&amp;csv!AQ399&amp;"–"&amp;csv!AR399)</f>
        <v/>
      </c>
      <c r="E404" s="66" t="str">
        <f>IF(csv!AV399&amp;csv!AX399&amp;csv!AZ399&amp;csv!BB399&amp;csv!BD399="","",csv!AV399&amp;"–"&amp;csv!AX399&amp;"–"&amp;csv!AZ399&amp;"–"&amp;csv!BB399&amp;"–"&amp;csv!BD399&amp;"–"&amp;csv!BF399&amp;"–"&amp;csv!BH399&amp;"–"&amp;csv!BJ399&amp;"–"&amp;csv!BL399&amp;"–"&amp;csv!BN399&amp;"–"&amp;csv!BP399&amp;"–"&amp;csv!BR399&amp;"–"&amp;csv!BT399&amp;"–"&amp;csv!BV399&amp;"–"&amp;csv!BX399&amp;"–"&amp;csv!BZ399&amp;"–"&amp;csv!CB399&amp;"–"&amp;csv!CD399&amp;"–"&amp;csv!CF399&amp;"–"&amp;csv!CH399&amp;"–"&amp;csv!CJ399&amp;"–"&amp;csv!CL399&amp;"–"&amp;csv!CN399&amp;"–"&amp;csv!CP399&amp;"–"&amp;csv!CR399&amp;"–"&amp;csv!CT399&amp;"–"&amp;csv!CV399&amp;"–"&amp;csv!CX398&amp;"–"&amp;csv!CZ398)</f>
        <v/>
      </c>
      <c r="F404" t="s">
        <v>0</v>
      </c>
      <c r="O404" s="1" t="str">
        <f t="shared" si="29"/>
        <v/>
      </c>
      <c r="X404" t="s">
        <v>0</v>
      </c>
    </row>
    <row r="405" spans="1:24" x14ac:dyDescent="0.25">
      <c r="A405" t="s">
        <v>0</v>
      </c>
      <c r="B405" s="52" t="str">
        <f>IF(csv!F400="","",csv!T400)</f>
        <v/>
      </c>
      <c r="C405" s="31" t="str">
        <f>IF(csv!F400="","",csv!AO400)</f>
        <v/>
      </c>
      <c r="D405" s="31" t="str">
        <f>IF(csv!F400="","",csv!AP400&amp;"–"&amp;csv!AQ400&amp;"–"&amp;csv!AR400)</f>
        <v/>
      </c>
      <c r="E405" s="66" t="str">
        <f>IF(csv!AV400&amp;csv!AX400&amp;csv!AZ400&amp;csv!BB400&amp;csv!BD400="","",csv!AV400&amp;"–"&amp;csv!AX400&amp;"–"&amp;csv!AZ400&amp;"–"&amp;csv!BB400&amp;"–"&amp;csv!BD400&amp;"–"&amp;csv!BF400&amp;"–"&amp;csv!BH400&amp;"–"&amp;csv!BJ400&amp;"–"&amp;csv!BL400&amp;"–"&amp;csv!BN400&amp;"–"&amp;csv!BP400&amp;"–"&amp;csv!BR400&amp;"–"&amp;csv!BT400&amp;"–"&amp;csv!BV400&amp;"–"&amp;csv!BX400&amp;"–"&amp;csv!BZ400&amp;"–"&amp;csv!CB400&amp;"–"&amp;csv!CD400&amp;"–"&amp;csv!CF400&amp;"–"&amp;csv!CH400&amp;"–"&amp;csv!CJ400&amp;"–"&amp;csv!CL400&amp;"–"&amp;csv!CN400&amp;"–"&amp;csv!CP400&amp;"–"&amp;csv!CR400&amp;"–"&amp;csv!CT400&amp;"–"&amp;csv!CV400&amp;"–"&amp;csv!CX399&amp;"–"&amp;csv!CZ399)</f>
        <v/>
      </c>
      <c r="F405" t="s">
        <v>0</v>
      </c>
      <c r="O405" s="1" t="str">
        <f t="shared" si="29"/>
        <v/>
      </c>
      <c r="X405" t="s">
        <v>0</v>
      </c>
    </row>
    <row r="406" spans="1:24" x14ac:dyDescent="0.25">
      <c r="A406" t="s">
        <v>0</v>
      </c>
      <c r="B406" s="52" t="str">
        <f>IF(csv!F401="","",csv!T401)</f>
        <v/>
      </c>
      <c r="C406" s="31" t="str">
        <f>IF(csv!F401="","",csv!AO401)</f>
        <v/>
      </c>
      <c r="D406" s="31" t="str">
        <f>IF(csv!F401="","",csv!AP401&amp;"–"&amp;csv!AQ401&amp;"–"&amp;csv!AR401)</f>
        <v/>
      </c>
      <c r="E406" s="66" t="str">
        <f>IF(csv!AV401&amp;csv!AX401&amp;csv!AZ401&amp;csv!BB401&amp;csv!BD401="","",csv!AV401&amp;"–"&amp;csv!AX401&amp;"–"&amp;csv!AZ401&amp;"–"&amp;csv!BB401&amp;"–"&amp;csv!BD401&amp;"–"&amp;csv!BF401&amp;"–"&amp;csv!BH401&amp;"–"&amp;csv!BJ401&amp;"–"&amp;csv!BL401&amp;"–"&amp;csv!BN401&amp;"–"&amp;csv!BP401&amp;"–"&amp;csv!BR401&amp;"–"&amp;csv!BT401&amp;"–"&amp;csv!BV401&amp;"–"&amp;csv!BX401&amp;"–"&amp;csv!BZ401&amp;"–"&amp;csv!CB401&amp;"–"&amp;csv!CD401&amp;"–"&amp;csv!CF401&amp;"–"&amp;csv!CH401&amp;"–"&amp;csv!CJ401&amp;"–"&amp;csv!CL401&amp;"–"&amp;csv!CN401&amp;"–"&amp;csv!CP401&amp;"–"&amp;csv!CR401&amp;"–"&amp;csv!CT401&amp;"–"&amp;csv!CV401&amp;"–"&amp;csv!CX400&amp;"–"&amp;csv!CZ400)</f>
        <v/>
      </c>
      <c r="F406" t="s">
        <v>0</v>
      </c>
      <c r="O406" s="1" t="str">
        <f t="shared" si="29"/>
        <v/>
      </c>
      <c r="X406" t="s">
        <v>0</v>
      </c>
    </row>
    <row r="407" spans="1:24" ht="15.75" thickBot="1" x14ac:dyDescent="0.3">
      <c r="A407" t="s">
        <v>0</v>
      </c>
      <c r="B407" s="54" t="str">
        <f>IF(csv!F402="","",csv!T402)</f>
        <v/>
      </c>
      <c r="C407" s="34" t="str">
        <f>IF(csv!F402="","",csv!AO402)</f>
        <v/>
      </c>
      <c r="D407" s="34" t="str">
        <f>IF(csv!F402="","",csv!AP402&amp;"–"&amp;csv!AQ402&amp;"–"&amp;csv!AR402)</f>
        <v/>
      </c>
      <c r="E407" s="67" t="str">
        <f>IF(csv!AV402&amp;csv!AX402&amp;csv!AZ402&amp;csv!BB402&amp;csv!BD402="","",csv!AV402&amp;"–"&amp;csv!AX402&amp;"–"&amp;csv!AZ402&amp;"–"&amp;csv!BB402&amp;"–"&amp;csv!BD402&amp;"–"&amp;csv!BF402&amp;"–"&amp;csv!BH402&amp;"–"&amp;csv!BJ402&amp;"–"&amp;csv!BL402&amp;"–"&amp;csv!BN402&amp;"–"&amp;csv!BP402&amp;"–"&amp;csv!BR402&amp;"–"&amp;csv!BT402&amp;"–"&amp;csv!BV402&amp;"–"&amp;csv!BX402&amp;"–"&amp;csv!BZ402&amp;"–"&amp;csv!CB402&amp;"–"&amp;csv!CD402&amp;"–"&amp;csv!CF402&amp;"–"&amp;csv!CH402&amp;"–"&amp;csv!CJ402&amp;"–"&amp;csv!CL402&amp;"–"&amp;csv!CN402&amp;"–"&amp;csv!CP402&amp;"–"&amp;csv!CR402&amp;"–"&amp;csv!CT402&amp;"–"&amp;csv!CV402&amp;"–"&amp;csv!CX401&amp;"–"&amp;csv!CZ401)</f>
        <v/>
      </c>
      <c r="F407" t="s">
        <v>0</v>
      </c>
      <c r="O407" s="1" t="str">
        <f t="shared" si="29"/>
        <v/>
      </c>
      <c r="X407" t="s">
        <v>0</v>
      </c>
    </row>
    <row r="408" spans="1:24" x14ac:dyDescent="0.25">
      <c r="A408" t="s">
        <v>0</v>
      </c>
      <c r="O408" s="1" t="str">
        <f t="shared" si="29"/>
        <v/>
      </c>
    </row>
    <row r="409" spans="1:24" x14ac:dyDescent="0.25">
      <c r="A409" t="s">
        <v>0</v>
      </c>
      <c r="O409" s="1" t="str">
        <f t="shared" si="29"/>
        <v/>
      </c>
    </row>
    <row r="410" spans="1:24" x14ac:dyDescent="0.25">
      <c r="A410" t="s">
        <v>0</v>
      </c>
      <c r="O410" s="1" t="str">
        <f t="shared" si="29"/>
        <v/>
      </c>
    </row>
    <row r="411" spans="1:24" x14ac:dyDescent="0.25">
      <c r="A411" t="s">
        <v>0</v>
      </c>
    </row>
  </sheetData>
  <mergeCells count="5">
    <mergeCell ref="B2:Y2"/>
    <mergeCell ref="J4:U4"/>
    <mergeCell ref="W4:Y4"/>
    <mergeCell ref="G4:H4"/>
    <mergeCell ref="B4:E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A7ED-9945-4BD8-9E43-EABA08DE46F6}">
  <dimension ref="A1:X58"/>
  <sheetViews>
    <sheetView workbookViewId="0">
      <selection activeCell="D11" sqref="D11"/>
    </sheetView>
  </sheetViews>
  <sheetFormatPr defaultRowHeight="15" x14ac:dyDescent="0.25"/>
  <cols>
    <col min="1" max="1" width="2.85546875" style="147" customWidth="1"/>
    <col min="2" max="2" width="11.42578125" style="147" hidden="1" customWidth="1"/>
    <col min="3" max="3" width="11.42578125" style="147" customWidth="1"/>
    <col min="4" max="4" width="17.140625" style="147" customWidth="1"/>
    <col min="5" max="5" width="11.42578125" style="190" customWidth="1"/>
    <col min="6" max="6" width="19.42578125" style="190" customWidth="1"/>
    <col min="7" max="7" width="11.42578125" style="190" customWidth="1"/>
    <col min="8" max="8" width="2.85546875" style="147" customWidth="1"/>
    <col min="9" max="9" width="28.42578125" style="147" bestFit="1" customWidth="1"/>
    <col min="10" max="10" width="2.85546875" style="147" customWidth="1"/>
    <col min="11" max="11" width="13.7109375" style="190" customWidth="1"/>
    <col min="12" max="12" width="17.140625" style="190" customWidth="1"/>
    <col min="13" max="13" width="2.85546875" style="147" customWidth="1"/>
    <col min="14" max="14" width="6.5703125" style="148" customWidth="1"/>
    <col min="15" max="15" width="2.85546875" style="147" customWidth="1"/>
    <col min="16" max="16" width="13.7109375" style="190" customWidth="1"/>
    <col min="17" max="17" width="11.42578125" style="190" customWidth="1"/>
    <col min="18" max="18" width="13.7109375" style="190" customWidth="1"/>
    <col min="19" max="19" width="9.140625" style="190" customWidth="1"/>
    <col min="20" max="20" width="2.85546875" style="147" customWidth="1"/>
    <col min="21" max="21" width="28.5703125" style="147" customWidth="1"/>
    <col min="22" max="22" width="2.85546875" style="147" customWidth="1"/>
    <col min="23" max="23" width="28.5703125" style="147" customWidth="1"/>
    <col min="24" max="24" width="2.85546875" style="147" customWidth="1"/>
    <col min="25" max="16384" width="9.140625" style="147"/>
  </cols>
  <sheetData>
    <row r="1" spans="1:24" ht="15.75" thickBot="1" x14ac:dyDescent="0.3"/>
    <row r="2" spans="1:24" ht="32.25" thickBot="1" x14ac:dyDescent="0.55000000000000004">
      <c r="C2" s="320" t="s">
        <v>139</v>
      </c>
      <c r="D2" s="321"/>
      <c r="E2" s="321"/>
      <c r="F2" s="321"/>
      <c r="G2" s="321"/>
      <c r="H2" s="321"/>
      <c r="I2" s="321"/>
      <c r="J2" s="321"/>
      <c r="K2" s="321"/>
      <c r="L2" s="321"/>
      <c r="M2" s="321"/>
      <c r="N2" s="321"/>
      <c r="O2" s="321"/>
      <c r="P2" s="321"/>
      <c r="Q2" s="321"/>
      <c r="R2" s="321"/>
      <c r="S2" s="321"/>
      <c r="T2" s="321"/>
      <c r="U2" s="321"/>
      <c r="V2" s="321"/>
      <c r="W2" s="322"/>
    </row>
    <row r="3" spans="1:24" ht="15.75" thickBot="1" x14ac:dyDescent="0.3"/>
    <row r="4" spans="1:24" ht="21.75" thickBot="1" x14ac:dyDescent="0.4">
      <c r="C4" s="323"/>
      <c r="D4" s="324"/>
      <c r="E4" s="324"/>
      <c r="F4" s="324"/>
      <c r="G4" s="325"/>
      <c r="I4" s="191"/>
      <c r="K4" s="323"/>
      <c r="L4" s="324"/>
      <c r="M4" s="324"/>
      <c r="N4" s="325"/>
      <c r="P4" s="323"/>
      <c r="Q4" s="324"/>
      <c r="R4" s="324"/>
      <c r="S4" s="325"/>
      <c r="U4" s="323"/>
      <c r="V4" s="324"/>
      <c r="W4" s="325"/>
    </row>
    <row r="6" spans="1:24" x14ac:dyDescent="0.25">
      <c r="A6" s="192" t="s">
        <v>0</v>
      </c>
      <c r="B6" s="193" t="s">
        <v>132</v>
      </c>
      <c r="C6" s="194" t="s">
        <v>132</v>
      </c>
      <c r="D6" s="150" t="s">
        <v>4</v>
      </c>
      <c r="E6" s="195" t="s">
        <v>133</v>
      </c>
      <c r="F6" s="195" t="s">
        <v>134</v>
      </c>
      <c r="G6" s="195" t="s">
        <v>133</v>
      </c>
      <c r="H6" s="192" t="s">
        <v>0</v>
      </c>
      <c r="I6" s="196" t="s">
        <v>149</v>
      </c>
      <c r="J6" s="192" t="s">
        <v>0</v>
      </c>
      <c r="K6" s="197" t="s">
        <v>135</v>
      </c>
      <c r="L6" s="197" t="s">
        <v>136</v>
      </c>
      <c r="M6" s="192" t="s">
        <v>0</v>
      </c>
      <c r="N6" s="151" t="s">
        <v>137</v>
      </c>
      <c r="O6" s="192" t="s">
        <v>0</v>
      </c>
      <c r="P6" s="197" t="s">
        <v>138</v>
      </c>
      <c r="Q6" s="197" t="s">
        <v>35</v>
      </c>
      <c r="R6" s="197" t="s">
        <v>133</v>
      </c>
      <c r="S6" s="197" t="s">
        <v>16</v>
      </c>
      <c r="T6" s="192" t="s">
        <v>0</v>
      </c>
      <c r="U6" s="151" t="s">
        <v>51</v>
      </c>
      <c r="V6" s="192" t="s">
        <v>0</v>
      </c>
      <c r="W6" s="151" t="s">
        <v>219</v>
      </c>
      <c r="X6" s="192" t="s">
        <v>0</v>
      </c>
    </row>
    <row r="7" spans="1:24" ht="7.5" customHeight="1" thickBot="1" x14ac:dyDescent="0.3">
      <c r="A7" s="192" t="s">
        <v>0</v>
      </c>
      <c r="D7" s="148"/>
      <c r="H7" s="192" t="s">
        <v>0</v>
      </c>
      <c r="I7" s="148"/>
      <c r="J7" s="192" t="s">
        <v>0</v>
      </c>
      <c r="K7" s="198">
        <f>data_max_kategorijaAlias_id</f>
        <v>1</v>
      </c>
      <c r="M7" s="192" t="s">
        <v>0</v>
      </c>
      <c r="O7" s="192" t="s">
        <v>0</v>
      </c>
      <c r="P7" s="198">
        <f>data_max_stazaKategorija_id</f>
        <v>22</v>
      </c>
      <c r="T7" s="192" t="s">
        <v>0</v>
      </c>
      <c r="U7" s="148"/>
      <c r="V7" s="192" t="s">
        <v>0</v>
      </c>
      <c r="W7" s="148"/>
      <c r="X7" s="192" t="s">
        <v>0</v>
      </c>
    </row>
    <row r="8" spans="1:24" ht="16.5" thickTop="1" thickBot="1" x14ac:dyDescent="0.3">
      <c r="A8" s="192" t="s">
        <v>0</v>
      </c>
      <c r="B8" s="199">
        <v>1</v>
      </c>
      <c r="C8" s="200">
        <f>IF(D8="","",B8)</f>
        <v>1</v>
      </c>
      <c r="D8" s="152" t="str">
        <f t="shared" ref="D8:D39" si="0">IFERROR(INDEX(nat_kategorija,MATCH(B8,nat_katnatid,0)),"")</f>
        <v>M12</v>
      </c>
      <c r="E8" s="201">
        <f t="shared" ref="E8:E39" si="1">IF(D8="","",IFERROR(INDEX(regKategorija_id,MATCH(D8,regKategorija_oznaka,0)),"NEMA"))</f>
        <v>112</v>
      </c>
      <c r="F8" s="201" t="str">
        <f t="shared" ref="F8:F39" si="2">IF(E8&lt;&gt;"NEMA","",IFERROR(INDEX(regKategorija_alias_id,MATCH(D8,regKategorija_alias_oznaka,0)),"NEMA"))</f>
        <v/>
      </c>
      <c r="G8" s="202">
        <f>IF(E8="NEMA",F8,E8)</f>
        <v>112</v>
      </c>
      <c r="H8" s="192" t="s">
        <v>0</v>
      </c>
      <c r="I8" s="124"/>
      <c r="J8" s="192" t="s">
        <v>0</v>
      </c>
      <c r="K8" s="203" t="str">
        <f>IF(I8="","",MAX(K$7:K7)+1)</f>
        <v/>
      </c>
      <c r="L8" s="202" t="str">
        <f t="shared" ref="L8:L39" si="3">IF(I8="","",IFERROR(INDEX(regKategorija_id,MATCH(I8,regKategorija_oznaka,0)),"NEMA"))</f>
        <v/>
      </c>
      <c r="M8" s="192" t="s">
        <v>0</v>
      </c>
      <c r="N8" s="204" t="str">
        <f>IF(K8="","","INSERT INTO kategorija_alias(id,alias,kategorija_id) VALUES ("&amp;K8&amp;",'"&amp;D8&amp;"',"&amp;L8&amp;");")</f>
        <v/>
      </c>
      <c r="O8" s="192" t="s">
        <v>0</v>
      </c>
      <c r="P8" s="203">
        <f>IF(G8="","",MAX(P$7:P7)+1)</f>
        <v>23</v>
      </c>
      <c r="Q8" s="201" t="str">
        <f t="shared" ref="Q8:Q39" si="4">IF(G8="","",IFERROR(INDEX(natjecanjeStaze_stazaId,MATCH(D8,natStaza_kategorija,0)),"NEMA"))</f>
        <v>NEMA</v>
      </c>
      <c r="R8" s="201">
        <f>IF(G8="","",IF(G8&lt;&gt;"NEMA",G8,L8))</f>
        <v>112</v>
      </c>
      <c r="S8" s="202">
        <f t="shared" ref="S8:S39" si="5">IF(G8="","",INDEX(regKategorija_rbr,MATCH(R8,regKategorija_id,0)))</f>
        <v>12</v>
      </c>
      <c r="T8" s="192" t="s">
        <v>0</v>
      </c>
      <c r="U8" s="153" t="str">
        <f>IF(D8="","",IF(Q8="NEMA","","INSERT INTO staza_kategorija(id, staza_id,kategorija_id,rbr) VALUES ("&amp;P8&amp;","&amp;Q8&amp;","&amp;R8&amp;","&amp;S8&amp;");"))</f>
        <v/>
      </c>
      <c r="V8" s="192" t="s">
        <v>0</v>
      </c>
      <c r="W8" s="182" t="str">
        <f t="shared" ref="W8:W56" si="6">N8&amp;IF(OR(N8="",U8=""),"","
")&amp;U8&amp;IF(W9="","","
"&amp;W9)</f>
        <v/>
      </c>
      <c r="X8" s="192" t="s">
        <v>0</v>
      </c>
    </row>
    <row r="9" spans="1:24" ht="15.75" thickTop="1" x14ac:dyDescent="0.25">
      <c r="A9" s="192" t="s">
        <v>0</v>
      </c>
      <c r="B9" s="205">
        <f>B8+1</f>
        <v>2</v>
      </c>
      <c r="C9" s="206">
        <f t="shared" ref="C9:C57" si="7">IF(D9="","",B9)</f>
        <v>2</v>
      </c>
      <c r="D9" s="154" t="str">
        <f t="shared" si="0"/>
        <v>M14</v>
      </c>
      <c r="E9" s="207">
        <f t="shared" si="1"/>
        <v>111</v>
      </c>
      <c r="F9" s="207" t="str">
        <f t="shared" si="2"/>
        <v/>
      </c>
      <c r="G9" s="208">
        <f t="shared" ref="G9:G57" si="8">IF(E9="NEMA",F9,E9)</f>
        <v>111</v>
      </c>
      <c r="H9" s="192" t="s">
        <v>0</v>
      </c>
      <c r="I9" s="125"/>
      <c r="J9" s="192" t="s">
        <v>0</v>
      </c>
      <c r="K9" s="209" t="str">
        <f>IF(I9="","",MAX(K$7:K8)+1)</f>
        <v/>
      </c>
      <c r="L9" s="208" t="str">
        <f t="shared" si="3"/>
        <v/>
      </c>
      <c r="M9" s="192" t="s">
        <v>0</v>
      </c>
      <c r="N9" s="210" t="str">
        <f t="shared" ref="N9:N57" si="9">IF(K9="","","INSERT INTO kategorija_alias(id,alias,kategorija_id) VALUES ("&amp;K9&amp;",'"&amp;D9&amp;"',"&amp;L9&amp;");")</f>
        <v/>
      </c>
      <c r="O9" s="192" t="s">
        <v>0</v>
      </c>
      <c r="P9" s="209">
        <f>IF(G9="","",MAX(P$7:P8)+1)</f>
        <v>24</v>
      </c>
      <c r="Q9" s="207" t="str">
        <f t="shared" si="4"/>
        <v>NEMA</v>
      </c>
      <c r="R9" s="207">
        <f t="shared" ref="R9:R57" si="10">IF(G9="","",IF(G9&lt;&gt;"NEMA",G9,L9))</f>
        <v>111</v>
      </c>
      <c r="S9" s="208">
        <f t="shared" si="5"/>
        <v>11</v>
      </c>
      <c r="T9" s="192" t="s">
        <v>0</v>
      </c>
      <c r="U9" s="155" t="str">
        <f t="shared" ref="U9:U57" si="11">IF(D9="","",IF(Q9="NEMA","","INSERT INTO staza_kategorija(id, staza_id,kategorija_id,rbr) VALUES ("&amp;P9&amp;","&amp;Q9&amp;","&amp;R9&amp;","&amp;S9&amp;");"))</f>
        <v/>
      </c>
      <c r="V9" s="192" t="s">
        <v>0</v>
      </c>
      <c r="W9" s="155" t="str">
        <f t="shared" si="6"/>
        <v/>
      </c>
      <c r="X9" s="192" t="s">
        <v>0</v>
      </c>
    </row>
    <row r="10" spans="1:24" x14ac:dyDescent="0.25">
      <c r="A10" s="192" t="s">
        <v>0</v>
      </c>
      <c r="B10" s="205">
        <f t="shared" ref="B10:B57" si="12">B9+1</f>
        <v>3</v>
      </c>
      <c r="C10" s="206">
        <f t="shared" si="7"/>
        <v>3</v>
      </c>
      <c r="D10" s="154" t="str">
        <f t="shared" si="0"/>
        <v>M16</v>
      </c>
      <c r="E10" s="207">
        <f t="shared" si="1"/>
        <v>110</v>
      </c>
      <c r="F10" s="207" t="str">
        <f t="shared" si="2"/>
        <v/>
      </c>
      <c r="G10" s="208">
        <f t="shared" si="8"/>
        <v>110</v>
      </c>
      <c r="H10" s="192" t="s">
        <v>0</v>
      </c>
      <c r="I10" s="125"/>
      <c r="J10" s="192" t="s">
        <v>0</v>
      </c>
      <c r="K10" s="209" t="str">
        <f>IF(I10="","",MAX(K$7:K9)+1)</f>
        <v/>
      </c>
      <c r="L10" s="208" t="str">
        <f t="shared" si="3"/>
        <v/>
      </c>
      <c r="M10" s="192" t="s">
        <v>0</v>
      </c>
      <c r="N10" s="210" t="str">
        <f t="shared" si="9"/>
        <v/>
      </c>
      <c r="O10" s="192" t="s">
        <v>0</v>
      </c>
      <c r="P10" s="209">
        <f>IF(G10="","",MAX(P$7:P9)+1)</f>
        <v>25</v>
      </c>
      <c r="Q10" s="207" t="str">
        <f t="shared" si="4"/>
        <v>NEMA</v>
      </c>
      <c r="R10" s="207">
        <f t="shared" si="10"/>
        <v>110</v>
      </c>
      <c r="S10" s="208">
        <f t="shared" si="5"/>
        <v>10</v>
      </c>
      <c r="T10" s="192" t="s">
        <v>0</v>
      </c>
      <c r="U10" s="155" t="str">
        <f t="shared" si="11"/>
        <v/>
      </c>
      <c r="V10" s="192" t="s">
        <v>0</v>
      </c>
      <c r="W10" s="155" t="str">
        <f t="shared" si="6"/>
        <v/>
      </c>
      <c r="X10" s="192" t="s">
        <v>0</v>
      </c>
    </row>
    <row r="11" spans="1:24" x14ac:dyDescent="0.25">
      <c r="A11" s="192" t="s">
        <v>0</v>
      </c>
      <c r="B11" s="205">
        <f t="shared" si="12"/>
        <v>4</v>
      </c>
      <c r="C11" s="206">
        <f t="shared" si="7"/>
        <v>4</v>
      </c>
      <c r="D11" s="154" t="str">
        <f t="shared" si="0"/>
        <v>M20</v>
      </c>
      <c r="E11" s="207">
        <f t="shared" si="1"/>
        <v>109</v>
      </c>
      <c r="F11" s="207" t="str">
        <f t="shared" si="2"/>
        <v/>
      </c>
      <c r="G11" s="208">
        <f t="shared" si="8"/>
        <v>109</v>
      </c>
      <c r="H11" s="192" t="s">
        <v>0</v>
      </c>
      <c r="I11" s="125"/>
      <c r="J11" s="192" t="s">
        <v>0</v>
      </c>
      <c r="K11" s="209" t="str">
        <f>IF(I11="","",MAX(K$7:K10)+1)</f>
        <v/>
      </c>
      <c r="L11" s="208" t="str">
        <f t="shared" si="3"/>
        <v/>
      </c>
      <c r="M11" s="192" t="s">
        <v>0</v>
      </c>
      <c r="N11" s="210" t="str">
        <f t="shared" si="9"/>
        <v/>
      </c>
      <c r="O11" s="192" t="s">
        <v>0</v>
      </c>
      <c r="P11" s="209">
        <f>IF(G11="","",MAX(P$7:P10)+1)</f>
        <v>26</v>
      </c>
      <c r="Q11" s="207" t="str">
        <f t="shared" si="4"/>
        <v>NEMA</v>
      </c>
      <c r="R11" s="207">
        <f t="shared" si="10"/>
        <v>109</v>
      </c>
      <c r="S11" s="208">
        <f t="shared" si="5"/>
        <v>9</v>
      </c>
      <c r="T11" s="192" t="s">
        <v>0</v>
      </c>
      <c r="U11" s="155" t="str">
        <f t="shared" si="11"/>
        <v/>
      </c>
      <c r="V11" s="192" t="s">
        <v>0</v>
      </c>
      <c r="W11" s="155" t="str">
        <f t="shared" si="6"/>
        <v/>
      </c>
      <c r="X11" s="192" t="s">
        <v>0</v>
      </c>
    </row>
    <row r="12" spans="1:24" x14ac:dyDescent="0.25">
      <c r="A12" s="192" t="s">
        <v>0</v>
      </c>
      <c r="B12" s="205">
        <f t="shared" si="12"/>
        <v>5</v>
      </c>
      <c r="C12" s="206">
        <f t="shared" si="7"/>
        <v>5</v>
      </c>
      <c r="D12" s="154" t="str">
        <f t="shared" si="0"/>
        <v>M21A</v>
      </c>
      <c r="E12" s="207">
        <f t="shared" si="1"/>
        <v>101</v>
      </c>
      <c r="F12" s="207" t="str">
        <f t="shared" si="2"/>
        <v/>
      </c>
      <c r="G12" s="208">
        <f t="shared" si="8"/>
        <v>101</v>
      </c>
      <c r="H12" s="192" t="s">
        <v>0</v>
      </c>
      <c r="I12" s="125"/>
      <c r="J12" s="192" t="s">
        <v>0</v>
      </c>
      <c r="K12" s="209" t="str">
        <f>IF(I12="","",MAX(K$7:K11)+1)</f>
        <v/>
      </c>
      <c r="L12" s="208" t="str">
        <f t="shared" si="3"/>
        <v/>
      </c>
      <c r="M12" s="192" t="s">
        <v>0</v>
      </c>
      <c r="N12" s="210" t="str">
        <f t="shared" si="9"/>
        <v/>
      </c>
      <c r="O12" s="192" t="s">
        <v>0</v>
      </c>
      <c r="P12" s="209">
        <f>IF(G12="","",MAX(P$7:P11)+1)</f>
        <v>27</v>
      </c>
      <c r="Q12" s="207" t="str">
        <f t="shared" si="4"/>
        <v>NEMA</v>
      </c>
      <c r="R12" s="207">
        <f t="shared" si="10"/>
        <v>101</v>
      </c>
      <c r="S12" s="208">
        <f t="shared" si="5"/>
        <v>1</v>
      </c>
      <c r="T12" s="192" t="s">
        <v>0</v>
      </c>
      <c r="U12" s="155" t="str">
        <f t="shared" si="11"/>
        <v/>
      </c>
      <c r="V12" s="192" t="s">
        <v>0</v>
      </c>
      <c r="W12" s="155" t="str">
        <f t="shared" si="6"/>
        <v/>
      </c>
      <c r="X12" s="192" t="s">
        <v>0</v>
      </c>
    </row>
    <row r="13" spans="1:24" x14ac:dyDescent="0.25">
      <c r="A13" s="192" t="s">
        <v>0</v>
      </c>
      <c r="B13" s="205">
        <f t="shared" si="12"/>
        <v>6</v>
      </c>
      <c r="C13" s="206">
        <f t="shared" si="7"/>
        <v>6</v>
      </c>
      <c r="D13" s="154" t="str">
        <f t="shared" si="0"/>
        <v>M21B</v>
      </c>
      <c r="E13" s="207">
        <f t="shared" si="1"/>
        <v>108</v>
      </c>
      <c r="F13" s="207" t="str">
        <f t="shared" si="2"/>
        <v/>
      </c>
      <c r="G13" s="208">
        <f t="shared" si="8"/>
        <v>108</v>
      </c>
      <c r="H13" s="192" t="s">
        <v>0</v>
      </c>
      <c r="I13" s="125"/>
      <c r="J13" s="192" t="s">
        <v>0</v>
      </c>
      <c r="K13" s="209" t="str">
        <f>IF(I13="","",MAX(K$7:K12)+1)</f>
        <v/>
      </c>
      <c r="L13" s="208" t="str">
        <f t="shared" si="3"/>
        <v/>
      </c>
      <c r="M13" s="192" t="s">
        <v>0</v>
      </c>
      <c r="N13" s="210" t="str">
        <f t="shared" si="9"/>
        <v/>
      </c>
      <c r="O13" s="192" t="s">
        <v>0</v>
      </c>
      <c r="P13" s="209">
        <f>IF(G13="","",MAX(P$7:P12)+1)</f>
        <v>28</v>
      </c>
      <c r="Q13" s="207" t="str">
        <f t="shared" si="4"/>
        <v>NEMA</v>
      </c>
      <c r="R13" s="207">
        <f t="shared" si="10"/>
        <v>108</v>
      </c>
      <c r="S13" s="208">
        <f t="shared" si="5"/>
        <v>8</v>
      </c>
      <c r="T13" s="192" t="s">
        <v>0</v>
      </c>
      <c r="U13" s="155" t="str">
        <f t="shared" si="11"/>
        <v/>
      </c>
      <c r="V13" s="192" t="s">
        <v>0</v>
      </c>
      <c r="W13" s="155" t="str">
        <f t="shared" si="6"/>
        <v/>
      </c>
      <c r="X13" s="192" t="s">
        <v>0</v>
      </c>
    </row>
    <row r="14" spans="1:24" x14ac:dyDescent="0.25">
      <c r="A14" s="192" t="s">
        <v>0</v>
      </c>
      <c r="B14" s="205">
        <f t="shared" si="12"/>
        <v>7</v>
      </c>
      <c r="C14" s="206">
        <f t="shared" si="7"/>
        <v>7</v>
      </c>
      <c r="D14" s="154" t="str">
        <f t="shared" si="0"/>
        <v>M35</v>
      </c>
      <c r="E14" s="207">
        <f t="shared" si="1"/>
        <v>107</v>
      </c>
      <c r="F14" s="207" t="str">
        <f t="shared" si="2"/>
        <v/>
      </c>
      <c r="G14" s="208">
        <f t="shared" si="8"/>
        <v>107</v>
      </c>
      <c r="H14" s="192" t="s">
        <v>0</v>
      </c>
      <c r="I14" s="125"/>
      <c r="J14" s="192" t="s">
        <v>0</v>
      </c>
      <c r="K14" s="209" t="str">
        <f>IF(I14="","",MAX(K$7:K13)+1)</f>
        <v/>
      </c>
      <c r="L14" s="208" t="str">
        <f t="shared" si="3"/>
        <v/>
      </c>
      <c r="M14" s="192" t="s">
        <v>0</v>
      </c>
      <c r="N14" s="210" t="str">
        <f t="shared" si="9"/>
        <v/>
      </c>
      <c r="O14" s="192" t="s">
        <v>0</v>
      </c>
      <c r="P14" s="209">
        <f>IF(G14="","",MAX(P$7:P13)+1)</f>
        <v>29</v>
      </c>
      <c r="Q14" s="207" t="str">
        <f t="shared" si="4"/>
        <v>NEMA</v>
      </c>
      <c r="R14" s="207">
        <f t="shared" si="10"/>
        <v>107</v>
      </c>
      <c r="S14" s="208">
        <f t="shared" si="5"/>
        <v>7</v>
      </c>
      <c r="T14" s="192" t="s">
        <v>0</v>
      </c>
      <c r="U14" s="155" t="str">
        <f t="shared" si="11"/>
        <v/>
      </c>
      <c r="V14" s="192" t="s">
        <v>0</v>
      </c>
      <c r="W14" s="155" t="str">
        <f t="shared" si="6"/>
        <v/>
      </c>
      <c r="X14" s="192" t="s">
        <v>0</v>
      </c>
    </row>
    <row r="15" spans="1:24" x14ac:dyDescent="0.25">
      <c r="A15" s="192" t="s">
        <v>0</v>
      </c>
      <c r="B15" s="205">
        <f t="shared" si="12"/>
        <v>8</v>
      </c>
      <c r="C15" s="206">
        <f t="shared" si="7"/>
        <v>8</v>
      </c>
      <c r="D15" s="154" t="str">
        <f t="shared" si="0"/>
        <v>M45</v>
      </c>
      <c r="E15" s="207">
        <f t="shared" si="1"/>
        <v>106</v>
      </c>
      <c r="F15" s="207" t="str">
        <f t="shared" si="2"/>
        <v/>
      </c>
      <c r="G15" s="208">
        <f t="shared" si="8"/>
        <v>106</v>
      </c>
      <c r="H15" s="192" t="s">
        <v>0</v>
      </c>
      <c r="I15" s="125"/>
      <c r="J15" s="192" t="s">
        <v>0</v>
      </c>
      <c r="K15" s="209" t="str">
        <f>IF(I15="","",MAX(K$7:K14)+1)</f>
        <v/>
      </c>
      <c r="L15" s="208" t="str">
        <f t="shared" si="3"/>
        <v/>
      </c>
      <c r="M15" s="192" t="s">
        <v>0</v>
      </c>
      <c r="N15" s="210" t="str">
        <f t="shared" si="9"/>
        <v/>
      </c>
      <c r="O15" s="192" t="s">
        <v>0</v>
      </c>
      <c r="P15" s="209">
        <f>IF(G15="","",MAX(P$7:P14)+1)</f>
        <v>30</v>
      </c>
      <c r="Q15" s="207" t="str">
        <f t="shared" si="4"/>
        <v>NEMA</v>
      </c>
      <c r="R15" s="207">
        <f t="shared" si="10"/>
        <v>106</v>
      </c>
      <c r="S15" s="208">
        <f t="shared" si="5"/>
        <v>6</v>
      </c>
      <c r="T15" s="192" t="s">
        <v>0</v>
      </c>
      <c r="U15" s="155" t="str">
        <f t="shared" si="11"/>
        <v/>
      </c>
      <c r="V15" s="192" t="s">
        <v>0</v>
      </c>
      <c r="W15" s="155" t="str">
        <f t="shared" si="6"/>
        <v/>
      </c>
      <c r="X15" s="192" t="s">
        <v>0</v>
      </c>
    </row>
    <row r="16" spans="1:24" x14ac:dyDescent="0.25">
      <c r="A16" s="192" t="s">
        <v>0</v>
      </c>
      <c r="B16" s="205">
        <f t="shared" si="12"/>
        <v>9</v>
      </c>
      <c r="C16" s="206">
        <f t="shared" si="7"/>
        <v>9</v>
      </c>
      <c r="D16" s="154" t="str">
        <f t="shared" si="0"/>
        <v>M55</v>
      </c>
      <c r="E16" s="207">
        <f t="shared" si="1"/>
        <v>105</v>
      </c>
      <c r="F16" s="207" t="str">
        <f t="shared" si="2"/>
        <v/>
      </c>
      <c r="G16" s="208">
        <f t="shared" si="8"/>
        <v>105</v>
      </c>
      <c r="H16" s="192" t="s">
        <v>0</v>
      </c>
      <c r="I16" s="125"/>
      <c r="J16" s="192" t="s">
        <v>0</v>
      </c>
      <c r="K16" s="209" t="str">
        <f>IF(I16="","",MAX(K$7:K15)+1)</f>
        <v/>
      </c>
      <c r="L16" s="208" t="str">
        <f t="shared" si="3"/>
        <v/>
      </c>
      <c r="M16" s="192" t="s">
        <v>0</v>
      </c>
      <c r="N16" s="210" t="str">
        <f t="shared" si="9"/>
        <v/>
      </c>
      <c r="O16" s="192" t="s">
        <v>0</v>
      </c>
      <c r="P16" s="209">
        <f>IF(G16="","",MAX(P$7:P15)+1)</f>
        <v>31</v>
      </c>
      <c r="Q16" s="207" t="str">
        <f t="shared" si="4"/>
        <v>NEMA</v>
      </c>
      <c r="R16" s="207">
        <f t="shared" si="10"/>
        <v>105</v>
      </c>
      <c r="S16" s="208">
        <f t="shared" si="5"/>
        <v>5</v>
      </c>
      <c r="T16" s="192" t="s">
        <v>0</v>
      </c>
      <c r="U16" s="155" t="str">
        <f t="shared" si="11"/>
        <v/>
      </c>
      <c r="V16" s="192" t="s">
        <v>0</v>
      </c>
      <c r="W16" s="155" t="str">
        <f t="shared" si="6"/>
        <v/>
      </c>
      <c r="X16" s="192" t="s">
        <v>0</v>
      </c>
    </row>
    <row r="17" spans="1:24" x14ac:dyDescent="0.25">
      <c r="A17" s="192" t="s">
        <v>0</v>
      </c>
      <c r="B17" s="205">
        <f t="shared" si="12"/>
        <v>10</v>
      </c>
      <c r="C17" s="206">
        <f t="shared" si="7"/>
        <v>10</v>
      </c>
      <c r="D17" s="154" t="str">
        <f t="shared" si="0"/>
        <v>M65</v>
      </c>
      <c r="E17" s="207">
        <f t="shared" si="1"/>
        <v>104</v>
      </c>
      <c r="F17" s="207" t="str">
        <f t="shared" si="2"/>
        <v/>
      </c>
      <c r="G17" s="208">
        <f t="shared" si="8"/>
        <v>104</v>
      </c>
      <c r="H17" s="192" t="s">
        <v>0</v>
      </c>
      <c r="I17" s="125"/>
      <c r="J17" s="192" t="s">
        <v>0</v>
      </c>
      <c r="K17" s="209" t="str">
        <f>IF(I17="","",MAX(K$7:K16)+1)</f>
        <v/>
      </c>
      <c r="L17" s="208" t="str">
        <f t="shared" si="3"/>
        <v/>
      </c>
      <c r="M17" s="192" t="s">
        <v>0</v>
      </c>
      <c r="N17" s="210" t="str">
        <f t="shared" si="9"/>
        <v/>
      </c>
      <c r="O17" s="192" t="s">
        <v>0</v>
      </c>
      <c r="P17" s="209">
        <f>IF(G17="","",MAX(P$7:P16)+1)</f>
        <v>32</v>
      </c>
      <c r="Q17" s="207" t="str">
        <f t="shared" si="4"/>
        <v>NEMA</v>
      </c>
      <c r="R17" s="207">
        <f t="shared" si="10"/>
        <v>104</v>
      </c>
      <c r="S17" s="208">
        <f t="shared" si="5"/>
        <v>4</v>
      </c>
      <c r="T17" s="192" t="s">
        <v>0</v>
      </c>
      <c r="U17" s="155" t="str">
        <f t="shared" si="11"/>
        <v/>
      </c>
      <c r="V17" s="192" t="s">
        <v>0</v>
      </c>
      <c r="W17" s="155" t="str">
        <f t="shared" si="6"/>
        <v/>
      </c>
      <c r="X17" s="192" t="s">
        <v>0</v>
      </c>
    </row>
    <row r="18" spans="1:24" x14ac:dyDescent="0.25">
      <c r="A18" s="192" t="s">
        <v>0</v>
      </c>
      <c r="B18" s="205">
        <f t="shared" si="12"/>
        <v>11</v>
      </c>
      <c r="C18" s="206">
        <f t="shared" si="7"/>
        <v>11</v>
      </c>
      <c r="D18" s="154" t="str">
        <f t="shared" si="0"/>
        <v>M70</v>
      </c>
      <c r="E18" s="207">
        <f t="shared" si="1"/>
        <v>103</v>
      </c>
      <c r="F18" s="207" t="str">
        <f t="shared" si="2"/>
        <v/>
      </c>
      <c r="G18" s="208">
        <f t="shared" si="8"/>
        <v>103</v>
      </c>
      <c r="H18" s="192" t="s">
        <v>0</v>
      </c>
      <c r="I18" s="125"/>
      <c r="J18" s="192" t="s">
        <v>0</v>
      </c>
      <c r="K18" s="209" t="str">
        <f>IF(I18="","",MAX(K$7:K17)+1)</f>
        <v/>
      </c>
      <c r="L18" s="208" t="str">
        <f t="shared" si="3"/>
        <v/>
      </c>
      <c r="M18" s="192" t="s">
        <v>0</v>
      </c>
      <c r="N18" s="210" t="str">
        <f t="shared" si="9"/>
        <v/>
      </c>
      <c r="O18" s="192" t="s">
        <v>0</v>
      </c>
      <c r="P18" s="209">
        <f>IF(G18="","",MAX(P$7:P17)+1)</f>
        <v>33</v>
      </c>
      <c r="Q18" s="207" t="str">
        <f t="shared" si="4"/>
        <v>NEMA</v>
      </c>
      <c r="R18" s="207">
        <f t="shared" si="10"/>
        <v>103</v>
      </c>
      <c r="S18" s="208">
        <f t="shared" si="5"/>
        <v>3</v>
      </c>
      <c r="T18" s="192" t="s">
        <v>0</v>
      </c>
      <c r="U18" s="155" t="str">
        <f t="shared" si="11"/>
        <v/>
      </c>
      <c r="V18" s="192" t="s">
        <v>0</v>
      </c>
      <c r="W18" s="155" t="str">
        <f t="shared" si="6"/>
        <v/>
      </c>
      <c r="X18" s="192" t="s">
        <v>0</v>
      </c>
    </row>
    <row r="19" spans="1:24" x14ac:dyDescent="0.25">
      <c r="A19" s="192" t="s">
        <v>0</v>
      </c>
      <c r="B19" s="205">
        <f t="shared" si="12"/>
        <v>12</v>
      </c>
      <c r="C19" s="206">
        <f t="shared" si="7"/>
        <v>12</v>
      </c>
      <c r="D19" s="154" t="str">
        <f t="shared" si="0"/>
        <v>OPEN</v>
      </c>
      <c r="E19" s="207" t="str">
        <f t="shared" si="1"/>
        <v>NEMA</v>
      </c>
      <c r="F19" s="207">
        <f t="shared" si="2"/>
        <v>291</v>
      </c>
      <c r="G19" s="208">
        <f t="shared" si="8"/>
        <v>291</v>
      </c>
      <c r="H19" s="192" t="s">
        <v>0</v>
      </c>
      <c r="I19" s="125"/>
      <c r="J19" s="192" t="s">
        <v>0</v>
      </c>
      <c r="K19" s="209" t="str">
        <f>IF(I19="","",MAX(K$7:K18)+1)</f>
        <v/>
      </c>
      <c r="L19" s="208" t="str">
        <f t="shared" si="3"/>
        <v/>
      </c>
      <c r="M19" s="192" t="s">
        <v>0</v>
      </c>
      <c r="N19" s="210" t="str">
        <f t="shared" si="9"/>
        <v/>
      </c>
      <c r="O19" s="192" t="s">
        <v>0</v>
      </c>
      <c r="P19" s="209">
        <f>IF(G19="","",MAX(P$7:P18)+1)</f>
        <v>34</v>
      </c>
      <c r="Q19" s="207" t="str">
        <f t="shared" si="4"/>
        <v>NEMA</v>
      </c>
      <c r="R19" s="207">
        <f t="shared" si="10"/>
        <v>291</v>
      </c>
      <c r="S19" s="208">
        <f t="shared" si="5"/>
        <v>23</v>
      </c>
      <c r="T19" s="192" t="s">
        <v>0</v>
      </c>
      <c r="U19" s="155" t="str">
        <f t="shared" si="11"/>
        <v/>
      </c>
      <c r="V19" s="192" t="s">
        <v>0</v>
      </c>
      <c r="W19" s="155" t="str">
        <f t="shared" si="6"/>
        <v/>
      </c>
      <c r="X19" s="192" t="s">
        <v>0</v>
      </c>
    </row>
    <row r="20" spans="1:24" x14ac:dyDescent="0.25">
      <c r="A20" s="192" t="s">
        <v>0</v>
      </c>
      <c r="B20" s="205">
        <f t="shared" si="12"/>
        <v>13</v>
      </c>
      <c r="C20" s="206">
        <f t="shared" si="7"/>
        <v>13</v>
      </c>
      <c r="D20" s="154" t="str">
        <f t="shared" si="0"/>
        <v>Ž12</v>
      </c>
      <c r="E20" s="207">
        <f t="shared" si="1"/>
        <v>122</v>
      </c>
      <c r="F20" s="207" t="str">
        <f t="shared" si="2"/>
        <v/>
      </c>
      <c r="G20" s="208">
        <f t="shared" si="8"/>
        <v>122</v>
      </c>
      <c r="H20" s="192" t="s">
        <v>0</v>
      </c>
      <c r="I20" s="125"/>
      <c r="J20" s="192" t="s">
        <v>0</v>
      </c>
      <c r="K20" s="209" t="str">
        <f>IF(I20="","",MAX(K$7:K19)+1)</f>
        <v/>
      </c>
      <c r="L20" s="208" t="str">
        <f t="shared" si="3"/>
        <v/>
      </c>
      <c r="M20" s="192" t="s">
        <v>0</v>
      </c>
      <c r="N20" s="210" t="str">
        <f t="shared" si="9"/>
        <v/>
      </c>
      <c r="O20" s="192" t="s">
        <v>0</v>
      </c>
      <c r="P20" s="209">
        <f>IF(G20="","",MAX(P$7:P19)+1)</f>
        <v>35</v>
      </c>
      <c r="Q20" s="207" t="str">
        <f t="shared" si="4"/>
        <v>NEMA</v>
      </c>
      <c r="R20" s="207">
        <f t="shared" si="10"/>
        <v>122</v>
      </c>
      <c r="S20" s="208">
        <f t="shared" si="5"/>
        <v>22</v>
      </c>
      <c r="T20" s="192" t="s">
        <v>0</v>
      </c>
      <c r="U20" s="155" t="str">
        <f t="shared" si="11"/>
        <v/>
      </c>
      <c r="V20" s="192" t="s">
        <v>0</v>
      </c>
      <c r="W20" s="155" t="str">
        <f t="shared" si="6"/>
        <v/>
      </c>
      <c r="X20" s="192" t="s">
        <v>0</v>
      </c>
    </row>
    <row r="21" spans="1:24" x14ac:dyDescent="0.25">
      <c r="A21" s="192" t="s">
        <v>0</v>
      </c>
      <c r="B21" s="205">
        <f t="shared" si="12"/>
        <v>14</v>
      </c>
      <c r="C21" s="206">
        <f t="shared" si="7"/>
        <v>14</v>
      </c>
      <c r="D21" s="154" t="str">
        <f t="shared" si="0"/>
        <v>Ž14</v>
      </c>
      <c r="E21" s="207">
        <f t="shared" si="1"/>
        <v>121</v>
      </c>
      <c r="F21" s="207" t="str">
        <f t="shared" si="2"/>
        <v/>
      </c>
      <c r="G21" s="208">
        <f t="shared" si="8"/>
        <v>121</v>
      </c>
      <c r="H21" s="192" t="s">
        <v>0</v>
      </c>
      <c r="I21" s="125"/>
      <c r="J21" s="192" t="s">
        <v>0</v>
      </c>
      <c r="K21" s="209" t="str">
        <f>IF(I21="","",MAX(K$7:K20)+1)</f>
        <v/>
      </c>
      <c r="L21" s="208" t="str">
        <f t="shared" si="3"/>
        <v/>
      </c>
      <c r="M21" s="192" t="s">
        <v>0</v>
      </c>
      <c r="N21" s="210" t="str">
        <f t="shared" si="9"/>
        <v/>
      </c>
      <c r="O21" s="192" t="s">
        <v>0</v>
      </c>
      <c r="P21" s="209">
        <f>IF(G21="","",MAX(P$7:P20)+1)</f>
        <v>36</v>
      </c>
      <c r="Q21" s="207" t="str">
        <f t="shared" si="4"/>
        <v>NEMA</v>
      </c>
      <c r="R21" s="207">
        <f t="shared" si="10"/>
        <v>121</v>
      </c>
      <c r="S21" s="208">
        <f t="shared" si="5"/>
        <v>21</v>
      </c>
      <c r="T21" s="192" t="s">
        <v>0</v>
      </c>
      <c r="U21" s="155" t="str">
        <f t="shared" si="11"/>
        <v/>
      </c>
      <c r="V21" s="192" t="s">
        <v>0</v>
      </c>
      <c r="W21" s="155" t="str">
        <f t="shared" si="6"/>
        <v/>
      </c>
      <c r="X21" s="192" t="s">
        <v>0</v>
      </c>
    </row>
    <row r="22" spans="1:24" x14ac:dyDescent="0.25">
      <c r="A22" s="192" t="s">
        <v>0</v>
      </c>
      <c r="B22" s="205">
        <f t="shared" si="12"/>
        <v>15</v>
      </c>
      <c r="C22" s="206">
        <f t="shared" si="7"/>
        <v>15</v>
      </c>
      <c r="D22" s="154" t="str">
        <f t="shared" si="0"/>
        <v>Ž16</v>
      </c>
      <c r="E22" s="207">
        <f t="shared" si="1"/>
        <v>120</v>
      </c>
      <c r="F22" s="207" t="str">
        <f t="shared" si="2"/>
        <v/>
      </c>
      <c r="G22" s="208">
        <f t="shared" si="8"/>
        <v>120</v>
      </c>
      <c r="H22" s="192" t="s">
        <v>0</v>
      </c>
      <c r="I22" s="125"/>
      <c r="J22" s="192" t="s">
        <v>0</v>
      </c>
      <c r="K22" s="209" t="str">
        <f>IF(I22="","",MAX(K$7:K21)+1)</f>
        <v/>
      </c>
      <c r="L22" s="208" t="str">
        <f t="shared" si="3"/>
        <v/>
      </c>
      <c r="M22" s="192" t="s">
        <v>0</v>
      </c>
      <c r="N22" s="210" t="str">
        <f t="shared" si="9"/>
        <v/>
      </c>
      <c r="O22" s="192" t="s">
        <v>0</v>
      </c>
      <c r="P22" s="209">
        <f>IF(G22="","",MAX(P$7:P21)+1)</f>
        <v>37</v>
      </c>
      <c r="Q22" s="207" t="str">
        <f t="shared" si="4"/>
        <v>NEMA</v>
      </c>
      <c r="R22" s="207">
        <f t="shared" si="10"/>
        <v>120</v>
      </c>
      <c r="S22" s="208">
        <f t="shared" si="5"/>
        <v>20</v>
      </c>
      <c r="T22" s="192" t="s">
        <v>0</v>
      </c>
      <c r="U22" s="155" t="str">
        <f t="shared" si="11"/>
        <v/>
      </c>
      <c r="V22" s="192" t="s">
        <v>0</v>
      </c>
      <c r="W22" s="155" t="str">
        <f t="shared" si="6"/>
        <v/>
      </c>
      <c r="X22" s="192" t="s">
        <v>0</v>
      </c>
    </row>
    <row r="23" spans="1:24" x14ac:dyDescent="0.25">
      <c r="A23" s="192" t="s">
        <v>0</v>
      </c>
      <c r="B23" s="205">
        <f t="shared" si="12"/>
        <v>16</v>
      </c>
      <c r="C23" s="206">
        <f t="shared" si="7"/>
        <v>16</v>
      </c>
      <c r="D23" s="154" t="str">
        <f t="shared" si="0"/>
        <v>Ž20</v>
      </c>
      <c r="E23" s="207">
        <f t="shared" si="1"/>
        <v>119</v>
      </c>
      <c r="F23" s="207" t="str">
        <f t="shared" si="2"/>
        <v/>
      </c>
      <c r="G23" s="208">
        <f t="shared" si="8"/>
        <v>119</v>
      </c>
      <c r="H23" s="192" t="s">
        <v>0</v>
      </c>
      <c r="I23" s="125"/>
      <c r="J23" s="192" t="s">
        <v>0</v>
      </c>
      <c r="K23" s="209" t="str">
        <f>IF(I23="","",MAX(K$7:K22)+1)</f>
        <v/>
      </c>
      <c r="L23" s="208" t="str">
        <f t="shared" si="3"/>
        <v/>
      </c>
      <c r="M23" s="192" t="s">
        <v>0</v>
      </c>
      <c r="N23" s="210" t="str">
        <f t="shared" si="9"/>
        <v/>
      </c>
      <c r="O23" s="192" t="s">
        <v>0</v>
      </c>
      <c r="P23" s="209">
        <f>IF(G23="","",MAX(P$7:P22)+1)</f>
        <v>38</v>
      </c>
      <c r="Q23" s="207" t="str">
        <f t="shared" si="4"/>
        <v>NEMA</v>
      </c>
      <c r="R23" s="207">
        <f t="shared" si="10"/>
        <v>119</v>
      </c>
      <c r="S23" s="208">
        <f t="shared" si="5"/>
        <v>19</v>
      </c>
      <c r="T23" s="192" t="s">
        <v>0</v>
      </c>
      <c r="U23" s="155" t="str">
        <f t="shared" si="11"/>
        <v/>
      </c>
      <c r="V23" s="192" t="s">
        <v>0</v>
      </c>
      <c r="W23" s="155" t="str">
        <f t="shared" si="6"/>
        <v/>
      </c>
      <c r="X23" s="192" t="s">
        <v>0</v>
      </c>
    </row>
    <row r="24" spans="1:24" x14ac:dyDescent="0.25">
      <c r="A24" s="192" t="s">
        <v>0</v>
      </c>
      <c r="B24" s="205">
        <f t="shared" si="12"/>
        <v>17</v>
      </c>
      <c r="C24" s="206">
        <f t="shared" si="7"/>
        <v>17</v>
      </c>
      <c r="D24" s="154" t="str">
        <f t="shared" si="0"/>
        <v>Ž21A</v>
      </c>
      <c r="E24" s="207">
        <f t="shared" si="1"/>
        <v>102</v>
      </c>
      <c r="F24" s="207" t="str">
        <f t="shared" si="2"/>
        <v/>
      </c>
      <c r="G24" s="208">
        <f t="shared" si="8"/>
        <v>102</v>
      </c>
      <c r="H24" s="192" t="s">
        <v>0</v>
      </c>
      <c r="I24" s="125"/>
      <c r="J24" s="192" t="s">
        <v>0</v>
      </c>
      <c r="K24" s="209" t="str">
        <f>IF(I24="","",MAX(K$7:K23)+1)</f>
        <v/>
      </c>
      <c r="L24" s="208" t="str">
        <f t="shared" si="3"/>
        <v/>
      </c>
      <c r="M24" s="192" t="s">
        <v>0</v>
      </c>
      <c r="N24" s="210" t="str">
        <f t="shared" si="9"/>
        <v/>
      </c>
      <c r="O24" s="192" t="s">
        <v>0</v>
      </c>
      <c r="P24" s="209">
        <f>IF(G24="","",MAX(P$7:P23)+1)</f>
        <v>39</v>
      </c>
      <c r="Q24" s="207" t="str">
        <f t="shared" si="4"/>
        <v>NEMA</v>
      </c>
      <c r="R24" s="207">
        <f t="shared" si="10"/>
        <v>102</v>
      </c>
      <c r="S24" s="208">
        <f t="shared" si="5"/>
        <v>2</v>
      </c>
      <c r="T24" s="192" t="s">
        <v>0</v>
      </c>
      <c r="U24" s="155" t="str">
        <f t="shared" si="11"/>
        <v/>
      </c>
      <c r="V24" s="192" t="s">
        <v>0</v>
      </c>
      <c r="W24" s="155" t="str">
        <f t="shared" si="6"/>
        <v/>
      </c>
      <c r="X24" s="192" t="s">
        <v>0</v>
      </c>
    </row>
    <row r="25" spans="1:24" x14ac:dyDescent="0.25">
      <c r="A25" s="192" t="s">
        <v>0</v>
      </c>
      <c r="B25" s="205">
        <f t="shared" si="12"/>
        <v>18</v>
      </c>
      <c r="C25" s="206">
        <f t="shared" si="7"/>
        <v>18</v>
      </c>
      <c r="D25" s="154" t="str">
        <f t="shared" si="0"/>
        <v>Ž21B</v>
      </c>
      <c r="E25" s="207">
        <f t="shared" si="1"/>
        <v>118</v>
      </c>
      <c r="F25" s="207" t="str">
        <f t="shared" si="2"/>
        <v/>
      </c>
      <c r="G25" s="208">
        <f t="shared" si="8"/>
        <v>118</v>
      </c>
      <c r="H25" s="192" t="s">
        <v>0</v>
      </c>
      <c r="I25" s="125"/>
      <c r="J25" s="192" t="s">
        <v>0</v>
      </c>
      <c r="K25" s="209" t="str">
        <f>IF(I25="","",MAX(K$7:K24)+1)</f>
        <v/>
      </c>
      <c r="L25" s="208" t="str">
        <f t="shared" si="3"/>
        <v/>
      </c>
      <c r="M25" s="192" t="s">
        <v>0</v>
      </c>
      <c r="N25" s="210" t="str">
        <f t="shared" si="9"/>
        <v/>
      </c>
      <c r="O25" s="192" t="s">
        <v>0</v>
      </c>
      <c r="P25" s="209">
        <f>IF(G25="","",MAX(P$7:P24)+1)</f>
        <v>40</v>
      </c>
      <c r="Q25" s="207" t="str">
        <f t="shared" si="4"/>
        <v>NEMA</v>
      </c>
      <c r="R25" s="207">
        <f t="shared" si="10"/>
        <v>118</v>
      </c>
      <c r="S25" s="208">
        <f t="shared" si="5"/>
        <v>18</v>
      </c>
      <c r="T25" s="192" t="s">
        <v>0</v>
      </c>
      <c r="U25" s="155" t="str">
        <f t="shared" si="11"/>
        <v/>
      </c>
      <c r="V25" s="192" t="s">
        <v>0</v>
      </c>
      <c r="W25" s="155" t="str">
        <f t="shared" si="6"/>
        <v/>
      </c>
      <c r="X25" s="192" t="s">
        <v>0</v>
      </c>
    </row>
    <row r="26" spans="1:24" x14ac:dyDescent="0.25">
      <c r="A26" s="192" t="s">
        <v>0</v>
      </c>
      <c r="B26" s="205">
        <f t="shared" si="12"/>
        <v>19</v>
      </c>
      <c r="C26" s="206">
        <f t="shared" si="7"/>
        <v>19</v>
      </c>
      <c r="D26" s="154" t="str">
        <f t="shared" si="0"/>
        <v>Ž35</v>
      </c>
      <c r="E26" s="207">
        <f t="shared" si="1"/>
        <v>117</v>
      </c>
      <c r="F26" s="207" t="str">
        <f t="shared" si="2"/>
        <v/>
      </c>
      <c r="G26" s="208">
        <f t="shared" si="8"/>
        <v>117</v>
      </c>
      <c r="H26" s="192" t="s">
        <v>0</v>
      </c>
      <c r="I26" s="125"/>
      <c r="J26" s="192" t="s">
        <v>0</v>
      </c>
      <c r="K26" s="209" t="str">
        <f>IF(I26="","",MAX(K$7:K25)+1)</f>
        <v/>
      </c>
      <c r="L26" s="208" t="str">
        <f t="shared" si="3"/>
        <v/>
      </c>
      <c r="M26" s="192" t="s">
        <v>0</v>
      </c>
      <c r="N26" s="210" t="str">
        <f t="shared" si="9"/>
        <v/>
      </c>
      <c r="O26" s="192" t="s">
        <v>0</v>
      </c>
      <c r="P26" s="209">
        <f>IF(G26="","",MAX(P$7:P25)+1)</f>
        <v>41</v>
      </c>
      <c r="Q26" s="207" t="str">
        <f t="shared" si="4"/>
        <v>NEMA</v>
      </c>
      <c r="R26" s="207">
        <f t="shared" si="10"/>
        <v>117</v>
      </c>
      <c r="S26" s="208">
        <f t="shared" si="5"/>
        <v>17</v>
      </c>
      <c r="T26" s="192" t="s">
        <v>0</v>
      </c>
      <c r="U26" s="155" t="str">
        <f t="shared" si="11"/>
        <v/>
      </c>
      <c r="V26" s="192" t="s">
        <v>0</v>
      </c>
      <c r="W26" s="155" t="str">
        <f t="shared" si="6"/>
        <v/>
      </c>
      <c r="X26" s="192" t="s">
        <v>0</v>
      </c>
    </row>
    <row r="27" spans="1:24" x14ac:dyDescent="0.25">
      <c r="A27" s="192" t="s">
        <v>0</v>
      </c>
      <c r="B27" s="205">
        <f t="shared" si="12"/>
        <v>20</v>
      </c>
      <c r="C27" s="206">
        <f t="shared" si="7"/>
        <v>20</v>
      </c>
      <c r="D27" s="154" t="str">
        <f t="shared" si="0"/>
        <v>Ž45</v>
      </c>
      <c r="E27" s="207">
        <f t="shared" si="1"/>
        <v>116</v>
      </c>
      <c r="F27" s="207" t="str">
        <f t="shared" si="2"/>
        <v/>
      </c>
      <c r="G27" s="208">
        <f t="shared" si="8"/>
        <v>116</v>
      </c>
      <c r="H27" s="192" t="s">
        <v>0</v>
      </c>
      <c r="I27" s="125"/>
      <c r="J27" s="192" t="s">
        <v>0</v>
      </c>
      <c r="K27" s="209" t="str">
        <f>IF(I27="","",MAX(K$7:K26)+1)</f>
        <v/>
      </c>
      <c r="L27" s="208" t="str">
        <f t="shared" si="3"/>
        <v/>
      </c>
      <c r="M27" s="192" t="s">
        <v>0</v>
      </c>
      <c r="N27" s="210" t="str">
        <f t="shared" si="9"/>
        <v/>
      </c>
      <c r="O27" s="192" t="s">
        <v>0</v>
      </c>
      <c r="P27" s="209">
        <f>IF(G27="","",MAX(P$7:P26)+1)</f>
        <v>42</v>
      </c>
      <c r="Q27" s="207" t="str">
        <f t="shared" si="4"/>
        <v>NEMA</v>
      </c>
      <c r="R27" s="207">
        <f t="shared" si="10"/>
        <v>116</v>
      </c>
      <c r="S27" s="208">
        <f t="shared" si="5"/>
        <v>16</v>
      </c>
      <c r="T27" s="192" t="s">
        <v>0</v>
      </c>
      <c r="U27" s="155" t="str">
        <f t="shared" si="11"/>
        <v/>
      </c>
      <c r="V27" s="192" t="s">
        <v>0</v>
      </c>
      <c r="W27" s="155" t="str">
        <f t="shared" si="6"/>
        <v/>
      </c>
      <c r="X27" s="192" t="s">
        <v>0</v>
      </c>
    </row>
    <row r="28" spans="1:24" x14ac:dyDescent="0.25">
      <c r="A28" s="192" t="s">
        <v>0</v>
      </c>
      <c r="B28" s="205">
        <f t="shared" si="12"/>
        <v>21</v>
      </c>
      <c r="C28" s="206">
        <f t="shared" si="7"/>
        <v>21</v>
      </c>
      <c r="D28" s="154" t="str">
        <f t="shared" si="0"/>
        <v>Ž55</v>
      </c>
      <c r="E28" s="207">
        <f t="shared" si="1"/>
        <v>115</v>
      </c>
      <c r="F28" s="207" t="str">
        <f t="shared" si="2"/>
        <v/>
      </c>
      <c r="G28" s="208">
        <f t="shared" si="8"/>
        <v>115</v>
      </c>
      <c r="H28" s="192" t="s">
        <v>0</v>
      </c>
      <c r="I28" s="125"/>
      <c r="J28" s="192" t="s">
        <v>0</v>
      </c>
      <c r="K28" s="209" t="str">
        <f>IF(I28="","",MAX(K$7:K27)+1)</f>
        <v/>
      </c>
      <c r="L28" s="208" t="str">
        <f t="shared" si="3"/>
        <v/>
      </c>
      <c r="M28" s="192" t="s">
        <v>0</v>
      </c>
      <c r="N28" s="210" t="str">
        <f t="shared" si="9"/>
        <v/>
      </c>
      <c r="O28" s="192" t="s">
        <v>0</v>
      </c>
      <c r="P28" s="209">
        <f>IF(G28="","",MAX(P$7:P27)+1)</f>
        <v>43</v>
      </c>
      <c r="Q28" s="207" t="str">
        <f t="shared" si="4"/>
        <v>NEMA</v>
      </c>
      <c r="R28" s="207">
        <f t="shared" si="10"/>
        <v>115</v>
      </c>
      <c r="S28" s="208">
        <f t="shared" si="5"/>
        <v>15</v>
      </c>
      <c r="T28" s="192" t="s">
        <v>0</v>
      </c>
      <c r="U28" s="155" t="str">
        <f t="shared" si="11"/>
        <v/>
      </c>
      <c r="V28" s="192" t="s">
        <v>0</v>
      </c>
      <c r="W28" s="155" t="str">
        <f t="shared" si="6"/>
        <v/>
      </c>
      <c r="X28" s="192" t="s">
        <v>0</v>
      </c>
    </row>
    <row r="29" spans="1:24" x14ac:dyDescent="0.25">
      <c r="A29" s="192" t="s">
        <v>0</v>
      </c>
      <c r="B29" s="205">
        <f t="shared" si="12"/>
        <v>22</v>
      </c>
      <c r="C29" s="206">
        <f t="shared" si="7"/>
        <v>22</v>
      </c>
      <c r="D29" s="154" t="str">
        <f t="shared" si="0"/>
        <v>Ž65</v>
      </c>
      <c r="E29" s="207">
        <f t="shared" si="1"/>
        <v>114</v>
      </c>
      <c r="F29" s="207" t="str">
        <f t="shared" si="2"/>
        <v/>
      </c>
      <c r="G29" s="208">
        <f t="shared" si="8"/>
        <v>114</v>
      </c>
      <c r="H29" s="192" t="s">
        <v>0</v>
      </c>
      <c r="I29" s="125"/>
      <c r="J29" s="192" t="s">
        <v>0</v>
      </c>
      <c r="K29" s="209" t="str">
        <f>IF(I29="","",MAX(K$7:K28)+1)</f>
        <v/>
      </c>
      <c r="L29" s="208" t="str">
        <f t="shared" si="3"/>
        <v/>
      </c>
      <c r="M29" s="192" t="s">
        <v>0</v>
      </c>
      <c r="N29" s="210" t="str">
        <f t="shared" si="9"/>
        <v/>
      </c>
      <c r="O29" s="192" t="s">
        <v>0</v>
      </c>
      <c r="P29" s="209">
        <f>IF(G29="","",MAX(P$7:P28)+1)</f>
        <v>44</v>
      </c>
      <c r="Q29" s="207" t="str">
        <f t="shared" si="4"/>
        <v>NEMA</v>
      </c>
      <c r="R29" s="207">
        <f t="shared" si="10"/>
        <v>114</v>
      </c>
      <c r="S29" s="208">
        <f t="shared" si="5"/>
        <v>14</v>
      </c>
      <c r="T29" s="192" t="s">
        <v>0</v>
      </c>
      <c r="U29" s="155" t="str">
        <f t="shared" si="11"/>
        <v/>
      </c>
      <c r="V29" s="192" t="s">
        <v>0</v>
      </c>
      <c r="W29" s="155" t="str">
        <f t="shared" si="6"/>
        <v/>
      </c>
      <c r="X29" s="192" t="s">
        <v>0</v>
      </c>
    </row>
    <row r="30" spans="1:24" x14ac:dyDescent="0.25">
      <c r="A30" s="192" t="s">
        <v>0</v>
      </c>
      <c r="B30" s="205">
        <f t="shared" si="12"/>
        <v>23</v>
      </c>
      <c r="C30" s="206">
        <f t="shared" si="7"/>
        <v>23</v>
      </c>
      <c r="D30" s="154" t="str">
        <f t="shared" si="0"/>
        <v>Ž70</v>
      </c>
      <c r="E30" s="207">
        <f t="shared" si="1"/>
        <v>113</v>
      </c>
      <c r="F30" s="207" t="str">
        <f t="shared" si="2"/>
        <v/>
      </c>
      <c r="G30" s="208">
        <f t="shared" si="8"/>
        <v>113</v>
      </c>
      <c r="H30" s="192" t="s">
        <v>0</v>
      </c>
      <c r="I30" s="125"/>
      <c r="J30" s="192" t="s">
        <v>0</v>
      </c>
      <c r="K30" s="209" t="str">
        <f>IF(I30="","",MAX(K$7:K29)+1)</f>
        <v/>
      </c>
      <c r="L30" s="208" t="str">
        <f t="shared" si="3"/>
        <v/>
      </c>
      <c r="M30" s="192" t="s">
        <v>0</v>
      </c>
      <c r="N30" s="210" t="str">
        <f t="shared" si="9"/>
        <v/>
      </c>
      <c r="O30" s="192" t="s">
        <v>0</v>
      </c>
      <c r="P30" s="209">
        <f>IF(G30="","",MAX(P$7:P29)+1)</f>
        <v>45</v>
      </c>
      <c r="Q30" s="207" t="str">
        <f t="shared" si="4"/>
        <v>NEMA</v>
      </c>
      <c r="R30" s="207">
        <f t="shared" si="10"/>
        <v>113</v>
      </c>
      <c r="S30" s="208">
        <f t="shared" si="5"/>
        <v>13</v>
      </c>
      <c r="T30" s="192" t="s">
        <v>0</v>
      </c>
      <c r="U30" s="155" t="str">
        <f t="shared" si="11"/>
        <v/>
      </c>
      <c r="V30" s="192" t="s">
        <v>0</v>
      </c>
      <c r="W30" s="155" t="str">
        <f t="shared" si="6"/>
        <v/>
      </c>
      <c r="X30" s="192" t="s">
        <v>0</v>
      </c>
    </row>
    <row r="31" spans="1:24" x14ac:dyDescent="0.25">
      <c r="A31" s="192" t="s">
        <v>0</v>
      </c>
      <c r="B31" s="205">
        <f t="shared" si="12"/>
        <v>24</v>
      </c>
      <c r="C31" s="206" t="str">
        <f t="shared" si="7"/>
        <v/>
      </c>
      <c r="D31" s="154" t="str">
        <f t="shared" si="0"/>
        <v/>
      </c>
      <c r="E31" s="207" t="str">
        <f t="shared" si="1"/>
        <v/>
      </c>
      <c r="F31" s="207" t="str">
        <f t="shared" si="2"/>
        <v/>
      </c>
      <c r="G31" s="208" t="str">
        <f t="shared" si="8"/>
        <v/>
      </c>
      <c r="H31" s="192" t="s">
        <v>0</v>
      </c>
      <c r="I31" s="125"/>
      <c r="J31" s="192" t="s">
        <v>0</v>
      </c>
      <c r="K31" s="209" t="str">
        <f>IF(I31="","",MAX(K$7:K30)+1)</f>
        <v/>
      </c>
      <c r="L31" s="208" t="str">
        <f t="shared" si="3"/>
        <v/>
      </c>
      <c r="M31" s="192" t="s">
        <v>0</v>
      </c>
      <c r="N31" s="210" t="str">
        <f t="shared" si="9"/>
        <v/>
      </c>
      <c r="O31" s="192" t="s">
        <v>0</v>
      </c>
      <c r="P31" s="209" t="str">
        <f>IF(G31="","",MAX(P$7:P30)+1)</f>
        <v/>
      </c>
      <c r="Q31" s="207" t="str">
        <f t="shared" si="4"/>
        <v/>
      </c>
      <c r="R31" s="207" t="str">
        <f t="shared" si="10"/>
        <v/>
      </c>
      <c r="S31" s="208" t="str">
        <f t="shared" si="5"/>
        <v/>
      </c>
      <c r="T31" s="192" t="s">
        <v>0</v>
      </c>
      <c r="U31" s="155" t="str">
        <f t="shared" si="11"/>
        <v/>
      </c>
      <c r="V31" s="192" t="s">
        <v>0</v>
      </c>
      <c r="W31" s="155" t="str">
        <f t="shared" si="6"/>
        <v/>
      </c>
      <c r="X31" s="192" t="s">
        <v>0</v>
      </c>
    </row>
    <row r="32" spans="1:24" x14ac:dyDescent="0.25">
      <c r="A32" s="192" t="s">
        <v>0</v>
      </c>
      <c r="B32" s="205">
        <f t="shared" si="12"/>
        <v>25</v>
      </c>
      <c r="C32" s="206" t="str">
        <f t="shared" si="7"/>
        <v/>
      </c>
      <c r="D32" s="154" t="str">
        <f t="shared" si="0"/>
        <v/>
      </c>
      <c r="E32" s="207" t="str">
        <f t="shared" si="1"/>
        <v/>
      </c>
      <c r="F32" s="207" t="str">
        <f t="shared" si="2"/>
        <v/>
      </c>
      <c r="G32" s="208" t="str">
        <f t="shared" si="8"/>
        <v/>
      </c>
      <c r="H32" s="192" t="s">
        <v>0</v>
      </c>
      <c r="I32" s="125"/>
      <c r="J32" s="192" t="s">
        <v>0</v>
      </c>
      <c r="K32" s="209" t="str">
        <f>IF(I32="","",MAX(K$7:K31)+1)</f>
        <v/>
      </c>
      <c r="L32" s="208" t="str">
        <f t="shared" si="3"/>
        <v/>
      </c>
      <c r="M32" s="192" t="s">
        <v>0</v>
      </c>
      <c r="N32" s="210" t="str">
        <f t="shared" si="9"/>
        <v/>
      </c>
      <c r="O32" s="192" t="s">
        <v>0</v>
      </c>
      <c r="P32" s="209" t="str">
        <f>IF(G32="","",MAX(P$7:P31)+1)</f>
        <v/>
      </c>
      <c r="Q32" s="207" t="str">
        <f t="shared" si="4"/>
        <v/>
      </c>
      <c r="R32" s="207" t="str">
        <f t="shared" si="10"/>
        <v/>
      </c>
      <c r="S32" s="208" t="str">
        <f t="shared" si="5"/>
        <v/>
      </c>
      <c r="T32" s="192" t="s">
        <v>0</v>
      </c>
      <c r="U32" s="155" t="str">
        <f t="shared" si="11"/>
        <v/>
      </c>
      <c r="V32" s="192" t="s">
        <v>0</v>
      </c>
      <c r="W32" s="155" t="str">
        <f t="shared" si="6"/>
        <v/>
      </c>
      <c r="X32" s="192" t="s">
        <v>0</v>
      </c>
    </row>
    <row r="33" spans="1:24" x14ac:dyDescent="0.25">
      <c r="A33" s="192" t="s">
        <v>0</v>
      </c>
      <c r="B33" s="205">
        <f t="shared" si="12"/>
        <v>26</v>
      </c>
      <c r="C33" s="206" t="str">
        <f t="shared" si="7"/>
        <v/>
      </c>
      <c r="D33" s="154" t="str">
        <f t="shared" si="0"/>
        <v/>
      </c>
      <c r="E33" s="207" t="str">
        <f t="shared" si="1"/>
        <v/>
      </c>
      <c r="F33" s="207" t="str">
        <f t="shared" si="2"/>
        <v/>
      </c>
      <c r="G33" s="208" t="str">
        <f t="shared" si="8"/>
        <v/>
      </c>
      <c r="H33" s="192" t="s">
        <v>0</v>
      </c>
      <c r="I33" s="125"/>
      <c r="J33" s="192" t="s">
        <v>0</v>
      </c>
      <c r="K33" s="209" t="str">
        <f>IF(I33="","",MAX(K$7:K32)+1)</f>
        <v/>
      </c>
      <c r="L33" s="208" t="str">
        <f t="shared" si="3"/>
        <v/>
      </c>
      <c r="M33" s="192" t="s">
        <v>0</v>
      </c>
      <c r="N33" s="210" t="str">
        <f t="shared" si="9"/>
        <v/>
      </c>
      <c r="O33" s="192" t="s">
        <v>0</v>
      </c>
      <c r="P33" s="209" t="str">
        <f>IF(G33="","",MAX(P$7:P32)+1)</f>
        <v/>
      </c>
      <c r="Q33" s="207" t="str">
        <f t="shared" si="4"/>
        <v/>
      </c>
      <c r="R33" s="207" t="str">
        <f t="shared" si="10"/>
        <v/>
      </c>
      <c r="S33" s="208" t="str">
        <f t="shared" si="5"/>
        <v/>
      </c>
      <c r="T33" s="192" t="s">
        <v>0</v>
      </c>
      <c r="U33" s="155" t="str">
        <f t="shared" si="11"/>
        <v/>
      </c>
      <c r="V33" s="192" t="s">
        <v>0</v>
      </c>
      <c r="W33" s="155" t="str">
        <f t="shared" si="6"/>
        <v/>
      </c>
      <c r="X33" s="192" t="s">
        <v>0</v>
      </c>
    </row>
    <row r="34" spans="1:24" x14ac:dyDescent="0.25">
      <c r="A34" s="192" t="s">
        <v>0</v>
      </c>
      <c r="B34" s="205">
        <f t="shared" si="12"/>
        <v>27</v>
      </c>
      <c r="C34" s="206" t="str">
        <f t="shared" si="7"/>
        <v/>
      </c>
      <c r="D34" s="154" t="str">
        <f t="shared" si="0"/>
        <v/>
      </c>
      <c r="E34" s="207" t="str">
        <f t="shared" si="1"/>
        <v/>
      </c>
      <c r="F34" s="207" t="str">
        <f t="shared" si="2"/>
        <v/>
      </c>
      <c r="G34" s="208" t="str">
        <f t="shared" si="8"/>
        <v/>
      </c>
      <c r="H34" s="192" t="s">
        <v>0</v>
      </c>
      <c r="I34" s="125"/>
      <c r="J34" s="192" t="s">
        <v>0</v>
      </c>
      <c r="K34" s="209" t="str">
        <f>IF(I34="","",MAX(K$7:K33)+1)</f>
        <v/>
      </c>
      <c r="L34" s="208" t="str">
        <f t="shared" si="3"/>
        <v/>
      </c>
      <c r="M34" s="192" t="s">
        <v>0</v>
      </c>
      <c r="N34" s="210" t="str">
        <f t="shared" si="9"/>
        <v/>
      </c>
      <c r="O34" s="192" t="s">
        <v>0</v>
      </c>
      <c r="P34" s="209" t="str">
        <f>IF(G34="","",MAX(P$7:P33)+1)</f>
        <v/>
      </c>
      <c r="Q34" s="207" t="str">
        <f t="shared" si="4"/>
        <v/>
      </c>
      <c r="R34" s="207" t="str">
        <f t="shared" si="10"/>
        <v/>
      </c>
      <c r="S34" s="208" t="str">
        <f t="shared" si="5"/>
        <v/>
      </c>
      <c r="T34" s="192" t="s">
        <v>0</v>
      </c>
      <c r="U34" s="155" t="str">
        <f t="shared" si="11"/>
        <v/>
      </c>
      <c r="V34" s="192" t="s">
        <v>0</v>
      </c>
      <c r="W34" s="155" t="str">
        <f t="shared" si="6"/>
        <v/>
      </c>
      <c r="X34" s="192" t="s">
        <v>0</v>
      </c>
    </row>
    <row r="35" spans="1:24" x14ac:dyDescent="0.25">
      <c r="A35" s="192" t="s">
        <v>0</v>
      </c>
      <c r="B35" s="205">
        <f t="shared" si="12"/>
        <v>28</v>
      </c>
      <c r="C35" s="206" t="str">
        <f t="shared" si="7"/>
        <v/>
      </c>
      <c r="D35" s="154" t="str">
        <f t="shared" si="0"/>
        <v/>
      </c>
      <c r="E35" s="207" t="str">
        <f t="shared" si="1"/>
        <v/>
      </c>
      <c r="F35" s="207" t="str">
        <f t="shared" si="2"/>
        <v/>
      </c>
      <c r="G35" s="208" t="str">
        <f t="shared" si="8"/>
        <v/>
      </c>
      <c r="H35" s="192" t="s">
        <v>0</v>
      </c>
      <c r="I35" s="125"/>
      <c r="J35" s="192" t="s">
        <v>0</v>
      </c>
      <c r="K35" s="209" t="str">
        <f>IF(I35="","",MAX(K$7:K34)+1)</f>
        <v/>
      </c>
      <c r="L35" s="208" t="str">
        <f t="shared" si="3"/>
        <v/>
      </c>
      <c r="M35" s="192" t="s">
        <v>0</v>
      </c>
      <c r="N35" s="210" t="str">
        <f t="shared" si="9"/>
        <v/>
      </c>
      <c r="O35" s="192" t="s">
        <v>0</v>
      </c>
      <c r="P35" s="209" t="str">
        <f>IF(G35="","",MAX(P$7:P34)+1)</f>
        <v/>
      </c>
      <c r="Q35" s="207" t="str">
        <f t="shared" si="4"/>
        <v/>
      </c>
      <c r="R35" s="207" t="str">
        <f t="shared" si="10"/>
        <v/>
      </c>
      <c r="S35" s="208" t="str">
        <f t="shared" si="5"/>
        <v/>
      </c>
      <c r="T35" s="192" t="s">
        <v>0</v>
      </c>
      <c r="U35" s="155" t="str">
        <f t="shared" si="11"/>
        <v/>
      </c>
      <c r="V35" s="192" t="s">
        <v>0</v>
      </c>
      <c r="W35" s="155" t="str">
        <f t="shared" si="6"/>
        <v/>
      </c>
      <c r="X35" s="192" t="s">
        <v>0</v>
      </c>
    </row>
    <row r="36" spans="1:24" x14ac:dyDescent="0.25">
      <c r="A36" s="192" t="s">
        <v>0</v>
      </c>
      <c r="B36" s="205">
        <f t="shared" si="12"/>
        <v>29</v>
      </c>
      <c r="C36" s="206" t="str">
        <f t="shared" si="7"/>
        <v/>
      </c>
      <c r="D36" s="154" t="str">
        <f t="shared" si="0"/>
        <v/>
      </c>
      <c r="E36" s="207" t="str">
        <f t="shared" si="1"/>
        <v/>
      </c>
      <c r="F36" s="207" t="str">
        <f t="shared" si="2"/>
        <v/>
      </c>
      <c r="G36" s="208" t="str">
        <f t="shared" si="8"/>
        <v/>
      </c>
      <c r="H36" s="192" t="s">
        <v>0</v>
      </c>
      <c r="I36" s="125"/>
      <c r="J36" s="192" t="s">
        <v>0</v>
      </c>
      <c r="K36" s="209" t="str">
        <f>IF(I36="","",MAX(K$7:K35)+1)</f>
        <v/>
      </c>
      <c r="L36" s="208" t="str">
        <f t="shared" si="3"/>
        <v/>
      </c>
      <c r="M36" s="192" t="s">
        <v>0</v>
      </c>
      <c r="N36" s="210" t="str">
        <f t="shared" si="9"/>
        <v/>
      </c>
      <c r="O36" s="192" t="s">
        <v>0</v>
      </c>
      <c r="P36" s="209" t="str">
        <f>IF(G36="","",MAX(P$7:P35)+1)</f>
        <v/>
      </c>
      <c r="Q36" s="207" t="str">
        <f t="shared" si="4"/>
        <v/>
      </c>
      <c r="R36" s="207" t="str">
        <f t="shared" si="10"/>
        <v/>
      </c>
      <c r="S36" s="208" t="str">
        <f t="shared" si="5"/>
        <v/>
      </c>
      <c r="T36" s="192" t="s">
        <v>0</v>
      </c>
      <c r="U36" s="155" t="str">
        <f t="shared" si="11"/>
        <v/>
      </c>
      <c r="V36" s="192" t="s">
        <v>0</v>
      </c>
      <c r="W36" s="155" t="str">
        <f t="shared" si="6"/>
        <v/>
      </c>
      <c r="X36" s="192" t="s">
        <v>0</v>
      </c>
    </row>
    <row r="37" spans="1:24" x14ac:dyDescent="0.25">
      <c r="A37" s="192" t="s">
        <v>0</v>
      </c>
      <c r="B37" s="205">
        <f t="shared" si="12"/>
        <v>30</v>
      </c>
      <c r="C37" s="206" t="str">
        <f t="shared" si="7"/>
        <v/>
      </c>
      <c r="D37" s="154" t="str">
        <f t="shared" si="0"/>
        <v/>
      </c>
      <c r="E37" s="207" t="str">
        <f t="shared" si="1"/>
        <v/>
      </c>
      <c r="F37" s="207" t="str">
        <f t="shared" si="2"/>
        <v/>
      </c>
      <c r="G37" s="208" t="str">
        <f t="shared" si="8"/>
        <v/>
      </c>
      <c r="H37" s="192" t="s">
        <v>0</v>
      </c>
      <c r="I37" s="125"/>
      <c r="J37" s="192" t="s">
        <v>0</v>
      </c>
      <c r="K37" s="209" t="str">
        <f>IF(I37="","",MAX(K$7:K36)+1)</f>
        <v/>
      </c>
      <c r="L37" s="208" t="str">
        <f t="shared" si="3"/>
        <v/>
      </c>
      <c r="M37" s="192" t="s">
        <v>0</v>
      </c>
      <c r="N37" s="210" t="str">
        <f t="shared" si="9"/>
        <v/>
      </c>
      <c r="O37" s="192" t="s">
        <v>0</v>
      </c>
      <c r="P37" s="209" t="str">
        <f>IF(G37="","",MAX(P$7:P36)+1)</f>
        <v/>
      </c>
      <c r="Q37" s="207" t="str">
        <f t="shared" si="4"/>
        <v/>
      </c>
      <c r="R37" s="207" t="str">
        <f t="shared" si="10"/>
        <v/>
      </c>
      <c r="S37" s="208" t="str">
        <f t="shared" si="5"/>
        <v/>
      </c>
      <c r="T37" s="192" t="s">
        <v>0</v>
      </c>
      <c r="U37" s="155" t="str">
        <f t="shared" si="11"/>
        <v/>
      </c>
      <c r="V37" s="192" t="s">
        <v>0</v>
      </c>
      <c r="W37" s="155" t="str">
        <f t="shared" si="6"/>
        <v/>
      </c>
      <c r="X37" s="192" t="s">
        <v>0</v>
      </c>
    </row>
    <row r="38" spans="1:24" x14ac:dyDescent="0.25">
      <c r="A38" s="192" t="s">
        <v>0</v>
      </c>
      <c r="B38" s="205">
        <f t="shared" si="12"/>
        <v>31</v>
      </c>
      <c r="C38" s="206" t="str">
        <f t="shared" si="7"/>
        <v/>
      </c>
      <c r="D38" s="154" t="str">
        <f t="shared" si="0"/>
        <v/>
      </c>
      <c r="E38" s="207" t="str">
        <f t="shared" si="1"/>
        <v/>
      </c>
      <c r="F38" s="207" t="str">
        <f t="shared" si="2"/>
        <v/>
      </c>
      <c r="G38" s="208" t="str">
        <f t="shared" si="8"/>
        <v/>
      </c>
      <c r="H38" s="192" t="s">
        <v>0</v>
      </c>
      <c r="I38" s="125"/>
      <c r="J38" s="192" t="s">
        <v>0</v>
      </c>
      <c r="K38" s="209" t="str">
        <f>IF(I38="","",MAX(K$7:K37)+1)</f>
        <v/>
      </c>
      <c r="L38" s="208" t="str">
        <f t="shared" si="3"/>
        <v/>
      </c>
      <c r="M38" s="192" t="s">
        <v>0</v>
      </c>
      <c r="N38" s="210" t="str">
        <f t="shared" si="9"/>
        <v/>
      </c>
      <c r="O38" s="192" t="s">
        <v>0</v>
      </c>
      <c r="P38" s="209" t="str">
        <f>IF(G38="","",MAX(P$7:P37)+1)</f>
        <v/>
      </c>
      <c r="Q38" s="207" t="str">
        <f t="shared" si="4"/>
        <v/>
      </c>
      <c r="R38" s="207" t="str">
        <f t="shared" si="10"/>
        <v/>
      </c>
      <c r="S38" s="208" t="str">
        <f t="shared" si="5"/>
        <v/>
      </c>
      <c r="T38" s="192" t="s">
        <v>0</v>
      </c>
      <c r="U38" s="155" t="str">
        <f t="shared" si="11"/>
        <v/>
      </c>
      <c r="V38" s="192" t="s">
        <v>0</v>
      </c>
      <c r="W38" s="155" t="str">
        <f t="shared" si="6"/>
        <v/>
      </c>
      <c r="X38" s="192" t="s">
        <v>0</v>
      </c>
    </row>
    <row r="39" spans="1:24" x14ac:dyDescent="0.25">
      <c r="A39" s="192" t="s">
        <v>0</v>
      </c>
      <c r="B39" s="205">
        <f t="shared" si="12"/>
        <v>32</v>
      </c>
      <c r="C39" s="206" t="str">
        <f t="shared" si="7"/>
        <v/>
      </c>
      <c r="D39" s="154" t="str">
        <f t="shared" si="0"/>
        <v/>
      </c>
      <c r="E39" s="207" t="str">
        <f t="shared" si="1"/>
        <v/>
      </c>
      <c r="F39" s="207" t="str">
        <f t="shared" si="2"/>
        <v/>
      </c>
      <c r="G39" s="208" t="str">
        <f t="shared" si="8"/>
        <v/>
      </c>
      <c r="H39" s="192" t="s">
        <v>0</v>
      </c>
      <c r="I39" s="125"/>
      <c r="J39" s="192" t="s">
        <v>0</v>
      </c>
      <c r="K39" s="209" t="str">
        <f>IF(I39="","",MAX(K$7:K38)+1)</f>
        <v/>
      </c>
      <c r="L39" s="208" t="str">
        <f t="shared" si="3"/>
        <v/>
      </c>
      <c r="M39" s="192" t="s">
        <v>0</v>
      </c>
      <c r="N39" s="210" t="str">
        <f t="shared" si="9"/>
        <v/>
      </c>
      <c r="O39" s="192" t="s">
        <v>0</v>
      </c>
      <c r="P39" s="209" t="str">
        <f>IF(G39="","",MAX(P$7:P38)+1)</f>
        <v/>
      </c>
      <c r="Q39" s="207" t="str">
        <f t="shared" si="4"/>
        <v/>
      </c>
      <c r="R39" s="207" t="str">
        <f t="shared" si="10"/>
        <v/>
      </c>
      <c r="S39" s="208" t="str">
        <f t="shared" si="5"/>
        <v/>
      </c>
      <c r="T39" s="192" t="s">
        <v>0</v>
      </c>
      <c r="U39" s="155" t="str">
        <f t="shared" si="11"/>
        <v/>
      </c>
      <c r="V39" s="192" t="s">
        <v>0</v>
      </c>
      <c r="W39" s="155" t="str">
        <f t="shared" si="6"/>
        <v/>
      </c>
      <c r="X39" s="192" t="s">
        <v>0</v>
      </c>
    </row>
    <row r="40" spans="1:24" x14ac:dyDescent="0.25">
      <c r="A40" s="192" t="s">
        <v>0</v>
      </c>
      <c r="B40" s="205">
        <f t="shared" si="12"/>
        <v>33</v>
      </c>
      <c r="C40" s="206" t="str">
        <f t="shared" si="7"/>
        <v/>
      </c>
      <c r="D40" s="154" t="str">
        <f t="shared" ref="D40:D57" si="13">IFERROR(INDEX(nat_kategorija,MATCH(B40,nat_katnatid,0)),"")</f>
        <v/>
      </c>
      <c r="E40" s="207" t="str">
        <f t="shared" ref="E40:E57" si="14">IF(D40="","",IFERROR(INDEX(regKategorija_id,MATCH(D40,regKategorija_oznaka,0)),"NEMA"))</f>
        <v/>
      </c>
      <c r="F40" s="207" t="str">
        <f t="shared" ref="F40:F57" si="15">IF(E40&lt;&gt;"NEMA","",IFERROR(INDEX(regKategorija_alias_id,MATCH(D40,regKategorija_alias_oznaka,0)),"NEMA"))</f>
        <v/>
      </c>
      <c r="G40" s="208" t="str">
        <f t="shared" si="8"/>
        <v/>
      </c>
      <c r="H40" s="192" t="s">
        <v>0</v>
      </c>
      <c r="I40" s="125"/>
      <c r="J40" s="192" t="s">
        <v>0</v>
      </c>
      <c r="K40" s="209" t="str">
        <f>IF(I40="","",MAX(K$7:K39)+1)</f>
        <v/>
      </c>
      <c r="L40" s="208" t="str">
        <f t="shared" ref="L40:L57" si="16">IF(I40="","",IFERROR(INDEX(regKategorija_id,MATCH(I40,regKategorija_oznaka,0)),"NEMA"))</f>
        <v/>
      </c>
      <c r="M40" s="192" t="s">
        <v>0</v>
      </c>
      <c r="N40" s="210" t="str">
        <f t="shared" si="9"/>
        <v/>
      </c>
      <c r="O40" s="192" t="s">
        <v>0</v>
      </c>
      <c r="P40" s="209" t="str">
        <f>IF(G40="","",MAX(P$7:P39)+1)</f>
        <v/>
      </c>
      <c r="Q40" s="207" t="str">
        <f t="shared" ref="Q40:Q57" si="17">IF(G40="","",IFERROR(INDEX(natjecanjeStaze_stazaId,MATCH(D40,natStaza_kategorija,0)),"NEMA"))</f>
        <v/>
      </c>
      <c r="R40" s="207" t="str">
        <f t="shared" si="10"/>
        <v/>
      </c>
      <c r="S40" s="208" t="str">
        <f t="shared" ref="S40:S57" si="18">IF(G40="","",INDEX(regKategorija_rbr,MATCH(R40,regKategorija_id,0)))</f>
        <v/>
      </c>
      <c r="T40" s="192" t="s">
        <v>0</v>
      </c>
      <c r="U40" s="155" t="str">
        <f t="shared" si="11"/>
        <v/>
      </c>
      <c r="V40" s="192" t="s">
        <v>0</v>
      </c>
      <c r="W40" s="155" t="str">
        <f t="shared" si="6"/>
        <v/>
      </c>
      <c r="X40" s="192" t="s">
        <v>0</v>
      </c>
    </row>
    <row r="41" spans="1:24" x14ac:dyDescent="0.25">
      <c r="A41" s="192" t="s">
        <v>0</v>
      </c>
      <c r="B41" s="205">
        <f t="shared" si="12"/>
        <v>34</v>
      </c>
      <c r="C41" s="206" t="str">
        <f t="shared" si="7"/>
        <v/>
      </c>
      <c r="D41" s="154" t="str">
        <f t="shared" si="13"/>
        <v/>
      </c>
      <c r="E41" s="207" t="str">
        <f t="shared" si="14"/>
        <v/>
      </c>
      <c r="F41" s="207" t="str">
        <f t="shared" si="15"/>
        <v/>
      </c>
      <c r="G41" s="208" t="str">
        <f t="shared" si="8"/>
        <v/>
      </c>
      <c r="H41" s="192" t="s">
        <v>0</v>
      </c>
      <c r="I41" s="125"/>
      <c r="J41" s="192" t="s">
        <v>0</v>
      </c>
      <c r="K41" s="209" t="str">
        <f>IF(I41="","",MAX(K$7:K40)+1)</f>
        <v/>
      </c>
      <c r="L41" s="208" t="str">
        <f t="shared" si="16"/>
        <v/>
      </c>
      <c r="M41" s="192" t="s">
        <v>0</v>
      </c>
      <c r="N41" s="210" t="str">
        <f t="shared" si="9"/>
        <v/>
      </c>
      <c r="O41" s="192" t="s">
        <v>0</v>
      </c>
      <c r="P41" s="209" t="str">
        <f>IF(G41="","",MAX(P$7:P40)+1)</f>
        <v/>
      </c>
      <c r="Q41" s="207" t="str">
        <f t="shared" si="17"/>
        <v/>
      </c>
      <c r="R41" s="207" t="str">
        <f t="shared" si="10"/>
        <v/>
      </c>
      <c r="S41" s="208" t="str">
        <f t="shared" si="18"/>
        <v/>
      </c>
      <c r="T41" s="192" t="s">
        <v>0</v>
      </c>
      <c r="U41" s="155" t="str">
        <f t="shared" si="11"/>
        <v/>
      </c>
      <c r="V41" s="192" t="s">
        <v>0</v>
      </c>
      <c r="W41" s="155" t="str">
        <f t="shared" si="6"/>
        <v/>
      </c>
      <c r="X41" s="192" t="s">
        <v>0</v>
      </c>
    </row>
    <row r="42" spans="1:24" x14ac:dyDescent="0.25">
      <c r="A42" s="192" t="s">
        <v>0</v>
      </c>
      <c r="B42" s="205">
        <f t="shared" si="12"/>
        <v>35</v>
      </c>
      <c r="C42" s="206" t="str">
        <f t="shared" si="7"/>
        <v/>
      </c>
      <c r="D42" s="154" t="str">
        <f t="shared" si="13"/>
        <v/>
      </c>
      <c r="E42" s="207" t="str">
        <f t="shared" si="14"/>
        <v/>
      </c>
      <c r="F42" s="207" t="str">
        <f t="shared" si="15"/>
        <v/>
      </c>
      <c r="G42" s="208" t="str">
        <f t="shared" si="8"/>
        <v/>
      </c>
      <c r="H42" s="192" t="s">
        <v>0</v>
      </c>
      <c r="I42" s="125"/>
      <c r="J42" s="192" t="s">
        <v>0</v>
      </c>
      <c r="K42" s="209" t="str">
        <f>IF(I42="","",MAX(K$7:K41)+1)</f>
        <v/>
      </c>
      <c r="L42" s="208" t="str">
        <f t="shared" si="16"/>
        <v/>
      </c>
      <c r="M42" s="192" t="s">
        <v>0</v>
      </c>
      <c r="N42" s="210" t="str">
        <f t="shared" si="9"/>
        <v/>
      </c>
      <c r="O42" s="192" t="s">
        <v>0</v>
      </c>
      <c r="P42" s="209" t="str">
        <f>IF(G42="","",MAX(P$7:P41)+1)</f>
        <v/>
      </c>
      <c r="Q42" s="207" t="str">
        <f t="shared" si="17"/>
        <v/>
      </c>
      <c r="R42" s="207" t="str">
        <f t="shared" si="10"/>
        <v/>
      </c>
      <c r="S42" s="208" t="str">
        <f t="shared" si="18"/>
        <v/>
      </c>
      <c r="T42" s="192" t="s">
        <v>0</v>
      </c>
      <c r="U42" s="155" t="str">
        <f t="shared" si="11"/>
        <v/>
      </c>
      <c r="V42" s="192" t="s">
        <v>0</v>
      </c>
      <c r="W42" s="155" t="str">
        <f t="shared" si="6"/>
        <v/>
      </c>
      <c r="X42" s="192" t="s">
        <v>0</v>
      </c>
    </row>
    <row r="43" spans="1:24" x14ac:dyDescent="0.25">
      <c r="A43" s="192" t="s">
        <v>0</v>
      </c>
      <c r="B43" s="205">
        <f t="shared" si="12"/>
        <v>36</v>
      </c>
      <c r="C43" s="206" t="str">
        <f t="shared" si="7"/>
        <v/>
      </c>
      <c r="D43" s="154" t="str">
        <f t="shared" si="13"/>
        <v/>
      </c>
      <c r="E43" s="207" t="str">
        <f t="shared" si="14"/>
        <v/>
      </c>
      <c r="F43" s="207" t="str">
        <f t="shared" si="15"/>
        <v/>
      </c>
      <c r="G43" s="208" t="str">
        <f t="shared" si="8"/>
        <v/>
      </c>
      <c r="H43" s="192" t="s">
        <v>0</v>
      </c>
      <c r="I43" s="125"/>
      <c r="J43" s="192" t="s">
        <v>0</v>
      </c>
      <c r="K43" s="209" t="str">
        <f>IF(I43="","",MAX(K$7:K42)+1)</f>
        <v/>
      </c>
      <c r="L43" s="208" t="str">
        <f t="shared" si="16"/>
        <v/>
      </c>
      <c r="M43" s="192" t="s">
        <v>0</v>
      </c>
      <c r="N43" s="210" t="str">
        <f t="shared" si="9"/>
        <v/>
      </c>
      <c r="O43" s="192" t="s">
        <v>0</v>
      </c>
      <c r="P43" s="209" t="str">
        <f>IF(G43="","",MAX(P$7:P42)+1)</f>
        <v/>
      </c>
      <c r="Q43" s="207" t="str">
        <f t="shared" si="17"/>
        <v/>
      </c>
      <c r="R43" s="207" t="str">
        <f t="shared" si="10"/>
        <v/>
      </c>
      <c r="S43" s="208" t="str">
        <f t="shared" si="18"/>
        <v/>
      </c>
      <c r="T43" s="192" t="s">
        <v>0</v>
      </c>
      <c r="U43" s="155" t="str">
        <f t="shared" si="11"/>
        <v/>
      </c>
      <c r="V43" s="192" t="s">
        <v>0</v>
      </c>
      <c r="W43" s="155" t="str">
        <f t="shared" si="6"/>
        <v/>
      </c>
      <c r="X43" s="192" t="s">
        <v>0</v>
      </c>
    </row>
    <row r="44" spans="1:24" x14ac:dyDescent="0.25">
      <c r="A44" s="192" t="s">
        <v>0</v>
      </c>
      <c r="B44" s="205">
        <f t="shared" si="12"/>
        <v>37</v>
      </c>
      <c r="C44" s="206" t="str">
        <f t="shared" si="7"/>
        <v/>
      </c>
      <c r="D44" s="154" t="str">
        <f t="shared" si="13"/>
        <v/>
      </c>
      <c r="E44" s="207" t="str">
        <f t="shared" si="14"/>
        <v/>
      </c>
      <c r="F44" s="207" t="str">
        <f t="shared" si="15"/>
        <v/>
      </c>
      <c r="G44" s="208" t="str">
        <f t="shared" si="8"/>
        <v/>
      </c>
      <c r="H44" s="192" t="s">
        <v>0</v>
      </c>
      <c r="I44" s="125"/>
      <c r="J44" s="192" t="s">
        <v>0</v>
      </c>
      <c r="K44" s="209" t="str">
        <f>IF(I44="","",MAX(K$7:K43)+1)</f>
        <v/>
      </c>
      <c r="L44" s="208" t="str">
        <f t="shared" si="16"/>
        <v/>
      </c>
      <c r="M44" s="192" t="s">
        <v>0</v>
      </c>
      <c r="N44" s="210" t="str">
        <f t="shared" si="9"/>
        <v/>
      </c>
      <c r="O44" s="192" t="s">
        <v>0</v>
      </c>
      <c r="P44" s="209" t="str">
        <f>IF(G44="","",MAX(P$7:P43)+1)</f>
        <v/>
      </c>
      <c r="Q44" s="207" t="str">
        <f t="shared" si="17"/>
        <v/>
      </c>
      <c r="R44" s="207" t="str">
        <f t="shared" si="10"/>
        <v/>
      </c>
      <c r="S44" s="208" t="str">
        <f t="shared" si="18"/>
        <v/>
      </c>
      <c r="T44" s="192" t="s">
        <v>0</v>
      </c>
      <c r="U44" s="155" t="str">
        <f t="shared" si="11"/>
        <v/>
      </c>
      <c r="V44" s="192" t="s">
        <v>0</v>
      </c>
      <c r="W44" s="155" t="str">
        <f t="shared" si="6"/>
        <v/>
      </c>
      <c r="X44" s="192" t="s">
        <v>0</v>
      </c>
    </row>
    <row r="45" spans="1:24" x14ac:dyDescent="0.25">
      <c r="A45" s="192" t="s">
        <v>0</v>
      </c>
      <c r="B45" s="205">
        <f t="shared" si="12"/>
        <v>38</v>
      </c>
      <c r="C45" s="206" t="str">
        <f t="shared" si="7"/>
        <v/>
      </c>
      <c r="D45" s="154" t="str">
        <f t="shared" si="13"/>
        <v/>
      </c>
      <c r="E45" s="207" t="str">
        <f t="shared" si="14"/>
        <v/>
      </c>
      <c r="F45" s="207" t="str">
        <f t="shared" si="15"/>
        <v/>
      </c>
      <c r="G45" s="208" t="str">
        <f t="shared" si="8"/>
        <v/>
      </c>
      <c r="H45" s="192" t="s">
        <v>0</v>
      </c>
      <c r="I45" s="125"/>
      <c r="J45" s="192" t="s">
        <v>0</v>
      </c>
      <c r="K45" s="209" t="str">
        <f>IF(I45="","",MAX(K$7:K44)+1)</f>
        <v/>
      </c>
      <c r="L45" s="208" t="str">
        <f t="shared" si="16"/>
        <v/>
      </c>
      <c r="M45" s="192" t="s">
        <v>0</v>
      </c>
      <c r="N45" s="210" t="str">
        <f t="shared" si="9"/>
        <v/>
      </c>
      <c r="O45" s="192" t="s">
        <v>0</v>
      </c>
      <c r="P45" s="209" t="str">
        <f>IF(G45="","",MAX(P$7:P44)+1)</f>
        <v/>
      </c>
      <c r="Q45" s="207" t="str">
        <f t="shared" si="17"/>
        <v/>
      </c>
      <c r="R45" s="207" t="str">
        <f t="shared" si="10"/>
        <v/>
      </c>
      <c r="S45" s="208" t="str">
        <f t="shared" si="18"/>
        <v/>
      </c>
      <c r="T45" s="192" t="s">
        <v>0</v>
      </c>
      <c r="U45" s="155" t="str">
        <f t="shared" si="11"/>
        <v/>
      </c>
      <c r="V45" s="192" t="s">
        <v>0</v>
      </c>
      <c r="W45" s="155" t="str">
        <f t="shared" si="6"/>
        <v/>
      </c>
      <c r="X45" s="192" t="s">
        <v>0</v>
      </c>
    </row>
    <row r="46" spans="1:24" x14ac:dyDescent="0.25">
      <c r="A46" s="192" t="s">
        <v>0</v>
      </c>
      <c r="B46" s="205">
        <f t="shared" si="12"/>
        <v>39</v>
      </c>
      <c r="C46" s="206" t="str">
        <f t="shared" si="7"/>
        <v/>
      </c>
      <c r="D46" s="154" t="str">
        <f t="shared" si="13"/>
        <v/>
      </c>
      <c r="E46" s="207" t="str">
        <f t="shared" si="14"/>
        <v/>
      </c>
      <c r="F46" s="207" t="str">
        <f t="shared" si="15"/>
        <v/>
      </c>
      <c r="G46" s="208" t="str">
        <f t="shared" si="8"/>
        <v/>
      </c>
      <c r="H46" s="192" t="s">
        <v>0</v>
      </c>
      <c r="I46" s="125"/>
      <c r="J46" s="192" t="s">
        <v>0</v>
      </c>
      <c r="K46" s="209" t="str">
        <f>IF(I46="","",MAX(K$7:K45)+1)</f>
        <v/>
      </c>
      <c r="L46" s="208" t="str">
        <f t="shared" si="16"/>
        <v/>
      </c>
      <c r="M46" s="192" t="s">
        <v>0</v>
      </c>
      <c r="N46" s="210" t="str">
        <f t="shared" si="9"/>
        <v/>
      </c>
      <c r="O46" s="192" t="s">
        <v>0</v>
      </c>
      <c r="P46" s="209" t="str">
        <f>IF(G46="","",MAX(P$7:P45)+1)</f>
        <v/>
      </c>
      <c r="Q46" s="207" t="str">
        <f t="shared" si="17"/>
        <v/>
      </c>
      <c r="R46" s="207" t="str">
        <f t="shared" si="10"/>
        <v/>
      </c>
      <c r="S46" s="208" t="str">
        <f t="shared" si="18"/>
        <v/>
      </c>
      <c r="T46" s="192" t="s">
        <v>0</v>
      </c>
      <c r="U46" s="155" t="str">
        <f t="shared" si="11"/>
        <v/>
      </c>
      <c r="V46" s="192" t="s">
        <v>0</v>
      </c>
      <c r="W46" s="155" t="str">
        <f t="shared" si="6"/>
        <v/>
      </c>
      <c r="X46" s="192" t="s">
        <v>0</v>
      </c>
    </row>
    <row r="47" spans="1:24" x14ac:dyDescent="0.25">
      <c r="A47" s="192" t="s">
        <v>0</v>
      </c>
      <c r="B47" s="205">
        <f t="shared" si="12"/>
        <v>40</v>
      </c>
      <c r="C47" s="206" t="str">
        <f t="shared" si="7"/>
        <v/>
      </c>
      <c r="D47" s="154" t="str">
        <f t="shared" si="13"/>
        <v/>
      </c>
      <c r="E47" s="207" t="str">
        <f t="shared" si="14"/>
        <v/>
      </c>
      <c r="F47" s="207" t="str">
        <f t="shared" si="15"/>
        <v/>
      </c>
      <c r="G47" s="208" t="str">
        <f t="shared" si="8"/>
        <v/>
      </c>
      <c r="H47" s="192" t="s">
        <v>0</v>
      </c>
      <c r="I47" s="125"/>
      <c r="J47" s="192" t="s">
        <v>0</v>
      </c>
      <c r="K47" s="209" t="str">
        <f>IF(I47="","",MAX(K$7:K46)+1)</f>
        <v/>
      </c>
      <c r="L47" s="208" t="str">
        <f t="shared" si="16"/>
        <v/>
      </c>
      <c r="M47" s="192" t="s">
        <v>0</v>
      </c>
      <c r="N47" s="210" t="str">
        <f t="shared" si="9"/>
        <v/>
      </c>
      <c r="O47" s="192" t="s">
        <v>0</v>
      </c>
      <c r="P47" s="209" t="str">
        <f>IF(G47="","",MAX(P$7:P46)+1)</f>
        <v/>
      </c>
      <c r="Q47" s="207" t="str">
        <f t="shared" si="17"/>
        <v/>
      </c>
      <c r="R47" s="207" t="str">
        <f t="shared" si="10"/>
        <v/>
      </c>
      <c r="S47" s="208" t="str">
        <f t="shared" si="18"/>
        <v/>
      </c>
      <c r="T47" s="192" t="s">
        <v>0</v>
      </c>
      <c r="U47" s="155" t="str">
        <f t="shared" si="11"/>
        <v/>
      </c>
      <c r="V47" s="192" t="s">
        <v>0</v>
      </c>
      <c r="W47" s="155" t="str">
        <f t="shared" si="6"/>
        <v/>
      </c>
      <c r="X47" s="192" t="s">
        <v>0</v>
      </c>
    </row>
    <row r="48" spans="1:24" x14ac:dyDescent="0.25">
      <c r="A48" s="192" t="s">
        <v>0</v>
      </c>
      <c r="B48" s="205">
        <f t="shared" si="12"/>
        <v>41</v>
      </c>
      <c r="C48" s="206" t="str">
        <f t="shared" si="7"/>
        <v/>
      </c>
      <c r="D48" s="154" t="str">
        <f t="shared" si="13"/>
        <v/>
      </c>
      <c r="E48" s="207" t="str">
        <f t="shared" si="14"/>
        <v/>
      </c>
      <c r="F48" s="207" t="str">
        <f t="shared" si="15"/>
        <v/>
      </c>
      <c r="G48" s="208" t="str">
        <f t="shared" si="8"/>
        <v/>
      </c>
      <c r="H48" s="192" t="s">
        <v>0</v>
      </c>
      <c r="I48" s="125"/>
      <c r="J48" s="192" t="s">
        <v>0</v>
      </c>
      <c r="K48" s="209" t="str">
        <f>IF(I48="","",MAX(K$7:K47)+1)</f>
        <v/>
      </c>
      <c r="L48" s="208" t="str">
        <f t="shared" si="16"/>
        <v/>
      </c>
      <c r="M48" s="192" t="s">
        <v>0</v>
      </c>
      <c r="N48" s="210" t="str">
        <f t="shared" si="9"/>
        <v/>
      </c>
      <c r="O48" s="192" t="s">
        <v>0</v>
      </c>
      <c r="P48" s="209" t="str">
        <f>IF(G48="","",MAX(P$7:P47)+1)</f>
        <v/>
      </c>
      <c r="Q48" s="207" t="str">
        <f t="shared" si="17"/>
        <v/>
      </c>
      <c r="R48" s="207" t="str">
        <f t="shared" si="10"/>
        <v/>
      </c>
      <c r="S48" s="208" t="str">
        <f t="shared" si="18"/>
        <v/>
      </c>
      <c r="T48" s="192" t="s">
        <v>0</v>
      </c>
      <c r="U48" s="155" t="str">
        <f t="shared" si="11"/>
        <v/>
      </c>
      <c r="V48" s="192" t="s">
        <v>0</v>
      </c>
      <c r="W48" s="155" t="str">
        <f t="shared" si="6"/>
        <v/>
      </c>
      <c r="X48" s="192" t="s">
        <v>0</v>
      </c>
    </row>
    <row r="49" spans="1:24" x14ac:dyDescent="0.25">
      <c r="A49" s="192" t="s">
        <v>0</v>
      </c>
      <c r="B49" s="205">
        <f t="shared" si="12"/>
        <v>42</v>
      </c>
      <c r="C49" s="206" t="str">
        <f t="shared" si="7"/>
        <v/>
      </c>
      <c r="D49" s="154" t="str">
        <f t="shared" si="13"/>
        <v/>
      </c>
      <c r="E49" s="207" t="str">
        <f t="shared" si="14"/>
        <v/>
      </c>
      <c r="F49" s="207" t="str">
        <f t="shared" si="15"/>
        <v/>
      </c>
      <c r="G49" s="208" t="str">
        <f t="shared" si="8"/>
        <v/>
      </c>
      <c r="H49" s="192" t="s">
        <v>0</v>
      </c>
      <c r="I49" s="125"/>
      <c r="J49" s="192" t="s">
        <v>0</v>
      </c>
      <c r="K49" s="209" t="str">
        <f>IF(I49="","",MAX(K$7:K48)+1)</f>
        <v/>
      </c>
      <c r="L49" s="208" t="str">
        <f t="shared" si="16"/>
        <v/>
      </c>
      <c r="M49" s="192" t="s">
        <v>0</v>
      </c>
      <c r="N49" s="210" t="str">
        <f t="shared" si="9"/>
        <v/>
      </c>
      <c r="O49" s="192" t="s">
        <v>0</v>
      </c>
      <c r="P49" s="209" t="str">
        <f>IF(G49="","",MAX(P$7:P48)+1)</f>
        <v/>
      </c>
      <c r="Q49" s="207" t="str">
        <f t="shared" si="17"/>
        <v/>
      </c>
      <c r="R49" s="207" t="str">
        <f t="shared" si="10"/>
        <v/>
      </c>
      <c r="S49" s="208" t="str">
        <f t="shared" si="18"/>
        <v/>
      </c>
      <c r="T49" s="192" t="s">
        <v>0</v>
      </c>
      <c r="U49" s="155" t="str">
        <f t="shared" si="11"/>
        <v/>
      </c>
      <c r="V49" s="192" t="s">
        <v>0</v>
      </c>
      <c r="W49" s="155" t="str">
        <f t="shared" si="6"/>
        <v/>
      </c>
      <c r="X49" s="192" t="s">
        <v>0</v>
      </c>
    </row>
    <row r="50" spans="1:24" x14ac:dyDescent="0.25">
      <c r="A50" s="192" t="s">
        <v>0</v>
      </c>
      <c r="B50" s="205">
        <f t="shared" si="12"/>
        <v>43</v>
      </c>
      <c r="C50" s="206" t="str">
        <f t="shared" si="7"/>
        <v/>
      </c>
      <c r="D50" s="154" t="str">
        <f t="shared" si="13"/>
        <v/>
      </c>
      <c r="E50" s="207" t="str">
        <f t="shared" si="14"/>
        <v/>
      </c>
      <c r="F50" s="207" t="str">
        <f t="shared" si="15"/>
        <v/>
      </c>
      <c r="G50" s="208" t="str">
        <f t="shared" si="8"/>
        <v/>
      </c>
      <c r="H50" s="192" t="s">
        <v>0</v>
      </c>
      <c r="I50" s="125"/>
      <c r="J50" s="192" t="s">
        <v>0</v>
      </c>
      <c r="K50" s="209" t="str">
        <f>IF(I50="","",MAX(K$7:K49)+1)</f>
        <v/>
      </c>
      <c r="L50" s="208" t="str">
        <f t="shared" si="16"/>
        <v/>
      </c>
      <c r="M50" s="192" t="s">
        <v>0</v>
      </c>
      <c r="N50" s="210" t="str">
        <f t="shared" si="9"/>
        <v/>
      </c>
      <c r="O50" s="192" t="s">
        <v>0</v>
      </c>
      <c r="P50" s="209" t="str">
        <f>IF(G50="","",MAX(P$7:P49)+1)</f>
        <v/>
      </c>
      <c r="Q50" s="207" t="str">
        <f t="shared" si="17"/>
        <v/>
      </c>
      <c r="R50" s="207" t="str">
        <f t="shared" si="10"/>
        <v/>
      </c>
      <c r="S50" s="208" t="str">
        <f t="shared" si="18"/>
        <v/>
      </c>
      <c r="T50" s="192" t="s">
        <v>0</v>
      </c>
      <c r="U50" s="155" t="str">
        <f t="shared" si="11"/>
        <v/>
      </c>
      <c r="V50" s="192" t="s">
        <v>0</v>
      </c>
      <c r="W50" s="155" t="str">
        <f t="shared" si="6"/>
        <v/>
      </c>
      <c r="X50" s="192" t="s">
        <v>0</v>
      </c>
    </row>
    <row r="51" spans="1:24" x14ac:dyDescent="0.25">
      <c r="A51" s="192" t="s">
        <v>0</v>
      </c>
      <c r="B51" s="205">
        <f t="shared" si="12"/>
        <v>44</v>
      </c>
      <c r="C51" s="206" t="str">
        <f t="shared" si="7"/>
        <v/>
      </c>
      <c r="D51" s="154" t="str">
        <f t="shared" si="13"/>
        <v/>
      </c>
      <c r="E51" s="207" t="str">
        <f t="shared" si="14"/>
        <v/>
      </c>
      <c r="F51" s="207" t="str">
        <f t="shared" si="15"/>
        <v/>
      </c>
      <c r="G51" s="208" t="str">
        <f t="shared" si="8"/>
        <v/>
      </c>
      <c r="H51" s="192" t="s">
        <v>0</v>
      </c>
      <c r="I51" s="125"/>
      <c r="J51" s="192" t="s">
        <v>0</v>
      </c>
      <c r="K51" s="209" t="str">
        <f>IF(I51="","",MAX(K$7:K50)+1)</f>
        <v/>
      </c>
      <c r="L51" s="208" t="str">
        <f t="shared" si="16"/>
        <v/>
      </c>
      <c r="M51" s="192" t="s">
        <v>0</v>
      </c>
      <c r="N51" s="210" t="str">
        <f t="shared" si="9"/>
        <v/>
      </c>
      <c r="O51" s="192" t="s">
        <v>0</v>
      </c>
      <c r="P51" s="209" t="str">
        <f>IF(G51="","",MAX(P$7:P50)+1)</f>
        <v/>
      </c>
      <c r="Q51" s="207" t="str">
        <f t="shared" si="17"/>
        <v/>
      </c>
      <c r="R51" s="207" t="str">
        <f t="shared" si="10"/>
        <v/>
      </c>
      <c r="S51" s="208" t="str">
        <f t="shared" si="18"/>
        <v/>
      </c>
      <c r="T51" s="192" t="s">
        <v>0</v>
      </c>
      <c r="U51" s="155" t="str">
        <f t="shared" si="11"/>
        <v/>
      </c>
      <c r="V51" s="192" t="s">
        <v>0</v>
      </c>
      <c r="W51" s="155" t="str">
        <f t="shared" si="6"/>
        <v/>
      </c>
      <c r="X51" s="192" t="s">
        <v>0</v>
      </c>
    </row>
    <row r="52" spans="1:24" x14ac:dyDescent="0.25">
      <c r="A52" s="192" t="s">
        <v>0</v>
      </c>
      <c r="B52" s="205">
        <f t="shared" si="12"/>
        <v>45</v>
      </c>
      <c r="C52" s="206" t="str">
        <f t="shared" si="7"/>
        <v/>
      </c>
      <c r="D52" s="154" t="str">
        <f t="shared" si="13"/>
        <v/>
      </c>
      <c r="E52" s="207" t="str">
        <f t="shared" si="14"/>
        <v/>
      </c>
      <c r="F52" s="207" t="str">
        <f t="shared" si="15"/>
        <v/>
      </c>
      <c r="G52" s="208" t="str">
        <f t="shared" si="8"/>
        <v/>
      </c>
      <c r="H52" s="192" t="s">
        <v>0</v>
      </c>
      <c r="I52" s="125"/>
      <c r="J52" s="192" t="s">
        <v>0</v>
      </c>
      <c r="K52" s="209" t="str">
        <f>IF(I52="","",MAX(K$7:K51)+1)</f>
        <v/>
      </c>
      <c r="L52" s="208" t="str">
        <f t="shared" si="16"/>
        <v/>
      </c>
      <c r="M52" s="192" t="s">
        <v>0</v>
      </c>
      <c r="N52" s="210" t="str">
        <f t="shared" si="9"/>
        <v/>
      </c>
      <c r="O52" s="192" t="s">
        <v>0</v>
      </c>
      <c r="P52" s="209" t="str">
        <f>IF(G52="","",MAX(P$7:P51)+1)</f>
        <v/>
      </c>
      <c r="Q52" s="207" t="str">
        <f t="shared" si="17"/>
        <v/>
      </c>
      <c r="R52" s="207" t="str">
        <f t="shared" si="10"/>
        <v/>
      </c>
      <c r="S52" s="208" t="str">
        <f t="shared" si="18"/>
        <v/>
      </c>
      <c r="T52" s="192" t="s">
        <v>0</v>
      </c>
      <c r="U52" s="155" t="str">
        <f t="shared" si="11"/>
        <v/>
      </c>
      <c r="V52" s="192" t="s">
        <v>0</v>
      </c>
      <c r="W52" s="155" t="str">
        <f t="shared" si="6"/>
        <v/>
      </c>
      <c r="X52" s="192" t="s">
        <v>0</v>
      </c>
    </row>
    <row r="53" spans="1:24" x14ac:dyDescent="0.25">
      <c r="A53" s="192" t="s">
        <v>0</v>
      </c>
      <c r="B53" s="205">
        <f t="shared" si="12"/>
        <v>46</v>
      </c>
      <c r="C53" s="206" t="str">
        <f t="shared" si="7"/>
        <v/>
      </c>
      <c r="D53" s="154" t="str">
        <f t="shared" si="13"/>
        <v/>
      </c>
      <c r="E53" s="207" t="str">
        <f t="shared" si="14"/>
        <v/>
      </c>
      <c r="F53" s="207" t="str">
        <f t="shared" si="15"/>
        <v/>
      </c>
      <c r="G53" s="208" t="str">
        <f t="shared" si="8"/>
        <v/>
      </c>
      <c r="H53" s="192" t="s">
        <v>0</v>
      </c>
      <c r="I53" s="125"/>
      <c r="J53" s="192" t="s">
        <v>0</v>
      </c>
      <c r="K53" s="209" t="str">
        <f>IF(I53="","",MAX(K$7:K52)+1)</f>
        <v/>
      </c>
      <c r="L53" s="208" t="str">
        <f t="shared" si="16"/>
        <v/>
      </c>
      <c r="M53" s="192" t="s">
        <v>0</v>
      </c>
      <c r="N53" s="210" t="str">
        <f t="shared" si="9"/>
        <v/>
      </c>
      <c r="O53" s="192" t="s">
        <v>0</v>
      </c>
      <c r="P53" s="209" t="str">
        <f>IF(G53="","",MAX(P$7:P52)+1)</f>
        <v/>
      </c>
      <c r="Q53" s="207" t="str">
        <f t="shared" si="17"/>
        <v/>
      </c>
      <c r="R53" s="207" t="str">
        <f t="shared" si="10"/>
        <v/>
      </c>
      <c r="S53" s="208" t="str">
        <f t="shared" si="18"/>
        <v/>
      </c>
      <c r="T53" s="192" t="s">
        <v>0</v>
      </c>
      <c r="U53" s="155" t="str">
        <f t="shared" si="11"/>
        <v/>
      </c>
      <c r="V53" s="192" t="s">
        <v>0</v>
      </c>
      <c r="W53" s="155" t="str">
        <f t="shared" si="6"/>
        <v/>
      </c>
      <c r="X53" s="192" t="s">
        <v>0</v>
      </c>
    </row>
    <row r="54" spans="1:24" x14ac:dyDescent="0.25">
      <c r="A54" s="192" t="s">
        <v>0</v>
      </c>
      <c r="B54" s="205">
        <f t="shared" si="12"/>
        <v>47</v>
      </c>
      <c r="C54" s="206" t="str">
        <f t="shared" si="7"/>
        <v/>
      </c>
      <c r="D54" s="154" t="str">
        <f t="shared" si="13"/>
        <v/>
      </c>
      <c r="E54" s="207" t="str">
        <f t="shared" si="14"/>
        <v/>
      </c>
      <c r="F54" s="207" t="str">
        <f t="shared" si="15"/>
        <v/>
      </c>
      <c r="G54" s="208" t="str">
        <f t="shared" si="8"/>
        <v/>
      </c>
      <c r="H54" s="192" t="s">
        <v>0</v>
      </c>
      <c r="I54" s="125"/>
      <c r="J54" s="192" t="s">
        <v>0</v>
      </c>
      <c r="K54" s="209" t="str">
        <f>IF(I54="","",MAX(K$7:K53)+1)</f>
        <v/>
      </c>
      <c r="L54" s="208" t="str">
        <f t="shared" si="16"/>
        <v/>
      </c>
      <c r="M54" s="192" t="s">
        <v>0</v>
      </c>
      <c r="N54" s="210" t="str">
        <f t="shared" si="9"/>
        <v/>
      </c>
      <c r="O54" s="192" t="s">
        <v>0</v>
      </c>
      <c r="P54" s="209" t="str">
        <f>IF(G54="","",MAX(P$7:P53)+1)</f>
        <v/>
      </c>
      <c r="Q54" s="207" t="str">
        <f t="shared" si="17"/>
        <v/>
      </c>
      <c r="R54" s="207" t="str">
        <f t="shared" si="10"/>
        <v/>
      </c>
      <c r="S54" s="208" t="str">
        <f t="shared" si="18"/>
        <v/>
      </c>
      <c r="T54" s="192" t="s">
        <v>0</v>
      </c>
      <c r="U54" s="155" t="str">
        <f t="shared" si="11"/>
        <v/>
      </c>
      <c r="V54" s="192" t="s">
        <v>0</v>
      </c>
      <c r="W54" s="155" t="str">
        <f t="shared" si="6"/>
        <v/>
      </c>
      <c r="X54" s="192" t="s">
        <v>0</v>
      </c>
    </row>
    <row r="55" spans="1:24" x14ac:dyDescent="0.25">
      <c r="A55" s="192" t="s">
        <v>0</v>
      </c>
      <c r="B55" s="205">
        <f t="shared" si="12"/>
        <v>48</v>
      </c>
      <c r="C55" s="206" t="str">
        <f t="shared" si="7"/>
        <v/>
      </c>
      <c r="D55" s="154" t="str">
        <f t="shared" si="13"/>
        <v/>
      </c>
      <c r="E55" s="207" t="str">
        <f t="shared" si="14"/>
        <v/>
      </c>
      <c r="F55" s="207" t="str">
        <f t="shared" si="15"/>
        <v/>
      </c>
      <c r="G55" s="208" t="str">
        <f t="shared" si="8"/>
        <v/>
      </c>
      <c r="H55" s="192" t="s">
        <v>0</v>
      </c>
      <c r="I55" s="125"/>
      <c r="J55" s="192" t="s">
        <v>0</v>
      </c>
      <c r="K55" s="209" t="str">
        <f>IF(I55="","",MAX(K$7:K54)+1)</f>
        <v/>
      </c>
      <c r="L55" s="208" t="str">
        <f t="shared" si="16"/>
        <v/>
      </c>
      <c r="M55" s="192" t="s">
        <v>0</v>
      </c>
      <c r="N55" s="210" t="str">
        <f t="shared" si="9"/>
        <v/>
      </c>
      <c r="O55" s="192" t="s">
        <v>0</v>
      </c>
      <c r="P55" s="209" t="str">
        <f>IF(G55="","",MAX(P$7:P54)+1)</f>
        <v/>
      </c>
      <c r="Q55" s="207" t="str">
        <f t="shared" si="17"/>
        <v/>
      </c>
      <c r="R55" s="207" t="str">
        <f t="shared" si="10"/>
        <v/>
      </c>
      <c r="S55" s="208" t="str">
        <f t="shared" si="18"/>
        <v/>
      </c>
      <c r="T55" s="192" t="s">
        <v>0</v>
      </c>
      <c r="U55" s="155" t="str">
        <f t="shared" si="11"/>
        <v/>
      </c>
      <c r="V55" s="192" t="s">
        <v>0</v>
      </c>
      <c r="W55" s="155" t="str">
        <f t="shared" si="6"/>
        <v/>
      </c>
      <c r="X55" s="192" t="s">
        <v>0</v>
      </c>
    </row>
    <row r="56" spans="1:24" x14ac:dyDescent="0.25">
      <c r="A56" s="192" t="s">
        <v>0</v>
      </c>
      <c r="B56" s="205">
        <f t="shared" si="12"/>
        <v>49</v>
      </c>
      <c r="C56" s="206" t="str">
        <f t="shared" si="7"/>
        <v/>
      </c>
      <c r="D56" s="154" t="str">
        <f t="shared" si="13"/>
        <v/>
      </c>
      <c r="E56" s="207" t="str">
        <f t="shared" si="14"/>
        <v/>
      </c>
      <c r="F56" s="207" t="str">
        <f t="shared" si="15"/>
        <v/>
      </c>
      <c r="G56" s="208" t="str">
        <f t="shared" si="8"/>
        <v/>
      </c>
      <c r="H56" s="192" t="s">
        <v>0</v>
      </c>
      <c r="I56" s="125"/>
      <c r="J56" s="192" t="s">
        <v>0</v>
      </c>
      <c r="K56" s="209" t="str">
        <f>IF(I56="","",MAX(K$7:K55)+1)</f>
        <v/>
      </c>
      <c r="L56" s="208" t="str">
        <f t="shared" si="16"/>
        <v/>
      </c>
      <c r="M56" s="192" t="s">
        <v>0</v>
      </c>
      <c r="N56" s="210" t="str">
        <f t="shared" si="9"/>
        <v/>
      </c>
      <c r="O56" s="192" t="s">
        <v>0</v>
      </c>
      <c r="P56" s="209" t="str">
        <f>IF(G56="","",MAX(P$7:P55)+1)</f>
        <v/>
      </c>
      <c r="Q56" s="207" t="str">
        <f t="shared" si="17"/>
        <v/>
      </c>
      <c r="R56" s="207" t="str">
        <f t="shared" si="10"/>
        <v/>
      </c>
      <c r="S56" s="208" t="str">
        <f t="shared" si="18"/>
        <v/>
      </c>
      <c r="T56" s="192" t="s">
        <v>0</v>
      </c>
      <c r="U56" s="155" t="str">
        <f t="shared" si="11"/>
        <v/>
      </c>
      <c r="V56" s="192" t="s">
        <v>0</v>
      </c>
      <c r="W56" s="155" t="str">
        <f t="shared" si="6"/>
        <v/>
      </c>
      <c r="X56" s="192" t="s">
        <v>0</v>
      </c>
    </row>
    <row r="57" spans="1:24" ht="15.75" thickBot="1" x14ac:dyDescent="0.3">
      <c r="A57" s="192" t="s">
        <v>0</v>
      </c>
      <c r="B57" s="211">
        <f t="shared" si="12"/>
        <v>50</v>
      </c>
      <c r="C57" s="212" t="str">
        <f t="shared" si="7"/>
        <v/>
      </c>
      <c r="D57" s="156" t="str">
        <f t="shared" si="13"/>
        <v/>
      </c>
      <c r="E57" s="213" t="str">
        <f t="shared" si="14"/>
        <v/>
      </c>
      <c r="F57" s="213" t="str">
        <f t="shared" si="15"/>
        <v/>
      </c>
      <c r="G57" s="214" t="str">
        <f t="shared" si="8"/>
        <v/>
      </c>
      <c r="H57" s="192" t="s">
        <v>0</v>
      </c>
      <c r="I57" s="126"/>
      <c r="J57" s="192" t="s">
        <v>0</v>
      </c>
      <c r="K57" s="215" t="str">
        <f>IF(I57="","",MAX(K$7:K56)+1)</f>
        <v/>
      </c>
      <c r="L57" s="214" t="str">
        <f t="shared" si="16"/>
        <v/>
      </c>
      <c r="M57" s="192" t="s">
        <v>0</v>
      </c>
      <c r="N57" s="216" t="str">
        <f t="shared" si="9"/>
        <v/>
      </c>
      <c r="O57" s="192" t="s">
        <v>0</v>
      </c>
      <c r="P57" s="215" t="str">
        <f>IF(G57="","",MAX(P$7:P56)+1)</f>
        <v/>
      </c>
      <c r="Q57" s="213" t="str">
        <f t="shared" si="17"/>
        <v/>
      </c>
      <c r="R57" s="213" t="str">
        <f t="shared" si="10"/>
        <v/>
      </c>
      <c r="S57" s="214" t="str">
        <f t="shared" si="18"/>
        <v/>
      </c>
      <c r="T57" s="192" t="s">
        <v>0</v>
      </c>
      <c r="U57" s="157" t="str">
        <f t="shared" si="11"/>
        <v/>
      </c>
      <c r="V57" s="192" t="s">
        <v>0</v>
      </c>
      <c r="W57" s="157" t="str">
        <f>N57&amp;IF(OR(N57="",U57=""),"","
")&amp;U57&amp;IF(W58="","","
"&amp;W58)</f>
        <v/>
      </c>
      <c r="X57" s="192" t="s">
        <v>0</v>
      </c>
    </row>
    <row r="58" spans="1:24" x14ac:dyDescent="0.25">
      <c r="B58" s="149"/>
      <c r="C58" s="149"/>
    </row>
  </sheetData>
  <mergeCells count="5">
    <mergeCell ref="C2:W2"/>
    <mergeCell ref="C4:G4"/>
    <mergeCell ref="P4:S4"/>
    <mergeCell ref="U4:W4"/>
    <mergeCell ref="K4:N4"/>
  </mergeCells>
  <conditionalFormatting sqref="E8:E57">
    <cfRule type="cellIs" dxfId="8" priority="10" operator="equal">
      <formula>"NEMA"</formula>
    </cfRule>
  </conditionalFormatting>
  <conditionalFormatting sqref="L8:L57">
    <cfRule type="cellIs" dxfId="7" priority="6" operator="equal">
      <formula>"NEMA"</formula>
    </cfRule>
  </conditionalFormatting>
  <conditionalFormatting sqref="F8:F57">
    <cfRule type="cellIs" dxfId="6" priority="9" operator="equal">
      <formula>"NEMA"</formula>
    </cfRule>
  </conditionalFormatting>
  <conditionalFormatting sqref="G8:G57">
    <cfRule type="cellIs" dxfId="5" priority="8" operator="equal">
      <formula>"NEMA"</formula>
    </cfRule>
  </conditionalFormatting>
  <conditionalFormatting sqref="K8:K57">
    <cfRule type="cellIs" dxfId="4" priority="7" operator="equal">
      <formula>"NEMA"</formula>
    </cfRule>
  </conditionalFormatting>
  <conditionalFormatting sqref="R8:R57">
    <cfRule type="cellIs" dxfId="3" priority="4" operator="equal">
      <formula>"NEMA"</formula>
    </cfRule>
  </conditionalFormatting>
  <conditionalFormatting sqref="S8:S57">
    <cfRule type="cellIs" dxfId="2" priority="3" operator="equal">
      <formula>"NEMA"</formula>
    </cfRule>
  </conditionalFormatting>
  <conditionalFormatting sqref="Q8:Q57">
    <cfRule type="cellIs" dxfId="1" priority="2" operator="equal">
      <formula>"NEMA"</formula>
    </cfRule>
  </conditionalFormatting>
  <conditionalFormatting sqref="P8:P57">
    <cfRule type="cellIs" dxfId="0" priority="1" operator="equal">
      <formula>"NEMA"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22483-106F-4CD3-97CF-56F6DFB56C0E}">
  <dimension ref="B1:P1209"/>
  <sheetViews>
    <sheetView workbookViewId="0">
      <selection activeCell="O13" sqref="O13"/>
    </sheetView>
  </sheetViews>
  <sheetFormatPr defaultRowHeight="15" x14ac:dyDescent="0.25"/>
  <cols>
    <col min="1" max="1" width="2.85546875" customWidth="1"/>
    <col min="2" max="2" width="11.5703125" style="3" customWidth="1"/>
    <col min="3" max="5" width="17.140625" style="3" customWidth="1"/>
    <col min="6" max="6" width="11.140625" style="3" bestFit="1" customWidth="1"/>
    <col min="7" max="7" width="2.85546875" customWidth="1"/>
    <col min="8" max="8" width="42.85546875" style="3" customWidth="1"/>
    <col min="9" max="9" width="2.85546875" customWidth="1"/>
    <col min="10" max="10" width="40" style="3" customWidth="1"/>
    <col min="11" max="11" width="2.85546875" customWidth="1"/>
    <col min="12" max="12" width="28.5703125" style="3" customWidth="1"/>
    <col min="13" max="13" width="2.85546875" customWidth="1"/>
    <col min="14" max="14" width="16.42578125" customWidth="1"/>
    <col min="15" max="16" width="22.85546875" customWidth="1"/>
  </cols>
  <sheetData>
    <row r="1" spans="2:16" ht="15.75" thickBot="1" x14ac:dyDescent="0.3"/>
    <row r="2" spans="2:16" ht="32.25" thickBot="1" x14ac:dyDescent="0.55000000000000004">
      <c r="B2" s="309" t="s">
        <v>52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19"/>
      <c r="J4"/>
      <c r="L4"/>
      <c r="N4" s="318" t="s">
        <v>49</v>
      </c>
      <c r="O4" s="329"/>
      <c r="P4" s="319"/>
    </row>
    <row r="5" spans="2:16" ht="15.75" thickBot="1" x14ac:dyDescent="0.3"/>
    <row r="6" spans="2:16" ht="123.75" customHeight="1" thickBot="1" x14ac:dyDescent="0.3">
      <c r="B6" s="326" t="str">
        <f>"SELECT
	imeprezime_id,
	ime,
    prezime,
    IfNull (klub,'') as klub,
    CASE
		WHEN IfNull (registar"&amp;IF(data_liga_id=101,"kup",IF(data_liga_id=102,"spr",IF(data_liga_id=103,"pre",IF(data_liga_id=104,"mtb","xyz"))))&amp;"_datumod,'2100-01-01') &gt; '"&amp;data_datum_natjecanja&amp;"' THEN ''
		ELSE IfNull (registar"&amp;IF(data_liga_id=101,"kup",IF(data_liga_id=102,"spr",IF(data_liga_id=103,"pre",IF(data_liga_id=104,"mtb","xyz"))))&amp;"_kategorija,'')
	END AS kategorija
FROM
	v_natjecatelj_export"</f>
        <v>SELECT
	imeprezime_id,
	ime,
    prezime,
    IfNull (klub,'') as klub,
    CASE
		WHEN IfNull (registarkup_datumod,'2100-01-01') &gt; '2021-04-18' THEN ''
		ELSE IfNull (registarkup_kategorija,'')
	END AS kategorija
FROM
	v_natjecatelj_export</v>
      </c>
      <c r="C6" s="327"/>
      <c r="D6" s="327"/>
      <c r="E6" s="327"/>
      <c r="F6" s="328"/>
      <c r="N6" s="326" t="s">
        <v>129</v>
      </c>
      <c r="O6" s="327"/>
      <c r="P6" s="328"/>
    </row>
    <row r="7" spans="2:16" x14ac:dyDescent="0.25">
      <c r="H7" s="6"/>
    </row>
    <row r="8" spans="2:16" x14ac:dyDescent="0.25">
      <c r="B8" s="41" t="s">
        <v>126</v>
      </c>
      <c r="C8" s="23" t="s">
        <v>1</v>
      </c>
      <c r="D8" s="23" t="s">
        <v>2</v>
      </c>
      <c r="E8" s="23" t="s">
        <v>3</v>
      </c>
      <c r="F8" s="24" t="s">
        <v>4</v>
      </c>
      <c r="H8" s="43" t="s">
        <v>6</v>
      </c>
      <c r="J8" s="43" t="s">
        <v>5</v>
      </c>
      <c r="L8" s="43" t="s">
        <v>7</v>
      </c>
      <c r="N8" s="41" t="s">
        <v>4404</v>
      </c>
      <c r="O8" s="23" t="s">
        <v>4405</v>
      </c>
      <c r="P8" s="24" t="s">
        <v>4406</v>
      </c>
    </row>
    <row r="9" spans="2:16" ht="7.5" customHeight="1" thickBot="1" x14ac:dyDescent="0.3">
      <c r="N9" s="3"/>
      <c r="O9" s="3"/>
      <c r="P9" s="3"/>
    </row>
    <row r="10" spans="2:16" x14ac:dyDescent="0.25">
      <c r="B10" s="100">
        <v>1958</v>
      </c>
      <c r="C10" s="101" t="s">
        <v>1028</v>
      </c>
      <c r="D10" s="101" t="s">
        <v>3734</v>
      </c>
      <c r="E10" s="101"/>
      <c r="F10" s="102"/>
      <c r="H10" s="44" t="str">
        <f>IF(C10="","",C10) &amp; IF(D10="",""," – " &amp; D10) &amp; IF(E10="",""," – " &amp; E10) &amp; IF(F10="",""," – " &amp; F10)</f>
        <v>Tomislav – Filipcic</v>
      </c>
      <c r="J10" s="44" t="str">
        <f>IF(C10="","",C10) &amp; IF(D10="",""," – " &amp; D10) &amp; IF(E10="",""," – " &amp; E10)</f>
        <v>Tomislav – Filipcic</v>
      </c>
      <c r="L10" s="44" t="str">
        <f>IF(C10="","",C10) &amp; IF(D10="",""," – " &amp; D10)</f>
        <v>Tomislav – Filipcic</v>
      </c>
      <c r="N10" s="100"/>
      <c r="O10" s="101"/>
      <c r="P10" s="102"/>
    </row>
    <row r="11" spans="2:16" x14ac:dyDescent="0.25">
      <c r="B11" s="103">
        <v>1952</v>
      </c>
      <c r="C11" s="104" t="s">
        <v>2020</v>
      </c>
      <c r="D11" s="104" t="s">
        <v>2324</v>
      </c>
      <c r="E11" s="104"/>
      <c r="F11" s="105"/>
      <c r="H11" s="45" t="str">
        <f t="shared" ref="H11:H74" si="0">IF(C11="","",C11) &amp; IF(D11="",""," – " &amp; D11) &amp; IF(E11="",""," – " &amp; E11) &amp; IF(F11="",""," – " &amp; F11)</f>
        <v>Ivo – Lukačić</v>
      </c>
      <c r="J11" s="45" t="str">
        <f t="shared" ref="J11:J74" si="1">IF(C11="","",C11) &amp; IF(D11="",""," – " &amp; D11) &amp; IF(E11="",""," – " &amp; E11)</f>
        <v>Ivo – Lukačić</v>
      </c>
      <c r="L11" s="45" t="str">
        <f t="shared" ref="L11:L74" si="2">IF(C11="","",C11) &amp; IF(D11="",""," – " &amp; D11)</f>
        <v>Ivo – Lukačić</v>
      </c>
      <c r="N11" s="103"/>
      <c r="O11" s="104"/>
      <c r="P11" s="105"/>
    </row>
    <row r="12" spans="2:16" x14ac:dyDescent="0.25">
      <c r="B12" s="103">
        <v>1957</v>
      </c>
      <c r="C12" s="104" t="s">
        <v>3735</v>
      </c>
      <c r="D12" s="104" t="s">
        <v>3736</v>
      </c>
      <c r="E12" s="104"/>
      <c r="F12" s="105"/>
      <c r="H12" s="45" t="str">
        <f t="shared" si="0"/>
        <v>Slavko – Sopina</v>
      </c>
      <c r="J12" s="45" t="str">
        <f t="shared" si="1"/>
        <v>Slavko – Sopina</v>
      </c>
      <c r="L12" s="45" t="str">
        <f t="shared" si="2"/>
        <v>Slavko – Sopina</v>
      </c>
      <c r="N12" s="103"/>
      <c r="O12" s="104"/>
      <c r="P12" s="105"/>
    </row>
    <row r="13" spans="2:16" x14ac:dyDescent="0.25">
      <c r="B13" s="103">
        <v>1208</v>
      </c>
      <c r="C13" s="104" t="s">
        <v>1320</v>
      </c>
      <c r="D13" s="104" t="s">
        <v>3737</v>
      </c>
      <c r="E13" s="104" t="s">
        <v>1631</v>
      </c>
      <c r="F13" s="105"/>
      <c r="H13" s="45" t="str">
        <f t="shared" si="0"/>
        <v>Željko – Belaj – OK Bjelovar</v>
      </c>
      <c r="J13" s="45" t="str">
        <f t="shared" si="1"/>
        <v>Željko – Belaj – OK Bjelovar</v>
      </c>
      <c r="L13" s="45" t="str">
        <f t="shared" si="2"/>
        <v>Željko – Belaj</v>
      </c>
      <c r="N13" s="103"/>
      <c r="O13" s="104"/>
      <c r="P13" s="105"/>
    </row>
    <row r="14" spans="2:16" x14ac:dyDescent="0.25">
      <c r="B14" s="103">
        <v>1537</v>
      </c>
      <c r="C14" s="104" t="s">
        <v>1073</v>
      </c>
      <c r="D14" s="104" t="s">
        <v>1626</v>
      </c>
      <c r="E14" s="104" t="s">
        <v>1631</v>
      </c>
      <c r="F14" s="105" t="s">
        <v>1574</v>
      </c>
      <c r="H14" s="45" t="str">
        <f t="shared" si="0"/>
        <v>Vedran – Bijelić – OK Bjelovar – M35</v>
      </c>
      <c r="J14" s="45" t="str">
        <f t="shared" si="1"/>
        <v>Vedran – Bijelić – OK Bjelovar</v>
      </c>
      <c r="L14" s="45" t="str">
        <f t="shared" si="2"/>
        <v>Vedran – Bijelić</v>
      </c>
      <c r="N14" s="103"/>
      <c r="O14" s="104"/>
      <c r="P14" s="105"/>
    </row>
    <row r="15" spans="2:16" x14ac:dyDescent="0.25">
      <c r="B15" s="103">
        <v>1793</v>
      </c>
      <c r="C15" s="104" t="s">
        <v>1305</v>
      </c>
      <c r="D15" s="104" t="s">
        <v>3738</v>
      </c>
      <c r="E15" s="104" t="s">
        <v>1631</v>
      </c>
      <c r="F15" s="105"/>
      <c r="H15" s="45" t="str">
        <f t="shared" si="0"/>
        <v>Tihomir – Despetović – OK Bjelovar</v>
      </c>
      <c r="J15" s="45" t="str">
        <f t="shared" si="1"/>
        <v>Tihomir – Despetović – OK Bjelovar</v>
      </c>
      <c r="L15" s="45" t="str">
        <f t="shared" si="2"/>
        <v>Tihomir – Despetović</v>
      </c>
      <c r="N15" s="103"/>
      <c r="O15" s="104"/>
      <c r="P15" s="105"/>
    </row>
    <row r="16" spans="2:16" x14ac:dyDescent="0.25">
      <c r="B16" s="103">
        <v>1284</v>
      </c>
      <c r="C16" s="104" t="s">
        <v>3739</v>
      </c>
      <c r="D16" s="104" t="s">
        <v>3740</v>
      </c>
      <c r="E16" s="104" t="s">
        <v>1631</v>
      </c>
      <c r="F16" s="105"/>
      <c r="H16" s="45" t="str">
        <f t="shared" si="0"/>
        <v>Bože – Đipalo – OK Bjelovar</v>
      </c>
      <c r="J16" s="45" t="str">
        <f t="shared" si="1"/>
        <v>Bože – Đipalo – OK Bjelovar</v>
      </c>
      <c r="L16" s="45" t="str">
        <f t="shared" si="2"/>
        <v>Bože – Đipalo</v>
      </c>
      <c r="N16" s="103"/>
      <c r="O16" s="104"/>
      <c r="P16" s="105"/>
    </row>
    <row r="17" spans="2:16" x14ac:dyDescent="0.25">
      <c r="B17" s="103">
        <v>1610</v>
      </c>
      <c r="C17" s="104" t="s">
        <v>437</v>
      </c>
      <c r="D17" s="104" t="s">
        <v>3741</v>
      </c>
      <c r="E17" s="104" t="s">
        <v>1631</v>
      </c>
      <c r="F17" s="105"/>
      <c r="H17" s="45" t="str">
        <f t="shared" si="0"/>
        <v>Ivan – Draušnik – OK Bjelovar</v>
      </c>
      <c r="J17" s="45" t="str">
        <f t="shared" si="1"/>
        <v>Ivan – Draušnik – OK Bjelovar</v>
      </c>
      <c r="L17" s="45" t="str">
        <f t="shared" si="2"/>
        <v>Ivan – Draušnik</v>
      </c>
      <c r="N17" s="103"/>
      <c r="O17" s="104"/>
      <c r="P17" s="105"/>
    </row>
    <row r="18" spans="2:16" x14ac:dyDescent="0.25">
      <c r="B18" s="103">
        <v>1824</v>
      </c>
      <c r="C18" s="104" t="s">
        <v>3742</v>
      </c>
      <c r="D18" s="104" t="s">
        <v>3743</v>
      </c>
      <c r="E18" s="104" t="s">
        <v>1631</v>
      </c>
      <c r="F18" s="105"/>
      <c r="H18" s="45" t="str">
        <f t="shared" si="0"/>
        <v>Matej – Drmanović – OK Bjelovar</v>
      </c>
      <c r="J18" s="45" t="str">
        <f t="shared" si="1"/>
        <v>Matej – Drmanović – OK Bjelovar</v>
      </c>
      <c r="L18" s="45" t="str">
        <f t="shared" si="2"/>
        <v>Matej – Drmanović</v>
      </c>
      <c r="N18" s="103"/>
      <c r="O18" s="109"/>
      <c r="P18" s="105"/>
    </row>
    <row r="19" spans="2:16" x14ac:dyDescent="0.25">
      <c r="B19" s="103">
        <v>1825</v>
      </c>
      <c r="C19" s="104" t="s">
        <v>3744</v>
      </c>
      <c r="D19" s="104" t="s">
        <v>3745</v>
      </c>
      <c r="E19" s="104" t="s">
        <v>1631</v>
      </c>
      <c r="F19" s="105"/>
      <c r="H19" s="45" t="str">
        <f t="shared" si="0"/>
        <v>Mihael – Grgić – OK Bjelovar</v>
      </c>
      <c r="J19" s="45" t="str">
        <f t="shared" si="1"/>
        <v>Mihael – Grgić – OK Bjelovar</v>
      </c>
      <c r="L19" s="45" t="str">
        <f t="shared" si="2"/>
        <v>Mihael – Grgić</v>
      </c>
      <c r="N19" s="103"/>
      <c r="O19" s="104"/>
      <c r="P19" s="105"/>
    </row>
    <row r="20" spans="2:16" x14ac:dyDescent="0.25">
      <c r="B20" s="103">
        <v>1826</v>
      </c>
      <c r="C20" s="104" t="s">
        <v>3559</v>
      </c>
      <c r="D20" s="104" t="s">
        <v>3746</v>
      </c>
      <c r="E20" s="104" t="s">
        <v>1631</v>
      </c>
      <c r="F20" s="105"/>
      <c r="H20" s="45" t="str">
        <f t="shared" si="0"/>
        <v>Marija – Kaučić Perković – OK Bjelovar</v>
      </c>
      <c r="J20" s="45" t="str">
        <f t="shared" si="1"/>
        <v>Marija – Kaučić Perković – OK Bjelovar</v>
      </c>
      <c r="L20" s="45" t="str">
        <f t="shared" si="2"/>
        <v>Marija – Kaučić Perković</v>
      </c>
      <c r="N20" s="103"/>
      <c r="O20" s="104"/>
      <c r="P20" s="105"/>
    </row>
    <row r="21" spans="2:16" x14ac:dyDescent="0.25">
      <c r="B21" s="103">
        <v>1577</v>
      </c>
      <c r="C21" s="104" t="s">
        <v>1866</v>
      </c>
      <c r="D21" s="104" t="s">
        <v>3747</v>
      </c>
      <c r="E21" s="104" t="s">
        <v>1631</v>
      </c>
      <c r="F21" s="105"/>
      <c r="H21" s="45" t="str">
        <f t="shared" si="0"/>
        <v>Damir – Klobučarić – OK Bjelovar</v>
      </c>
      <c r="J21" s="45" t="str">
        <f t="shared" si="1"/>
        <v>Damir – Klobučarić – OK Bjelovar</v>
      </c>
      <c r="L21" s="45" t="str">
        <f t="shared" si="2"/>
        <v>Damir – Klobučarić</v>
      </c>
      <c r="N21" s="103"/>
      <c r="O21" s="104"/>
      <c r="P21" s="105"/>
    </row>
    <row r="22" spans="2:16" x14ac:dyDescent="0.25">
      <c r="B22" s="103">
        <v>1794</v>
      </c>
      <c r="C22" s="104" t="s">
        <v>3261</v>
      </c>
      <c r="D22" s="104" t="s">
        <v>3748</v>
      </c>
      <c r="E22" s="104" t="s">
        <v>1631</v>
      </c>
      <c r="F22" s="105"/>
      <c r="H22" s="45" t="str">
        <f t="shared" si="0"/>
        <v>Željka – Krupka – OK Bjelovar</v>
      </c>
      <c r="J22" s="45" t="str">
        <f t="shared" si="1"/>
        <v>Željka – Krupka – OK Bjelovar</v>
      </c>
      <c r="L22" s="45" t="str">
        <f t="shared" si="2"/>
        <v>Željka – Krupka</v>
      </c>
      <c r="N22" s="103"/>
      <c r="O22" s="104"/>
      <c r="P22" s="105"/>
    </row>
    <row r="23" spans="2:16" x14ac:dyDescent="0.25">
      <c r="B23" s="103">
        <v>1679</v>
      </c>
      <c r="C23" s="104" t="s">
        <v>1290</v>
      </c>
      <c r="D23" s="104" t="s">
        <v>3749</v>
      </c>
      <c r="E23" s="104" t="s">
        <v>1631</v>
      </c>
      <c r="F23" s="105"/>
      <c r="H23" s="45" t="str">
        <f t="shared" si="0"/>
        <v>Siniša – Muhtić – OK Bjelovar</v>
      </c>
      <c r="J23" s="45" t="str">
        <f t="shared" si="1"/>
        <v>Siniša – Muhtić – OK Bjelovar</v>
      </c>
      <c r="L23" s="45" t="str">
        <f t="shared" si="2"/>
        <v>Siniša – Muhtić</v>
      </c>
      <c r="N23" s="103"/>
      <c r="O23" s="104"/>
      <c r="P23" s="105"/>
    </row>
    <row r="24" spans="2:16" x14ac:dyDescent="0.25">
      <c r="B24" s="103">
        <v>1453</v>
      </c>
      <c r="C24" s="104" t="s">
        <v>1943</v>
      </c>
      <c r="D24" s="104" t="s">
        <v>1942</v>
      </c>
      <c r="E24" s="104" t="s">
        <v>1631</v>
      </c>
      <c r="F24" s="105" t="s">
        <v>1908</v>
      </c>
      <c r="H24" s="45" t="str">
        <f t="shared" si="0"/>
        <v>Robert – Orehoci – OK Bjelovar – M45</v>
      </c>
      <c r="J24" s="45" t="str">
        <f t="shared" si="1"/>
        <v>Robert – Orehoci – OK Bjelovar</v>
      </c>
      <c r="L24" s="45" t="str">
        <f t="shared" si="2"/>
        <v>Robert – Orehoci</v>
      </c>
      <c r="N24" s="103"/>
      <c r="O24" s="104"/>
      <c r="P24" s="105"/>
    </row>
    <row r="25" spans="2:16" x14ac:dyDescent="0.25">
      <c r="B25" s="103">
        <v>1269</v>
      </c>
      <c r="C25" s="104" t="s">
        <v>2510</v>
      </c>
      <c r="D25" s="104" t="s">
        <v>3046</v>
      </c>
      <c r="E25" s="104" t="s">
        <v>1631</v>
      </c>
      <c r="F25" s="105" t="s">
        <v>3000</v>
      </c>
      <c r="H25" s="45" t="str">
        <f t="shared" si="0"/>
        <v>Antonija – Orlić – OK Bjelovar – Ž21A</v>
      </c>
      <c r="J25" s="45" t="str">
        <f t="shared" si="1"/>
        <v>Antonija – Orlić – OK Bjelovar</v>
      </c>
      <c r="L25" s="45" t="str">
        <f t="shared" si="2"/>
        <v>Antonija – Orlić</v>
      </c>
      <c r="N25" s="103"/>
      <c r="O25" s="104"/>
      <c r="P25" s="105"/>
    </row>
    <row r="26" spans="2:16" x14ac:dyDescent="0.25">
      <c r="B26" s="103">
        <v>1677</v>
      </c>
      <c r="C26" s="104" t="s">
        <v>1523</v>
      </c>
      <c r="D26" s="104" t="s">
        <v>3750</v>
      </c>
      <c r="E26" s="104" t="s">
        <v>1631</v>
      </c>
      <c r="F26" s="105"/>
      <c r="H26" s="45" t="str">
        <f t="shared" si="0"/>
        <v>Mladen – Perica – OK Bjelovar</v>
      </c>
      <c r="J26" s="45" t="str">
        <f t="shared" si="1"/>
        <v>Mladen – Perica – OK Bjelovar</v>
      </c>
      <c r="L26" s="45" t="str">
        <f t="shared" si="2"/>
        <v>Mladen – Perica</v>
      </c>
      <c r="N26" s="103"/>
      <c r="O26" s="104"/>
      <c r="P26" s="105"/>
    </row>
    <row r="27" spans="2:16" x14ac:dyDescent="0.25">
      <c r="B27" s="103">
        <v>1678</v>
      </c>
      <c r="C27" s="104" t="s">
        <v>452</v>
      </c>
      <c r="D27" s="104" t="s">
        <v>3750</v>
      </c>
      <c r="E27" s="104" t="s">
        <v>1631</v>
      </c>
      <c r="F27" s="105"/>
      <c r="H27" s="45" t="str">
        <f t="shared" si="0"/>
        <v>Petar – Perica – OK Bjelovar</v>
      </c>
      <c r="J27" s="45" t="str">
        <f t="shared" si="1"/>
        <v>Petar – Perica – OK Bjelovar</v>
      </c>
      <c r="L27" s="45" t="str">
        <f t="shared" si="2"/>
        <v>Petar – Perica</v>
      </c>
      <c r="N27" s="103"/>
      <c r="O27" s="104"/>
      <c r="P27" s="105"/>
    </row>
    <row r="28" spans="2:16" x14ac:dyDescent="0.25">
      <c r="B28" s="103">
        <v>1627</v>
      </c>
      <c r="C28" s="104" t="s">
        <v>3751</v>
      </c>
      <c r="D28" s="104" t="s">
        <v>3752</v>
      </c>
      <c r="E28" s="104" t="s">
        <v>1631</v>
      </c>
      <c r="F28" s="105"/>
      <c r="H28" s="45" t="str">
        <f t="shared" si="0"/>
        <v>Eduard – Perković – OK Bjelovar</v>
      </c>
      <c r="J28" s="45" t="str">
        <f t="shared" si="1"/>
        <v>Eduard – Perković – OK Bjelovar</v>
      </c>
      <c r="L28" s="45" t="str">
        <f t="shared" si="2"/>
        <v>Eduard – Perković</v>
      </c>
      <c r="N28" s="103"/>
      <c r="O28" s="104"/>
      <c r="P28" s="105"/>
    </row>
    <row r="29" spans="2:16" x14ac:dyDescent="0.25">
      <c r="B29" s="103">
        <v>1140</v>
      </c>
      <c r="C29" s="104" t="s">
        <v>2601</v>
      </c>
      <c r="D29" s="104" t="s">
        <v>3090</v>
      </c>
      <c r="E29" s="104" t="s">
        <v>1631</v>
      </c>
      <c r="F29" s="105" t="s">
        <v>3093</v>
      </c>
      <c r="H29" s="45" t="str">
        <f t="shared" si="0"/>
        <v>Petra – Plevnik – OK Bjelovar – Ž21B</v>
      </c>
      <c r="J29" s="45" t="str">
        <f t="shared" si="1"/>
        <v>Petra – Plevnik – OK Bjelovar</v>
      </c>
      <c r="L29" s="45" t="str">
        <f t="shared" si="2"/>
        <v>Petra – Plevnik</v>
      </c>
      <c r="N29" s="103"/>
      <c r="O29" s="104"/>
      <c r="P29" s="105"/>
    </row>
    <row r="30" spans="2:16" x14ac:dyDescent="0.25">
      <c r="B30" s="103">
        <v>1490</v>
      </c>
      <c r="C30" s="104" t="s">
        <v>2266</v>
      </c>
      <c r="D30" s="104" t="s">
        <v>2265</v>
      </c>
      <c r="E30" s="104" t="s">
        <v>1631</v>
      </c>
      <c r="F30" s="105" t="s">
        <v>2194</v>
      </c>
      <c r="H30" s="45" t="str">
        <f t="shared" si="0"/>
        <v>Milan – Radočaj – OK Bjelovar – M55</v>
      </c>
      <c r="J30" s="45" t="str">
        <f t="shared" si="1"/>
        <v>Milan – Radočaj – OK Bjelovar</v>
      </c>
      <c r="L30" s="45" t="str">
        <f t="shared" si="2"/>
        <v>Milan – Radočaj</v>
      </c>
      <c r="N30" s="103"/>
      <c r="O30" s="104"/>
      <c r="P30" s="105"/>
    </row>
    <row r="31" spans="2:16" x14ac:dyDescent="0.25">
      <c r="B31" s="103">
        <v>1939</v>
      </c>
      <c r="C31" s="104" t="s">
        <v>3599</v>
      </c>
      <c r="D31" s="104" t="s">
        <v>2265</v>
      </c>
      <c r="E31" s="104" t="s">
        <v>1631</v>
      </c>
      <c r="F31" s="105" t="s">
        <v>3618</v>
      </c>
      <c r="H31" s="45" t="str">
        <f t="shared" si="0"/>
        <v>Sanja – Radočaj – OK Bjelovar – Ž55</v>
      </c>
      <c r="J31" s="45" t="str">
        <f t="shared" si="1"/>
        <v>Sanja – Radočaj – OK Bjelovar</v>
      </c>
      <c r="L31" s="45" t="str">
        <f t="shared" si="2"/>
        <v>Sanja – Radočaj</v>
      </c>
      <c r="N31" s="103"/>
      <c r="O31" s="104"/>
      <c r="P31" s="105"/>
    </row>
    <row r="32" spans="2:16" x14ac:dyDescent="0.25">
      <c r="B32" s="103">
        <v>1266</v>
      </c>
      <c r="C32" s="104" t="s">
        <v>1363</v>
      </c>
      <c r="D32" s="104" t="s">
        <v>2058</v>
      </c>
      <c r="E32" s="104" t="s">
        <v>1631</v>
      </c>
      <c r="F32" s="105" t="s">
        <v>1908</v>
      </c>
      <c r="H32" s="45" t="str">
        <f t="shared" si="0"/>
        <v>Domagoj – Šantić – OK Bjelovar – M45</v>
      </c>
      <c r="J32" s="45" t="str">
        <f t="shared" si="1"/>
        <v>Domagoj – Šantić – OK Bjelovar</v>
      </c>
      <c r="L32" s="45" t="str">
        <f t="shared" si="2"/>
        <v>Domagoj – Šantić</v>
      </c>
      <c r="N32" s="103"/>
      <c r="O32" s="104"/>
      <c r="P32" s="105"/>
    </row>
    <row r="33" spans="2:16" x14ac:dyDescent="0.25">
      <c r="B33" s="103">
        <v>1542</v>
      </c>
      <c r="C33" s="104" t="s">
        <v>2683</v>
      </c>
      <c r="D33" s="104" t="s">
        <v>2058</v>
      </c>
      <c r="E33" s="104" t="s">
        <v>1631</v>
      </c>
      <c r="F33" s="105" t="s">
        <v>2636</v>
      </c>
      <c r="H33" s="45" t="str">
        <f t="shared" si="0"/>
        <v>Gloria – Šantić – OK Bjelovar – Ž12</v>
      </c>
      <c r="J33" s="45" t="str">
        <f t="shared" si="1"/>
        <v>Gloria – Šantić – OK Bjelovar</v>
      </c>
      <c r="L33" s="45" t="str">
        <f t="shared" si="2"/>
        <v>Gloria – Šantić</v>
      </c>
      <c r="N33" s="103"/>
      <c r="O33" s="104"/>
      <c r="P33" s="105"/>
    </row>
    <row r="34" spans="2:16" x14ac:dyDescent="0.25">
      <c r="B34" s="103">
        <v>1466</v>
      </c>
      <c r="C34" s="104" t="s">
        <v>3233</v>
      </c>
      <c r="D34" s="104" t="s">
        <v>2058</v>
      </c>
      <c r="E34" s="104" t="s">
        <v>1631</v>
      </c>
      <c r="F34" s="105" t="s">
        <v>3264</v>
      </c>
      <c r="H34" s="45" t="str">
        <f t="shared" si="0"/>
        <v>Nikolina – Šantić – OK Bjelovar – Ž35</v>
      </c>
      <c r="J34" s="45" t="str">
        <f t="shared" si="1"/>
        <v>Nikolina – Šantić – OK Bjelovar</v>
      </c>
      <c r="L34" s="45" t="str">
        <f t="shared" si="2"/>
        <v>Nikolina – Šantić</v>
      </c>
      <c r="N34" s="103"/>
      <c r="O34" s="104"/>
      <c r="P34" s="105"/>
    </row>
    <row r="35" spans="2:16" x14ac:dyDescent="0.25">
      <c r="B35" s="103">
        <v>1364</v>
      </c>
      <c r="C35" s="104" t="s">
        <v>2653</v>
      </c>
      <c r="D35" s="104" t="s">
        <v>2058</v>
      </c>
      <c r="E35" s="104" t="s">
        <v>1631</v>
      </c>
      <c r="F35" s="105" t="s">
        <v>2636</v>
      </c>
      <c r="H35" s="45" t="str">
        <f t="shared" si="0"/>
        <v>Veronika – Šantić – OK Bjelovar – Ž12</v>
      </c>
      <c r="J35" s="45" t="str">
        <f t="shared" si="1"/>
        <v>Veronika – Šantić – OK Bjelovar</v>
      </c>
      <c r="L35" s="45" t="str">
        <f t="shared" si="2"/>
        <v>Veronika – Šantić</v>
      </c>
      <c r="N35" s="103"/>
      <c r="O35" s="104"/>
      <c r="P35" s="105"/>
    </row>
    <row r="36" spans="2:16" x14ac:dyDescent="0.25">
      <c r="B36" s="103">
        <v>1244</v>
      </c>
      <c r="C36" s="104" t="s">
        <v>2663</v>
      </c>
      <c r="D36" s="104" t="s">
        <v>2058</v>
      </c>
      <c r="E36" s="104" t="s">
        <v>1631</v>
      </c>
      <c r="F36" s="105" t="s">
        <v>2636</v>
      </c>
      <c r="H36" s="45" t="str">
        <f t="shared" si="0"/>
        <v>Viktoria – Šantić – OK Bjelovar – Ž12</v>
      </c>
      <c r="J36" s="45" t="str">
        <f t="shared" si="1"/>
        <v>Viktoria – Šantić – OK Bjelovar</v>
      </c>
      <c r="L36" s="45" t="str">
        <f t="shared" si="2"/>
        <v>Viktoria – Šantić</v>
      </c>
      <c r="N36" s="103"/>
      <c r="O36" s="104"/>
      <c r="P36" s="105"/>
    </row>
    <row r="37" spans="2:16" x14ac:dyDescent="0.25">
      <c r="B37" s="103">
        <v>1429</v>
      </c>
      <c r="C37" s="104" t="s">
        <v>3753</v>
      </c>
      <c r="D37" s="104" t="s">
        <v>3754</v>
      </c>
      <c r="E37" s="104" t="s">
        <v>1631</v>
      </c>
      <c r="F37" s="105" t="s">
        <v>3618</v>
      </c>
      <c r="H37" s="45" t="str">
        <f t="shared" si="0"/>
        <v>Alida – Sokolović – OK Bjelovar – Ž55</v>
      </c>
      <c r="J37" s="45" t="str">
        <f t="shared" si="1"/>
        <v>Alida – Sokolović – OK Bjelovar</v>
      </c>
      <c r="L37" s="45" t="str">
        <f t="shared" si="2"/>
        <v>Alida – Sokolović</v>
      </c>
      <c r="N37" s="103"/>
      <c r="O37" s="104"/>
      <c r="P37" s="105"/>
    </row>
    <row r="38" spans="2:16" x14ac:dyDescent="0.25">
      <c r="B38" s="103">
        <v>1676</v>
      </c>
      <c r="C38" s="104" t="s">
        <v>3182</v>
      </c>
      <c r="D38" s="104" t="s">
        <v>3754</v>
      </c>
      <c r="E38" s="104" t="s">
        <v>1631</v>
      </c>
      <c r="F38" s="105"/>
      <c r="H38" s="45" t="str">
        <f t="shared" si="0"/>
        <v>Hana – Sokolović – OK Bjelovar</v>
      </c>
      <c r="J38" s="45" t="str">
        <f t="shared" si="1"/>
        <v>Hana – Sokolović – OK Bjelovar</v>
      </c>
      <c r="L38" s="45" t="str">
        <f t="shared" si="2"/>
        <v>Hana – Sokolović</v>
      </c>
      <c r="N38" s="103"/>
      <c r="O38" s="104"/>
      <c r="P38" s="105"/>
    </row>
    <row r="39" spans="2:16" x14ac:dyDescent="0.25">
      <c r="B39" s="103">
        <v>1077</v>
      </c>
      <c r="C39" s="104" t="s">
        <v>3755</v>
      </c>
      <c r="D39" s="104" t="s">
        <v>3754</v>
      </c>
      <c r="E39" s="104" t="s">
        <v>1631</v>
      </c>
      <c r="F39" s="105" t="s">
        <v>2194</v>
      </c>
      <c r="H39" s="45" t="str">
        <f t="shared" si="0"/>
        <v>Slobodan – Sokolović – OK Bjelovar – M55</v>
      </c>
      <c r="J39" s="45" t="str">
        <f t="shared" si="1"/>
        <v>Slobodan – Sokolović – OK Bjelovar</v>
      </c>
      <c r="L39" s="45" t="str">
        <f t="shared" si="2"/>
        <v>Slobodan – Sokolović</v>
      </c>
      <c r="N39" s="103"/>
      <c r="O39" s="104"/>
      <c r="P39" s="105"/>
    </row>
    <row r="40" spans="2:16" x14ac:dyDescent="0.25">
      <c r="B40" s="103">
        <v>1545</v>
      </c>
      <c r="C40" s="104" t="s">
        <v>3756</v>
      </c>
      <c r="D40" s="104" t="s">
        <v>3757</v>
      </c>
      <c r="E40" s="104" t="s">
        <v>1631</v>
      </c>
      <c r="F40" s="105"/>
      <c r="H40" s="45" t="str">
        <f t="shared" si="0"/>
        <v>Miodrag – Truhlaž – OK Bjelovar</v>
      </c>
      <c r="J40" s="45" t="str">
        <f t="shared" si="1"/>
        <v>Miodrag – Truhlaž – OK Bjelovar</v>
      </c>
      <c r="L40" s="45" t="str">
        <f t="shared" si="2"/>
        <v>Miodrag – Truhlaž</v>
      </c>
      <c r="N40" s="103"/>
      <c r="O40" s="104"/>
      <c r="P40" s="105"/>
    </row>
    <row r="41" spans="2:16" x14ac:dyDescent="0.25">
      <c r="B41" s="103">
        <v>1837</v>
      </c>
      <c r="C41" s="104" t="s">
        <v>1453</v>
      </c>
      <c r="D41" s="104" t="s">
        <v>3758</v>
      </c>
      <c r="E41" s="104" t="s">
        <v>478</v>
      </c>
      <c r="F41" s="105"/>
      <c r="H41" s="45" t="str">
        <f t="shared" si="0"/>
        <v>Franjo – Benjak – OK Ivan Merz</v>
      </c>
      <c r="J41" s="45" t="str">
        <f t="shared" si="1"/>
        <v>Franjo – Benjak – OK Ivan Merz</v>
      </c>
      <c r="L41" s="45" t="str">
        <f t="shared" si="2"/>
        <v>Franjo – Benjak</v>
      </c>
      <c r="N41" s="103"/>
      <c r="O41" s="104"/>
      <c r="P41" s="105"/>
    </row>
    <row r="42" spans="2:16" x14ac:dyDescent="0.25">
      <c r="B42" s="103">
        <v>1569</v>
      </c>
      <c r="C42" s="104" t="s">
        <v>3759</v>
      </c>
      <c r="D42" s="104" t="s">
        <v>3760</v>
      </c>
      <c r="E42" s="104" t="s">
        <v>478</v>
      </c>
      <c r="F42" s="105" t="s">
        <v>2636</v>
      </c>
      <c r="H42" s="45" t="str">
        <f t="shared" si="0"/>
        <v>Elizabeta – Bilić – OK Ivan Merz – Ž12</v>
      </c>
      <c r="J42" s="45" t="str">
        <f t="shared" si="1"/>
        <v>Elizabeta – Bilić – OK Ivan Merz</v>
      </c>
      <c r="L42" s="45" t="str">
        <f t="shared" si="2"/>
        <v>Elizabeta – Bilić</v>
      </c>
      <c r="N42" s="103"/>
      <c r="O42" s="104"/>
      <c r="P42" s="105"/>
    </row>
    <row r="43" spans="2:16" x14ac:dyDescent="0.25">
      <c r="B43" s="103">
        <v>1144</v>
      </c>
      <c r="C43" s="104" t="s">
        <v>437</v>
      </c>
      <c r="D43" s="104" t="s">
        <v>3760</v>
      </c>
      <c r="E43" s="104" t="s">
        <v>478</v>
      </c>
      <c r="F43" s="105" t="s">
        <v>1908</v>
      </c>
      <c r="H43" s="45" t="str">
        <f t="shared" si="0"/>
        <v>Ivan – Bilić – OK Ivan Merz – M45</v>
      </c>
      <c r="J43" s="45" t="str">
        <f t="shared" si="1"/>
        <v>Ivan – Bilić – OK Ivan Merz</v>
      </c>
      <c r="L43" s="45" t="str">
        <f t="shared" si="2"/>
        <v>Ivan – Bilić</v>
      </c>
      <c r="N43" s="103"/>
      <c r="O43" s="104"/>
      <c r="P43" s="105"/>
    </row>
    <row r="44" spans="2:16" x14ac:dyDescent="0.25">
      <c r="B44" s="103">
        <v>1342</v>
      </c>
      <c r="C44" s="104" t="s">
        <v>475</v>
      </c>
      <c r="D44" s="104" t="s">
        <v>474</v>
      </c>
      <c r="E44" s="104" t="s">
        <v>478</v>
      </c>
      <c r="F44" s="105" t="s">
        <v>486</v>
      </c>
      <c r="H44" s="45" t="str">
        <f t="shared" si="0"/>
        <v>Jakov – Boban – OK Ivan Merz – M14</v>
      </c>
      <c r="J44" s="45" t="str">
        <f t="shared" si="1"/>
        <v>Jakov – Boban – OK Ivan Merz</v>
      </c>
      <c r="L44" s="45" t="str">
        <f t="shared" si="2"/>
        <v>Jakov – Boban</v>
      </c>
      <c r="N44" s="103"/>
      <c r="O44" s="104"/>
      <c r="P44" s="105"/>
    </row>
    <row r="45" spans="2:16" x14ac:dyDescent="0.25">
      <c r="B45" s="103">
        <v>1427</v>
      </c>
      <c r="C45" s="104" t="s">
        <v>2244</v>
      </c>
      <c r="D45" s="104" t="s">
        <v>474</v>
      </c>
      <c r="E45" s="104" t="s">
        <v>478</v>
      </c>
      <c r="F45" s="105" t="s">
        <v>2194</v>
      </c>
      <c r="H45" s="45" t="str">
        <f t="shared" si="0"/>
        <v>Mile – Boban – OK Ivan Merz – M55</v>
      </c>
      <c r="J45" s="45" t="str">
        <f t="shared" si="1"/>
        <v>Mile – Boban – OK Ivan Merz</v>
      </c>
      <c r="L45" s="45" t="str">
        <f t="shared" si="2"/>
        <v>Mile – Boban</v>
      </c>
      <c r="N45" s="103"/>
      <c r="O45" s="104"/>
      <c r="P45" s="105"/>
    </row>
    <row r="46" spans="2:16" x14ac:dyDescent="0.25">
      <c r="B46" s="103">
        <v>1414</v>
      </c>
      <c r="C46" s="104" t="s">
        <v>2772</v>
      </c>
      <c r="D46" s="104" t="s">
        <v>474</v>
      </c>
      <c r="E46" s="104" t="s">
        <v>478</v>
      </c>
      <c r="F46" s="105" t="s">
        <v>3442</v>
      </c>
      <c r="H46" s="45" t="str">
        <f t="shared" si="0"/>
        <v>Mirta – Boban – OK Ivan Merz – Ž45</v>
      </c>
      <c r="J46" s="45" t="str">
        <f t="shared" si="1"/>
        <v>Mirta – Boban – OK Ivan Merz</v>
      </c>
      <c r="L46" s="45" t="str">
        <f t="shared" si="2"/>
        <v>Mirta – Boban</v>
      </c>
      <c r="N46" s="103"/>
      <c r="O46" s="104"/>
      <c r="P46" s="105"/>
    </row>
    <row r="47" spans="2:16" x14ac:dyDescent="0.25">
      <c r="B47" s="103">
        <v>1226</v>
      </c>
      <c r="C47" s="104" t="s">
        <v>3761</v>
      </c>
      <c r="D47" s="104" t="s">
        <v>474</v>
      </c>
      <c r="E47" s="104" t="s">
        <v>478</v>
      </c>
      <c r="F47" s="105" t="s">
        <v>2927</v>
      </c>
      <c r="H47" s="45" t="str">
        <f t="shared" si="0"/>
        <v>Rea – Boban – OK Ivan Merz – Ž20</v>
      </c>
      <c r="J47" s="45" t="str">
        <f t="shared" si="1"/>
        <v>Rea – Boban – OK Ivan Merz</v>
      </c>
      <c r="L47" s="45" t="str">
        <f t="shared" si="2"/>
        <v>Rea – Boban</v>
      </c>
      <c r="N47" s="103"/>
      <c r="O47" s="104"/>
      <c r="P47" s="105"/>
    </row>
    <row r="48" spans="2:16" x14ac:dyDescent="0.25">
      <c r="B48" s="103">
        <v>1760</v>
      </c>
      <c r="C48" s="104" t="s">
        <v>3762</v>
      </c>
      <c r="D48" s="104" t="s">
        <v>3763</v>
      </c>
      <c r="E48" s="104" t="s">
        <v>478</v>
      </c>
      <c r="F48" s="105"/>
      <c r="H48" s="45" t="str">
        <f t="shared" si="0"/>
        <v>Irena – Detić – OK Ivan Merz</v>
      </c>
      <c r="J48" s="45" t="str">
        <f t="shared" si="1"/>
        <v>Irena – Detić – OK Ivan Merz</v>
      </c>
      <c r="L48" s="45" t="str">
        <f t="shared" si="2"/>
        <v>Irena – Detić</v>
      </c>
      <c r="N48" s="103"/>
      <c r="O48" s="104"/>
      <c r="P48" s="105"/>
    </row>
    <row r="49" spans="2:16" x14ac:dyDescent="0.25">
      <c r="B49" s="103">
        <v>1435</v>
      </c>
      <c r="C49" s="104" t="s">
        <v>2911</v>
      </c>
      <c r="D49" s="104" t="s">
        <v>507</v>
      </c>
      <c r="E49" s="104" t="s">
        <v>478</v>
      </c>
      <c r="F49" s="105" t="s">
        <v>2765</v>
      </c>
      <c r="H49" s="45" t="str">
        <f t="shared" si="0"/>
        <v>Jelena – Gojmerac – OK Ivan Merz – Ž16</v>
      </c>
      <c r="J49" s="45" t="str">
        <f t="shared" si="1"/>
        <v>Jelena – Gojmerac – OK Ivan Merz</v>
      </c>
      <c r="L49" s="45" t="str">
        <f t="shared" si="2"/>
        <v>Jelena – Gojmerac</v>
      </c>
      <c r="N49" s="103"/>
      <c r="O49" s="104"/>
      <c r="P49" s="105"/>
    </row>
    <row r="50" spans="2:16" x14ac:dyDescent="0.25">
      <c r="B50" s="103">
        <v>1236</v>
      </c>
      <c r="C50" s="104" t="s">
        <v>2564</v>
      </c>
      <c r="D50" s="104" t="s">
        <v>507</v>
      </c>
      <c r="E50" s="104" t="s">
        <v>478</v>
      </c>
      <c r="F50" s="105" t="s">
        <v>2927</v>
      </c>
      <c r="H50" s="45" t="str">
        <f t="shared" si="0"/>
        <v>Lucija – Gojmerac – OK Ivan Merz – Ž20</v>
      </c>
      <c r="J50" s="45" t="str">
        <f t="shared" si="1"/>
        <v>Lucija – Gojmerac – OK Ivan Merz</v>
      </c>
      <c r="L50" s="45" t="str">
        <f t="shared" si="2"/>
        <v>Lucija – Gojmerac</v>
      </c>
      <c r="N50" s="103"/>
      <c r="O50" s="104"/>
      <c r="P50" s="105"/>
    </row>
    <row r="51" spans="2:16" x14ac:dyDescent="0.25">
      <c r="B51" s="103">
        <v>1285</v>
      </c>
      <c r="C51" s="104" t="s">
        <v>508</v>
      </c>
      <c r="D51" s="104" t="s">
        <v>507</v>
      </c>
      <c r="E51" s="104" t="s">
        <v>478</v>
      </c>
      <c r="F51" s="105" t="s">
        <v>486</v>
      </c>
      <c r="H51" s="45" t="str">
        <f t="shared" si="0"/>
        <v>Luka – Gojmerac – OK Ivan Merz – M14</v>
      </c>
      <c r="J51" s="45" t="str">
        <f t="shared" si="1"/>
        <v>Luka – Gojmerac – OK Ivan Merz</v>
      </c>
      <c r="L51" s="45" t="str">
        <f t="shared" si="2"/>
        <v>Luka – Gojmerac</v>
      </c>
      <c r="N51" s="103"/>
      <c r="O51" s="104"/>
      <c r="P51" s="105"/>
    </row>
    <row r="52" spans="2:16" x14ac:dyDescent="0.25">
      <c r="B52" s="103">
        <v>1215</v>
      </c>
      <c r="C52" s="104" t="s">
        <v>2824</v>
      </c>
      <c r="D52" s="104" t="s">
        <v>507</v>
      </c>
      <c r="E52" s="104" t="s">
        <v>478</v>
      </c>
      <c r="F52" s="105" t="s">
        <v>2927</v>
      </c>
      <c r="H52" s="45" t="str">
        <f t="shared" si="0"/>
        <v>Marta – Gojmerac – OK Ivan Merz – Ž20</v>
      </c>
      <c r="J52" s="45" t="str">
        <f t="shared" si="1"/>
        <v>Marta – Gojmerac – OK Ivan Merz</v>
      </c>
      <c r="L52" s="45" t="str">
        <f t="shared" si="2"/>
        <v>Marta – Gojmerac</v>
      </c>
      <c r="N52" s="103"/>
      <c r="O52" s="104"/>
      <c r="P52" s="105"/>
    </row>
    <row r="53" spans="2:16" x14ac:dyDescent="0.25">
      <c r="B53" s="103">
        <v>1045</v>
      </c>
      <c r="C53" s="104" t="s">
        <v>2622</v>
      </c>
      <c r="D53" s="104" t="s">
        <v>507</v>
      </c>
      <c r="E53" s="104" t="s">
        <v>478</v>
      </c>
      <c r="F53" s="105" t="s">
        <v>3442</v>
      </c>
      <c r="H53" s="45" t="str">
        <f t="shared" si="0"/>
        <v>Mirjana – Gojmerac – OK Ivan Merz – Ž45</v>
      </c>
      <c r="J53" s="45" t="str">
        <f t="shared" si="1"/>
        <v>Mirjana – Gojmerac – OK Ivan Merz</v>
      </c>
      <c r="L53" s="45" t="str">
        <f t="shared" si="2"/>
        <v>Mirjana – Gojmerac</v>
      </c>
      <c r="N53" s="103"/>
      <c r="O53" s="104"/>
      <c r="P53" s="105"/>
    </row>
    <row r="54" spans="2:16" x14ac:dyDescent="0.25">
      <c r="B54" s="103">
        <v>1303</v>
      </c>
      <c r="C54" s="104" t="s">
        <v>452</v>
      </c>
      <c r="D54" s="104" t="s">
        <v>507</v>
      </c>
      <c r="E54" s="104" t="s">
        <v>478</v>
      </c>
      <c r="F54" s="105" t="s">
        <v>1129</v>
      </c>
      <c r="H54" s="45" t="str">
        <f t="shared" si="0"/>
        <v>Petar – Gojmerac – OK Ivan Merz – M21B</v>
      </c>
      <c r="J54" s="45" t="str">
        <f t="shared" si="1"/>
        <v>Petar – Gojmerac – OK Ivan Merz</v>
      </c>
      <c r="L54" s="45" t="str">
        <f t="shared" si="2"/>
        <v>Petar – Gojmerac</v>
      </c>
      <c r="N54" s="103"/>
      <c r="O54" s="104"/>
      <c r="P54" s="105"/>
    </row>
    <row r="55" spans="2:16" x14ac:dyDescent="0.25">
      <c r="B55" s="103">
        <v>1325</v>
      </c>
      <c r="C55" s="104" t="s">
        <v>1028</v>
      </c>
      <c r="D55" s="104" t="s">
        <v>507</v>
      </c>
      <c r="E55" s="104" t="s">
        <v>478</v>
      </c>
      <c r="F55" s="105" t="s">
        <v>1908</v>
      </c>
      <c r="H55" s="45" t="str">
        <f t="shared" si="0"/>
        <v>Tomislav – Gojmerac – OK Ivan Merz – M45</v>
      </c>
      <c r="J55" s="45" t="str">
        <f t="shared" si="1"/>
        <v>Tomislav – Gojmerac – OK Ivan Merz</v>
      </c>
      <c r="L55" s="45" t="str">
        <f t="shared" si="2"/>
        <v>Tomislav – Gojmerac</v>
      </c>
      <c r="N55" s="103"/>
      <c r="O55" s="104"/>
      <c r="P55" s="105"/>
    </row>
    <row r="56" spans="2:16" x14ac:dyDescent="0.25">
      <c r="B56" s="103">
        <v>1772</v>
      </c>
      <c r="C56" s="104" t="s">
        <v>3764</v>
      </c>
      <c r="D56" s="104" t="s">
        <v>3765</v>
      </c>
      <c r="E56" s="104" t="s">
        <v>478</v>
      </c>
      <c r="F56" s="105"/>
      <c r="H56" s="45" t="str">
        <f t="shared" si="0"/>
        <v>Leon – Hlad – OK Ivan Merz</v>
      </c>
      <c r="J56" s="45" t="str">
        <f t="shared" si="1"/>
        <v>Leon – Hlad – OK Ivan Merz</v>
      </c>
      <c r="L56" s="45" t="str">
        <f t="shared" si="2"/>
        <v>Leon – Hlad</v>
      </c>
      <c r="N56" s="103"/>
      <c r="O56" s="104"/>
      <c r="P56" s="105"/>
    </row>
    <row r="57" spans="2:16" x14ac:dyDescent="0.25">
      <c r="B57" s="103">
        <v>1773</v>
      </c>
      <c r="C57" s="104" t="s">
        <v>919</v>
      </c>
      <c r="D57" s="104" t="s">
        <v>3765</v>
      </c>
      <c r="E57" s="104" t="s">
        <v>478</v>
      </c>
      <c r="F57" s="105"/>
      <c r="H57" s="45" t="str">
        <f t="shared" si="0"/>
        <v>Matija – Hlad – OK Ivan Merz</v>
      </c>
      <c r="J57" s="45" t="str">
        <f t="shared" si="1"/>
        <v>Matija – Hlad – OK Ivan Merz</v>
      </c>
      <c r="L57" s="45" t="str">
        <f t="shared" si="2"/>
        <v>Matija – Hlad</v>
      </c>
      <c r="N57" s="103"/>
      <c r="O57" s="104"/>
      <c r="P57" s="105"/>
    </row>
    <row r="58" spans="2:16" x14ac:dyDescent="0.25">
      <c r="B58" s="103">
        <v>1771</v>
      </c>
      <c r="C58" s="104" t="s">
        <v>1028</v>
      </c>
      <c r="D58" s="104" t="s">
        <v>3765</v>
      </c>
      <c r="E58" s="104" t="s">
        <v>478</v>
      </c>
      <c r="F58" s="105"/>
      <c r="H58" s="45" t="str">
        <f t="shared" si="0"/>
        <v>Tomislav – Hlad – OK Ivan Merz</v>
      </c>
      <c r="J58" s="45" t="str">
        <f t="shared" si="1"/>
        <v>Tomislav – Hlad – OK Ivan Merz</v>
      </c>
      <c r="L58" s="45" t="str">
        <f t="shared" si="2"/>
        <v>Tomislav – Hlad</v>
      </c>
      <c r="N58" s="103"/>
      <c r="O58" s="104"/>
      <c r="P58" s="105"/>
    </row>
    <row r="59" spans="2:16" x14ac:dyDescent="0.25">
      <c r="B59" s="103">
        <v>1764</v>
      </c>
      <c r="C59" s="104" t="s">
        <v>3766</v>
      </c>
      <c r="D59" s="104" t="s">
        <v>3767</v>
      </c>
      <c r="E59" s="104" t="s">
        <v>478</v>
      </c>
      <c r="F59" s="105"/>
      <c r="H59" s="45" t="str">
        <f t="shared" si="0"/>
        <v>Šimun – Ilčić – OK Ivan Merz</v>
      </c>
      <c r="J59" s="45" t="str">
        <f t="shared" si="1"/>
        <v>Šimun – Ilčić – OK Ivan Merz</v>
      </c>
      <c r="L59" s="45" t="str">
        <f t="shared" si="2"/>
        <v>Šimun – Ilčić</v>
      </c>
      <c r="N59" s="103"/>
      <c r="O59" s="104"/>
      <c r="P59" s="105"/>
    </row>
    <row r="60" spans="2:16" x14ac:dyDescent="0.25">
      <c r="B60" s="103">
        <v>1761</v>
      </c>
      <c r="C60" s="104" t="s">
        <v>471</v>
      </c>
      <c r="D60" s="104" t="s">
        <v>3768</v>
      </c>
      <c r="E60" s="104" t="s">
        <v>478</v>
      </c>
      <c r="F60" s="105"/>
      <c r="H60" s="45" t="str">
        <f t="shared" si="0"/>
        <v>Filip – Jurak – OK Ivan Merz</v>
      </c>
      <c r="J60" s="45" t="str">
        <f t="shared" si="1"/>
        <v>Filip – Jurak – OK Ivan Merz</v>
      </c>
      <c r="L60" s="45" t="str">
        <f t="shared" si="2"/>
        <v>Filip – Jurak</v>
      </c>
      <c r="N60" s="103"/>
      <c r="O60" s="104"/>
      <c r="P60" s="105"/>
    </row>
    <row r="61" spans="2:16" x14ac:dyDescent="0.25">
      <c r="B61" s="103">
        <v>1392</v>
      </c>
      <c r="C61" s="104" t="s">
        <v>2646</v>
      </c>
      <c r="D61" s="104" t="s">
        <v>3769</v>
      </c>
      <c r="E61" s="104" t="s">
        <v>478</v>
      </c>
      <c r="F61" s="105" t="s">
        <v>2927</v>
      </c>
      <c r="H61" s="45" t="str">
        <f t="shared" si="0"/>
        <v>Dora – Kermek – OK Ivan Merz – Ž20</v>
      </c>
      <c r="J61" s="45" t="str">
        <f t="shared" si="1"/>
        <v>Dora – Kermek – OK Ivan Merz</v>
      </c>
      <c r="L61" s="45" t="str">
        <f t="shared" si="2"/>
        <v>Dora – Kermek</v>
      </c>
      <c r="N61" s="103"/>
      <c r="O61" s="104"/>
      <c r="P61" s="105"/>
    </row>
    <row r="62" spans="2:16" x14ac:dyDescent="0.25">
      <c r="B62" s="103">
        <v>1587</v>
      </c>
      <c r="C62" s="104" t="s">
        <v>3252</v>
      </c>
      <c r="D62" s="104" t="s">
        <v>3770</v>
      </c>
      <c r="E62" s="104" t="s">
        <v>478</v>
      </c>
      <c r="F62" s="105"/>
      <c r="H62" s="45" t="str">
        <f t="shared" si="0"/>
        <v>Marina – Kopjar – OK Ivan Merz</v>
      </c>
      <c r="J62" s="45" t="str">
        <f t="shared" si="1"/>
        <v>Marina – Kopjar – OK Ivan Merz</v>
      </c>
      <c r="L62" s="45" t="str">
        <f t="shared" si="2"/>
        <v>Marina – Kopjar</v>
      </c>
      <c r="N62" s="103"/>
      <c r="O62" s="104"/>
      <c r="P62" s="105"/>
    </row>
    <row r="63" spans="2:16" x14ac:dyDescent="0.25">
      <c r="B63" s="103">
        <v>1767</v>
      </c>
      <c r="C63" s="104" t="s">
        <v>2703</v>
      </c>
      <c r="D63" s="104" t="s">
        <v>3771</v>
      </c>
      <c r="E63" s="104" t="s">
        <v>478</v>
      </c>
      <c r="F63" s="105"/>
      <c r="H63" s="45" t="str">
        <f t="shared" si="0"/>
        <v>Ema – Kovačić – OK Ivan Merz</v>
      </c>
      <c r="J63" s="45" t="str">
        <f t="shared" si="1"/>
        <v>Ema – Kovačić – OK Ivan Merz</v>
      </c>
      <c r="L63" s="45" t="str">
        <f t="shared" si="2"/>
        <v>Ema – Kovačić</v>
      </c>
      <c r="N63" s="103"/>
      <c r="O63" s="104"/>
      <c r="P63" s="105"/>
    </row>
    <row r="64" spans="2:16" x14ac:dyDescent="0.25">
      <c r="B64" s="103">
        <v>1768</v>
      </c>
      <c r="C64" s="104" t="s">
        <v>3772</v>
      </c>
      <c r="D64" s="104" t="s">
        <v>3771</v>
      </c>
      <c r="E64" s="104" t="s">
        <v>478</v>
      </c>
      <c r="F64" s="105"/>
      <c r="H64" s="45" t="str">
        <f t="shared" si="0"/>
        <v>Mia – Kovačić – OK Ivan Merz</v>
      </c>
      <c r="J64" s="45" t="str">
        <f t="shared" si="1"/>
        <v>Mia – Kovačić – OK Ivan Merz</v>
      </c>
      <c r="L64" s="45" t="str">
        <f t="shared" si="2"/>
        <v>Mia – Kovačić</v>
      </c>
      <c r="N64" s="103"/>
      <c r="O64" s="104"/>
      <c r="P64" s="105"/>
    </row>
    <row r="65" spans="2:16" x14ac:dyDescent="0.25">
      <c r="B65" s="103">
        <v>1769</v>
      </c>
      <c r="C65" s="104" t="s">
        <v>3773</v>
      </c>
      <c r="D65" s="104" t="s">
        <v>3774</v>
      </c>
      <c r="E65" s="104" t="s">
        <v>478</v>
      </c>
      <c r="F65" s="105"/>
      <c r="H65" s="45" t="str">
        <f t="shared" si="0"/>
        <v>David – Lazar – OK Ivan Merz</v>
      </c>
      <c r="J65" s="45" t="str">
        <f t="shared" si="1"/>
        <v>David – Lazar – OK Ivan Merz</v>
      </c>
      <c r="L65" s="45" t="str">
        <f t="shared" si="2"/>
        <v>David – Lazar</v>
      </c>
      <c r="N65" s="103"/>
      <c r="O65" s="104"/>
      <c r="P65" s="105"/>
    </row>
    <row r="66" spans="2:16" x14ac:dyDescent="0.25">
      <c r="B66" s="103">
        <v>1770</v>
      </c>
      <c r="C66" s="104" t="s">
        <v>3775</v>
      </c>
      <c r="D66" s="104" t="s">
        <v>3776</v>
      </c>
      <c r="E66" s="104" t="s">
        <v>478</v>
      </c>
      <c r="F66" s="105"/>
      <c r="H66" s="45" t="str">
        <f t="shared" si="0"/>
        <v>Bruno – Marić – OK Ivan Merz</v>
      </c>
      <c r="J66" s="45" t="str">
        <f t="shared" si="1"/>
        <v>Bruno – Marić – OK Ivan Merz</v>
      </c>
      <c r="L66" s="45" t="str">
        <f t="shared" si="2"/>
        <v>Bruno – Marić</v>
      </c>
      <c r="N66" s="103"/>
      <c r="O66" s="104"/>
      <c r="P66" s="105"/>
    </row>
    <row r="67" spans="2:16" x14ac:dyDescent="0.25">
      <c r="B67" s="103">
        <v>1774</v>
      </c>
      <c r="C67" s="104" t="s">
        <v>3777</v>
      </c>
      <c r="D67" s="104" t="s">
        <v>3778</v>
      </c>
      <c r="E67" s="104" t="s">
        <v>478</v>
      </c>
      <c r="F67" s="105"/>
      <c r="H67" s="45" t="str">
        <f t="shared" si="0"/>
        <v>Igor – Milinković – OK Ivan Merz</v>
      </c>
      <c r="J67" s="45" t="str">
        <f t="shared" si="1"/>
        <v>Igor – Milinković – OK Ivan Merz</v>
      </c>
      <c r="L67" s="45" t="str">
        <f t="shared" si="2"/>
        <v>Igor – Milinković</v>
      </c>
      <c r="N67" s="103"/>
      <c r="O67" s="104"/>
      <c r="P67" s="105"/>
    </row>
    <row r="68" spans="2:16" x14ac:dyDescent="0.25">
      <c r="B68" s="103">
        <v>1396</v>
      </c>
      <c r="C68" s="104" t="s">
        <v>604</v>
      </c>
      <c r="D68" s="104" t="s">
        <v>3779</v>
      </c>
      <c r="E68" s="104" t="s">
        <v>478</v>
      </c>
      <c r="F68" s="105"/>
      <c r="H68" s="45" t="str">
        <f t="shared" si="0"/>
        <v>Marko – Omazić – OK Ivan Merz</v>
      </c>
      <c r="J68" s="45" t="str">
        <f t="shared" si="1"/>
        <v>Marko – Omazić – OK Ivan Merz</v>
      </c>
      <c r="L68" s="45" t="str">
        <f t="shared" si="2"/>
        <v>Marko – Omazić</v>
      </c>
      <c r="N68" s="103"/>
      <c r="O68" s="104"/>
      <c r="P68" s="105"/>
    </row>
    <row r="69" spans="2:16" x14ac:dyDescent="0.25">
      <c r="B69" s="103">
        <v>1763</v>
      </c>
      <c r="C69" s="104" t="s">
        <v>2824</v>
      </c>
      <c r="D69" s="104" t="s">
        <v>3780</v>
      </c>
      <c r="E69" s="104" t="s">
        <v>478</v>
      </c>
      <c r="F69" s="105"/>
      <c r="H69" s="45" t="str">
        <f t="shared" si="0"/>
        <v>Marta – Petak – OK Ivan Merz</v>
      </c>
      <c r="J69" s="45" t="str">
        <f t="shared" si="1"/>
        <v>Marta – Petak – OK Ivan Merz</v>
      </c>
      <c r="L69" s="45" t="str">
        <f t="shared" si="2"/>
        <v>Marta – Petak</v>
      </c>
      <c r="N69" s="103"/>
      <c r="O69" s="104"/>
      <c r="P69" s="105"/>
    </row>
    <row r="70" spans="2:16" x14ac:dyDescent="0.25">
      <c r="B70" s="103">
        <v>1664</v>
      </c>
      <c r="C70" s="104" t="s">
        <v>1866</v>
      </c>
      <c r="D70" s="104" t="s">
        <v>3299</v>
      </c>
      <c r="E70" s="104" t="s">
        <v>478</v>
      </c>
      <c r="F70" s="105"/>
      <c r="H70" s="45" t="str">
        <f t="shared" si="0"/>
        <v>Damir – Popović – OK Ivan Merz</v>
      </c>
      <c r="J70" s="45" t="str">
        <f t="shared" si="1"/>
        <v>Damir – Popović – OK Ivan Merz</v>
      </c>
      <c r="L70" s="45" t="str">
        <f t="shared" si="2"/>
        <v>Damir – Popović</v>
      </c>
      <c r="N70" s="103"/>
      <c r="O70" s="104"/>
      <c r="P70" s="105"/>
    </row>
    <row r="71" spans="2:16" x14ac:dyDescent="0.25">
      <c r="B71" s="103">
        <v>1641</v>
      </c>
      <c r="C71" s="104" t="s">
        <v>1762</v>
      </c>
      <c r="D71" s="104" t="s">
        <v>3781</v>
      </c>
      <c r="E71" s="104" t="s">
        <v>478</v>
      </c>
      <c r="F71" s="105"/>
      <c r="H71" s="45" t="str">
        <f t="shared" si="0"/>
        <v>Miroslav – Priher – OK Ivan Merz</v>
      </c>
      <c r="J71" s="45" t="str">
        <f t="shared" si="1"/>
        <v>Miroslav – Priher – OK Ivan Merz</v>
      </c>
      <c r="L71" s="45" t="str">
        <f t="shared" si="2"/>
        <v>Miroslav – Priher</v>
      </c>
      <c r="N71" s="103"/>
      <c r="O71" s="104"/>
      <c r="P71" s="105"/>
    </row>
    <row r="72" spans="2:16" x14ac:dyDescent="0.25">
      <c r="B72" s="103">
        <v>1766</v>
      </c>
      <c r="C72" s="104" t="s">
        <v>3782</v>
      </c>
      <c r="D72" s="104" t="s">
        <v>3783</v>
      </c>
      <c r="E72" s="104" t="s">
        <v>478</v>
      </c>
      <c r="F72" s="105"/>
      <c r="H72" s="45" t="str">
        <f t="shared" si="0"/>
        <v>Mislav – Radovanović – OK Ivan Merz</v>
      </c>
      <c r="J72" s="45" t="str">
        <f t="shared" si="1"/>
        <v>Mislav – Radovanović – OK Ivan Merz</v>
      </c>
      <c r="L72" s="45" t="str">
        <f t="shared" si="2"/>
        <v>Mislav – Radovanović</v>
      </c>
      <c r="N72" s="103"/>
      <c r="O72" s="104"/>
      <c r="P72" s="105"/>
    </row>
    <row r="73" spans="2:16" x14ac:dyDescent="0.25">
      <c r="B73" s="103">
        <v>1765</v>
      </c>
      <c r="C73" s="104" t="s">
        <v>1712</v>
      </c>
      <c r="D73" s="104" t="s">
        <v>3783</v>
      </c>
      <c r="E73" s="104" t="s">
        <v>478</v>
      </c>
      <c r="F73" s="105"/>
      <c r="H73" s="45" t="str">
        <f t="shared" si="0"/>
        <v>Vanja – Radovanović – OK Ivan Merz</v>
      </c>
      <c r="J73" s="45" t="str">
        <f t="shared" si="1"/>
        <v>Vanja – Radovanović – OK Ivan Merz</v>
      </c>
      <c r="L73" s="45" t="str">
        <f t="shared" si="2"/>
        <v>Vanja – Radovanović</v>
      </c>
      <c r="N73" s="103"/>
      <c r="O73" s="104"/>
      <c r="P73" s="105"/>
    </row>
    <row r="74" spans="2:16" x14ac:dyDescent="0.25">
      <c r="B74" s="103">
        <v>1775</v>
      </c>
      <c r="C74" s="104" t="s">
        <v>3784</v>
      </c>
      <c r="D74" s="104" t="s">
        <v>3783</v>
      </c>
      <c r="E74" s="104" t="s">
        <v>478</v>
      </c>
      <c r="F74" s="105"/>
      <c r="H74" s="45" t="str">
        <f t="shared" si="0"/>
        <v>Žarko – Radovanović – OK Ivan Merz</v>
      </c>
      <c r="J74" s="45" t="str">
        <f t="shared" si="1"/>
        <v>Žarko – Radovanović – OK Ivan Merz</v>
      </c>
      <c r="L74" s="45" t="str">
        <f t="shared" si="2"/>
        <v>Žarko – Radovanović</v>
      </c>
      <c r="N74" s="103"/>
      <c r="O74" s="104"/>
      <c r="P74" s="105"/>
    </row>
    <row r="75" spans="2:16" x14ac:dyDescent="0.25">
      <c r="B75" s="103">
        <v>1663</v>
      </c>
      <c r="C75" s="104" t="s">
        <v>2594</v>
      </c>
      <c r="D75" s="104" t="s">
        <v>2992</v>
      </c>
      <c r="E75" s="104" t="s">
        <v>478</v>
      </c>
      <c r="F75" s="105"/>
      <c r="H75" s="45" t="str">
        <f t="shared" ref="H75:H138" si="3">IF(C75="","",C75) &amp; IF(D75="",""," – " &amp; D75) &amp; IF(E75="",""," – " &amp; E75) &amp; IF(F75="",""," – " &amp; F75)</f>
        <v>Maja – Srebačić – OK Ivan Merz</v>
      </c>
      <c r="J75" s="45" t="str">
        <f t="shared" ref="J75:J138" si="4">IF(C75="","",C75) &amp; IF(D75="",""," – " &amp; D75) &amp; IF(E75="",""," – " &amp; E75)</f>
        <v>Maja – Srebačić – OK Ivan Merz</v>
      </c>
      <c r="L75" s="45" t="str">
        <f t="shared" ref="L75:L138" si="5">IF(C75="","",C75) &amp; IF(D75="",""," – " &amp; D75)</f>
        <v>Maja – Srebačić</v>
      </c>
      <c r="N75" s="103"/>
      <c r="O75" s="104"/>
      <c r="P75" s="105"/>
    </row>
    <row r="76" spans="2:16" x14ac:dyDescent="0.25">
      <c r="B76" s="103">
        <v>1563</v>
      </c>
      <c r="C76" s="104" t="s">
        <v>1335</v>
      </c>
      <c r="D76" s="104" t="s">
        <v>2190</v>
      </c>
      <c r="E76" s="104" t="s">
        <v>478</v>
      </c>
      <c r="F76" s="105" t="s">
        <v>2194</v>
      </c>
      <c r="H76" s="45" t="str">
        <f t="shared" si="3"/>
        <v>Dario – Štambuk – OK Ivan Merz – M55</v>
      </c>
      <c r="J76" s="45" t="str">
        <f t="shared" si="4"/>
        <v>Dario – Štambuk – OK Ivan Merz</v>
      </c>
      <c r="L76" s="45" t="str">
        <f t="shared" si="5"/>
        <v>Dario – Štambuk</v>
      </c>
      <c r="N76" s="103"/>
      <c r="O76" s="104"/>
      <c r="P76" s="105"/>
    </row>
    <row r="77" spans="2:16" x14ac:dyDescent="0.25">
      <c r="B77" s="103">
        <v>1493</v>
      </c>
      <c r="C77" s="104" t="s">
        <v>2900</v>
      </c>
      <c r="D77" s="104" t="s">
        <v>2190</v>
      </c>
      <c r="E77" s="104" t="s">
        <v>478</v>
      </c>
      <c r="F77" s="105" t="s">
        <v>2765</v>
      </c>
      <c r="H77" s="45" t="str">
        <f t="shared" si="3"/>
        <v>Lucija Marijela – Štambuk – OK Ivan Merz – Ž16</v>
      </c>
      <c r="J77" s="45" t="str">
        <f t="shared" si="4"/>
        <v>Lucija Marijela – Štambuk – OK Ivan Merz</v>
      </c>
      <c r="L77" s="45" t="str">
        <f t="shared" si="5"/>
        <v>Lucija Marijela – Štambuk</v>
      </c>
      <c r="N77" s="103"/>
      <c r="O77" s="104"/>
      <c r="P77" s="105"/>
    </row>
    <row r="78" spans="2:16" x14ac:dyDescent="0.25">
      <c r="B78" s="103">
        <v>1117</v>
      </c>
      <c r="C78" s="104" t="s">
        <v>3559</v>
      </c>
      <c r="D78" s="104" t="s">
        <v>2190</v>
      </c>
      <c r="E78" s="104" t="s">
        <v>478</v>
      </c>
      <c r="F78" s="105" t="s">
        <v>3093</v>
      </c>
      <c r="H78" s="45" t="str">
        <f t="shared" si="3"/>
        <v>Marija – Štambuk – OK Ivan Merz – Ž21B</v>
      </c>
      <c r="J78" s="45" t="str">
        <f t="shared" si="4"/>
        <v>Marija – Štambuk – OK Ivan Merz</v>
      </c>
      <c r="L78" s="45" t="str">
        <f t="shared" si="5"/>
        <v>Marija – Štambuk</v>
      </c>
      <c r="N78" s="103"/>
      <c r="O78" s="104"/>
      <c r="P78" s="105"/>
    </row>
    <row r="79" spans="2:16" x14ac:dyDescent="0.25">
      <c r="B79" s="103">
        <v>1580</v>
      </c>
      <c r="C79" s="104" t="s">
        <v>3742</v>
      </c>
      <c r="D79" s="104" t="s">
        <v>2190</v>
      </c>
      <c r="E79" s="104" t="s">
        <v>478</v>
      </c>
      <c r="F79" s="105" t="s">
        <v>885</v>
      </c>
      <c r="H79" s="45" t="str">
        <f t="shared" si="3"/>
        <v>Matej – Štambuk – OK Ivan Merz – M21A</v>
      </c>
      <c r="J79" s="45" t="str">
        <f t="shared" si="4"/>
        <v>Matej – Štambuk – OK Ivan Merz</v>
      </c>
      <c r="L79" s="45" t="str">
        <f t="shared" si="5"/>
        <v>Matej – Štambuk</v>
      </c>
      <c r="N79" s="103"/>
      <c r="O79" s="104"/>
      <c r="P79" s="105"/>
    </row>
    <row r="80" spans="2:16" x14ac:dyDescent="0.25">
      <c r="B80" s="103">
        <v>1424</v>
      </c>
      <c r="C80" s="104" t="s">
        <v>2937</v>
      </c>
      <c r="D80" s="104" t="s">
        <v>2190</v>
      </c>
      <c r="E80" s="104" t="s">
        <v>478</v>
      </c>
      <c r="F80" s="105" t="s">
        <v>2927</v>
      </c>
      <c r="H80" s="45" t="str">
        <f t="shared" si="3"/>
        <v>Zdenka Petra – Štambuk – OK Ivan Merz – Ž20</v>
      </c>
      <c r="J80" s="45" t="str">
        <f t="shared" si="4"/>
        <v>Zdenka Petra – Štambuk – OK Ivan Merz</v>
      </c>
      <c r="L80" s="45" t="str">
        <f t="shared" si="5"/>
        <v>Zdenka Petra – Štambuk</v>
      </c>
      <c r="N80" s="103"/>
      <c r="O80" s="104"/>
      <c r="P80" s="105"/>
    </row>
    <row r="81" spans="2:16" x14ac:dyDescent="0.25">
      <c r="B81" s="103">
        <v>1043</v>
      </c>
      <c r="C81" s="104" t="s">
        <v>3785</v>
      </c>
      <c r="D81" s="104" t="s">
        <v>3786</v>
      </c>
      <c r="E81" s="104" t="s">
        <v>478</v>
      </c>
      <c r="F81" s="105" t="s">
        <v>3442</v>
      </c>
      <c r="H81" s="45" t="str">
        <f t="shared" si="3"/>
        <v>Senija – Zadravec-Kermek – OK Ivan Merz – Ž45</v>
      </c>
      <c r="J81" s="45" t="str">
        <f t="shared" si="4"/>
        <v>Senija – Zadravec-Kermek – OK Ivan Merz</v>
      </c>
      <c r="L81" s="45" t="str">
        <f t="shared" si="5"/>
        <v>Senija – Zadravec-Kermek</v>
      </c>
      <c r="N81" s="103"/>
      <c r="O81" s="104"/>
      <c r="P81" s="105"/>
    </row>
    <row r="82" spans="2:16" x14ac:dyDescent="0.25">
      <c r="B82" s="103">
        <v>1217</v>
      </c>
      <c r="C82" s="104" t="s">
        <v>3541</v>
      </c>
      <c r="D82" s="104" t="s">
        <v>3540</v>
      </c>
      <c r="E82" s="104" t="s">
        <v>3727</v>
      </c>
      <c r="F82" s="105" t="s">
        <v>3442</v>
      </c>
      <c r="H82" s="45" t="str">
        <f t="shared" si="3"/>
        <v>Gabrijela – Baburek – OK Japetić – Ž45</v>
      </c>
      <c r="J82" s="45" t="str">
        <f t="shared" si="4"/>
        <v>Gabrijela – Baburek – OK Japetić</v>
      </c>
      <c r="L82" s="45" t="str">
        <f t="shared" si="5"/>
        <v>Gabrijela – Baburek</v>
      </c>
      <c r="N82" s="103"/>
      <c r="O82" s="104"/>
      <c r="P82" s="105"/>
    </row>
    <row r="83" spans="2:16" x14ac:dyDescent="0.25">
      <c r="B83" s="103">
        <v>1850</v>
      </c>
      <c r="C83" s="104" t="s">
        <v>3787</v>
      </c>
      <c r="D83" s="104" t="s">
        <v>3788</v>
      </c>
      <c r="E83" s="104" t="s">
        <v>3727</v>
      </c>
      <c r="F83" s="105" t="s">
        <v>2636</v>
      </c>
      <c r="H83" s="45" t="str">
        <f t="shared" si="3"/>
        <v>Tena – Bartaković – OK Japetić – Ž12</v>
      </c>
      <c r="J83" s="45" t="str">
        <f t="shared" si="4"/>
        <v>Tena – Bartaković – OK Japetić</v>
      </c>
      <c r="L83" s="45" t="str">
        <f t="shared" si="5"/>
        <v>Tena – Bartaković</v>
      </c>
      <c r="N83" s="103"/>
      <c r="O83" s="104"/>
      <c r="P83" s="105"/>
    </row>
    <row r="84" spans="2:16" x14ac:dyDescent="0.25">
      <c r="B84" s="103">
        <v>1856</v>
      </c>
      <c r="C84" s="104" t="s">
        <v>352</v>
      </c>
      <c r="D84" s="104" t="s">
        <v>458</v>
      </c>
      <c r="E84" s="104" t="s">
        <v>3727</v>
      </c>
      <c r="F84" s="105" t="s">
        <v>363</v>
      </c>
      <c r="H84" s="45" t="str">
        <f t="shared" si="3"/>
        <v>Lovro – Berečki – OK Japetić – M12</v>
      </c>
      <c r="J84" s="45" t="str">
        <f t="shared" si="4"/>
        <v>Lovro – Berečki – OK Japetić</v>
      </c>
      <c r="L84" s="45" t="str">
        <f t="shared" si="5"/>
        <v>Lovro – Berečki</v>
      </c>
      <c r="N84" s="103"/>
      <c r="O84" s="104"/>
      <c r="P84" s="105"/>
    </row>
    <row r="85" spans="2:16" x14ac:dyDescent="0.25">
      <c r="B85" s="103">
        <v>1841</v>
      </c>
      <c r="C85" s="104" t="s">
        <v>3789</v>
      </c>
      <c r="D85" s="104" t="s">
        <v>3790</v>
      </c>
      <c r="E85" s="104" t="s">
        <v>3727</v>
      </c>
      <c r="F85" s="105" t="s">
        <v>2636</v>
      </c>
      <c r="H85" s="45" t="str">
        <f t="shared" si="3"/>
        <v>Lea – Bošnjak – OK Japetić – Ž12</v>
      </c>
      <c r="J85" s="45" t="str">
        <f t="shared" si="4"/>
        <v>Lea – Bošnjak – OK Japetić</v>
      </c>
      <c r="L85" s="45" t="str">
        <f t="shared" si="5"/>
        <v>Lea – Bošnjak</v>
      </c>
      <c r="N85" s="103"/>
      <c r="O85" s="104"/>
      <c r="P85" s="105"/>
    </row>
    <row r="86" spans="2:16" x14ac:dyDescent="0.25">
      <c r="B86" s="103">
        <v>1305</v>
      </c>
      <c r="C86" s="104" t="s">
        <v>2436</v>
      </c>
      <c r="D86" s="104" t="s">
        <v>1644</v>
      </c>
      <c r="E86" s="104" t="s">
        <v>3727</v>
      </c>
      <c r="F86" s="105" t="s">
        <v>2636</v>
      </c>
      <c r="H86" s="45" t="str">
        <f t="shared" si="3"/>
        <v>Ana – Budi – OK Japetić – Ž12</v>
      </c>
      <c r="J86" s="45" t="str">
        <f t="shared" si="4"/>
        <v>Ana – Budi – OK Japetić</v>
      </c>
      <c r="L86" s="45" t="str">
        <f t="shared" si="5"/>
        <v>Ana – Budi</v>
      </c>
      <c r="N86" s="103"/>
      <c r="O86" s="104"/>
      <c r="P86" s="105"/>
    </row>
    <row r="87" spans="2:16" x14ac:dyDescent="0.25">
      <c r="B87" s="103">
        <v>1385</v>
      </c>
      <c r="C87" s="104" t="s">
        <v>1453</v>
      </c>
      <c r="D87" s="104" t="s">
        <v>1644</v>
      </c>
      <c r="E87" s="104" t="s">
        <v>3727</v>
      </c>
      <c r="F87" s="105" t="s">
        <v>1574</v>
      </c>
      <c r="H87" s="45" t="str">
        <f t="shared" si="3"/>
        <v>Franjo – Budi – OK Japetić – M35</v>
      </c>
      <c r="J87" s="45" t="str">
        <f t="shared" si="4"/>
        <v>Franjo – Budi – OK Japetić</v>
      </c>
      <c r="L87" s="45" t="str">
        <f t="shared" si="5"/>
        <v>Franjo – Budi</v>
      </c>
      <c r="N87" s="103"/>
      <c r="O87" s="104"/>
      <c r="P87" s="105"/>
    </row>
    <row r="88" spans="2:16" x14ac:dyDescent="0.25">
      <c r="B88" s="103">
        <v>1481</v>
      </c>
      <c r="C88" s="104" t="s">
        <v>3791</v>
      </c>
      <c r="D88" s="104" t="s">
        <v>3792</v>
      </c>
      <c r="E88" s="104" t="s">
        <v>3727</v>
      </c>
      <c r="F88" s="105"/>
      <c r="H88" s="45" t="str">
        <f t="shared" si="3"/>
        <v>Ivano – Črep – OK Japetić</v>
      </c>
      <c r="J88" s="45" t="str">
        <f t="shared" si="4"/>
        <v>Ivano – Črep – OK Japetić</v>
      </c>
      <c r="L88" s="45" t="str">
        <f t="shared" si="5"/>
        <v>Ivano – Črep</v>
      </c>
      <c r="N88" s="103"/>
      <c r="O88" s="104"/>
      <c r="P88" s="105"/>
    </row>
    <row r="89" spans="2:16" x14ac:dyDescent="0.25">
      <c r="B89" s="103">
        <v>1247</v>
      </c>
      <c r="C89" s="104" t="s">
        <v>471</v>
      </c>
      <c r="D89" s="104" t="s">
        <v>3793</v>
      </c>
      <c r="E89" s="104" t="s">
        <v>3727</v>
      </c>
      <c r="F89" s="105" t="s">
        <v>885</v>
      </c>
      <c r="H89" s="45" t="str">
        <f t="shared" si="3"/>
        <v>Filip – Cvetković – OK Japetić – M21A</v>
      </c>
      <c r="J89" s="45" t="str">
        <f t="shared" si="4"/>
        <v>Filip – Cvetković – OK Japetić</v>
      </c>
      <c r="L89" s="45" t="str">
        <f t="shared" si="5"/>
        <v>Filip – Cvetković</v>
      </c>
      <c r="N89" s="103"/>
      <c r="O89" s="104"/>
      <c r="P89" s="105"/>
    </row>
    <row r="90" spans="2:16" x14ac:dyDescent="0.25">
      <c r="B90" s="103">
        <v>1778</v>
      </c>
      <c r="C90" s="104" t="s">
        <v>1943</v>
      </c>
      <c r="D90" s="104" t="s">
        <v>3793</v>
      </c>
      <c r="E90" s="104" t="s">
        <v>3727</v>
      </c>
      <c r="F90" s="105"/>
      <c r="H90" s="45" t="str">
        <f t="shared" si="3"/>
        <v>Robert – Cvetković – OK Japetić</v>
      </c>
      <c r="J90" s="45" t="str">
        <f t="shared" si="4"/>
        <v>Robert – Cvetković – OK Japetić</v>
      </c>
      <c r="L90" s="45" t="str">
        <f t="shared" si="5"/>
        <v>Robert – Cvetković</v>
      </c>
      <c r="N90" s="103"/>
      <c r="O90" s="104"/>
      <c r="P90" s="105"/>
    </row>
    <row r="91" spans="2:16" x14ac:dyDescent="0.25">
      <c r="B91" s="103">
        <v>1864</v>
      </c>
      <c r="C91" s="104" t="s">
        <v>2836</v>
      </c>
      <c r="D91" s="104" t="s">
        <v>2835</v>
      </c>
      <c r="E91" s="104" t="s">
        <v>3727</v>
      </c>
      <c r="F91" s="105" t="s">
        <v>2765</v>
      </c>
      <c r="H91" s="45" t="str">
        <f t="shared" si="3"/>
        <v>Jana – Cvjetko – OK Japetić – Ž16</v>
      </c>
      <c r="J91" s="45" t="str">
        <f t="shared" si="4"/>
        <v>Jana – Cvjetko – OK Japetić</v>
      </c>
      <c r="L91" s="45" t="str">
        <f t="shared" si="5"/>
        <v>Jana – Cvjetko</v>
      </c>
      <c r="N91" s="103"/>
      <c r="O91" s="104"/>
      <c r="P91" s="105"/>
    </row>
    <row r="92" spans="2:16" x14ac:dyDescent="0.25">
      <c r="B92" s="103">
        <v>1862</v>
      </c>
      <c r="C92" s="104" t="s">
        <v>3794</v>
      </c>
      <c r="D92" s="104" t="s">
        <v>2835</v>
      </c>
      <c r="E92" s="104" t="s">
        <v>3727</v>
      </c>
      <c r="F92" s="105" t="s">
        <v>2927</v>
      </c>
      <c r="H92" s="45" t="str">
        <f t="shared" si="3"/>
        <v>Lara – Cvjetko – OK Japetić – Ž20</v>
      </c>
      <c r="J92" s="45" t="str">
        <f t="shared" si="4"/>
        <v>Lara – Cvjetko – OK Japetić</v>
      </c>
      <c r="L92" s="45" t="str">
        <f t="shared" si="5"/>
        <v>Lara – Cvjetko</v>
      </c>
      <c r="N92" s="103"/>
      <c r="O92" s="104"/>
      <c r="P92" s="105"/>
    </row>
    <row r="93" spans="2:16" x14ac:dyDescent="0.25">
      <c r="B93" s="103">
        <v>1863</v>
      </c>
      <c r="C93" s="104" t="s">
        <v>2892</v>
      </c>
      <c r="D93" s="104" t="s">
        <v>2835</v>
      </c>
      <c r="E93" s="104" t="s">
        <v>3727</v>
      </c>
      <c r="F93" s="105" t="s">
        <v>2927</v>
      </c>
      <c r="H93" s="45" t="str">
        <f t="shared" si="3"/>
        <v>Nina – Cvjetko – OK Japetić – Ž20</v>
      </c>
      <c r="J93" s="45" t="str">
        <f t="shared" si="4"/>
        <v>Nina – Cvjetko – OK Japetić</v>
      </c>
      <c r="L93" s="45" t="str">
        <f t="shared" si="5"/>
        <v>Nina – Cvjetko</v>
      </c>
      <c r="N93" s="103"/>
      <c r="O93" s="104"/>
      <c r="P93" s="105"/>
    </row>
    <row r="94" spans="2:16" x14ac:dyDescent="0.25">
      <c r="B94" s="103">
        <v>1231</v>
      </c>
      <c r="C94" s="104" t="s">
        <v>3636</v>
      </c>
      <c r="D94" s="104" t="s">
        <v>3635</v>
      </c>
      <c r="E94" s="104" t="s">
        <v>3727</v>
      </c>
      <c r="F94" s="105" t="s">
        <v>3618</v>
      </c>
      <c r="H94" s="45" t="str">
        <f t="shared" si="3"/>
        <v>Branka – Fabek – OK Japetić – Ž55</v>
      </c>
      <c r="J94" s="45" t="str">
        <f t="shared" si="4"/>
        <v>Branka – Fabek – OK Japetić</v>
      </c>
      <c r="L94" s="45" t="str">
        <f t="shared" si="5"/>
        <v>Branka – Fabek</v>
      </c>
      <c r="N94" s="103"/>
      <c r="O94" s="104"/>
      <c r="P94" s="105"/>
    </row>
    <row r="95" spans="2:16" x14ac:dyDescent="0.25">
      <c r="B95" s="103">
        <v>1843</v>
      </c>
      <c r="C95" s="104" t="s">
        <v>3795</v>
      </c>
      <c r="D95" s="104" t="s">
        <v>3796</v>
      </c>
      <c r="E95" s="104" t="s">
        <v>3727</v>
      </c>
      <c r="F95" s="105" t="s">
        <v>2636</v>
      </c>
      <c r="H95" s="45" t="str">
        <f t="shared" si="3"/>
        <v>Anja – Fatzek – OK Japetić – Ž12</v>
      </c>
      <c r="J95" s="45" t="str">
        <f t="shared" si="4"/>
        <v>Anja – Fatzek – OK Japetić</v>
      </c>
      <c r="L95" s="45" t="str">
        <f t="shared" si="5"/>
        <v>Anja – Fatzek</v>
      </c>
      <c r="N95" s="103"/>
      <c r="O95" s="104"/>
      <c r="P95" s="105"/>
    </row>
    <row r="96" spans="2:16" x14ac:dyDescent="0.25">
      <c r="B96" s="103">
        <v>1842</v>
      </c>
      <c r="C96" s="104" t="s">
        <v>3797</v>
      </c>
      <c r="D96" s="104" t="s">
        <v>3796</v>
      </c>
      <c r="E96" s="104" t="s">
        <v>3727</v>
      </c>
      <c r="F96" s="105" t="s">
        <v>2636</v>
      </c>
      <c r="H96" s="45" t="str">
        <f t="shared" si="3"/>
        <v>Katja – Fatzek – OK Japetić – Ž12</v>
      </c>
      <c r="J96" s="45" t="str">
        <f t="shared" si="4"/>
        <v>Katja – Fatzek – OK Japetić</v>
      </c>
      <c r="L96" s="45" t="str">
        <f t="shared" si="5"/>
        <v>Katja – Fatzek</v>
      </c>
      <c r="N96" s="103"/>
      <c r="O96" s="104"/>
      <c r="P96" s="105"/>
    </row>
    <row r="97" spans="2:16" x14ac:dyDescent="0.25">
      <c r="B97" s="103">
        <v>1159</v>
      </c>
      <c r="C97" s="104" t="s">
        <v>3798</v>
      </c>
      <c r="D97" s="104" t="s">
        <v>3799</v>
      </c>
      <c r="E97" s="104" t="s">
        <v>3727</v>
      </c>
      <c r="F97" s="105" t="s">
        <v>651</v>
      </c>
      <c r="H97" s="45" t="str">
        <f t="shared" si="3"/>
        <v>Grga – Fernežir – OK Japetić – M16</v>
      </c>
      <c r="J97" s="45" t="str">
        <f t="shared" si="4"/>
        <v>Grga – Fernežir – OK Japetić</v>
      </c>
      <c r="L97" s="45" t="str">
        <f t="shared" si="5"/>
        <v>Grga – Fernežir</v>
      </c>
      <c r="N97" s="103"/>
      <c r="O97" s="104"/>
      <c r="P97" s="105"/>
    </row>
    <row r="98" spans="2:16" x14ac:dyDescent="0.25">
      <c r="B98" s="103">
        <v>1323</v>
      </c>
      <c r="C98" s="104" t="s">
        <v>3800</v>
      </c>
      <c r="D98" s="104" t="s">
        <v>3799</v>
      </c>
      <c r="E98" s="104" t="s">
        <v>3727</v>
      </c>
      <c r="F98" s="105" t="s">
        <v>1908</v>
      </c>
      <c r="H98" s="45" t="str">
        <f t="shared" si="3"/>
        <v>Zvonimir – Fernežir – OK Japetić – M45</v>
      </c>
      <c r="J98" s="45" t="str">
        <f t="shared" si="4"/>
        <v>Zvonimir – Fernežir – OK Japetić</v>
      </c>
      <c r="L98" s="45" t="str">
        <f t="shared" si="5"/>
        <v>Zvonimir – Fernežir</v>
      </c>
      <c r="N98" s="103"/>
      <c r="O98" s="104"/>
      <c r="P98" s="105"/>
    </row>
    <row r="99" spans="2:16" x14ac:dyDescent="0.25">
      <c r="B99" s="103">
        <v>1470</v>
      </c>
      <c r="C99" s="104" t="s">
        <v>3588</v>
      </c>
      <c r="D99" s="104" t="s">
        <v>3587</v>
      </c>
      <c r="E99" s="104" t="s">
        <v>3727</v>
      </c>
      <c r="F99" s="105" t="s">
        <v>3442</v>
      </c>
      <c r="H99" s="45" t="str">
        <f t="shared" si="3"/>
        <v>Zvjezdana – Govedarica – OK Japetić – Ž45</v>
      </c>
      <c r="J99" s="45" t="str">
        <f t="shared" si="4"/>
        <v>Zvjezdana – Govedarica – OK Japetić</v>
      </c>
      <c r="L99" s="45" t="str">
        <f t="shared" si="5"/>
        <v>Zvjezdana – Govedarica</v>
      </c>
      <c r="N99" s="103"/>
      <c r="O99" s="104"/>
      <c r="P99" s="105"/>
    </row>
    <row r="100" spans="2:16" x14ac:dyDescent="0.25">
      <c r="B100" s="103">
        <v>1668</v>
      </c>
      <c r="C100" s="104" t="s">
        <v>3800</v>
      </c>
      <c r="D100" s="104" t="s">
        <v>3801</v>
      </c>
      <c r="E100" s="104" t="s">
        <v>3727</v>
      </c>
      <c r="F100" s="105"/>
      <c r="H100" s="45" t="str">
        <f t="shared" si="3"/>
        <v>Zvonimir – Guliš – OK Japetić</v>
      </c>
      <c r="J100" s="45" t="str">
        <f t="shared" si="4"/>
        <v>Zvonimir – Guliš – OK Japetić</v>
      </c>
      <c r="L100" s="45" t="str">
        <f t="shared" si="5"/>
        <v>Zvonimir – Guliš</v>
      </c>
      <c r="N100" s="103"/>
      <c r="O100" s="104"/>
      <c r="P100" s="105"/>
    </row>
    <row r="101" spans="2:16" x14ac:dyDescent="0.25">
      <c r="B101" s="103">
        <v>1584</v>
      </c>
      <c r="C101" s="104" t="s">
        <v>3802</v>
      </c>
      <c r="D101" s="104" t="s">
        <v>3803</v>
      </c>
      <c r="E101" s="104" t="s">
        <v>3727</v>
      </c>
      <c r="F101" s="105"/>
      <c r="H101" s="45" t="str">
        <f t="shared" si="3"/>
        <v>Vid – Hovorka – OK Japetić</v>
      </c>
      <c r="J101" s="45" t="str">
        <f t="shared" si="4"/>
        <v>Vid – Hovorka – OK Japetić</v>
      </c>
      <c r="L101" s="45" t="str">
        <f t="shared" si="5"/>
        <v>Vid – Hovorka</v>
      </c>
      <c r="N101" s="103"/>
      <c r="O101" s="104"/>
      <c r="P101" s="105"/>
    </row>
    <row r="102" spans="2:16" x14ac:dyDescent="0.25">
      <c r="B102" s="103">
        <v>1953</v>
      </c>
      <c r="C102" s="104" t="s">
        <v>2436</v>
      </c>
      <c r="D102" s="104" t="s">
        <v>3804</v>
      </c>
      <c r="E102" s="104" t="s">
        <v>3727</v>
      </c>
      <c r="F102" s="105"/>
      <c r="H102" s="45" t="str">
        <f t="shared" si="3"/>
        <v>Ana – Jagodić – OK Japetić</v>
      </c>
      <c r="J102" s="45" t="str">
        <f t="shared" si="4"/>
        <v>Ana – Jagodić – OK Japetić</v>
      </c>
      <c r="L102" s="45" t="str">
        <f t="shared" si="5"/>
        <v>Ana – Jagodić</v>
      </c>
      <c r="N102" s="103"/>
      <c r="O102" s="104"/>
      <c r="P102" s="105"/>
    </row>
    <row r="103" spans="2:16" x14ac:dyDescent="0.25">
      <c r="B103" s="103">
        <v>1198</v>
      </c>
      <c r="C103" s="104" t="s">
        <v>2484</v>
      </c>
      <c r="D103" s="104" t="s">
        <v>3805</v>
      </c>
      <c r="E103" s="104" t="s">
        <v>3727</v>
      </c>
      <c r="F103" s="105"/>
      <c r="H103" s="45" t="str">
        <f t="shared" si="3"/>
        <v>Iva – Jakopec – OK Japetić</v>
      </c>
      <c r="J103" s="45" t="str">
        <f t="shared" si="4"/>
        <v>Iva – Jakopec – OK Japetić</v>
      </c>
      <c r="L103" s="45" t="str">
        <f t="shared" si="5"/>
        <v>Iva – Jakopec</v>
      </c>
      <c r="N103" s="103"/>
      <c r="O103" s="104"/>
      <c r="P103" s="105"/>
    </row>
    <row r="104" spans="2:16" x14ac:dyDescent="0.25">
      <c r="B104" s="103">
        <v>1292</v>
      </c>
      <c r="C104" s="104" t="s">
        <v>3806</v>
      </c>
      <c r="D104" s="104" t="s">
        <v>3807</v>
      </c>
      <c r="E104" s="104" t="s">
        <v>3727</v>
      </c>
      <c r="F104" s="105" t="s">
        <v>3000</v>
      </c>
      <c r="H104" s="45" t="str">
        <f t="shared" si="3"/>
        <v>Nola – Jandrečić – OK Japetić – Ž21A</v>
      </c>
      <c r="J104" s="45" t="str">
        <f t="shared" si="4"/>
        <v>Nola – Jandrečić – OK Japetić</v>
      </c>
      <c r="L104" s="45" t="str">
        <f t="shared" si="5"/>
        <v>Nola – Jandrečić</v>
      </c>
      <c r="N104" s="103"/>
      <c r="O104" s="104"/>
      <c r="P104" s="105"/>
    </row>
    <row r="105" spans="2:16" x14ac:dyDescent="0.25">
      <c r="B105" s="103">
        <v>1576</v>
      </c>
      <c r="C105" s="104" t="s">
        <v>1482</v>
      </c>
      <c r="D105" s="104" t="s">
        <v>732</v>
      </c>
      <c r="E105" s="104" t="s">
        <v>3727</v>
      </c>
      <c r="F105" s="105" t="s">
        <v>1908</v>
      </c>
      <c r="H105" s="45" t="str">
        <f t="shared" si="3"/>
        <v>Hrvoje – Jelinić – OK Japetić – M45</v>
      </c>
      <c r="J105" s="45" t="str">
        <f t="shared" si="4"/>
        <v>Hrvoje – Jelinić – OK Japetić</v>
      </c>
      <c r="L105" s="45" t="str">
        <f t="shared" si="5"/>
        <v>Hrvoje – Jelinić</v>
      </c>
      <c r="N105" s="103"/>
      <c r="O105" s="104"/>
      <c r="P105" s="105"/>
    </row>
    <row r="106" spans="2:16" x14ac:dyDescent="0.25">
      <c r="B106" s="103">
        <v>1665</v>
      </c>
      <c r="C106" s="104" t="s">
        <v>733</v>
      </c>
      <c r="D106" s="104" t="s">
        <v>732</v>
      </c>
      <c r="E106" s="104" t="s">
        <v>3727</v>
      </c>
      <c r="F106" s="105" t="s">
        <v>651</v>
      </c>
      <c r="H106" s="45" t="str">
        <f t="shared" si="3"/>
        <v>Mark – Jelinić – OK Japetić – M16</v>
      </c>
      <c r="J106" s="45" t="str">
        <f t="shared" si="4"/>
        <v>Mark – Jelinić – OK Japetić</v>
      </c>
      <c r="L106" s="45" t="str">
        <f t="shared" si="5"/>
        <v>Mark – Jelinić</v>
      </c>
      <c r="N106" s="103"/>
      <c r="O106" s="104"/>
      <c r="P106" s="105"/>
    </row>
    <row r="107" spans="2:16" x14ac:dyDescent="0.25">
      <c r="B107" s="103">
        <v>1666</v>
      </c>
      <c r="C107" s="104" t="s">
        <v>3808</v>
      </c>
      <c r="D107" s="104" t="s">
        <v>732</v>
      </c>
      <c r="E107" s="104" t="s">
        <v>3727</v>
      </c>
      <c r="F107" s="105"/>
      <c r="H107" s="45" t="str">
        <f t="shared" si="3"/>
        <v>Una – Jelinić – OK Japetić</v>
      </c>
      <c r="J107" s="45" t="str">
        <f t="shared" si="4"/>
        <v>Una – Jelinić – OK Japetić</v>
      </c>
      <c r="L107" s="45" t="str">
        <f t="shared" si="5"/>
        <v>Una – Jelinić</v>
      </c>
      <c r="N107" s="103"/>
      <c r="O107" s="104"/>
      <c r="P107" s="105"/>
    </row>
    <row r="108" spans="2:16" x14ac:dyDescent="0.25">
      <c r="B108" s="103">
        <v>1088</v>
      </c>
      <c r="C108" s="104" t="s">
        <v>3809</v>
      </c>
      <c r="D108" s="104" t="s">
        <v>3810</v>
      </c>
      <c r="E108" s="104" t="s">
        <v>3727</v>
      </c>
      <c r="F108" s="105" t="s">
        <v>363</v>
      </c>
      <c r="H108" s="45" t="str">
        <f t="shared" si="3"/>
        <v>Fran – Juriša – OK Japetić – M12</v>
      </c>
      <c r="J108" s="45" t="str">
        <f t="shared" si="4"/>
        <v>Fran – Juriša – OK Japetić</v>
      </c>
      <c r="L108" s="45" t="str">
        <f t="shared" si="5"/>
        <v>Fran – Juriša</v>
      </c>
      <c r="N108" s="103"/>
      <c r="O108" s="104"/>
      <c r="P108" s="105"/>
    </row>
    <row r="109" spans="2:16" x14ac:dyDescent="0.25">
      <c r="B109" s="103">
        <v>1233</v>
      </c>
      <c r="C109" s="104" t="s">
        <v>508</v>
      </c>
      <c r="D109" s="104" t="s">
        <v>1812</v>
      </c>
      <c r="E109" s="104" t="s">
        <v>3727</v>
      </c>
      <c r="F109" s="105" t="s">
        <v>1574</v>
      </c>
      <c r="H109" s="45" t="str">
        <f t="shared" si="3"/>
        <v>Luka – Kosić – OK Japetić – M35</v>
      </c>
      <c r="J109" s="45" t="str">
        <f t="shared" si="4"/>
        <v>Luka – Kosić – OK Japetić</v>
      </c>
      <c r="L109" s="45" t="str">
        <f t="shared" si="5"/>
        <v>Luka – Kosić</v>
      </c>
      <c r="N109" s="103"/>
      <c r="O109" s="104"/>
      <c r="P109" s="105"/>
    </row>
    <row r="110" spans="2:16" x14ac:dyDescent="0.25">
      <c r="B110" s="103">
        <v>1451</v>
      </c>
      <c r="C110" s="104" t="s">
        <v>714</v>
      </c>
      <c r="D110" s="104" t="s">
        <v>713</v>
      </c>
      <c r="E110" s="104" t="s">
        <v>3727</v>
      </c>
      <c r="F110" s="105" t="s">
        <v>651</v>
      </c>
      <c r="H110" s="45" t="str">
        <f t="shared" si="3"/>
        <v>Borna – Kuzmanić – OK Japetić – M16</v>
      </c>
      <c r="J110" s="45" t="str">
        <f t="shared" si="4"/>
        <v>Borna – Kuzmanić – OK Japetić</v>
      </c>
      <c r="L110" s="45" t="str">
        <f t="shared" si="5"/>
        <v>Borna – Kuzmanić</v>
      </c>
      <c r="N110" s="103"/>
      <c r="O110" s="104"/>
      <c r="P110" s="105"/>
    </row>
    <row r="111" spans="2:16" x14ac:dyDescent="0.25">
      <c r="B111" s="103">
        <v>1478</v>
      </c>
      <c r="C111" s="104" t="s">
        <v>2447</v>
      </c>
      <c r="D111" s="104" t="s">
        <v>713</v>
      </c>
      <c r="E111" s="104" t="s">
        <v>3727</v>
      </c>
      <c r="F111" s="105" t="s">
        <v>3442</v>
      </c>
      <c r="H111" s="45" t="str">
        <f t="shared" si="3"/>
        <v>Ivana – Kuzmanić – OK Japetić – Ž45</v>
      </c>
      <c r="J111" s="45" t="str">
        <f t="shared" si="4"/>
        <v>Ivana – Kuzmanić – OK Japetić</v>
      </c>
      <c r="L111" s="45" t="str">
        <f t="shared" si="5"/>
        <v>Ivana – Kuzmanić</v>
      </c>
      <c r="N111" s="103"/>
      <c r="O111" s="104"/>
      <c r="P111" s="105"/>
    </row>
    <row r="112" spans="2:16" x14ac:dyDescent="0.25">
      <c r="B112" s="103">
        <v>1370</v>
      </c>
      <c r="C112" s="104" t="s">
        <v>1571</v>
      </c>
      <c r="D112" s="104" t="s">
        <v>1570</v>
      </c>
      <c r="E112" s="104" t="s">
        <v>3727</v>
      </c>
      <c r="F112" s="105" t="s">
        <v>1574</v>
      </c>
      <c r="H112" s="45" t="str">
        <f t="shared" si="3"/>
        <v>Lino – Legac – OK Japetić – M35</v>
      </c>
      <c r="J112" s="45" t="str">
        <f t="shared" si="4"/>
        <v>Lino – Legac – OK Japetić</v>
      </c>
      <c r="L112" s="45" t="str">
        <f t="shared" si="5"/>
        <v>Lino – Legac</v>
      </c>
      <c r="N112" s="103"/>
      <c r="O112" s="104"/>
      <c r="P112" s="105"/>
    </row>
    <row r="113" spans="2:16" x14ac:dyDescent="0.25">
      <c r="B113" s="103">
        <v>1643</v>
      </c>
      <c r="C113" s="104" t="s">
        <v>1005</v>
      </c>
      <c r="D113" s="104" t="s">
        <v>3811</v>
      </c>
      <c r="E113" s="104" t="s">
        <v>3727</v>
      </c>
      <c r="F113" s="105"/>
      <c r="H113" s="45" t="str">
        <f t="shared" si="3"/>
        <v>Josip – Leovac – OK Japetić</v>
      </c>
      <c r="J113" s="45" t="str">
        <f t="shared" si="4"/>
        <v>Josip – Leovac – OK Japetić</v>
      </c>
      <c r="L113" s="45" t="str">
        <f t="shared" si="5"/>
        <v>Josip – Leovac</v>
      </c>
      <c r="N113" s="103"/>
      <c r="O113" s="104"/>
      <c r="P113" s="105"/>
    </row>
    <row r="114" spans="2:16" x14ac:dyDescent="0.25">
      <c r="B114" s="103">
        <v>1434</v>
      </c>
      <c r="C114" s="104" t="s">
        <v>475</v>
      </c>
      <c r="D114" s="104" t="s">
        <v>588</v>
      </c>
      <c r="E114" s="104" t="s">
        <v>3727</v>
      </c>
      <c r="F114" s="105" t="s">
        <v>651</v>
      </c>
      <c r="H114" s="45" t="str">
        <f t="shared" si="3"/>
        <v>Jakov – Lesjak – OK Japetić – M16</v>
      </c>
      <c r="J114" s="45" t="str">
        <f t="shared" si="4"/>
        <v>Jakov – Lesjak – OK Japetić</v>
      </c>
      <c r="L114" s="45" t="str">
        <f t="shared" si="5"/>
        <v>Jakov – Lesjak</v>
      </c>
      <c r="N114" s="103"/>
      <c r="O114" s="104"/>
      <c r="P114" s="105"/>
    </row>
    <row r="115" spans="2:16" x14ac:dyDescent="0.25">
      <c r="B115" s="103">
        <v>1469</v>
      </c>
      <c r="C115" s="104" t="s">
        <v>2911</v>
      </c>
      <c r="D115" s="104" t="s">
        <v>588</v>
      </c>
      <c r="E115" s="104" t="s">
        <v>3727</v>
      </c>
      <c r="F115" s="105" t="s">
        <v>2927</v>
      </c>
      <c r="H115" s="45" t="str">
        <f t="shared" si="3"/>
        <v>Jelena – Lesjak – OK Japetić – Ž20</v>
      </c>
      <c r="J115" s="45" t="str">
        <f t="shared" si="4"/>
        <v>Jelena – Lesjak – OK Japetić</v>
      </c>
      <c r="L115" s="45" t="str">
        <f t="shared" si="5"/>
        <v>Jelena – Lesjak</v>
      </c>
      <c r="N115" s="103"/>
      <c r="O115" s="104"/>
      <c r="P115" s="105"/>
    </row>
    <row r="116" spans="2:16" x14ac:dyDescent="0.25">
      <c r="B116" s="103">
        <v>1553</v>
      </c>
      <c r="C116" s="104" t="s">
        <v>589</v>
      </c>
      <c r="D116" s="104" t="s">
        <v>588</v>
      </c>
      <c r="E116" s="104" t="s">
        <v>3727</v>
      </c>
      <c r="F116" s="105" t="s">
        <v>486</v>
      </c>
      <c r="H116" s="45" t="str">
        <f t="shared" si="3"/>
        <v>Karlo – Lesjak – OK Japetić – M14</v>
      </c>
      <c r="J116" s="45" t="str">
        <f t="shared" si="4"/>
        <v>Karlo – Lesjak – OK Japetić</v>
      </c>
      <c r="L116" s="45" t="str">
        <f t="shared" si="5"/>
        <v>Karlo – Lesjak</v>
      </c>
      <c r="N116" s="103"/>
      <c r="O116" s="104"/>
      <c r="P116" s="105"/>
    </row>
    <row r="117" spans="2:16" x14ac:dyDescent="0.25">
      <c r="B117" s="103">
        <v>1543</v>
      </c>
      <c r="C117" s="104" t="s">
        <v>3273</v>
      </c>
      <c r="D117" s="104" t="s">
        <v>588</v>
      </c>
      <c r="E117" s="104" t="s">
        <v>3727</v>
      </c>
      <c r="F117" s="105" t="s">
        <v>3264</v>
      </c>
      <c r="H117" s="45" t="str">
        <f t="shared" si="3"/>
        <v>Sonja – Lesjak – OK Japetić – Ž35</v>
      </c>
      <c r="J117" s="45" t="str">
        <f t="shared" si="4"/>
        <v>Sonja – Lesjak – OK Japetić</v>
      </c>
      <c r="L117" s="45" t="str">
        <f t="shared" si="5"/>
        <v>Sonja – Lesjak</v>
      </c>
      <c r="N117" s="103"/>
      <c r="O117" s="104"/>
      <c r="P117" s="105"/>
    </row>
    <row r="118" spans="2:16" x14ac:dyDescent="0.25">
      <c r="B118" s="103">
        <v>1667</v>
      </c>
      <c r="C118" s="104" t="s">
        <v>2713</v>
      </c>
      <c r="D118" s="104" t="s">
        <v>3812</v>
      </c>
      <c r="E118" s="104" t="s">
        <v>3727</v>
      </c>
      <c r="F118" s="105"/>
      <c r="H118" s="45" t="str">
        <f t="shared" si="3"/>
        <v>Eva – Magdić Govedarica – OK Japetić</v>
      </c>
      <c r="J118" s="45" t="str">
        <f t="shared" si="4"/>
        <v>Eva – Magdić Govedarica – OK Japetić</v>
      </c>
      <c r="L118" s="45" t="str">
        <f t="shared" si="5"/>
        <v>Eva – Magdić Govedarica</v>
      </c>
      <c r="N118" s="103"/>
      <c r="O118" s="109"/>
      <c r="P118" s="105"/>
    </row>
    <row r="119" spans="2:16" x14ac:dyDescent="0.25">
      <c r="B119" s="103">
        <v>1095</v>
      </c>
      <c r="C119" s="104" t="s">
        <v>420</v>
      </c>
      <c r="D119" s="104" t="s">
        <v>481</v>
      </c>
      <c r="E119" s="104" t="s">
        <v>3727</v>
      </c>
      <c r="F119" s="105" t="s">
        <v>486</v>
      </c>
      <c r="H119" s="45" t="str">
        <f t="shared" si="3"/>
        <v>Teo – Mahović – OK Japetić – M14</v>
      </c>
      <c r="J119" s="45" t="str">
        <f t="shared" si="4"/>
        <v>Teo – Mahović – OK Japetić</v>
      </c>
      <c r="L119" s="45" t="str">
        <f t="shared" si="5"/>
        <v>Teo – Mahović</v>
      </c>
      <c r="N119" s="103"/>
      <c r="O119" s="104"/>
      <c r="P119" s="105"/>
    </row>
    <row r="120" spans="2:16" x14ac:dyDescent="0.25">
      <c r="B120" s="103">
        <v>1200</v>
      </c>
      <c r="C120" s="104" t="s">
        <v>2622</v>
      </c>
      <c r="D120" s="104" t="s">
        <v>3813</v>
      </c>
      <c r="E120" s="104" t="s">
        <v>3727</v>
      </c>
      <c r="F120" s="105" t="s">
        <v>3442</v>
      </c>
      <c r="H120" s="45" t="str">
        <f t="shared" si="3"/>
        <v>Mirjana – Mandić – OK Japetić – Ž45</v>
      </c>
      <c r="J120" s="45" t="str">
        <f t="shared" si="4"/>
        <v>Mirjana – Mandić – OK Japetić</v>
      </c>
      <c r="L120" s="45" t="str">
        <f t="shared" si="5"/>
        <v>Mirjana – Mandić</v>
      </c>
      <c r="N120" s="103"/>
      <c r="O120" s="104"/>
      <c r="P120" s="105"/>
    </row>
    <row r="121" spans="2:16" x14ac:dyDescent="0.25">
      <c r="B121" s="103">
        <v>1851</v>
      </c>
      <c r="C121" s="104" t="s">
        <v>3182</v>
      </c>
      <c r="D121" s="104" t="s">
        <v>3814</v>
      </c>
      <c r="E121" s="104" t="s">
        <v>3727</v>
      </c>
      <c r="F121" s="105" t="s">
        <v>2731</v>
      </c>
      <c r="H121" s="45" t="str">
        <f t="shared" si="3"/>
        <v>Hana – Markić – OK Japetić – Ž14</v>
      </c>
      <c r="J121" s="45" t="str">
        <f t="shared" si="4"/>
        <v>Hana – Markić – OK Japetić</v>
      </c>
      <c r="L121" s="45" t="str">
        <f t="shared" si="5"/>
        <v>Hana – Markić</v>
      </c>
      <c r="N121" s="103"/>
      <c r="O121" s="104"/>
      <c r="P121" s="105"/>
    </row>
    <row r="122" spans="2:16" x14ac:dyDescent="0.25">
      <c r="B122" s="103">
        <v>1853</v>
      </c>
      <c r="C122" s="104" t="s">
        <v>2564</v>
      </c>
      <c r="D122" s="104" t="s">
        <v>3814</v>
      </c>
      <c r="E122" s="104" t="s">
        <v>3727</v>
      </c>
      <c r="F122" s="105" t="s">
        <v>2731</v>
      </c>
      <c r="H122" s="45" t="str">
        <f t="shared" si="3"/>
        <v>Lucija – Markić – OK Japetić – Ž14</v>
      </c>
      <c r="J122" s="45" t="str">
        <f t="shared" si="4"/>
        <v>Lucija – Markić – OK Japetić</v>
      </c>
      <c r="L122" s="45" t="str">
        <f t="shared" si="5"/>
        <v>Lucija – Markić</v>
      </c>
      <c r="N122" s="103"/>
      <c r="O122" s="104"/>
      <c r="P122" s="105"/>
    </row>
    <row r="123" spans="2:16" x14ac:dyDescent="0.25">
      <c r="B123" s="103">
        <v>1139</v>
      </c>
      <c r="C123" s="104" t="s">
        <v>1052</v>
      </c>
      <c r="D123" s="104" t="s">
        <v>1051</v>
      </c>
      <c r="E123" s="104" t="s">
        <v>3727</v>
      </c>
      <c r="F123" s="105" t="s">
        <v>885</v>
      </c>
      <c r="H123" s="45" t="str">
        <f t="shared" si="3"/>
        <v>Frane – Marković – OK Japetić – M21A</v>
      </c>
      <c r="J123" s="45" t="str">
        <f t="shared" si="4"/>
        <v>Frane – Marković – OK Japetić</v>
      </c>
      <c r="L123" s="45" t="str">
        <f t="shared" si="5"/>
        <v>Frane – Marković</v>
      </c>
      <c r="N123" s="103"/>
      <c r="O123" s="104"/>
      <c r="P123" s="105"/>
    </row>
    <row r="124" spans="2:16" x14ac:dyDescent="0.25">
      <c r="B124" s="103">
        <v>1780</v>
      </c>
      <c r="C124" s="104" t="s">
        <v>1179</v>
      </c>
      <c r="D124" s="104" t="s">
        <v>2303</v>
      </c>
      <c r="E124" s="104" t="s">
        <v>3727</v>
      </c>
      <c r="F124" s="105"/>
      <c r="H124" s="45" t="str">
        <f t="shared" si="3"/>
        <v>Dominik – Mihaljević – OK Japetić</v>
      </c>
      <c r="J124" s="45" t="str">
        <f t="shared" si="4"/>
        <v>Dominik – Mihaljević – OK Japetić</v>
      </c>
      <c r="L124" s="45" t="str">
        <f t="shared" si="5"/>
        <v>Dominik – Mihaljević</v>
      </c>
      <c r="N124" s="103"/>
      <c r="O124" s="104"/>
      <c r="P124" s="105"/>
    </row>
    <row r="125" spans="2:16" x14ac:dyDescent="0.25">
      <c r="B125" s="103">
        <v>1169</v>
      </c>
      <c r="C125" s="104" t="s">
        <v>685</v>
      </c>
      <c r="D125" s="104" t="s">
        <v>684</v>
      </c>
      <c r="E125" s="104" t="s">
        <v>3727</v>
      </c>
      <c r="F125" s="105" t="s">
        <v>651</v>
      </c>
      <c r="H125" s="45" t="str">
        <f t="shared" si="3"/>
        <v>Patrick – Milković – OK Japetić – M16</v>
      </c>
      <c r="J125" s="45" t="str">
        <f t="shared" si="4"/>
        <v>Patrick – Milković – OK Japetić</v>
      </c>
      <c r="L125" s="45" t="str">
        <f t="shared" si="5"/>
        <v>Patrick – Milković</v>
      </c>
      <c r="N125" s="103"/>
      <c r="O125" s="104"/>
      <c r="P125" s="105"/>
    </row>
    <row r="126" spans="2:16" x14ac:dyDescent="0.25">
      <c r="B126" s="103">
        <v>1844</v>
      </c>
      <c r="C126" s="104" t="s">
        <v>3815</v>
      </c>
      <c r="D126" s="104" t="s">
        <v>3816</v>
      </c>
      <c r="E126" s="104" t="s">
        <v>3727</v>
      </c>
      <c r="F126" s="105" t="s">
        <v>2636</v>
      </c>
      <c r="H126" s="45" t="str">
        <f t="shared" si="3"/>
        <v>Dunja – Mogut – OK Japetić – Ž12</v>
      </c>
      <c r="J126" s="45" t="str">
        <f t="shared" si="4"/>
        <v>Dunja – Mogut – OK Japetić</v>
      </c>
      <c r="L126" s="45" t="str">
        <f t="shared" si="5"/>
        <v>Dunja – Mogut</v>
      </c>
      <c r="N126" s="103"/>
      <c r="O126" s="104"/>
      <c r="P126" s="105"/>
    </row>
    <row r="127" spans="2:16" x14ac:dyDescent="0.25">
      <c r="B127" s="103">
        <v>1845</v>
      </c>
      <c r="C127" s="104" t="s">
        <v>3817</v>
      </c>
      <c r="D127" s="104" t="s">
        <v>3816</v>
      </c>
      <c r="E127" s="104" t="s">
        <v>3727</v>
      </c>
      <c r="F127" s="105" t="s">
        <v>2636</v>
      </c>
      <c r="H127" s="45" t="str">
        <f t="shared" si="3"/>
        <v>Tonka – Mogut – OK Japetić – Ž12</v>
      </c>
      <c r="J127" s="45" t="str">
        <f t="shared" si="4"/>
        <v>Tonka – Mogut – OK Japetić</v>
      </c>
      <c r="L127" s="45" t="str">
        <f t="shared" si="5"/>
        <v>Tonka – Mogut</v>
      </c>
      <c r="N127" s="103"/>
      <c r="O127" s="104"/>
      <c r="P127" s="105"/>
    </row>
    <row r="128" spans="2:16" x14ac:dyDescent="0.25">
      <c r="B128" s="103">
        <v>1940</v>
      </c>
      <c r="C128" s="104" t="s">
        <v>3818</v>
      </c>
      <c r="D128" s="104" t="s">
        <v>3819</v>
      </c>
      <c r="E128" s="104" t="s">
        <v>3727</v>
      </c>
      <c r="F128" s="105" t="s">
        <v>2731</v>
      </c>
      <c r="H128" s="45" t="str">
        <f t="shared" si="3"/>
        <v>Mirela – Obranić – OK Japetić – Ž14</v>
      </c>
      <c r="J128" s="45" t="str">
        <f t="shared" si="4"/>
        <v>Mirela – Obranić – OK Japetić</v>
      </c>
      <c r="L128" s="45" t="str">
        <f t="shared" si="5"/>
        <v>Mirela – Obranić</v>
      </c>
      <c r="N128" s="103"/>
      <c r="O128" s="104"/>
      <c r="P128" s="105"/>
    </row>
    <row r="129" spans="2:16" x14ac:dyDescent="0.25">
      <c r="B129" s="103">
        <v>1506</v>
      </c>
      <c r="C129" s="104" t="s">
        <v>3820</v>
      </c>
      <c r="D129" s="104" t="s">
        <v>3821</v>
      </c>
      <c r="E129" s="104" t="s">
        <v>3727</v>
      </c>
      <c r="F129" s="105" t="s">
        <v>885</v>
      </c>
      <c r="H129" s="45" t="str">
        <f t="shared" si="3"/>
        <v>Edi – Ocvirk – OK Japetić – M21A</v>
      </c>
      <c r="J129" s="45" t="str">
        <f t="shared" si="4"/>
        <v>Edi – Ocvirk – OK Japetić</v>
      </c>
      <c r="L129" s="45" t="str">
        <f t="shared" si="5"/>
        <v>Edi – Ocvirk</v>
      </c>
      <c r="N129" s="103"/>
      <c r="O129" s="104"/>
      <c r="P129" s="105"/>
    </row>
    <row r="130" spans="2:16" x14ac:dyDescent="0.25">
      <c r="B130" s="103">
        <v>1084</v>
      </c>
      <c r="C130" s="104" t="s">
        <v>2713</v>
      </c>
      <c r="D130" s="104" t="s">
        <v>3821</v>
      </c>
      <c r="E130" s="104" t="s">
        <v>3727</v>
      </c>
      <c r="F130" s="105" t="s">
        <v>3000</v>
      </c>
      <c r="H130" s="45" t="str">
        <f t="shared" si="3"/>
        <v>Eva – Ocvirk – OK Japetić – Ž21A</v>
      </c>
      <c r="J130" s="45" t="str">
        <f t="shared" si="4"/>
        <v>Eva – Ocvirk – OK Japetić</v>
      </c>
      <c r="L130" s="45" t="str">
        <f t="shared" si="5"/>
        <v>Eva – Ocvirk</v>
      </c>
      <c r="N130" s="103"/>
      <c r="O130" s="104"/>
      <c r="P130" s="105"/>
    </row>
    <row r="131" spans="2:16" x14ac:dyDescent="0.25">
      <c r="B131" s="103">
        <v>1595</v>
      </c>
      <c r="C131" s="104" t="s">
        <v>3822</v>
      </c>
      <c r="D131" s="104" t="s">
        <v>3821</v>
      </c>
      <c r="E131" s="104" t="s">
        <v>3727</v>
      </c>
      <c r="F131" s="105"/>
      <c r="H131" s="45" t="str">
        <f t="shared" si="3"/>
        <v>Pia – Ocvirk – OK Japetić</v>
      </c>
      <c r="J131" s="45" t="str">
        <f t="shared" si="4"/>
        <v>Pia – Ocvirk – OK Japetić</v>
      </c>
      <c r="L131" s="45" t="str">
        <f t="shared" si="5"/>
        <v>Pia – Ocvirk</v>
      </c>
      <c r="N131" s="103"/>
      <c r="O131" s="104"/>
      <c r="P131" s="105"/>
    </row>
    <row r="132" spans="2:16" x14ac:dyDescent="0.25">
      <c r="B132" s="103">
        <v>1848</v>
      </c>
      <c r="C132" s="104" t="s">
        <v>3823</v>
      </c>
      <c r="D132" s="104" t="s">
        <v>3824</v>
      </c>
      <c r="E132" s="104" t="s">
        <v>3727</v>
      </c>
      <c r="F132" s="105" t="s">
        <v>2636</v>
      </c>
      <c r="H132" s="45" t="str">
        <f t="shared" si="3"/>
        <v>Franka – Paulić – OK Japetić – Ž12</v>
      </c>
      <c r="J132" s="45" t="str">
        <f t="shared" si="4"/>
        <v>Franka – Paulić – OK Japetić</v>
      </c>
      <c r="L132" s="45" t="str">
        <f t="shared" si="5"/>
        <v>Franka – Paulić</v>
      </c>
      <c r="N132" s="103"/>
      <c r="O132" s="104"/>
      <c r="P132" s="105"/>
    </row>
    <row r="133" spans="2:16" x14ac:dyDescent="0.25">
      <c r="B133" s="103">
        <v>1847</v>
      </c>
      <c r="C133" s="104" t="s">
        <v>3825</v>
      </c>
      <c r="D133" s="104" t="s">
        <v>3824</v>
      </c>
      <c r="E133" s="104" t="s">
        <v>3727</v>
      </c>
      <c r="F133" s="105" t="s">
        <v>2731</v>
      </c>
      <c r="H133" s="45" t="str">
        <f t="shared" si="3"/>
        <v>Karla – Paulić – OK Japetić – Ž14</v>
      </c>
      <c r="J133" s="45" t="str">
        <f t="shared" si="4"/>
        <v>Karla – Paulić – OK Japetić</v>
      </c>
      <c r="L133" s="45" t="str">
        <f t="shared" si="5"/>
        <v>Karla – Paulić</v>
      </c>
      <c r="N133" s="103"/>
      <c r="O133" s="104"/>
      <c r="P133" s="105"/>
    </row>
    <row r="134" spans="2:16" x14ac:dyDescent="0.25">
      <c r="B134" s="103">
        <v>1039</v>
      </c>
      <c r="C134" s="104" t="s">
        <v>2997</v>
      </c>
      <c r="D134" s="104" t="s">
        <v>2386</v>
      </c>
      <c r="E134" s="104" t="s">
        <v>3727</v>
      </c>
      <c r="F134" s="105" t="s">
        <v>3000</v>
      </c>
      <c r="H134" s="45" t="str">
        <f t="shared" si="3"/>
        <v>Mirja – Pavić – OK Japetić – Ž21A</v>
      </c>
      <c r="J134" s="45" t="str">
        <f t="shared" si="4"/>
        <v>Mirja – Pavić – OK Japetić</v>
      </c>
      <c r="L134" s="45" t="str">
        <f t="shared" si="5"/>
        <v>Mirja – Pavić</v>
      </c>
      <c r="N134" s="103"/>
      <c r="O134" s="104"/>
      <c r="P134" s="105"/>
    </row>
    <row r="135" spans="2:16" x14ac:dyDescent="0.25">
      <c r="B135" s="103">
        <v>1860</v>
      </c>
      <c r="C135" s="104" t="s">
        <v>2536</v>
      </c>
      <c r="D135" s="104" t="s">
        <v>3495</v>
      </c>
      <c r="E135" s="104" t="s">
        <v>3727</v>
      </c>
      <c r="F135" s="105" t="s">
        <v>3442</v>
      </c>
      <c r="H135" s="45" t="str">
        <f t="shared" si="3"/>
        <v>Sandra – Perica Cvjetko – OK Japetić – Ž45</v>
      </c>
      <c r="J135" s="45" t="str">
        <f t="shared" si="4"/>
        <v>Sandra – Perica Cvjetko – OK Japetić</v>
      </c>
      <c r="L135" s="45" t="str">
        <f t="shared" si="5"/>
        <v>Sandra – Perica Cvjetko</v>
      </c>
      <c r="N135" s="103"/>
      <c r="O135" s="104"/>
      <c r="P135" s="105"/>
    </row>
    <row r="136" spans="2:16" x14ac:dyDescent="0.25">
      <c r="B136" s="103">
        <v>1781</v>
      </c>
      <c r="C136" s="104" t="s">
        <v>962</v>
      </c>
      <c r="D136" s="104" t="s">
        <v>3752</v>
      </c>
      <c r="E136" s="104" t="s">
        <v>3727</v>
      </c>
      <c r="F136" s="105"/>
      <c r="H136" s="45" t="str">
        <f t="shared" si="3"/>
        <v>Dražen – Perković – OK Japetić</v>
      </c>
      <c r="J136" s="45" t="str">
        <f t="shared" si="4"/>
        <v>Dražen – Perković – OK Japetić</v>
      </c>
      <c r="L136" s="45" t="str">
        <f t="shared" si="5"/>
        <v>Dražen – Perković</v>
      </c>
      <c r="N136" s="103"/>
      <c r="O136" s="104"/>
      <c r="P136" s="105"/>
    </row>
    <row r="137" spans="2:16" x14ac:dyDescent="0.25">
      <c r="B137" s="103">
        <v>1855</v>
      </c>
      <c r="C137" s="104" t="s">
        <v>437</v>
      </c>
      <c r="D137" s="104" t="s">
        <v>436</v>
      </c>
      <c r="E137" s="104" t="s">
        <v>3727</v>
      </c>
      <c r="F137" s="105" t="s">
        <v>363</v>
      </c>
      <c r="H137" s="45" t="str">
        <f t="shared" si="3"/>
        <v>Ivan – Petravić – OK Japetić – M12</v>
      </c>
      <c r="J137" s="45" t="str">
        <f t="shared" si="4"/>
        <v>Ivan – Petravić – OK Japetić</v>
      </c>
      <c r="L137" s="45" t="str">
        <f t="shared" si="5"/>
        <v>Ivan – Petravić</v>
      </c>
      <c r="N137" s="103"/>
      <c r="O137" s="104"/>
      <c r="P137" s="105"/>
    </row>
    <row r="138" spans="2:16" x14ac:dyDescent="0.25">
      <c r="B138" s="103">
        <v>1315</v>
      </c>
      <c r="C138" s="104" t="s">
        <v>352</v>
      </c>
      <c r="D138" s="104" t="s">
        <v>351</v>
      </c>
      <c r="E138" s="104" t="s">
        <v>3727</v>
      </c>
      <c r="F138" s="105" t="s">
        <v>363</v>
      </c>
      <c r="H138" s="45" t="str">
        <f t="shared" si="3"/>
        <v>Lovro – Pinjušić – OK Japetić – M12</v>
      </c>
      <c r="J138" s="45" t="str">
        <f t="shared" si="4"/>
        <v>Lovro – Pinjušić – OK Japetić</v>
      </c>
      <c r="L138" s="45" t="str">
        <f t="shared" si="5"/>
        <v>Lovro – Pinjušić</v>
      </c>
      <c r="N138" s="103"/>
      <c r="O138" s="104"/>
      <c r="P138" s="105"/>
    </row>
    <row r="139" spans="2:16" x14ac:dyDescent="0.25">
      <c r="B139" s="103">
        <v>1206</v>
      </c>
      <c r="C139" s="104" t="s">
        <v>1208</v>
      </c>
      <c r="D139" s="104" t="s">
        <v>1609</v>
      </c>
      <c r="E139" s="104" t="s">
        <v>3727</v>
      </c>
      <c r="F139" s="105" t="s">
        <v>1574</v>
      </c>
      <c r="H139" s="45" t="str">
        <f t="shared" ref="H139:H202" si="6">IF(C139="","",C139) &amp; IF(D139="",""," – " &amp; D139) &amp; IF(E139="",""," – " &amp; E139) &amp; IF(F139="",""," – " &amp; F139)</f>
        <v>Branimir – Pongrac – OK Japetić – M35</v>
      </c>
      <c r="J139" s="45" t="str">
        <f t="shared" ref="J139:J202" si="7">IF(C139="","",C139) &amp; IF(D139="",""," – " &amp; D139) &amp; IF(E139="",""," – " &amp; E139)</f>
        <v>Branimir – Pongrac – OK Japetić</v>
      </c>
      <c r="L139" s="45" t="str">
        <f t="shared" ref="L139:L202" si="8">IF(C139="","",C139) &amp; IF(D139="",""," – " &amp; D139)</f>
        <v>Branimir – Pongrac</v>
      </c>
      <c r="N139" s="103"/>
      <c r="O139" s="104"/>
      <c r="P139" s="105"/>
    </row>
    <row r="140" spans="2:16" x14ac:dyDescent="0.25">
      <c r="B140" s="103">
        <v>1484</v>
      </c>
      <c r="C140" s="104" t="s">
        <v>437</v>
      </c>
      <c r="D140" s="104" t="s">
        <v>1609</v>
      </c>
      <c r="E140" s="104" t="s">
        <v>3727</v>
      </c>
      <c r="F140" s="105" t="s">
        <v>2366</v>
      </c>
      <c r="H140" s="45" t="str">
        <f t="shared" si="6"/>
        <v>Ivan – Pongrac – OK Japetić – M65</v>
      </c>
      <c r="J140" s="45" t="str">
        <f t="shared" si="7"/>
        <v>Ivan – Pongrac – OK Japetić</v>
      </c>
      <c r="L140" s="45" t="str">
        <f t="shared" si="8"/>
        <v>Ivan – Pongrac</v>
      </c>
      <c r="N140" s="103"/>
      <c r="O140" s="104"/>
      <c r="P140" s="105"/>
    </row>
    <row r="141" spans="2:16" x14ac:dyDescent="0.25">
      <c r="B141" s="103">
        <v>1645</v>
      </c>
      <c r="C141" s="104" t="s">
        <v>2594</v>
      </c>
      <c r="D141" s="104" t="s">
        <v>1609</v>
      </c>
      <c r="E141" s="104" t="s">
        <v>3727</v>
      </c>
      <c r="F141" s="105"/>
      <c r="H141" s="45" t="str">
        <f t="shared" si="6"/>
        <v>Maja – Pongrac – OK Japetić</v>
      </c>
      <c r="J141" s="45" t="str">
        <f t="shared" si="7"/>
        <v>Maja – Pongrac – OK Japetić</v>
      </c>
      <c r="L141" s="45" t="str">
        <f t="shared" si="8"/>
        <v>Maja – Pongrac</v>
      </c>
      <c r="N141" s="103"/>
      <c r="O141" s="104"/>
      <c r="P141" s="105"/>
    </row>
    <row r="142" spans="2:16" x14ac:dyDescent="0.25">
      <c r="B142" s="103">
        <v>1316</v>
      </c>
      <c r="C142" s="104" t="s">
        <v>3371</v>
      </c>
      <c r="D142" s="104" t="s">
        <v>3370</v>
      </c>
      <c r="E142" s="104" t="s">
        <v>3727</v>
      </c>
      <c r="F142" s="105" t="s">
        <v>3264</v>
      </c>
      <c r="H142" s="45" t="str">
        <f t="shared" si="6"/>
        <v>Daniela – Popović Budi – OK Japetić – Ž35</v>
      </c>
      <c r="J142" s="45" t="str">
        <f t="shared" si="7"/>
        <v>Daniela – Popović Budi – OK Japetić</v>
      </c>
      <c r="L142" s="45" t="str">
        <f t="shared" si="8"/>
        <v>Daniela – Popović Budi</v>
      </c>
      <c r="N142" s="103"/>
      <c r="O142" s="104"/>
      <c r="P142" s="105"/>
    </row>
    <row r="143" spans="2:16" x14ac:dyDescent="0.25">
      <c r="B143" s="103">
        <v>1575</v>
      </c>
      <c r="C143" s="104" t="s">
        <v>3826</v>
      </c>
      <c r="D143" s="104" t="s">
        <v>3827</v>
      </c>
      <c r="E143" s="104" t="s">
        <v>3727</v>
      </c>
      <c r="F143" s="105"/>
      <c r="H143" s="45" t="str">
        <f t="shared" si="6"/>
        <v>Roko – Puharić – OK Japetić</v>
      </c>
      <c r="J143" s="45" t="str">
        <f t="shared" si="7"/>
        <v>Roko – Puharić – OK Japetić</v>
      </c>
      <c r="L143" s="45" t="str">
        <f t="shared" si="8"/>
        <v>Roko – Puharić</v>
      </c>
      <c r="N143" s="103"/>
      <c r="O143" s="104"/>
      <c r="P143" s="105"/>
    </row>
    <row r="144" spans="2:16" x14ac:dyDescent="0.25">
      <c r="B144" s="103">
        <v>1459</v>
      </c>
      <c r="C144" s="104" t="s">
        <v>919</v>
      </c>
      <c r="D144" s="104" t="s">
        <v>918</v>
      </c>
      <c r="E144" s="104" t="s">
        <v>3727</v>
      </c>
      <c r="F144" s="105" t="s">
        <v>885</v>
      </c>
      <c r="H144" s="45" t="str">
        <f t="shared" si="6"/>
        <v>Matija – Razum – OK Japetić – M21A</v>
      </c>
      <c r="J144" s="45" t="str">
        <f t="shared" si="7"/>
        <v>Matija – Razum – OK Japetić</v>
      </c>
      <c r="L144" s="45" t="str">
        <f t="shared" si="8"/>
        <v>Matija – Razum</v>
      </c>
      <c r="N144" s="103"/>
      <c r="O144" s="104"/>
      <c r="P144" s="105"/>
    </row>
    <row r="145" spans="2:16" x14ac:dyDescent="0.25">
      <c r="B145" s="103">
        <v>1669</v>
      </c>
      <c r="C145" s="104" t="s">
        <v>3773</v>
      </c>
      <c r="D145" s="104" t="s">
        <v>3828</v>
      </c>
      <c r="E145" s="104" t="s">
        <v>3727</v>
      </c>
      <c r="F145" s="105"/>
      <c r="H145" s="45" t="str">
        <f t="shared" si="6"/>
        <v>David – Skopljak – OK Japetić</v>
      </c>
      <c r="J145" s="45" t="str">
        <f t="shared" si="7"/>
        <v>David – Skopljak – OK Japetić</v>
      </c>
      <c r="L145" s="45" t="str">
        <f t="shared" si="8"/>
        <v>David – Skopljak</v>
      </c>
      <c r="N145" s="103"/>
      <c r="O145" s="104"/>
      <c r="P145" s="105"/>
    </row>
    <row r="146" spans="2:16" x14ac:dyDescent="0.25">
      <c r="B146" s="103">
        <v>1160</v>
      </c>
      <c r="C146" s="104" t="s">
        <v>3182</v>
      </c>
      <c r="D146" s="104" t="s">
        <v>3829</v>
      </c>
      <c r="E146" s="104" t="s">
        <v>3727</v>
      </c>
      <c r="F146" s="105"/>
      <c r="H146" s="45" t="str">
        <f t="shared" si="6"/>
        <v>Hana – Škugor – OK Japetić</v>
      </c>
      <c r="J146" s="45" t="str">
        <f t="shared" si="7"/>
        <v>Hana – Škugor – OK Japetić</v>
      </c>
      <c r="L146" s="45" t="str">
        <f t="shared" si="8"/>
        <v>Hana – Škugor</v>
      </c>
      <c r="N146" s="103"/>
      <c r="O146" s="104"/>
      <c r="P146" s="105"/>
    </row>
    <row r="147" spans="2:16" x14ac:dyDescent="0.25">
      <c r="B147" s="103">
        <v>1776</v>
      </c>
      <c r="C147" s="104" t="s">
        <v>1866</v>
      </c>
      <c r="D147" s="104" t="s">
        <v>3830</v>
      </c>
      <c r="E147" s="104" t="s">
        <v>3727</v>
      </c>
      <c r="F147" s="105"/>
      <c r="H147" s="45" t="str">
        <f t="shared" si="6"/>
        <v>Damir – Suban – OK Japetić</v>
      </c>
      <c r="J147" s="45" t="str">
        <f t="shared" si="7"/>
        <v>Damir – Suban – OK Japetić</v>
      </c>
      <c r="L147" s="45" t="str">
        <f t="shared" si="8"/>
        <v>Damir – Suban</v>
      </c>
      <c r="N147" s="103"/>
      <c r="O147" s="104"/>
      <c r="P147" s="105"/>
    </row>
    <row r="148" spans="2:16" x14ac:dyDescent="0.25">
      <c r="B148" s="103">
        <v>1779</v>
      </c>
      <c r="C148" s="104" t="s">
        <v>3831</v>
      </c>
      <c r="D148" s="104" t="s">
        <v>3832</v>
      </c>
      <c r="E148" s="104" t="s">
        <v>3727</v>
      </c>
      <c r="F148" s="105"/>
      <c r="H148" s="45" t="str">
        <f t="shared" si="6"/>
        <v>Eli – Tadić – OK Japetić</v>
      </c>
      <c r="J148" s="45" t="str">
        <f t="shared" si="7"/>
        <v>Eli – Tadić – OK Japetić</v>
      </c>
      <c r="L148" s="45" t="str">
        <f t="shared" si="8"/>
        <v>Eli – Tadić</v>
      </c>
      <c r="N148" s="103"/>
      <c r="O148" s="104"/>
      <c r="P148" s="105"/>
    </row>
    <row r="149" spans="2:16" x14ac:dyDescent="0.25">
      <c r="B149" s="103">
        <v>1777</v>
      </c>
      <c r="C149" s="104" t="s">
        <v>2447</v>
      </c>
      <c r="D149" s="104" t="s">
        <v>3833</v>
      </c>
      <c r="E149" s="104" t="s">
        <v>3727</v>
      </c>
      <c r="F149" s="105"/>
      <c r="H149" s="45" t="str">
        <f t="shared" si="6"/>
        <v>Ivana – Tkalčić Suban – OK Japetić</v>
      </c>
      <c r="J149" s="45" t="str">
        <f t="shared" si="7"/>
        <v>Ivana – Tkalčić Suban – OK Japetić</v>
      </c>
      <c r="L149" s="45" t="str">
        <f t="shared" si="8"/>
        <v>Ivana – Tkalčić Suban</v>
      </c>
      <c r="N149" s="103"/>
      <c r="O149" s="104"/>
      <c r="P149" s="105"/>
    </row>
    <row r="150" spans="2:16" x14ac:dyDescent="0.25">
      <c r="B150" s="103">
        <v>1846</v>
      </c>
      <c r="C150" s="104" t="s">
        <v>3834</v>
      </c>
      <c r="D150" s="104" t="s">
        <v>3835</v>
      </c>
      <c r="E150" s="104" t="s">
        <v>3727</v>
      </c>
      <c r="F150" s="105" t="s">
        <v>363</v>
      </c>
      <c r="H150" s="45" t="str">
        <f t="shared" si="6"/>
        <v>Erik – Tot – OK Japetić – M12</v>
      </c>
      <c r="J150" s="45" t="str">
        <f t="shared" si="7"/>
        <v>Erik – Tot – OK Japetić</v>
      </c>
      <c r="L150" s="45" t="str">
        <f t="shared" si="8"/>
        <v>Erik – Tot</v>
      </c>
      <c r="N150" s="103"/>
      <c r="O150" s="104"/>
      <c r="P150" s="105"/>
    </row>
    <row r="151" spans="2:16" x14ac:dyDescent="0.25">
      <c r="B151" s="103">
        <v>1540</v>
      </c>
      <c r="C151" s="104" t="s">
        <v>1496</v>
      </c>
      <c r="D151" s="104" t="s">
        <v>3835</v>
      </c>
      <c r="E151" s="104" t="s">
        <v>3727</v>
      </c>
      <c r="F151" s="105" t="s">
        <v>1574</v>
      </c>
      <c r="H151" s="45" t="str">
        <f t="shared" si="6"/>
        <v>Nikola – Tot – OK Japetić – M35</v>
      </c>
      <c r="J151" s="45" t="str">
        <f t="shared" si="7"/>
        <v>Nikola – Tot – OK Japetić</v>
      </c>
      <c r="L151" s="45" t="str">
        <f t="shared" si="8"/>
        <v>Nikola – Tot</v>
      </c>
      <c r="N151" s="103"/>
      <c r="O151" s="104"/>
      <c r="P151" s="105"/>
    </row>
    <row r="152" spans="2:16" x14ac:dyDescent="0.25">
      <c r="B152" s="103">
        <v>1623</v>
      </c>
      <c r="C152" s="104" t="s">
        <v>3836</v>
      </c>
      <c r="D152" s="104" t="s">
        <v>3835</v>
      </c>
      <c r="E152" s="104" t="s">
        <v>3727</v>
      </c>
      <c r="F152" s="105"/>
      <c r="H152" s="45" t="str">
        <f t="shared" si="6"/>
        <v>Tea – Tot – OK Japetić</v>
      </c>
      <c r="J152" s="45" t="str">
        <f t="shared" si="7"/>
        <v>Tea – Tot – OK Japetić</v>
      </c>
      <c r="L152" s="45" t="str">
        <f t="shared" si="8"/>
        <v>Tea – Tot</v>
      </c>
      <c r="N152" s="103"/>
      <c r="O152" s="104"/>
      <c r="P152" s="105"/>
    </row>
    <row r="153" spans="2:16" x14ac:dyDescent="0.25">
      <c r="B153" s="103">
        <v>1566</v>
      </c>
      <c r="C153" s="104" t="s">
        <v>1262</v>
      </c>
      <c r="D153" s="104" t="s">
        <v>1261</v>
      </c>
      <c r="E153" s="104" t="s">
        <v>3727</v>
      </c>
      <c r="F153" s="105" t="s">
        <v>1129</v>
      </c>
      <c r="H153" s="45" t="str">
        <f t="shared" si="6"/>
        <v>Kristijan – Verović – OK Japetić – M21B</v>
      </c>
      <c r="J153" s="45" t="str">
        <f t="shared" si="7"/>
        <v>Kristijan – Verović – OK Japetić</v>
      </c>
      <c r="L153" s="45" t="str">
        <f t="shared" si="8"/>
        <v>Kristijan – Verović</v>
      </c>
      <c r="N153" s="103"/>
      <c r="O153" s="104"/>
      <c r="P153" s="105"/>
    </row>
    <row r="154" spans="2:16" x14ac:dyDescent="0.25">
      <c r="B154" s="103">
        <v>1854</v>
      </c>
      <c r="C154" s="104" t="s">
        <v>3837</v>
      </c>
      <c r="D154" s="104" t="s">
        <v>3838</v>
      </c>
      <c r="E154" s="104" t="s">
        <v>3727</v>
      </c>
      <c r="F154" s="105" t="s">
        <v>2636</v>
      </c>
      <c r="H154" s="45" t="str">
        <f t="shared" si="6"/>
        <v>Lidija – Vrdoljak – OK Japetić – Ž12</v>
      </c>
      <c r="J154" s="45" t="str">
        <f t="shared" si="7"/>
        <v>Lidija – Vrdoljak – OK Japetić</v>
      </c>
      <c r="L154" s="45" t="str">
        <f t="shared" si="8"/>
        <v>Lidija – Vrdoljak</v>
      </c>
      <c r="N154" s="103"/>
      <c r="O154" s="104"/>
      <c r="P154" s="105"/>
    </row>
    <row r="155" spans="2:16" x14ac:dyDescent="0.25">
      <c r="B155" s="103">
        <v>1858</v>
      </c>
      <c r="C155" s="104" t="s">
        <v>471</v>
      </c>
      <c r="D155" s="104" t="s">
        <v>984</v>
      </c>
      <c r="E155" s="104" t="s">
        <v>3727</v>
      </c>
      <c r="F155" s="105" t="s">
        <v>885</v>
      </c>
      <c r="H155" s="45" t="str">
        <f t="shared" si="6"/>
        <v>Filip – Vujanić – OK Japetić – M21A</v>
      </c>
      <c r="J155" s="45" t="str">
        <f t="shared" si="7"/>
        <v>Filip – Vujanić – OK Japetić</v>
      </c>
      <c r="L155" s="45" t="str">
        <f t="shared" si="8"/>
        <v>Filip – Vujanić</v>
      </c>
      <c r="N155" s="103"/>
      <c r="O155" s="104"/>
      <c r="P155" s="105"/>
    </row>
    <row r="156" spans="2:16" x14ac:dyDescent="0.25">
      <c r="B156" s="103">
        <v>1859</v>
      </c>
      <c r="C156" s="104" t="s">
        <v>1005</v>
      </c>
      <c r="D156" s="104" t="s">
        <v>984</v>
      </c>
      <c r="E156" s="104" t="s">
        <v>3727</v>
      </c>
      <c r="F156" s="105" t="s">
        <v>885</v>
      </c>
      <c r="H156" s="45" t="str">
        <f t="shared" si="6"/>
        <v>Josip – Vujanić – OK Japetić – M21A</v>
      </c>
      <c r="J156" s="45" t="str">
        <f t="shared" si="7"/>
        <v>Josip – Vujanić – OK Japetić</v>
      </c>
      <c r="L156" s="45" t="str">
        <f t="shared" si="8"/>
        <v>Josip – Vujanić</v>
      </c>
      <c r="N156" s="103"/>
      <c r="O156" s="104"/>
      <c r="P156" s="105"/>
    </row>
    <row r="157" spans="2:16" x14ac:dyDescent="0.25">
      <c r="B157" s="103">
        <v>1671</v>
      </c>
      <c r="C157" s="104" t="s">
        <v>3777</v>
      </c>
      <c r="D157" s="104" t="s">
        <v>3839</v>
      </c>
      <c r="E157" s="104" t="s">
        <v>392</v>
      </c>
      <c r="F157" s="105" t="s">
        <v>885</v>
      </c>
      <c r="H157" s="45" t="str">
        <f t="shared" si="6"/>
        <v>Igor – Acketa – OK Jelen – M21A</v>
      </c>
      <c r="J157" s="45" t="str">
        <f t="shared" si="7"/>
        <v>Igor – Acketa – OK Jelen</v>
      </c>
      <c r="L157" s="45" t="str">
        <f t="shared" si="8"/>
        <v>Igor – Acketa</v>
      </c>
      <c r="N157" s="103"/>
      <c r="O157" s="104"/>
      <c r="P157" s="105"/>
    </row>
    <row r="158" spans="2:16" x14ac:dyDescent="0.25">
      <c r="B158" s="103">
        <v>1472</v>
      </c>
      <c r="C158" s="104" t="s">
        <v>2436</v>
      </c>
      <c r="D158" s="104" t="s">
        <v>3082</v>
      </c>
      <c r="E158" s="104" t="s">
        <v>392</v>
      </c>
      <c r="F158" s="105" t="s">
        <v>3000</v>
      </c>
      <c r="H158" s="45" t="str">
        <f t="shared" si="6"/>
        <v>Ana – Beblek – OK Jelen – Ž21A</v>
      </c>
      <c r="J158" s="45" t="str">
        <f t="shared" si="7"/>
        <v>Ana – Beblek – OK Jelen</v>
      </c>
      <c r="L158" s="45" t="str">
        <f t="shared" si="8"/>
        <v>Ana – Beblek</v>
      </c>
      <c r="N158" s="103"/>
      <c r="O158" s="104"/>
      <c r="P158" s="105"/>
    </row>
    <row r="159" spans="2:16" x14ac:dyDescent="0.25">
      <c r="B159" s="103">
        <v>1473</v>
      </c>
      <c r="C159" s="104" t="s">
        <v>3238</v>
      </c>
      <c r="D159" s="104" t="s">
        <v>3280</v>
      </c>
      <c r="E159" s="104" t="s">
        <v>392</v>
      </c>
      <c r="F159" s="105" t="s">
        <v>3264</v>
      </c>
      <c r="H159" s="45" t="str">
        <f t="shared" si="6"/>
        <v>Martina – Bedeković Tanković – OK Jelen – Ž35</v>
      </c>
      <c r="J159" s="45" t="str">
        <f t="shared" si="7"/>
        <v>Martina – Bedeković Tanković – OK Jelen</v>
      </c>
      <c r="L159" s="45" t="str">
        <f t="shared" si="8"/>
        <v>Martina – Bedeković Tanković</v>
      </c>
      <c r="N159" s="103"/>
      <c r="O159" s="104"/>
      <c r="P159" s="105"/>
    </row>
    <row r="160" spans="2:16" x14ac:dyDescent="0.25">
      <c r="B160" s="103">
        <v>1133</v>
      </c>
      <c r="C160" s="104" t="s">
        <v>1762</v>
      </c>
      <c r="D160" s="104" t="s">
        <v>3840</v>
      </c>
      <c r="E160" s="104" t="s">
        <v>392</v>
      </c>
      <c r="F160" s="105" t="s">
        <v>2194</v>
      </c>
      <c r="H160" s="45" t="str">
        <f t="shared" si="6"/>
        <v>Miroslav – Besten – OK Jelen – M55</v>
      </c>
      <c r="J160" s="45" t="str">
        <f t="shared" si="7"/>
        <v>Miroslav – Besten – OK Jelen</v>
      </c>
      <c r="L160" s="45" t="str">
        <f t="shared" si="8"/>
        <v>Miroslav – Besten</v>
      </c>
      <c r="N160" s="103"/>
      <c r="O160" s="104"/>
      <c r="P160" s="105"/>
    </row>
    <row r="161" spans="2:16" x14ac:dyDescent="0.25">
      <c r="B161" s="103">
        <v>1607</v>
      </c>
      <c r="C161" s="104" t="s">
        <v>3841</v>
      </c>
      <c r="D161" s="104" t="s">
        <v>3842</v>
      </c>
      <c r="E161" s="104" t="s">
        <v>392</v>
      </c>
      <c r="F161" s="105" t="s">
        <v>3442</v>
      </c>
      <c r="H161" s="45" t="str">
        <f t="shared" si="6"/>
        <v>Draženka – Birkić – OK Jelen – Ž45</v>
      </c>
      <c r="J161" s="45" t="str">
        <f t="shared" si="7"/>
        <v>Draženka – Birkić – OK Jelen</v>
      </c>
      <c r="L161" s="45" t="str">
        <f t="shared" si="8"/>
        <v>Draženka – Birkić</v>
      </c>
      <c r="N161" s="103"/>
      <c r="O161" s="104"/>
      <c r="P161" s="105"/>
    </row>
    <row r="162" spans="2:16" x14ac:dyDescent="0.25">
      <c r="B162" s="103">
        <v>1559</v>
      </c>
      <c r="C162" s="104" t="s">
        <v>1979</v>
      </c>
      <c r="D162" s="104" t="s">
        <v>1978</v>
      </c>
      <c r="E162" s="104" t="s">
        <v>392</v>
      </c>
      <c r="F162" s="105" t="s">
        <v>1908</v>
      </c>
      <c r="H162" s="45" t="str">
        <f t="shared" si="6"/>
        <v>Marijan – Bogović – OK Jelen – M45</v>
      </c>
      <c r="J162" s="45" t="str">
        <f t="shared" si="7"/>
        <v>Marijan – Bogović – OK Jelen</v>
      </c>
      <c r="L162" s="45" t="str">
        <f t="shared" si="8"/>
        <v>Marijan – Bogović</v>
      </c>
      <c r="N162" s="103"/>
      <c r="O162" s="104"/>
      <c r="P162" s="105"/>
    </row>
    <row r="163" spans="2:16" x14ac:dyDescent="0.25">
      <c r="B163" s="103">
        <v>1311</v>
      </c>
      <c r="C163" s="104" t="s">
        <v>869</v>
      </c>
      <c r="D163" s="104" t="s">
        <v>868</v>
      </c>
      <c r="E163" s="104" t="s">
        <v>392</v>
      </c>
      <c r="F163" s="105" t="s">
        <v>768</v>
      </c>
      <c r="H163" s="45" t="str">
        <f t="shared" si="6"/>
        <v>Antonio – Cindrić – OK Jelen – M20</v>
      </c>
      <c r="J163" s="45" t="str">
        <f t="shared" si="7"/>
        <v>Antonio – Cindrić – OK Jelen</v>
      </c>
      <c r="L163" s="45" t="str">
        <f t="shared" si="8"/>
        <v>Antonio – Cindrić</v>
      </c>
      <c r="N163" s="103"/>
      <c r="O163" s="104"/>
      <c r="P163" s="105"/>
    </row>
    <row r="164" spans="2:16" x14ac:dyDescent="0.25">
      <c r="B164" s="103">
        <v>1462</v>
      </c>
      <c r="C164" s="104" t="s">
        <v>3843</v>
      </c>
      <c r="D164" s="104" t="s">
        <v>3844</v>
      </c>
      <c r="E164" s="104" t="s">
        <v>392</v>
      </c>
      <c r="F164" s="105" t="s">
        <v>2636</v>
      </c>
      <c r="H164" s="45" t="str">
        <f t="shared" si="6"/>
        <v>Helena – Ćubela – OK Jelen – Ž12</v>
      </c>
      <c r="J164" s="45" t="str">
        <f t="shared" si="7"/>
        <v>Helena – Ćubela – OK Jelen</v>
      </c>
      <c r="L164" s="45" t="str">
        <f t="shared" si="8"/>
        <v>Helena – Ćubela</v>
      </c>
      <c r="N164" s="103"/>
      <c r="O164" s="104"/>
      <c r="P164" s="105"/>
    </row>
    <row r="165" spans="2:16" x14ac:dyDescent="0.25">
      <c r="B165" s="103">
        <v>1672</v>
      </c>
      <c r="C165" s="104" t="s">
        <v>437</v>
      </c>
      <c r="D165" s="104" t="s">
        <v>3845</v>
      </c>
      <c r="E165" s="104" t="s">
        <v>392</v>
      </c>
      <c r="F165" s="105" t="s">
        <v>2194</v>
      </c>
      <c r="H165" s="45" t="str">
        <f t="shared" si="6"/>
        <v>Ivan – Đanić – OK Jelen – M55</v>
      </c>
      <c r="J165" s="45" t="str">
        <f t="shared" si="7"/>
        <v>Ivan – Đanić – OK Jelen</v>
      </c>
      <c r="L165" s="45" t="str">
        <f t="shared" si="8"/>
        <v>Ivan – Đanić</v>
      </c>
      <c r="N165" s="103"/>
      <c r="O165" s="104"/>
      <c r="P165" s="105"/>
    </row>
    <row r="166" spans="2:16" x14ac:dyDescent="0.25">
      <c r="B166" s="103">
        <v>1549</v>
      </c>
      <c r="C166" s="104" t="s">
        <v>2436</v>
      </c>
      <c r="D166" s="104" t="s">
        <v>1591</v>
      </c>
      <c r="E166" s="104" t="s">
        <v>392</v>
      </c>
      <c r="F166" s="105" t="s">
        <v>3264</v>
      </c>
      <c r="H166" s="45" t="str">
        <f t="shared" si="6"/>
        <v>Ana – Delić – OK Jelen – Ž35</v>
      </c>
      <c r="J166" s="45" t="str">
        <f t="shared" si="7"/>
        <v>Ana – Delić – OK Jelen</v>
      </c>
      <c r="L166" s="45" t="str">
        <f t="shared" si="8"/>
        <v>Ana – Delić</v>
      </c>
      <c r="N166" s="103"/>
      <c r="O166" s="104"/>
      <c r="P166" s="105"/>
    </row>
    <row r="167" spans="2:16" x14ac:dyDescent="0.25">
      <c r="B167" s="103">
        <v>1338</v>
      </c>
      <c r="C167" s="104" t="s">
        <v>2646</v>
      </c>
      <c r="D167" s="104" t="s">
        <v>1591</v>
      </c>
      <c r="E167" s="104" t="s">
        <v>392</v>
      </c>
      <c r="F167" s="105" t="s">
        <v>2636</v>
      </c>
      <c r="H167" s="45" t="str">
        <f t="shared" si="6"/>
        <v>Dora – Delić – OK Jelen – Ž12</v>
      </c>
      <c r="J167" s="45" t="str">
        <f t="shared" si="7"/>
        <v>Dora – Delić – OK Jelen</v>
      </c>
      <c r="L167" s="45" t="str">
        <f t="shared" si="8"/>
        <v>Dora – Delić</v>
      </c>
      <c r="N167" s="103"/>
      <c r="O167" s="104"/>
      <c r="P167" s="105"/>
    </row>
    <row r="168" spans="2:16" x14ac:dyDescent="0.25">
      <c r="B168" s="103">
        <v>1528</v>
      </c>
      <c r="C168" s="104" t="s">
        <v>2633</v>
      </c>
      <c r="D168" s="104" t="s">
        <v>1591</v>
      </c>
      <c r="E168" s="104" t="s">
        <v>392</v>
      </c>
      <c r="F168" s="105" t="s">
        <v>2636</v>
      </c>
      <c r="H168" s="45" t="str">
        <f t="shared" si="6"/>
        <v>Sara – Delić – OK Jelen – Ž12</v>
      </c>
      <c r="J168" s="45" t="str">
        <f t="shared" si="7"/>
        <v>Sara – Delić – OK Jelen</v>
      </c>
      <c r="L168" s="45" t="str">
        <f t="shared" si="8"/>
        <v>Sara – Delić</v>
      </c>
      <c r="N168" s="103"/>
      <c r="O168" s="104"/>
      <c r="P168" s="105"/>
    </row>
    <row r="169" spans="2:16" x14ac:dyDescent="0.25">
      <c r="B169" s="103">
        <v>1491</v>
      </c>
      <c r="C169" s="104" t="s">
        <v>2484</v>
      </c>
      <c r="D169" s="104" t="s">
        <v>3846</v>
      </c>
      <c r="E169" s="104" t="s">
        <v>392</v>
      </c>
      <c r="F169" s="105" t="s">
        <v>2927</v>
      </c>
      <c r="H169" s="45" t="str">
        <f t="shared" si="6"/>
        <v>Iva – Derdić – OK Jelen – Ž20</v>
      </c>
      <c r="J169" s="45" t="str">
        <f t="shared" si="7"/>
        <v>Iva – Derdić – OK Jelen</v>
      </c>
      <c r="L169" s="45" t="str">
        <f t="shared" si="8"/>
        <v>Iva – Derdić</v>
      </c>
      <c r="N169" s="103"/>
      <c r="O169" s="104"/>
      <c r="P169" s="105"/>
    </row>
    <row r="170" spans="2:16" x14ac:dyDescent="0.25">
      <c r="B170" s="103">
        <v>1254</v>
      </c>
      <c r="C170" s="104" t="s">
        <v>3847</v>
      </c>
      <c r="D170" s="104" t="s">
        <v>3848</v>
      </c>
      <c r="E170" s="104" t="s">
        <v>392</v>
      </c>
      <c r="F170" s="105" t="s">
        <v>1574</v>
      </c>
      <c r="H170" s="45" t="str">
        <f t="shared" si="6"/>
        <v>Daniel – Fabijanić – OK Jelen – M35</v>
      </c>
      <c r="J170" s="45" t="str">
        <f t="shared" si="7"/>
        <v>Daniel – Fabijanić – OK Jelen</v>
      </c>
      <c r="L170" s="45" t="str">
        <f t="shared" si="8"/>
        <v>Daniel – Fabijanić</v>
      </c>
      <c r="N170" s="103"/>
      <c r="O170" s="104"/>
      <c r="P170" s="105"/>
    </row>
    <row r="171" spans="2:16" x14ac:dyDescent="0.25">
      <c r="B171" s="103">
        <v>1181</v>
      </c>
      <c r="C171" s="104" t="s">
        <v>3087</v>
      </c>
      <c r="D171" s="104" t="s">
        <v>3086</v>
      </c>
      <c r="E171" s="104" t="s">
        <v>392</v>
      </c>
      <c r="F171" s="105" t="s">
        <v>3000</v>
      </c>
      <c r="H171" s="45" t="str">
        <f t="shared" si="6"/>
        <v>Nevija – Frajzman – OK Jelen – Ž21A</v>
      </c>
      <c r="J171" s="45" t="str">
        <f t="shared" si="7"/>
        <v>Nevija – Frajzman – OK Jelen</v>
      </c>
      <c r="L171" s="45" t="str">
        <f t="shared" si="8"/>
        <v>Nevija – Frajzman</v>
      </c>
      <c r="N171" s="103"/>
      <c r="O171" s="104"/>
      <c r="P171" s="105"/>
    </row>
    <row r="172" spans="2:16" x14ac:dyDescent="0.25">
      <c r="B172" s="103">
        <v>1504</v>
      </c>
      <c r="C172" s="104" t="s">
        <v>3261</v>
      </c>
      <c r="D172" s="104" t="s">
        <v>3849</v>
      </c>
      <c r="E172" s="104" t="s">
        <v>392</v>
      </c>
      <c r="F172" s="105" t="s">
        <v>3442</v>
      </c>
      <c r="H172" s="45" t="str">
        <f t="shared" si="6"/>
        <v>Željka – Gajdek – OK Jelen – Ž45</v>
      </c>
      <c r="J172" s="45" t="str">
        <f t="shared" si="7"/>
        <v>Željka – Gajdek – OK Jelen</v>
      </c>
      <c r="L172" s="45" t="str">
        <f t="shared" si="8"/>
        <v>Željka – Gajdek</v>
      </c>
      <c r="N172" s="103"/>
      <c r="O172" s="104"/>
      <c r="P172" s="105"/>
    </row>
    <row r="173" spans="2:16" x14ac:dyDescent="0.25">
      <c r="B173" s="103">
        <v>1828</v>
      </c>
      <c r="C173" s="104" t="s">
        <v>2447</v>
      </c>
      <c r="D173" s="104" t="s">
        <v>3850</v>
      </c>
      <c r="E173" s="104" t="s">
        <v>392</v>
      </c>
      <c r="F173" s="105" t="s">
        <v>3264</v>
      </c>
      <c r="H173" s="45" t="str">
        <f t="shared" si="6"/>
        <v>Ivana – Herceg – OK Jelen – Ž35</v>
      </c>
      <c r="J173" s="45" t="str">
        <f t="shared" si="7"/>
        <v>Ivana – Herceg – OK Jelen</v>
      </c>
      <c r="L173" s="45" t="str">
        <f t="shared" si="8"/>
        <v>Ivana – Herceg</v>
      </c>
      <c r="N173" s="103"/>
      <c r="O173" s="104"/>
      <c r="P173" s="105"/>
    </row>
    <row r="174" spans="2:16" x14ac:dyDescent="0.25">
      <c r="B174" s="103">
        <v>1836</v>
      </c>
      <c r="C174" s="104" t="s">
        <v>1954</v>
      </c>
      <c r="D174" s="104" t="s">
        <v>2523</v>
      </c>
      <c r="E174" s="104" t="s">
        <v>392</v>
      </c>
      <c r="F174" s="105" t="s">
        <v>1908</v>
      </c>
      <c r="H174" s="45" t="str">
        <f t="shared" si="6"/>
        <v>Vladimir – Jurić – OK Jelen – M45</v>
      </c>
      <c r="J174" s="45" t="str">
        <f t="shared" si="7"/>
        <v>Vladimir – Jurić – OK Jelen</v>
      </c>
      <c r="L174" s="45" t="str">
        <f t="shared" si="8"/>
        <v>Vladimir – Jurić</v>
      </c>
      <c r="N174" s="103"/>
      <c r="O174" s="104"/>
      <c r="P174" s="105"/>
    </row>
    <row r="175" spans="2:16" x14ac:dyDescent="0.25">
      <c r="B175" s="103">
        <v>1173</v>
      </c>
      <c r="C175" s="104" t="s">
        <v>820</v>
      </c>
      <c r="D175" s="104" t="s">
        <v>3851</v>
      </c>
      <c r="E175" s="104" t="s">
        <v>392</v>
      </c>
      <c r="F175" s="105" t="s">
        <v>651</v>
      </c>
      <c r="H175" s="45" t="str">
        <f t="shared" si="6"/>
        <v>Noa – Kelc – OK Jelen – M16</v>
      </c>
      <c r="J175" s="45" t="str">
        <f t="shared" si="7"/>
        <v>Noa – Kelc – OK Jelen</v>
      </c>
      <c r="L175" s="45" t="str">
        <f t="shared" si="8"/>
        <v>Noa – Kelc</v>
      </c>
      <c r="N175" s="103"/>
      <c r="O175" s="104"/>
      <c r="P175" s="105"/>
    </row>
    <row r="176" spans="2:16" x14ac:dyDescent="0.25">
      <c r="B176" s="103">
        <v>1615</v>
      </c>
      <c r="C176" s="104" t="s">
        <v>3852</v>
      </c>
      <c r="D176" s="104" t="s">
        <v>3853</v>
      </c>
      <c r="E176" s="104" t="s">
        <v>392</v>
      </c>
      <c r="F176" s="105" t="s">
        <v>651</v>
      </c>
      <c r="H176" s="45" t="str">
        <f t="shared" si="6"/>
        <v>Dan – Kobasić – OK Jelen – M16</v>
      </c>
      <c r="J176" s="45" t="str">
        <f t="shared" si="7"/>
        <v>Dan – Kobasić – OK Jelen</v>
      </c>
      <c r="L176" s="45" t="str">
        <f t="shared" si="8"/>
        <v>Dan – Kobasić</v>
      </c>
      <c r="N176" s="103"/>
      <c r="O176" s="104"/>
      <c r="P176" s="105"/>
    </row>
    <row r="177" spans="2:16" x14ac:dyDescent="0.25">
      <c r="B177" s="103">
        <v>1082</v>
      </c>
      <c r="C177" s="104" t="s">
        <v>1095</v>
      </c>
      <c r="D177" s="104" t="s">
        <v>1094</v>
      </c>
      <c r="E177" s="104" t="s">
        <v>392</v>
      </c>
      <c r="F177" s="105" t="s">
        <v>885</v>
      </c>
      <c r="H177" s="45" t="str">
        <f t="shared" si="6"/>
        <v>Miran – Košćica – OK Jelen – M21A</v>
      </c>
      <c r="J177" s="45" t="str">
        <f t="shared" si="7"/>
        <v>Miran – Košćica – OK Jelen</v>
      </c>
      <c r="L177" s="45" t="str">
        <f t="shared" si="8"/>
        <v>Miran – Košćica</v>
      </c>
      <c r="N177" s="103"/>
      <c r="O177" s="104"/>
      <c r="P177" s="105"/>
    </row>
    <row r="178" spans="2:16" x14ac:dyDescent="0.25">
      <c r="B178" s="103">
        <v>1264</v>
      </c>
      <c r="C178" s="104" t="s">
        <v>604</v>
      </c>
      <c r="D178" s="104" t="s">
        <v>3854</v>
      </c>
      <c r="E178" s="104" t="s">
        <v>392</v>
      </c>
      <c r="F178" s="105" t="s">
        <v>1574</v>
      </c>
      <c r="H178" s="45" t="str">
        <f t="shared" si="6"/>
        <v>Marko – Košturić – OK Jelen – M35</v>
      </c>
      <c r="J178" s="45" t="str">
        <f t="shared" si="7"/>
        <v>Marko – Košturić – OK Jelen</v>
      </c>
      <c r="L178" s="45" t="str">
        <f t="shared" si="8"/>
        <v>Marko – Košturić</v>
      </c>
      <c r="N178" s="103"/>
      <c r="O178" s="104"/>
      <c r="P178" s="105"/>
    </row>
    <row r="179" spans="2:16" x14ac:dyDescent="0.25">
      <c r="B179" s="103">
        <v>1341</v>
      </c>
      <c r="C179" s="104" t="s">
        <v>1028</v>
      </c>
      <c r="D179" s="104" t="s">
        <v>3855</v>
      </c>
      <c r="E179" s="104" t="s">
        <v>392</v>
      </c>
      <c r="F179" s="105" t="s">
        <v>1129</v>
      </c>
      <c r="H179" s="45" t="str">
        <f t="shared" si="6"/>
        <v>Tomislav – Milašinčić – OK Jelen – M21B</v>
      </c>
      <c r="J179" s="45" t="str">
        <f t="shared" si="7"/>
        <v>Tomislav – Milašinčić – OK Jelen</v>
      </c>
      <c r="L179" s="45" t="str">
        <f t="shared" si="8"/>
        <v>Tomislav – Milašinčić</v>
      </c>
      <c r="N179" s="103"/>
      <c r="O179" s="104"/>
      <c r="P179" s="105"/>
    </row>
    <row r="180" spans="2:16" x14ac:dyDescent="0.25">
      <c r="B180" s="103">
        <v>1509</v>
      </c>
      <c r="C180" s="104" t="s">
        <v>714</v>
      </c>
      <c r="D180" s="104" t="s">
        <v>3856</v>
      </c>
      <c r="E180" s="104" t="s">
        <v>392</v>
      </c>
      <c r="F180" s="105" t="s">
        <v>885</v>
      </c>
      <c r="H180" s="45" t="str">
        <f t="shared" si="6"/>
        <v>Borna – Miljković – OK Jelen – M21A</v>
      </c>
      <c r="J180" s="45" t="str">
        <f t="shared" si="7"/>
        <v>Borna – Miljković – OK Jelen</v>
      </c>
      <c r="L180" s="45" t="str">
        <f t="shared" si="8"/>
        <v>Borna – Miljković</v>
      </c>
      <c r="N180" s="103"/>
      <c r="O180" s="104"/>
      <c r="P180" s="105"/>
    </row>
    <row r="181" spans="2:16" x14ac:dyDescent="0.25">
      <c r="B181" s="103">
        <v>1314</v>
      </c>
      <c r="C181" s="104" t="s">
        <v>1866</v>
      </c>
      <c r="D181" s="104" t="s">
        <v>3856</v>
      </c>
      <c r="E181" s="104" t="s">
        <v>392</v>
      </c>
      <c r="F181" s="105" t="s">
        <v>885</v>
      </c>
      <c r="H181" s="45" t="str">
        <f t="shared" si="6"/>
        <v>Damir – Miljković – OK Jelen – M21A</v>
      </c>
      <c r="J181" s="45" t="str">
        <f t="shared" si="7"/>
        <v>Damir – Miljković – OK Jelen</v>
      </c>
      <c r="L181" s="45" t="str">
        <f t="shared" si="8"/>
        <v>Damir – Miljković</v>
      </c>
      <c r="N181" s="103"/>
      <c r="O181" s="104"/>
      <c r="P181" s="105"/>
    </row>
    <row r="182" spans="2:16" x14ac:dyDescent="0.25">
      <c r="B182" s="103">
        <v>1129</v>
      </c>
      <c r="C182" s="104" t="s">
        <v>2646</v>
      </c>
      <c r="D182" s="104" t="s">
        <v>3856</v>
      </c>
      <c r="E182" s="104" t="s">
        <v>392</v>
      </c>
      <c r="F182" s="105" t="s">
        <v>3000</v>
      </c>
      <c r="H182" s="45" t="str">
        <f t="shared" si="6"/>
        <v>Dora – Miljković – OK Jelen – Ž21A</v>
      </c>
      <c r="J182" s="45" t="str">
        <f t="shared" si="7"/>
        <v>Dora – Miljković – OK Jelen</v>
      </c>
      <c r="L182" s="45" t="str">
        <f t="shared" si="8"/>
        <v>Dora – Miljković</v>
      </c>
      <c r="N182" s="103"/>
      <c r="O182" s="104"/>
      <c r="P182" s="105"/>
    </row>
    <row r="183" spans="2:16" x14ac:dyDescent="0.25">
      <c r="B183" s="103">
        <v>1526</v>
      </c>
      <c r="C183" s="104" t="s">
        <v>3233</v>
      </c>
      <c r="D183" s="104" t="s">
        <v>3857</v>
      </c>
      <c r="E183" s="104" t="s">
        <v>392</v>
      </c>
      <c r="F183" s="105" t="s">
        <v>3264</v>
      </c>
      <c r="H183" s="45" t="str">
        <f t="shared" si="6"/>
        <v>Nikolina – Miovec – OK Jelen – Ž35</v>
      </c>
      <c r="J183" s="45" t="str">
        <f t="shared" si="7"/>
        <v>Nikolina – Miovec – OK Jelen</v>
      </c>
      <c r="L183" s="45" t="str">
        <f t="shared" si="8"/>
        <v>Nikolina – Miovec</v>
      </c>
      <c r="N183" s="103"/>
      <c r="O183" s="104"/>
      <c r="P183" s="105"/>
    </row>
    <row r="184" spans="2:16" x14ac:dyDescent="0.25">
      <c r="B184" s="103">
        <v>1443</v>
      </c>
      <c r="C184" s="104" t="s">
        <v>1954</v>
      </c>
      <c r="D184" s="104" t="s">
        <v>3857</v>
      </c>
      <c r="E184" s="104" t="s">
        <v>392</v>
      </c>
      <c r="F184" s="105" t="s">
        <v>363</v>
      </c>
      <c r="H184" s="45" t="str">
        <f t="shared" si="6"/>
        <v>Vladimir – Miovec – OK Jelen – M12</v>
      </c>
      <c r="J184" s="45" t="str">
        <f t="shared" si="7"/>
        <v>Vladimir – Miovec – OK Jelen</v>
      </c>
      <c r="L184" s="45" t="str">
        <f t="shared" si="8"/>
        <v>Vladimir – Miovec</v>
      </c>
      <c r="N184" s="103"/>
      <c r="O184" s="104"/>
      <c r="P184" s="105"/>
    </row>
    <row r="185" spans="2:16" x14ac:dyDescent="0.25">
      <c r="B185" s="103">
        <v>1673</v>
      </c>
      <c r="C185" s="104" t="s">
        <v>604</v>
      </c>
      <c r="D185" s="104" t="s">
        <v>3858</v>
      </c>
      <c r="E185" s="104" t="s">
        <v>392</v>
      </c>
      <c r="F185" s="105" t="s">
        <v>885</v>
      </c>
      <c r="H185" s="45" t="str">
        <f t="shared" si="6"/>
        <v>Marko – Mlinac – OK Jelen – M21A</v>
      </c>
      <c r="J185" s="45" t="str">
        <f t="shared" si="7"/>
        <v>Marko – Mlinac – OK Jelen</v>
      </c>
      <c r="L185" s="45" t="str">
        <f t="shared" si="8"/>
        <v>Marko – Mlinac</v>
      </c>
      <c r="N185" s="103"/>
      <c r="O185" s="104"/>
      <c r="P185" s="105"/>
    </row>
    <row r="186" spans="2:16" x14ac:dyDescent="0.25">
      <c r="B186" s="103">
        <v>1416</v>
      </c>
      <c r="C186" s="104" t="s">
        <v>1831</v>
      </c>
      <c r="D186" s="104" t="s">
        <v>1830</v>
      </c>
      <c r="E186" s="104" t="s">
        <v>392</v>
      </c>
      <c r="F186" s="105" t="s">
        <v>1574</v>
      </c>
      <c r="H186" s="45" t="str">
        <f t="shared" si="6"/>
        <v>Dragutin – Mulig – OK Jelen – M35</v>
      </c>
      <c r="J186" s="45" t="str">
        <f t="shared" si="7"/>
        <v>Dragutin – Mulig – OK Jelen</v>
      </c>
      <c r="L186" s="45" t="str">
        <f t="shared" si="8"/>
        <v>Dragutin – Mulig</v>
      </c>
      <c r="N186" s="103"/>
      <c r="O186" s="104"/>
      <c r="P186" s="105"/>
    </row>
    <row r="187" spans="2:16" x14ac:dyDescent="0.25">
      <c r="B187" s="103">
        <v>1517</v>
      </c>
      <c r="C187" s="104" t="s">
        <v>1979</v>
      </c>
      <c r="D187" s="104" t="s">
        <v>1830</v>
      </c>
      <c r="E187" s="104" t="s">
        <v>392</v>
      </c>
      <c r="F187" s="105" t="s">
        <v>1129</v>
      </c>
      <c r="H187" s="45" t="str">
        <f t="shared" si="6"/>
        <v>Marijan – Mulig – OK Jelen – M21B</v>
      </c>
      <c r="J187" s="45" t="str">
        <f t="shared" si="7"/>
        <v>Marijan – Mulig – OK Jelen</v>
      </c>
      <c r="L187" s="45" t="str">
        <f t="shared" si="8"/>
        <v>Marijan – Mulig</v>
      </c>
      <c r="N187" s="103"/>
      <c r="O187" s="104"/>
      <c r="P187" s="105"/>
    </row>
    <row r="188" spans="2:16" x14ac:dyDescent="0.25">
      <c r="B188" s="103">
        <v>1293</v>
      </c>
      <c r="C188" s="104" t="s">
        <v>1363</v>
      </c>
      <c r="D188" s="104" t="s">
        <v>1882</v>
      </c>
      <c r="E188" s="104" t="s">
        <v>392</v>
      </c>
      <c r="F188" s="105" t="s">
        <v>1129</v>
      </c>
      <c r="H188" s="45" t="str">
        <f t="shared" si="6"/>
        <v>Domagoj – Novosel – OK Jelen – M21B</v>
      </c>
      <c r="J188" s="45" t="str">
        <f t="shared" si="7"/>
        <v>Domagoj – Novosel – OK Jelen</v>
      </c>
      <c r="L188" s="45" t="str">
        <f t="shared" si="8"/>
        <v>Domagoj – Novosel</v>
      </c>
      <c r="N188" s="103"/>
      <c r="O188" s="104"/>
      <c r="P188" s="105"/>
    </row>
    <row r="189" spans="2:16" x14ac:dyDescent="0.25">
      <c r="B189" s="103">
        <v>1115</v>
      </c>
      <c r="C189" s="104" t="s">
        <v>1248</v>
      </c>
      <c r="D189" s="104" t="s">
        <v>1882</v>
      </c>
      <c r="E189" s="104" t="s">
        <v>392</v>
      </c>
      <c r="F189" s="105" t="s">
        <v>1574</v>
      </c>
      <c r="H189" s="45" t="str">
        <f t="shared" si="6"/>
        <v>Zdravko – Novosel – OK Jelen – M35</v>
      </c>
      <c r="J189" s="45" t="str">
        <f t="shared" si="7"/>
        <v>Zdravko – Novosel – OK Jelen</v>
      </c>
      <c r="L189" s="45" t="str">
        <f t="shared" si="8"/>
        <v>Zdravko – Novosel</v>
      </c>
      <c r="N189" s="103"/>
      <c r="O189" s="104"/>
      <c r="P189" s="105"/>
    </row>
    <row r="190" spans="2:16" x14ac:dyDescent="0.25">
      <c r="B190" s="103">
        <v>1519</v>
      </c>
      <c r="C190" s="104" t="s">
        <v>1005</v>
      </c>
      <c r="D190" s="104" t="s">
        <v>3859</v>
      </c>
      <c r="E190" s="104" t="s">
        <v>392</v>
      </c>
      <c r="F190" s="105" t="s">
        <v>1129</v>
      </c>
      <c r="H190" s="45" t="str">
        <f t="shared" si="6"/>
        <v>Josip – Odžić – OK Jelen – M21B</v>
      </c>
      <c r="J190" s="45" t="str">
        <f t="shared" si="7"/>
        <v>Josip – Odžić – OK Jelen</v>
      </c>
      <c r="L190" s="45" t="str">
        <f t="shared" si="8"/>
        <v>Josip – Odžić</v>
      </c>
      <c r="N190" s="103"/>
      <c r="O190" s="104"/>
      <c r="P190" s="105"/>
    </row>
    <row r="191" spans="2:16" x14ac:dyDescent="0.25">
      <c r="B191" s="103">
        <v>1110</v>
      </c>
      <c r="C191" s="104" t="s">
        <v>508</v>
      </c>
      <c r="D191" s="104" t="s">
        <v>3860</v>
      </c>
      <c r="E191" s="104" t="s">
        <v>392</v>
      </c>
      <c r="F191" s="105" t="s">
        <v>486</v>
      </c>
      <c r="H191" s="45" t="str">
        <f t="shared" si="6"/>
        <v>Luka – Oslaković – OK Jelen – M14</v>
      </c>
      <c r="J191" s="45" t="str">
        <f t="shared" si="7"/>
        <v>Luka – Oslaković – OK Jelen</v>
      </c>
      <c r="L191" s="45" t="str">
        <f t="shared" si="8"/>
        <v>Luka – Oslaković</v>
      </c>
      <c r="N191" s="103"/>
      <c r="O191" s="104"/>
      <c r="P191" s="105"/>
    </row>
    <row r="192" spans="2:16" x14ac:dyDescent="0.25">
      <c r="B192" s="103">
        <v>1201</v>
      </c>
      <c r="C192" s="104" t="s">
        <v>1073</v>
      </c>
      <c r="D192" s="104" t="s">
        <v>3861</v>
      </c>
      <c r="E192" s="104" t="s">
        <v>392</v>
      </c>
      <c r="F192" s="105" t="s">
        <v>1129</v>
      </c>
      <c r="H192" s="45" t="str">
        <f t="shared" si="6"/>
        <v>Vedran – Papa – OK Jelen – M21B</v>
      </c>
      <c r="J192" s="45" t="str">
        <f t="shared" si="7"/>
        <v>Vedran – Papa – OK Jelen</v>
      </c>
      <c r="L192" s="45" t="str">
        <f t="shared" si="8"/>
        <v>Vedran – Papa</v>
      </c>
      <c r="N192" s="103"/>
      <c r="O192" s="104"/>
      <c r="P192" s="105"/>
    </row>
    <row r="193" spans="2:16" x14ac:dyDescent="0.25">
      <c r="B193" s="103">
        <v>1674</v>
      </c>
      <c r="C193" s="104" t="s">
        <v>3862</v>
      </c>
      <c r="D193" s="104" t="s">
        <v>3863</v>
      </c>
      <c r="E193" s="104" t="s">
        <v>392</v>
      </c>
      <c r="F193" s="105" t="s">
        <v>885</v>
      </c>
      <c r="H193" s="45" t="str">
        <f t="shared" si="6"/>
        <v>Mijat – Perić – OK Jelen – M21A</v>
      </c>
      <c r="J193" s="45" t="str">
        <f t="shared" si="7"/>
        <v>Mijat – Perić – OK Jelen</v>
      </c>
      <c r="L193" s="45" t="str">
        <f t="shared" si="8"/>
        <v>Mijat – Perić</v>
      </c>
      <c r="N193" s="103"/>
      <c r="O193" s="104"/>
      <c r="P193" s="105"/>
    </row>
    <row r="194" spans="2:16" x14ac:dyDescent="0.25">
      <c r="B194" s="103">
        <v>1675</v>
      </c>
      <c r="C194" s="104" t="s">
        <v>3864</v>
      </c>
      <c r="D194" s="104" t="s">
        <v>3865</v>
      </c>
      <c r="E194" s="104" t="s">
        <v>392</v>
      </c>
      <c r="F194" s="105" t="s">
        <v>1908</v>
      </c>
      <c r="H194" s="45" t="str">
        <f t="shared" si="6"/>
        <v>Drago – Rusan – OK Jelen – M45</v>
      </c>
      <c r="J194" s="45" t="str">
        <f t="shared" si="7"/>
        <v>Drago – Rusan – OK Jelen</v>
      </c>
      <c r="L194" s="45" t="str">
        <f t="shared" si="8"/>
        <v>Drago – Rusan</v>
      </c>
      <c r="N194" s="103"/>
      <c r="O194" s="104"/>
      <c r="P194" s="105"/>
    </row>
    <row r="195" spans="2:16" x14ac:dyDescent="0.25">
      <c r="B195" s="103">
        <v>1505</v>
      </c>
      <c r="C195" s="104" t="s">
        <v>1248</v>
      </c>
      <c r="D195" s="104" t="s">
        <v>2169</v>
      </c>
      <c r="E195" s="104" t="s">
        <v>392</v>
      </c>
      <c r="F195" s="105" t="s">
        <v>1908</v>
      </c>
      <c r="H195" s="45" t="str">
        <f t="shared" si="6"/>
        <v>Zdravko – Šaflin – OK Jelen – M45</v>
      </c>
      <c r="J195" s="45" t="str">
        <f t="shared" si="7"/>
        <v>Zdravko – Šaflin – OK Jelen</v>
      </c>
      <c r="L195" s="45" t="str">
        <f t="shared" si="8"/>
        <v>Zdravko – Šaflin</v>
      </c>
      <c r="N195" s="103"/>
      <c r="O195" s="104"/>
      <c r="P195" s="105"/>
    </row>
    <row r="196" spans="2:16" x14ac:dyDescent="0.25">
      <c r="B196" s="103">
        <v>1873</v>
      </c>
      <c r="C196" s="104" t="s">
        <v>452</v>
      </c>
      <c r="D196" s="104" t="s">
        <v>3866</v>
      </c>
      <c r="E196" s="104" t="s">
        <v>392</v>
      </c>
      <c r="F196" s="105" t="s">
        <v>363</v>
      </c>
      <c r="H196" s="45" t="str">
        <f t="shared" si="6"/>
        <v>Petar – Šalaj – OK Jelen – M12</v>
      </c>
      <c r="J196" s="45" t="str">
        <f t="shared" si="7"/>
        <v>Petar – Šalaj – OK Jelen</v>
      </c>
      <c r="L196" s="45" t="str">
        <f t="shared" si="8"/>
        <v>Petar – Šalaj</v>
      </c>
      <c r="N196" s="103"/>
      <c r="O196" s="104"/>
      <c r="P196" s="105"/>
    </row>
    <row r="197" spans="2:16" x14ac:dyDescent="0.25">
      <c r="B197" s="103">
        <v>1605</v>
      </c>
      <c r="C197" s="104" t="s">
        <v>3867</v>
      </c>
      <c r="D197" s="104" t="s">
        <v>3868</v>
      </c>
      <c r="E197" s="104" t="s">
        <v>392</v>
      </c>
      <c r="F197" s="105" t="s">
        <v>1908</v>
      </c>
      <c r="H197" s="45" t="str">
        <f t="shared" si="6"/>
        <v>Davor – Šćuric – OK Jelen – M45</v>
      </c>
      <c r="J197" s="45" t="str">
        <f t="shared" si="7"/>
        <v>Davor – Šćuric – OK Jelen</v>
      </c>
      <c r="L197" s="45" t="str">
        <f t="shared" si="8"/>
        <v>Davor – Šćuric</v>
      </c>
      <c r="N197" s="103"/>
      <c r="O197" s="104"/>
      <c r="P197" s="105"/>
    </row>
    <row r="198" spans="2:16" x14ac:dyDescent="0.25">
      <c r="B198" s="103">
        <v>1111</v>
      </c>
      <c r="C198" s="104" t="s">
        <v>437</v>
      </c>
      <c r="D198" s="104" t="s">
        <v>3869</v>
      </c>
      <c r="E198" s="104" t="s">
        <v>392</v>
      </c>
      <c r="F198" s="105" t="s">
        <v>1574</v>
      </c>
      <c r="H198" s="45" t="str">
        <f t="shared" si="6"/>
        <v>Ivan – Šeperić-Grdiša – OK Jelen – M35</v>
      </c>
      <c r="J198" s="45" t="str">
        <f t="shared" si="7"/>
        <v>Ivan – Šeperić-Grdiša – OK Jelen</v>
      </c>
      <c r="L198" s="45" t="str">
        <f t="shared" si="8"/>
        <v>Ivan – Šeperić-Grdiša</v>
      </c>
      <c r="N198" s="103"/>
      <c r="O198" s="104"/>
      <c r="P198" s="105"/>
    </row>
    <row r="199" spans="2:16" x14ac:dyDescent="0.25">
      <c r="B199" s="103">
        <v>1381</v>
      </c>
      <c r="C199" s="104" t="s">
        <v>3327</v>
      </c>
      <c r="D199" s="104" t="s">
        <v>3326</v>
      </c>
      <c r="E199" s="104" t="s">
        <v>392</v>
      </c>
      <c r="F199" s="105" t="s">
        <v>3264</v>
      </c>
      <c r="H199" s="45" t="str">
        <f t="shared" si="6"/>
        <v>Sabina – Seražin Korper – OK Jelen – Ž35</v>
      </c>
      <c r="J199" s="45" t="str">
        <f t="shared" si="7"/>
        <v>Sabina – Seražin Korper – OK Jelen</v>
      </c>
      <c r="L199" s="45" t="str">
        <f t="shared" si="8"/>
        <v>Sabina – Seražin Korper</v>
      </c>
      <c r="N199" s="103"/>
      <c r="O199" s="104"/>
      <c r="P199" s="105"/>
    </row>
    <row r="200" spans="2:16" x14ac:dyDescent="0.25">
      <c r="B200" s="103">
        <v>1256</v>
      </c>
      <c r="C200" s="104" t="s">
        <v>3870</v>
      </c>
      <c r="D200" s="104" t="s">
        <v>3871</v>
      </c>
      <c r="E200" s="104" t="s">
        <v>392</v>
      </c>
      <c r="F200" s="105" t="s">
        <v>768</v>
      </c>
      <c r="H200" s="45" t="str">
        <f t="shared" si="6"/>
        <v>Gabriel – Šiljevinac – OK Jelen – M20</v>
      </c>
      <c r="J200" s="45" t="str">
        <f t="shared" si="7"/>
        <v>Gabriel – Šiljevinac – OK Jelen</v>
      </c>
      <c r="L200" s="45" t="str">
        <f t="shared" si="8"/>
        <v>Gabriel – Šiljevinac</v>
      </c>
      <c r="N200" s="103"/>
      <c r="O200" s="104"/>
      <c r="P200" s="105"/>
    </row>
    <row r="201" spans="2:16" x14ac:dyDescent="0.25">
      <c r="B201" s="103">
        <v>1214</v>
      </c>
      <c r="C201" s="104" t="s">
        <v>3872</v>
      </c>
      <c r="D201" s="104" t="s">
        <v>3873</v>
      </c>
      <c r="E201" s="104" t="s">
        <v>392</v>
      </c>
      <c r="F201" s="105" t="s">
        <v>3000</v>
      </c>
      <c r="H201" s="45" t="str">
        <f t="shared" si="6"/>
        <v>Monika Martina – Sipina Halper – OK Jelen – Ž21A</v>
      </c>
      <c r="J201" s="45" t="str">
        <f t="shared" si="7"/>
        <v>Monika Martina – Sipina Halper – OK Jelen</v>
      </c>
      <c r="L201" s="45" t="str">
        <f t="shared" si="8"/>
        <v>Monika Martina – Sipina Halper</v>
      </c>
      <c r="N201" s="103"/>
      <c r="O201" s="104"/>
      <c r="P201" s="105"/>
    </row>
    <row r="202" spans="2:16" x14ac:dyDescent="0.25">
      <c r="B202" s="103">
        <v>1461</v>
      </c>
      <c r="C202" s="104" t="s">
        <v>3874</v>
      </c>
      <c r="D202" s="104" t="s">
        <v>3875</v>
      </c>
      <c r="E202" s="104" t="s">
        <v>392</v>
      </c>
      <c r="F202" s="105" t="s">
        <v>486</v>
      </c>
      <c r="H202" s="45" t="str">
        <f t="shared" si="6"/>
        <v>Gabrijel – Solenički – OK Jelen – M14</v>
      </c>
      <c r="J202" s="45" t="str">
        <f t="shared" si="7"/>
        <v>Gabrijel – Solenički – OK Jelen</v>
      </c>
      <c r="L202" s="45" t="str">
        <f t="shared" si="8"/>
        <v>Gabrijel – Solenički</v>
      </c>
      <c r="N202" s="103"/>
      <c r="O202" s="104"/>
      <c r="P202" s="105"/>
    </row>
    <row r="203" spans="2:16" x14ac:dyDescent="0.25">
      <c r="B203" s="103">
        <v>1626</v>
      </c>
      <c r="C203" s="104" t="s">
        <v>3876</v>
      </c>
      <c r="D203" s="104" t="s">
        <v>3877</v>
      </c>
      <c r="E203" s="104" t="s">
        <v>392</v>
      </c>
      <c r="F203" s="105" t="s">
        <v>363</v>
      </c>
      <c r="H203" s="45" t="str">
        <f t="shared" ref="H203:H266" si="9">IF(C203="","",C203) &amp; IF(D203="",""," – " &amp; D203) &amp; IF(E203="",""," – " &amp; E203) &amp; IF(F203="",""," – " &amp; F203)</f>
        <v>Samuel – Spretnjak – OK Jelen – M12</v>
      </c>
      <c r="J203" s="45" t="str">
        <f t="shared" ref="J203:J266" si="10">IF(C203="","",C203) &amp; IF(D203="",""," – " &amp; D203) &amp; IF(E203="",""," – " &amp; E203)</f>
        <v>Samuel – Spretnjak – OK Jelen</v>
      </c>
      <c r="L203" s="45" t="str">
        <f t="shared" ref="L203:L266" si="11">IF(C203="","",C203) &amp; IF(D203="",""," – " &amp; D203)</f>
        <v>Samuel – Spretnjak</v>
      </c>
      <c r="N203" s="103"/>
      <c r="O203" s="104"/>
      <c r="P203" s="105"/>
    </row>
    <row r="204" spans="2:16" x14ac:dyDescent="0.25">
      <c r="B204" s="103">
        <v>1164</v>
      </c>
      <c r="C204" s="104" t="s">
        <v>1903</v>
      </c>
      <c r="D204" s="104" t="s">
        <v>1902</v>
      </c>
      <c r="E204" s="104" t="s">
        <v>392</v>
      </c>
      <c r="F204" s="105" t="s">
        <v>1574</v>
      </c>
      <c r="H204" s="45" t="str">
        <f t="shared" si="9"/>
        <v>Dalibor – Stankovski – OK Jelen – M35</v>
      </c>
      <c r="J204" s="45" t="str">
        <f t="shared" si="10"/>
        <v>Dalibor – Stankovski – OK Jelen</v>
      </c>
      <c r="L204" s="45" t="str">
        <f t="shared" si="11"/>
        <v>Dalibor – Stankovski</v>
      </c>
      <c r="N204" s="103"/>
      <c r="O204" s="104"/>
      <c r="P204" s="105"/>
    </row>
    <row r="205" spans="2:16" x14ac:dyDescent="0.25">
      <c r="B205" s="103">
        <v>1614</v>
      </c>
      <c r="C205" s="104" t="s">
        <v>2536</v>
      </c>
      <c r="D205" s="104" t="s">
        <v>3878</v>
      </c>
      <c r="E205" s="104" t="s">
        <v>392</v>
      </c>
      <c r="F205" s="105" t="s">
        <v>3264</v>
      </c>
      <c r="H205" s="45" t="str">
        <f t="shared" si="9"/>
        <v>Sandra – Stinčić Clarke – OK Jelen – Ž35</v>
      </c>
      <c r="J205" s="45" t="str">
        <f t="shared" si="10"/>
        <v>Sandra – Stinčić Clarke – OK Jelen</v>
      </c>
      <c r="L205" s="45" t="str">
        <f t="shared" si="11"/>
        <v>Sandra – Stinčić Clarke</v>
      </c>
      <c r="N205" s="103"/>
      <c r="O205" s="104"/>
      <c r="P205" s="105"/>
    </row>
    <row r="206" spans="2:16" x14ac:dyDescent="0.25">
      <c r="B206" s="103">
        <v>1162</v>
      </c>
      <c r="C206" s="104" t="s">
        <v>387</v>
      </c>
      <c r="D206" s="104" t="s">
        <v>386</v>
      </c>
      <c r="E206" s="104" t="s">
        <v>392</v>
      </c>
      <c r="F206" s="105" t="s">
        <v>363</v>
      </c>
      <c r="H206" s="45" t="str">
        <f t="shared" si="9"/>
        <v>Marin – Tanković – OK Jelen – M12</v>
      </c>
      <c r="J206" s="45" t="str">
        <f t="shared" si="10"/>
        <v>Marin – Tanković – OK Jelen</v>
      </c>
      <c r="L206" s="45" t="str">
        <f t="shared" si="11"/>
        <v>Marin – Tanković</v>
      </c>
      <c r="N206" s="103"/>
      <c r="O206" s="104"/>
      <c r="P206" s="105"/>
    </row>
    <row r="207" spans="2:16" x14ac:dyDescent="0.25">
      <c r="B207" s="103">
        <v>1119</v>
      </c>
      <c r="C207" s="104" t="s">
        <v>604</v>
      </c>
      <c r="D207" s="104" t="s">
        <v>386</v>
      </c>
      <c r="E207" s="104" t="s">
        <v>392</v>
      </c>
      <c r="F207" s="105" t="s">
        <v>486</v>
      </c>
      <c r="H207" s="45" t="str">
        <f t="shared" si="9"/>
        <v>Marko – Tanković – OK Jelen – M14</v>
      </c>
      <c r="J207" s="45" t="str">
        <f t="shared" si="10"/>
        <v>Marko – Tanković – OK Jelen</v>
      </c>
      <c r="L207" s="45" t="str">
        <f t="shared" si="11"/>
        <v>Marko – Tanković</v>
      </c>
      <c r="N207" s="103"/>
      <c r="O207" s="104"/>
      <c r="P207" s="105"/>
    </row>
    <row r="208" spans="2:16" x14ac:dyDescent="0.25">
      <c r="B208" s="103">
        <v>1355</v>
      </c>
      <c r="C208" s="104" t="s">
        <v>1866</v>
      </c>
      <c r="D208" s="104" t="s">
        <v>1865</v>
      </c>
      <c r="E208" s="104" t="s">
        <v>392</v>
      </c>
      <c r="F208" s="105" t="s">
        <v>1574</v>
      </c>
      <c r="H208" s="45" t="str">
        <f t="shared" si="9"/>
        <v>Damir – Tubin – OK Jelen – M35</v>
      </c>
      <c r="J208" s="45" t="str">
        <f t="shared" si="10"/>
        <v>Damir – Tubin – OK Jelen</v>
      </c>
      <c r="L208" s="45" t="str">
        <f t="shared" si="11"/>
        <v>Damir – Tubin</v>
      </c>
      <c r="N208" s="103"/>
      <c r="O208" s="104"/>
      <c r="P208" s="105"/>
    </row>
    <row r="209" spans="2:16" x14ac:dyDescent="0.25">
      <c r="B209" s="103">
        <v>1874</v>
      </c>
      <c r="C209" s="104" t="s">
        <v>3879</v>
      </c>
      <c r="D209" s="104" t="s">
        <v>1865</v>
      </c>
      <c r="E209" s="104" t="s">
        <v>392</v>
      </c>
      <c r="F209" s="105" t="s">
        <v>363</v>
      </c>
      <c r="H209" s="45" t="str">
        <f t="shared" si="9"/>
        <v>Dorijan – Tubin – OK Jelen – M12</v>
      </c>
      <c r="J209" s="45" t="str">
        <f t="shared" si="10"/>
        <v>Dorijan – Tubin – OK Jelen</v>
      </c>
      <c r="L209" s="45" t="str">
        <f t="shared" si="11"/>
        <v>Dorijan – Tubin</v>
      </c>
      <c r="N209" s="103"/>
      <c r="O209" s="104"/>
      <c r="P209" s="105"/>
    </row>
    <row r="210" spans="2:16" x14ac:dyDescent="0.25">
      <c r="B210" s="103">
        <v>1142</v>
      </c>
      <c r="C210" s="104" t="s">
        <v>1320</v>
      </c>
      <c r="D210" s="104" t="s">
        <v>3880</v>
      </c>
      <c r="E210" s="104" t="s">
        <v>392</v>
      </c>
      <c r="F210" s="105" t="s">
        <v>1908</v>
      </c>
      <c r="H210" s="45" t="str">
        <f t="shared" si="9"/>
        <v>Željko – Vinšćak – OK Jelen – M45</v>
      </c>
      <c r="J210" s="45" t="str">
        <f t="shared" si="10"/>
        <v>Željko – Vinšćak – OK Jelen</v>
      </c>
      <c r="L210" s="45" t="str">
        <f t="shared" si="11"/>
        <v>Željko – Vinšćak</v>
      </c>
      <c r="N210" s="103"/>
      <c r="O210" s="104"/>
      <c r="P210" s="105"/>
    </row>
    <row r="211" spans="2:16" x14ac:dyDescent="0.25">
      <c r="B211" s="103">
        <v>1101</v>
      </c>
      <c r="C211" s="104" t="s">
        <v>2601</v>
      </c>
      <c r="D211" s="104" t="s">
        <v>3881</v>
      </c>
      <c r="E211" s="104" t="s">
        <v>392</v>
      </c>
      <c r="F211" s="105" t="s">
        <v>2731</v>
      </c>
      <c r="H211" s="45" t="str">
        <f t="shared" si="9"/>
        <v>Petra – Vučinić – OK Jelen – Ž14</v>
      </c>
      <c r="J211" s="45" t="str">
        <f t="shared" si="10"/>
        <v>Petra – Vučinić – OK Jelen</v>
      </c>
      <c r="L211" s="45" t="str">
        <f t="shared" si="11"/>
        <v>Petra – Vučinić</v>
      </c>
      <c r="N211" s="103"/>
      <c r="O211" s="104"/>
      <c r="P211" s="105"/>
    </row>
    <row r="212" spans="2:16" x14ac:dyDescent="0.25">
      <c r="B212" s="103">
        <v>1120</v>
      </c>
      <c r="C212" s="104" t="s">
        <v>3777</v>
      </c>
      <c r="D212" s="104" t="s">
        <v>3882</v>
      </c>
      <c r="E212" s="104" t="s">
        <v>392</v>
      </c>
      <c r="F212" s="105" t="s">
        <v>885</v>
      </c>
      <c r="H212" s="45" t="str">
        <f t="shared" si="9"/>
        <v>Igor – Vukmirović – OK Jelen – M21A</v>
      </c>
      <c r="J212" s="45" t="str">
        <f t="shared" si="10"/>
        <v>Igor – Vukmirović – OK Jelen</v>
      </c>
      <c r="L212" s="45" t="str">
        <f t="shared" si="11"/>
        <v>Igor – Vukmirović</v>
      </c>
      <c r="N212" s="103"/>
      <c r="O212" s="104"/>
      <c r="P212" s="105"/>
    </row>
    <row r="213" spans="2:16" x14ac:dyDescent="0.25">
      <c r="B213" s="103">
        <v>1107</v>
      </c>
      <c r="C213" s="104" t="s">
        <v>740</v>
      </c>
      <c r="D213" s="104" t="s">
        <v>3883</v>
      </c>
      <c r="E213" s="104" t="s">
        <v>392</v>
      </c>
      <c r="F213" s="105" t="s">
        <v>1129</v>
      </c>
      <c r="H213" s="45" t="str">
        <f t="shared" si="9"/>
        <v>Goran – Žalac – OK Jelen – M21B</v>
      </c>
      <c r="J213" s="45" t="str">
        <f t="shared" si="10"/>
        <v>Goran – Žalac – OK Jelen</v>
      </c>
      <c r="L213" s="45" t="str">
        <f t="shared" si="11"/>
        <v>Goran – Žalac</v>
      </c>
      <c r="N213" s="103"/>
      <c r="O213" s="104"/>
      <c r="P213" s="105"/>
    </row>
    <row r="214" spans="2:16" x14ac:dyDescent="0.25">
      <c r="B214" s="103">
        <v>1596</v>
      </c>
      <c r="C214" s="104" t="s">
        <v>2304</v>
      </c>
      <c r="D214" s="104" t="s">
        <v>3884</v>
      </c>
      <c r="E214" s="104" t="s">
        <v>392</v>
      </c>
      <c r="F214" s="105" t="s">
        <v>1574</v>
      </c>
      <c r="H214" s="45" t="str">
        <f t="shared" si="9"/>
        <v>Nenad – Zdjelar – OK Jelen – M35</v>
      </c>
      <c r="J214" s="45" t="str">
        <f t="shared" si="10"/>
        <v>Nenad – Zdjelar – OK Jelen</v>
      </c>
      <c r="L214" s="45" t="str">
        <f t="shared" si="11"/>
        <v>Nenad – Zdjelar</v>
      </c>
      <c r="N214" s="103"/>
      <c r="O214" s="104"/>
      <c r="P214" s="105"/>
    </row>
    <row r="215" spans="2:16" x14ac:dyDescent="0.25">
      <c r="B215" s="103">
        <v>1312</v>
      </c>
      <c r="C215" s="104" t="s">
        <v>3885</v>
      </c>
      <c r="D215" s="104" t="s">
        <v>3886</v>
      </c>
      <c r="E215" s="104" t="s">
        <v>529</v>
      </c>
      <c r="F215" s="105" t="s">
        <v>1129</v>
      </c>
      <c r="H215" s="45" t="str">
        <f t="shared" si="9"/>
        <v>Franko – Bajlo – OK Kapela – M21B</v>
      </c>
      <c r="J215" s="45" t="str">
        <f t="shared" si="10"/>
        <v>Franko – Bajlo – OK Kapela</v>
      </c>
      <c r="L215" s="45" t="str">
        <f t="shared" si="11"/>
        <v>Franko – Bajlo</v>
      </c>
      <c r="N215" s="103"/>
      <c r="O215" s="104"/>
      <c r="P215" s="105"/>
    </row>
    <row r="216" spans="2:16" x14ac:dyDescent="0.25">
      <c r="B216" s="103">
        <v>1941</v>
      </c>
      <c r="C216" s="104" t="s">
        <v>1546</v>
      </c>
      <c r="D216" s="104" t="s">
        <v>1545</v>
      </c>
      <c r="E216" s="104" t="s">
        <v>529</v>
      </c>
      <c r="F216" s="105" t="s">
        <v>1129</v>
      </c>
      <c r="H216" s="45" t="str">
        <f t="shared" si="9"/>
        <v>Ante – Balić – OK Kapela – M21B</v>
      </c>
      <c r="J216" s="45" t="str">
        <f t="shared" si="10"/>
        <v>Ante – Balić – OK Kapela</v>
      </c>
      <c r="L216" s="45" t="str">
        <f t="shared" si="11"/>
        <v>Ante – Balić</v>
      </c>
      <c r="N216" s="103"/>
      <c r="O216" s="104"/>
      <c r="P216" s="105"/>
    </row>
    <row r="217" spans="2:16" x14ac:dyDescent="0.25">
      <c r="B217" s="103">
        <v>1087</v>
      </c>
      <c r="C217" s="104" t="s">
        <v>3887</v>
      </c>
      <c r="D217" s="104" t="s">
        <v>3888</v>
      </c>
      <c r="E217" s="104" t="s">
        <v>529</v>
      </c>
      <c r="F217" s="105" t="s">
        <v>3442</v>
      </c>
      <c r="H217" s="45" t="str">
        <f t="shared" si="9"/>
        <v>Nada – Baturina – OK Kapela – Ž45</v>
      </c>
      <c r="J217" s="45" t="str">
        <f t="shared" si="10"/>
        <v>Nada – Baturina – OK Kapela</v>
      </c>
      <c r="L217" s="45" t="str">
        <f t="shared" si="11"/>
        <v>Nada – Baturina</v>
      </c>
      <c r="N217" s="103"/>
      <c r="O217" s="104"/>
      <c r="P217" s="105"/>
    </row>
    <row r="218" spans="2:16" x14ac:dyDescent="0.25">
      <c r="B218" s="103">
        <v>1175</v>
      </c>
      <c r="C218" s="104" t="s">
        <v>2536</v>
      </c>
      <c r="D218" s="104" t="s">
        <v>3380</v>
      </c>
      <c r="E218" s="104" t="s">
        <v>529</v>
      </c>
      <c r="F218" s="105" t="s">
        <v>3264</v>
      </c>
      <c r="H218" s="45" t="str">
        <f t="shared" si="9"/>
        <v>Sandra – Bergant Vidaković – OK Kapela – Ž35</v>
      </c>
      <c r="J218" s="45" t="str">
        <f t="shared" si="10"/>
        <v>Sandra – Bergant Vidaković – OK Kapela</v>
      </c>
      <c r="L218" s="45" t="str">
        <f t="shared" si="11"/>
        <v>Sandra – Bergant Vidaković</v>
      </c>
      <c r="N218" s="103"/>
      <c r="O218" s="109"/>
      <c r="P218" s="105"/>
    </row>
    <row r="219" spans="2:16" x14ac:dyDescent="0.25">
      <c r="B219" s="103">
        <v>1056</v>
      </c>
      <c r="C219" s="104" t="s">
        <v>1073</v>
      </c>
      <c r="D219" s="104" t="s">
        <v>1072</v>
      </c>
      <c r="E219" s="104" t="s">
        <v>529</v>
      </c>
      <c r="F219" s="105" t="s">
        <v>885</v>
      </c>
      <c r="H219" s="45" t="str">
        <f t="shared" si="9"/>
        <v>Vedran – Berković – OK Kapela – M21A</v>
      </c>
      <c r="J219" s="45" t="str">
        <f t="shared" si="10"/>
        <v>Vedran – Berković – OK Kapela</v>
      </c>
      <c r="L219" s="45" t="str">
        <f t="shared" si="11"/>
        <v>Vedran – Berković</v>
      </c>
      <c r="N219" s="103"/>
      <c r="O219" s="104"/>
      <c r="P219" s="105"/>
    </row>
    <row r="220" spans="2:16" x14ac:dyDescent="0.25">
      <c r="B220" s="103">
        <v>1219</v>
      </c>
      <c r="C220" s="104" t="s">
        <v>3889</v>
      </c>
      <c r="D220" s="104" t="s">
        <v>3890</v>
      </c>
      <c r="E220" s="104" t="s">
        <v>529</v>
      </c>
      <c r="F220" s="105" t="s">
        <v>2194</v>
      </c>
      <c r="H220" s="45" t="str">
        <f t="shared" si="9"/>
        <v>Branko – Bernardić – OK Kapela – M55</v>
      </c>
      <c r="J220" s="45" t="str">
        <f t="shared" si="10"/>
        <v>Branko – Bernardić – OK Kapela</v>
      </c>
      <c r="L220" s="45" t="str">
        <f t="shared" si="11"/>
        <v>Branko – Bernardić</v>
      </c>
      <c r="N220" s="103"/>
      <c r="O220" s="104"/>
      <c r="P220" s="105"/>
    </row>
    <row r="221" spans="2:16" x14ac:dyDescent="0.25">
      <c r="B221" s="103">
        <v>1368</v>
      </c>
      <c r="C221" s="104" t="s">
        <v>3290</v>
      </c>
      <c r="D221" s="104" t="s">
        <v>3289</v>
      </c>
      <c r="E221" s="104" t="s">
        <v>529</v>
      </c>
      <c r="F221" s="105" t="s">
        <v>3264</v>
      </c>
      <c r="H221" s="45" t="str">
        <f t="shared" si="9"/>
        <v>Sanda – Berženji – OK Kapela – Ž35</v>
      </c>
      <c r="J221" s="45" t="str">
        <f t="shared" si="10"/>
        <v>Sanda – Berženji – OK Kapela</v>
      </c>
      <c r="L221" s="45" t="str">
        <f t="shared" si="11"/>
        <v>Sanda – Berženji</v>
      </c>
      <c r="N221" s="103"/>
      <c r="O221" s="104"/>
      <c r="P221" s="105"/>
    </row>
    <row r="222" spans="2:16" x14ac:dyDescent="0.25">
      <c r="B222" s="103">
        <v>1782</v>
      </c>
      <c r="C222" s="104" t="s">
        <v>3887</v>
      </c>
      <c r="D222" s="104" t="s">
        <v>3891</v>
      </c>
      <c r="E222" s="104" t="s">
        <v>529</v>
      </c>
      <c r="F222" s="105" t="s">
        <v>3093</v>
      </c>
      <c r="H222" s="45" t="str">
        <f t="shared" si="9"/>
        <v>Nada – Bilobrk – OK Kapela – Ž21B</v>
      </c>
      <c r="J222" s="45" t="str">
        <f t="shared" si="10"/>
        <v>Nada – Bilobrk – OK Kapela</v>
      </c>
      <c r="L222" s="45" t="str">
        <f t="shared" si="11"/>
        <v>Nada – Bilobrk</v>
      </c>
      <c r="N222" s="103"/>
      <c r="O222" s="104"/>
      <c r="P222" s="105"/>
    </row>
    <row r="223" spans="2:16" x14ac:dyDescent="0.25">
      <c r="B223" s="103">
        <v>1783</v>
      </c>
      <c r="C223" s="104" t="s">
        <v>1482</v>
      </c>
      <c r="D223" s="104" t="s">
        <v>3892</v>
      </c>
      <c r="E223" s="104" t="s">
        <v>529</v>
      </c>
      <c r="F223" s="105"/>
      <c r="H223" s="45" t="str">
        <f t="shared" si="9"/>
        <v>Hrvoje – Bolešić – OK Kapela</v>
      </c>
      <c r="J223" s="45" t="str">
        <f t="shared" si="10"/>
        <v>Hrvoje – Bolešić – OK Kapela</v>
      </c>
      <c r="L223" s="45" t="str">
        <f t="shared" si="11"/>
        <v>Hrvoje – Bolešić</v>
      </c>
      <c r="N223" s="103"/>
      <c r="O223" s="104"/>
      <c r="P223" s="105"/>
    </row>
    <row r="224" spans="2:16" x14ac:dyDescent="0.25">
      <c r="B224" s="103">
        <v>1784</v>
      </c>
      <c r="C224" s="104" t="s">
        <v>3893</v>
      </c>
      <c r="D224" s="104" t="s">
        <v>3894</v>
      </c>
      <c r="E224" s="104" t="s">
        <v>529</v>
      </c>
      <c r="F224" s="105"/>
      <c r="H224" s="45" t="str">
        <f t="shared" si="9"/>
        <v>Liliana – Božić – OK Kapela</v>
      </c>
      <c r="J224" s="45" t="str">
        <f t="shared" si="10"/>
        <v>Liliana – Božić – OK Kapela</v>
      </c>
      <c r="L224" s="45" t="str">
        <f t="shared" si="11"/>
        <v>Liliana – Božić</v>
      </c>
      <c r="N224" s="103"/>
      <c r="O224" s="104"/>
      <c r="P224" s="105"/>
    </row>
    <row r="225" spans="2:16" x14ac:dyDescent="0.25">
      <c r="B225" s="103">
        <v>1376</v>
      </c>
      <c r="C225" s="104" t="s">
        <v>2911</v>
      </c>
      <c r="D225" s="104" t="s">
        <v>3895</v>
      </c>
      <c r="E225" s="104" t="s">
        <v>529</v>
      </c>
      <c r="F225" s="105" t="s">
        <v>3264</v>
      </c>
      <c r="H225" s="45" t="str">
        <f t="shared" si="9"/>
        <v>Jelena – Brezak – OK Kapela – Ž35</v>
      </c>
      <c r="J225" s="45" t="str">
        <f t="shared" si="10"/>
        <v>Jelena – Brezak – OK Kapela</v>
      </c>
      <c r="L225" s="45" t="str">
        <f t="shared" si="11"/>
        <v>Jelena – Brezak</v>
      </c>
      <c r="N225" s="103"/>
      <c r="O225" s="104"/>
      <c r="P225" s="105"/>
    </row>
    <row r="226" spans="2:16" x14ac:dyDescent="0.25">
      <c r="B226" s="103">
        <v>1125</v>
      </c>
      <c r="C226" s="104" t="s">
        <v>437</v>
      </c>
      <c r="D226" s="104" t="s">
        <v>1679</v>
      </c>
      <c r="E226" s="104" t="s">
        <v>529</v>
      </c>
      <c r="F226" s="105" t="s">
        <v>1574</v>
      </c>
      <c r="H226" s="45" t="str">
        <f t="shared" si="9"/>
        <v>Ivan – Bublić – OK Kapela – M35</v>
      </c>
      <c r="J226" s="45" t="str">
        <f t="shared" si="10"/>
        <v>Ivan – Bublić – OK Kapela</v>
      </c>
      <c r="L226" s="45" t="str">
        <f t="shared" si="11"/>
        <v>Ivan – Bublić</v>
      </c>
      <c r="N226" s="103"/>
      <c r="O226" s="104"/>
      <c r="P226" s="105"/>
    </row>
    <row r="227" spans="2:16" x14ac:dyDescent="0.25">
      <c r="B227" s="103">
        <v>1849</v>
      </c>
      <c r="C227" s="104" t="s">
        <v>604</v>
      </c>
      <c r="D227" s="104" t="s">
        <v>1796</v>
      </c>
      <c r="E227" s="104" t="s">
        <v>529</v>
      </c>
      <c r="F227" s="105" t="s">
        <v>1574</v>
      </c>
      <c r="H227" s="45" t="str">
        <f t="shared" si="9"/>
        <v>Marko – Bunčić – OK Kapela – M35</v>
      </c>
      <c r="J227" s="45" t="str">
        <f t="shared" si="10"/>
        <v>Marko – Bunčić – OK Kapela</v>
      </c>
      <c r="L227" s="45" t="str">
        <f t="shared" si="11"/>
        <v>Marko – Bunčić</v>
      </c>
      <c r="N227" s="103"/>
      <c r="O227" s="104"/>
      <c r="P227" s="105"/>
    </row>
    <row r="228" spans="2:16" x14ac:dyDescent="0.25">
      <c r="B228" s="103">
        <v>1471</v>
      </c>
      <c r="C228" s="104" t="s">
        <v>3867</v>
      </c>
      <c r="D228" s="104" t="s">
        <v>3896</v>
      </c>
      <c r="E228" s="104" t="s">
        <v>529</v>
      </c>
      <c r="F228" s="105" t="s">
        <v>885</v>
      </c>
      <c r="H228" s="45" t="str">
        <f t="shared" si="9"/>
        <v>Davor – Čapeta – OK Kapela – M21A</v>
      </c>
      <c r="J228" s="45" t="str">
        <f t="shared" si="10"/>
        <v>Davor – Čapeta – OK Kapela</v>
      </c>
      <c r="L228" s="45" t="str">
        <f t="shared" si="11"/>
        <v>Davor – Čapeta</v>
      </c>
      <c r="N228" s="103"/>
      <c r="O228" s="104"/>
      <c r="P228" s="105"/>
    </row>
    <row r="229" spans="2:16" x14ac:dyDescent="0.25">
      <c r="B229" s="103">
        <v>1561</v>
      </c>
      <c r="C229" s="104" t="s">
        <v>3762</v>
      </c>
      <c r="D229" s="104" t="s">
        <v>3897</v>
      </c>
      <c r="E229" s="104" t="s">
        <v>529</v>
      </c>
      <c r="F229" s="105" t="s">
        <v>3264</v>
      </c>
      <c r="H229" s="45" t="str">
        <f t="shared" si="9"/>
        <v>Irena – Čorko Meštrović – OK Kapela – Ž35</v>
      </c>
      <c r="J229" s="45" t="str">
        <f t="shared" si="10"/>
        <v>Irena – Čorko Meštrović – OK Kapela</v>
      </c>
      <c r="L229" s="45" t="str">
        <f t="shared" si="11"/>
        <v>Irena – Čorko Meštrović</v>
      </c>
      <c r="N229" s="103"/>
      <c r="O229" s="104"/>
      <c r="P229" s="105"/>
    </row>
    <row r="230" spans="2:16" x14ac:dyDescent="0.25">
      <c r="B230" s="103">
        <v>1870</v>
      </c>
      <c r="C230" s="104" t="s">
        <v>2470</v>
      </c>
      <c r="D230" s="104" t="s">
        <v>2469</v>
      </c>
      <c r="E230" s="104" t="s">
        <v>529</v>
      </c>
      <c r="F230" s="105" t="s">
        <v>3093</v>
      </c>
      <c r="H230" s="45" t="str">
        <f t="shared" si="9"/>
        <v>Karmela – Crvenković – OK Kapela – Ž21B</v>
      </c>
      <c r="J230" s="45" t="str">
        <f t="shared" si="10"/>
        <v>Karmela – Crvenković – OK Kapela</v>
      </c>
      <c r="L230" s="45" t="str">
        <f t="shared" si="11"/>
        <v>Karmela – Crvenković</v>
      </c>
      <c r="N230" s="103"/>
      <c r="O230" s="104"/>
      <c r="P230" s="105"/>
    </row>
    <row r="231" spans="2:16" x14ac:dyDescent="0.25">
      <c r="B231" s="103">
        <v>1166</v>
      </c>
      <c r="C231" s="104" t="s">
        <v>3898</v>
      </c>
      <c r="D231" s="104" t="s">
        <v>3899</v>
      </c>
      <c r="E231" s="104" t="s">
        <v>529</v>
      </c>
      <c r="F231" s="105" t="s">
        <v>3618</v>
      </c>
      <c r="H231" s="45" t="str">
        <f t="shared" si="9"/>
        <v>Mladenka – Čuljak Gross – OK Kapela – Ž55</v>
      </c>
      <c r="J231" s="45" t="str">
        <f t="shared" si="10"/>
        <v>Mladenka – Čuljak Gross – OK Kapela</v>
      </c>
      <c r="L231" s="45" t="str">
        <f t="shared" si="11"/>
        <v>Mladenka – Čuljak Gross</v>
      </c>
      <c r="N231" s="103"/>
      <c r="O231" s="104"/>
      <c r="P231" s="105"/>
    </row>
    <row r="232" spans="2:16" x14ac:dyDescent="0.25">
      <c r="B232" s="103">
        <v>1868</v>
      </c>
      <c r="C232" s="104" t="s">
        <v>1866</v>
      </c>
      <c r="D232" s="104" t="s">
        <v>2335</v>
      </c>
      <c r="E232" s="104" t="s">
        <v>529</v>
      </c>
      <c r="F232" s="105" t="s">
        <v>2194</v>
      </c>
      <c r="H232" s="45" t="str">
        <f t="shared" si="9"/>
        <v>Damir – Ćurić – OK Kapela – M55</v>
      </c>
      <c r="J232" s="45" t="str">
        <f t="shared" si="10"/>
        <v>Damir – Ćurić – OK Kapela</v>
      </c>
      <c r="L232" s="45" t="str">
        <f t="shared" si="11"/>
        <v>Damir – Ćurić</v>
      </c>
      <c r="N232" s="103"/>
      <c r="O232" s="104"/>
      <c r="P232" s="105"/>
    </row>
    <row r="233" spans="2:16" x14ac:dyDescent="0.25">
      <c r="B233" s="103">
        <v>1121</v>
      </c>
      <c r="C233" s="104" t="s">
        <v>3900</v>
      </c>
      <c r="D233" s="104" t="s">
        <v>3901</v>
      </c>
      <c r="E233" s="104" t="s">
        <v>529</v>
      </c>
      <c r="F233" s="105"/>
      <c r="H233" s="45" t="str">
        <f t="shared" si="9"/>
        <v>Morana – Ćuzela – OK Kapela</v>
      </c>
      <c r="J233" s="45" t="str">
        <f t="shared" si="10"/>
        <v>Morana – Ćuzela – OK Kapela</v>
      </c>
      <c r="L233" s="45" t="str">
        <f t="shared" si="11"/>
        <v>Morana – Ćuzela</v>
      </c>
      <c r="N233" s="103"/>
      <c r="O233" s="104"/>
      <c r="P233" s="105"/>
    </row>
    <row r="234" spans="2:16" x14ac:dyDescent="0.25">
      <c r="B234" s="103">
        <v>1450</v>
      </c>
      <c r="C234" s="104" t="s">
        <v>1482</v>
      </c>
      <c r="D234" s="104" t="s">
        <v>2095</v>
      </c>
      <c r="E234" s="104" t="s">
        <v>529</v>
      </c>
      <c r="F234" s="105" t="s">
        <v>1908</v>
      </c>
      <c r="H234" s="45" t="str">
        <f t="shared" si="9"/>
        <v>Hrvoje – Dasović – OK Kapela – M45</v>
      </c>
      <c r="J234" s="45" t="str">
        <f t="shared" si="10"/>
        <v>Hrvoje – Dasović – OK Kapela</v>
      </c>
      <c r="L234" s="45" t="str">
        <f t="shared" si="11"/>
        <v>Hrvoje – Dasović</v>
      </c>
      <c r="N234" s="103"/>
      <c r="O234" s="104"/>
      <c r="P234" s="105"/>
    </row>
    <row r="235" spans="2:16" x14ac:dyDescent="0.25">
      <c r="B235" s="103">
        <v>1438</v>
      </c>
      <c r="C235" s="104" t="s">
        <v>2601</v>
      </c>
      <c r="D235" s="104" t="s">
        <v>2095</v>
      </c>
      <c r="E235" s="104" t="s">
        <v>529</v>
      </c>
      <c r="F235" s="105" t="s">
        <v>2765</v>
      </c>
      <c r="H235" s="45" t="str">
        <f t="shared" si="9"/>
        <v>Petra – Dasović – OK Kapela – Ž16</v>
      </c>
      <c r="J235" s="45" t="str">
        <f t="shared" si="10"/>
        <v>Petra – Dasović – OK Kapela</v>
      </c>
      <c r="L235" s="45" t="str">
        <f t="shared" si="11"/>
        <v>Petra – Dasović</v>
      </c>
      <c r="N235" s="103"/>
      <c r="O235" s="104"/>
      <c r="P235" s="105"/>
    </row>
    <row r="236" spans="2:16" x14ac:dyDescent="0.25">
      <c r="B236" s="103">
        <v>1300</v>
      </c>
      <c r="C236" s="104" t="s">
        <v>1363</v>
      </c>
      <c r="D236" s="104" t="s">
        <v>3902</v>
      </c>
      <c r="E236" s="104" t="s">
        <v>529</v>
      </c>
      <c r="F236" s="105" t="s">
        <v>885</v>
      </c>
      <c r="H236" s="45" t="str">
        <f t="shared" si="9"/>
        <v>Domagoj – Delimar – OK Kapela – M21A</v>
      </c>
      <c r="J236" s="45" t="str">
        <f t="shared" si="10"/>
        <v>Domagoj – Delimar – OK Kapela</v>
      </c>
      <c r="L236" s="45" t="str">
        <f t="shared" si="11"/>
        <v>Domagoj – Delimar</v>
      </c>
      <c r="N236" s="103"/>
      <c r="O236" s="104"/>
      <c r="P236" s="105"/>
    </row>
    <row r="237" spans="2:16" x14ac:dyDescent="0.25">
      <c r="B237" s="103">
        <v>1178</v>
      </c>
      <c r="C237" s="104" t="s">
        <v>2846</v>
      </c>
      <c r="D237" s="104" t="s">
        <v>2845</v>
      </c>
      <c r="E237" s="104" t="s">
        <v>529</v>
      </c>
      <c r="F237" s="105" t="s">
        <v>2765</v>
      </c>
      <c r="H237" s="45" t="str">
        <f t="shared" si="9"/>
        <v>Melissa – Drobić – OK Kapela – Ž16</v>
      </c>
      <c r="J237" s="45" t="str">
        <f t="shared" si="10"/>
        <v>Melissa – Drobić – OK Kapela</v>
      </c>
      <c r="L237" s="45" t="str">
        <f t="shared" si="11"/>
        <v>Melissa – Drobić</v>
      </c>
      <c r="N237" s="103"/>
      <c r="O237" s="104"/>
      <c r="P237" s="105"/>
    </row>
    <row r="238" spans="2:16" x14ac:dyDescent="0.25">
      <c r="B238" s="103">
        <v>1307</v>
      </c>
      <c r="C238" s="104" t="s">
        <v>3903</v>
      </c>
      <c r="D238" s="104" t="s">
        <v>2845</v>
      </c>
      <c r="E238" s="104" t="s">
        <v>529</v>
      </c>
      <c r="F238" s="105" t="s">
        <v>363</v>
      </c>
      <c r="H238" s="45" t="str">
        <f t="shared" si="9"/>
        <v>Sanjin – Drobić – OK Kapela – M12</v>
      </c>
      <c r="J238" s="45" t="str">
        <f t="shared" si="10"/>
        <v>Sanjin – Drobić – OK Kapela</v>
      </c>
      <c r="L238" s="45" t="str">
        <f t="shared" si="11"/>
        <v>Sanjin – Drobić</v>
      </c>
      <c r="N238" s="103"/>
      <c r="O238" s="104"/>
      <c r="P238" s="105"/>
    </row>
    <row r="239" spans="2:16" x14ac:dyDescent="0.25">
      <c r="B239" s="103">
        <v>1785</v>
      </c>
      <c r="C239" s="104" t="s">
        <v>3904</v>
      </c>
      <c r="D239" s="104" t="s">
        <v>3905</v>
      </c>
      <c r="E239" s="104" t="s">
        <v>529</v>
      </c>
      <c r="F239" s="105"/>
      <c r="H239" s="45" t="str">
        <f t="shared" si="9"/>
        <v>Asja – Dubravčić – OK Kapela</v>
      </c>
      <c r="J239" s="45" t="str">
        <f t="shared" si="10"/>
        <v>Asja – Dubravčić – OK Kapela</v>
      </c>
      <c r="L239" s="45" t="str">
        <f t="shared" si="11"/>
        <v>Asja – Dubravčić</v>
      </c>
      <c r="N239" s="103"/>
      <c r="O239" s="104"/>
      <c r="P239" s="105"/>
    </row>
    <row r="240" spans="2:16" x14ac:dyDescent="0.25">
      <c r="B240" s="103">
        <v>1052</v>
      </c>
      <c r="C240" s="104" t="s">
        <v>1305</v>
      </c>
      <c r="D240" s="104" t="s">
        <v>3906</v>
      </c>
      <c r="E240" s="104" t="s">
        <v>529</v>
      </c>
      <c r="F240" s="105" t="s">
        <v>1574</v>
      </c>
      <c r="H240" s="45" t="str">
        <f t="shared" si="9"/>
        <v>Tihomir – Dugi – OK Kapela – M35</v>
      </c>
      <c r="J240" s="45" t="str">
        <f t="shared" si="10"/>
        <v>Tihomir – Dugi – OK Kapela</v>
      </c>
      <c r="L240" s="45" t="str">
        <f t="shared" si="11"/>
        <v>Tihomir – Dugi</v>
      </c>
      <c r="N240" s="103"/>
      <c r="O240" s="104"/>
      <c r="P240" s="105"/>
    </row>
    <row r="241" spans="2:16" x14ac:dyDescent="0.25">
      <c r="B241" s="103">
        <v>1059</v>
      </c>
      <c r="C241" s="104" t="s">
        <v>3139</v>
      </c>
      <c r="D241" s="104" t="s">
        <v>3138</v>
      </c>
      <c r="E241" s="104" t="s">
        <v>529</v>
      </c>
      <c r="F241" s="105" t="s">
        <v>3093</v>
      </c>
      <c r="H241" s="45" t="str">
        <f t="shared" si="9"/>
        <v>Višnja – Dukić – OK Kapela – Ž21B</v>
      </c>
      <c r="J241" s="45" t="str">
        <f t="shared" si="10"/>
        <v>Višnja – Dukić – OK Kapela</v>
      </c>
      <c r="L241" s="45" t="str">
        <f t="shared" si="11"/>
        <v>Višnja – Dukić</v>
      </c>
      <c r="N241" s="103"/>
      <c r="O241" s="104"/>
      <c r="P241" s="105"/>
    </row>
    <row r="242" spans="2:16" x14ac:dyDescent="0.25">
      <c r="B242" s="103">
        <v>1752</v>
      </c>
      <c r="C242" s="104" t="s">
        <v>3800</v>
      </c>
      <c r="D242" s="104" t="s">
        <v>3907</v>
      </c>
      <c r="E242" s="104" t="s">
        <v>529</v>
      </c>
      <c r="F242" s="105"/>
      <c r="H242" s="45" t="str">
        <f t="shared" si="9"/>
        <v>Zvonimir – Džapo – OK Kapela</v>
      </c>
      <c r="J242" s="45" t="str">
        <f t="shared" si="10"/>
        <v>Zvonimir – Džapo – OK Kapela</v>
      </c>
      <c r="L242" s="45" t="str">
        <f t="shared" si="11"/>
        <v>Zvonimir – Džapo</v>
      </c>
      <c r="N242" s="103"/>
      <c r="O242" s="104"/>
      <c r="P242" s="105"/>
    </row>
    <row r="243" spans="2:16" x14ac:dyDescent="0.25">
      <c r="B243" s="103">
        <v>1227</v>
      </c>
      <c r="C243" s="104" t="s">
        <v>3655</v>
      </c>
      <c r="D243" s="104" t="s">
        <v>3654</v>
      </c>
      <c r="E243" s="104" t="s">
        <v>529</v>
      </c>
      <c r="F243" s="105" t="s">
        <v>3618</v>
      </c>
      <c r="H243" s="45" t="str">
        <f t="shared" si="9"/>
        <v>Emilija – Ebenspanger – OK Kapela – Ž55</v>
      </c>
      <c r="J243" s="45" t="str">
        <f t="shared" si="10"/>
        <v>Emilija – Ebenspanger – OK Kapela</v>
      </c>
      <c r="L243" s="45" t="str">
        <f t="shared" si="11"/>
        <v>Emilija – Ebenspanger</v>
      </c>
      <c r="N243" s="103"/>
      <c r="O243" s="104"/>
      <c r="P243" s="105"/>
    </row>
    <row r="244" spans="2:16" x14ac:dyDescent="0.25">
      <c r="B244" s="103">
        <v>1852</v>
      </c>
      <c r="C244" s="104" t="s">
        <v>1849</v>
      </c>
      <c r="D244" s="104" t="s">
        <v>1848</v>
      </c>
      <c r="E244" s="104" t="s">
        <v>529</v>
      </c>
      <c r="F244" s="105" t="s">
        <v>1574</v>
      </c>
      <c r="H244" s="45" t="str">
        <f t="shared" si="9"/>
        <v>Fausto – Ferreira – OK Kapela – M35</v>
      </c>
      <c r="J244" s="45" t="str">
        <f t="shared" si="10"/>
        <v>Fausto – Ferreira – OK Kapela</v>
      </c>
      <c r="L244" s="45" t="str">
        <f t="shared" si="11"/>
        <v>Fausto – Ferreira</v>
      </c>
      <c r="N244" s="103"/>
      <c r="O244" s="104"/>
      <c r="P244" s="105"/>
    </row>
    <row r="245" spans="2:16" x14ac:dyDescent="0.25">
      <c r="B245" s="103">
        <v>1195</v>
      </c>
      <c r="C245" s="104" t="s">
        <v>508</v>
      </c>
      <c r="D245" s="104" t="s">
        <v>1121</v>
      </c>
      <c r="E245" s="104" t="s">
        <v>529</v>
      </c>
      <c r="F245" s="105" t="s">
        <v>885</v>
      </c>
      <c r="H245" s="45" t="str">
        <f t="shared" si="9"/>
        <v>Luka – Filetin – OK Kapela – M21A</v>
      </c>
      <c r="J245" s="45" t="str">
        <f t="shared" si="10"/>
        <v>Luka – Filetin – OK Kapela</v>
      </c>
      <c r="L245" s="45" t="str">
        <f t="shared" si="11"/>
        <v>Luka – Filetin</v>
      </c>
      <c r="N245" s="103"/>
      <c r="O245" s="104"/>
      <c r="P245" s="105"/>
    </row>
    <row r="246" spans="2:16" x14ac:dyDescent="0.25">
      <c r="B246" s="103">
        <v>1193</v>
      </c>
      <c r="C246" s="104" t="s">
        <v>3261</v>
      </c>
      <c r="D246" s="104" t="s">
        <v>3260</v>
      </c>
      <c r="E246" s="104" t="s">
        <v>529</v>
      </c>
      <c r="F246" s="105" t="s">
        <v>3264</v>
      </c>
      <c r="H246" s="45" t="str">
        <f t="shared" si="9"/>
        <v>Željka – Fištrek – OK Kapela – Ž35</v>
      </c>
      <c r="J246" s="45" t="str">
        <f t="shared" si="10"/>
        <v>Željka – Fištrek – OK Kapela</v>
      </c>
      <c r="L246" s="45" t="str">
        <f t="shared" si="11"/>
        <v>Željka – Fištrek</v>
      </c>
      <c r="N246" s="103"/>
      <c r="O246" s="104"/>
      <c r="P246" s="105"/>
    </row>
    <row r="247" spans="2:16" x14ac:dyDescent="0.25">
      <c r="B247" s="103">
        <v>1279</v>
      </c>
      <c r="C247" s="104" t="s">
        <v>3695</v>
      </c>
      <c r="D247" s="104" t="s">
        <v>3694</v>
      </c>
      <c r="E247" s="104" t="s">
        <v>529</v>
      </c>
      <c r="F247" s="105" t="s">
        <v>3679</v>
      </c>
      <c r="H247" s="45" t="str">
        <f t="shared" si="9"/>
        <v>Vera – Franc – OK Kapela – Ž65</v>
      </c>
      <c r="J247" s="45" t="str">
        <f t="shared" si="10"/>
        <v>Vera – Franc – OK Kapela</v>
      </c>
      <c r="L247" s="45" t="str">
        <f t="shared" si="11"/>
        <v>Vera – Franc</v>
      </c>
      <c r="N247" s="103"/>
      <c r="O247" s="104"/>
      <c r="P247" s="105"/>
    </row>
    <row r="248" spans="2:16" x14ac:dyDescent="0.25">
      <c r="B248" s="103">
        <v>1753</v>
      </c>
      <c r="C248" s="104" t="s">
        <v>2729</v>
      </c>
      <c r="D248" s="104" t="s">
        <v>3908</v>
      </c>
      <c r="E248" s="104" t="s">
        <v>529</v>
      </c>
      <c r="F248" s="105"/>
      <c r="H248" s="45" t="str">
        <f t="shared" si="9"/>
        <v>Paola – Fumić – OK Kapela</v>
      </c>
      <c r="J248" s="45" t="str">
        <f t="shared" si="10"/>
        <v>Paola – Fumić – OK Kapela</v>
      </c>
      <c r="L248" s="45" t="str">
        <f t="shared" si="11"/>
        <v>Paola – Fumić</v>
      </c>
      <c r="N248" s="103"/>
      <c r="O248" s="104"/>
      <c r="P248" s="105"/>
    </row>
    <row r="249" spans="2:16" x14ac:dyDescent="0.25">
      <c r="B249" s="103">
        <v>1238</v>
      </c>
      <c r="C249" s="104" t="s">
        <v>962</v>
      </c>
      <c r="D249" s="104" t="s">
        <v>961</v>
      </c>
      <c r="E249" s="104" t="s">
        <v>529</v>
      </c>
      <c r="F249" s="105" t="s">
        <v>885</v>
      </c>
      <c r="H249" s="45" t="str">
        <f t="shared" si="9"/>
        <v>Dražen – Gadžić – OK Kapela – M21A</v>
      </c>
      <c r="J249" s="45" t="str">
        <f t="shared" si="10"/>
        <v>Dražen – Gadžić – OK Kapela</v>
      </c>
      <c r="L249" s="45" t="str">
        <f t="shared" si="11"/>
        <v>Dražen – Gadžić</v>
      </c>
      <c r="N249" s="103"/>
      <c r="O249" s="104"/>
      <c r="P249" s="105"/>
    </row>
    <row r="250" spans="2:16" x14ac:dyDescent="0.25">
      <c r="B250" s="103">
        <v>1938</v>
      </c>
      <c r="C250" s="104" t="s">
        <v>2536</v>
      </c>
      <c r="D250" s="104" t="s">
        <v>2535</v>
      </c>
      <c r="E250" s="104" t="s">
        <v>529</v>
      </c>
      <c r="F250" s="105" t="s">
        <v>3093</v>
      </c>
      <c r="H250" s="45" t="str">
        <f t="shared" si="9"/>
        <v>Sandra – Gerber – OK Kapela – Ž21B</v>
      </c>
      <c r="J250" s="45" t="str">
        <f t="shared" si="10"/>
        <v>Sandra – Gerber – OK Kapela</v>
      </c>
      <c r="L250" s="45" t="str">
        <f t="shared" si="11"/>
        <v>Sandra – Gerber</v>
      </c>
      <c r="N250" s="103"/>
      <c r="O250" s="104"/>
      <c r="P250" s="105"/>
    </row>
    <row r="251" spans="2:16" x14ac:dyDescent="0.25">
      <c r="B251" s="103">
        <v>1261</v>
      </c>
      <c r="C251" s="104" t="s">
        <v>3120</v>
      </c>
      <c r="D251" s="104" t="s">
        <v>3119</v>
      </c>
      <c r="E251" s="104" t="s">
        <v>529</v>
      </c>
      <c r="F251" s="105" t="s">
        <v>3093</v>
      </c>
      <c r="H251" s="45" t="str">
        <f t="shared" si="9"/>
        <v>Lana – Gerjević – OK Kapela – Ž21B</v>
      </c>
      <c r="J251" s="45" t="str">
        <f t="shared" si="10"/>
        <v>Lana – Gerjević – OK Kapela</v>
      </c>
      <c r="L251" s="45" t="str">
        <f t="shared" si="11"/>
        <v>Lana – Gerjević</v>
      </c>
      <c r="N251" s="103"/>
      <c r="O251" s="104"/>
      <c r="P251" s="105"/>
    </row>
    <row r="252" spans="2:16" x14ac:dyDescent="0.25">
      <c r="B252" s="103">
        <v>1357</v>
      </c>
      <c r="C252" s="104" t="s">
        <v>2225</v>
      </c>
      <c r="D252" s="104" t="s">
        <v>3909</v>
      </c>
      <c r="E252" s="104" t="s">
        <v>529</v>
      </c>
      <c r="F252" s="105" t="s">
        <v>3264</v>
      </c>
      <c r="H252" s="45" t="str">
        <f t="shared" si="9"/>
        <v>Saša – Glagolić – OK Kapela – Ž35</v>
      </c>
      <c r="J252" s="45" t="str">
        <f t="shared" si="10"/>
        <v>Saša – Glagolić – OK Kapela</v>
      </c>
      <c r="L252" s="45" t="str">
        <f t="shared" si="11"/>
        <v>Saša – Glagolić</v>
      </c>
      <c r="N252" s="103"/>
      <c r="O252" s="104"/>
      <c r="P252" s="105"/>
    </row>
    <row r="253" spans="2:16" x14ac:dyDescent="0.25">
      <c r="B253" s="103">
        <v>1867</v>
      </c>
      <c r="C253" s="104" t="s">
        <v>3550</v>
      </c>
      <c r="D253" s="104" t="s">
        <v>3549</v>
      </c>
      <c r="E253" s="104" t="s">
        <v>529</v>
      </c>
      <c r="F253" s="105" t="s">
        <v>3442</v>
      </c>
      <c r="H253" s="45" t="str">
        <f t="shared" si="9"/>
        <v>Beata Adrianna – Glinska – OK Kapela – Ž45</v>
      </c>
      <c r="J253" s="45" t="str">
        <f t="shared" si="10"/>
        <v>Beata Adrianna – Glinska – OK Kapela</v>
      </c>
      <c r="L253" s="45" t="str">
        <f t="shared" si="11"/>
        <v>Beata Adrianna – Glinska</v>
      </c>
      <c r="N253" s="103"/>
      <c r="O253" s="104"/>
      <c r="P253" s="105"/>
    </row>
    <row r="254" spans="2:16" x14ac:dyDescent="0.25">
      <c r="B254" s="103">
        <v>1857</v>
      </c>
      <c r="C254" s="104" t="s">
        <v>3182</v>
      </c>
      <c r="D254" s="104" t="s">
        <v>3181</v>
      </c>
      <c r="E254" s="104" t="s">
        <v>529</v>
      </c>
      <c r="F254" s="105" t="s">
        <v>3093</v>
      </c>
      <c r="H254" s="45" t="str">
        <f t="shared" si="9"/>
        <v>Hana – Glušica – OK Kapela – Ž21B</v>
      </c>
      <c r="J254" s="45" t="str">
        <f t="shared" si="10"/>
        <v>Hana – Glušica – OK Kapela</v>
      </c>
      <c r="L254" s="45" t="str">
        <f t="shared" si="11"/>
        <v>Hana – Glušica</v>
      </c>
      <c r="N254" s="103"/>
      <c r="O254" s="104"/>
      <c r="P254" s="105"/>
    </row>
    <row r="255" spans="2:16" x14ac:dyDescent="0.25">
      <c r="B255" s="103">
        <v>1268</v>
      </c>
      <c r="C255" s="104" t="s">
        <v>3559</v>
      </c>
      <c r="D255" s="104" t="s">
        <v>3576</v>
      </c>
      <c r="E255" s="104" t="s">
        <v>529</v>
      </c>
      <c r="F255" s="105" t="s">
        <v>3442</v>
      </c>
      <c r="H255" s="45" t="str">
        <f t="shared" si="9"/>
        <v>Marija – Gradečak Galović – OK Kapela – Ž45</v>
      </c>
      <c r="J255" s="45" t="str">
        <f t="shared" si="10"/>
        <v>Marija – Gradečak Galović – OK Kapela</v>
      </c>
      <c r="L255" s="45" t="str">
        <f t="shared" si="11"/>
        <v>Marija – Gradečak Galović</v>
      </c>
      <c r="N255" s="103"/>
      <c r="O255" s="104"/>
      <c r="P255" s="105"/>
    </row>
    <row r="256" spans="2:16" x14ac:dyDescent="0.25">
      <c r="B256" s="103">
        <v>1347</v>
      </c>
      <c r="C256" s="104" t="s">
        <v>3910</v>
      </c>
      <c r="D256" s="104" t="s">
        <v>3911</v>
      </c>
      <c r="E256" s="104" t="s">
        <v>529</v>
      </c>
      <c r="F256" s="105" t="s">
        <v>3093</v>
      </c>
      <c r="H256" s="45" t="str">
        <f t="shared" si="9"/>
        <v>Nela – Gross – OK Kapela – Ž21B</v>
      </c>
      <c r="J256" s="45" t="str">
        <f t="shared" si="10"/>
        <v>Nela – Gross – OK Kapela</v>
      </c>
      <c r="L256" s="45" t="str">
        <f t="shared" si="11"/>
        <v>Nela – Gross</v>
      </c>
      <c r="N256" s="103"/>
      <c r="O256" s="104"/>
      <c r="P256" s="105"/>
    </row>
    <row r="257" spans="2:16" x14ac:dyDescent="0.25">
      <c r="B257" s="103">
        <v>1378</v>
      </c>
      <c r="C257" s="104" t="s">
        <v>2858</v>
      </c>
      <c r="D257" s="104" t="s">
        <v>2857</v>
      </c>
      <c r="E257" s="104" t="s">
        <v>529</v>
      </c>
      <c r="F257" s="105" t="s">
        <v>2765</v>
      </c>
      <c r="H257" s="45" t="str">
        <f t="shared" si="9"/>
        <v>Mare – Gršković – OK Kapela – Ž16</v>
      </c>
      <c r="J257" s="45" t="str">
        <f t="shared" si="10"/>
        <v>Mare – Gršković – OK Kapela</v>
      </c>
      <c r="L257" s="45" t="str">
        <f t="shared" si="11"/>
        <v>Mare – Gršković</v>
      </c>
      <c r="N257" s="103"/>
      <c r="O257" s="104"/>
      <c r="P257" s="105"/>
    </row>
    <row r="258" spans="2:16" x14ac:dyDescent="0.25">
      <c r="B258" s="103">
        <v>1205</v>
      </c>
      <c r="C258" s="104" t="s">
        <v>437</v>
      </c>
      <c r="D258" s="104" t="s">
        <v>1697</v>
      </c>
      <c r="E258" s="104" t="s">
        <v>529</v>
      </c>
      <c r="F258" s="105" t="s">
        <v>1574</v>
      </c>
      <c r="H258" s="45" t="str">
        <f t="shared" si="9"/>
        <v>Ivan – Gverić – OK Kapela – M35</v>
      </c>
      <c r="J258" s="45" t="str">
        <f t="shared" si="10"/>
        <v>Ivan – Gverić – OK Kapela</v>
      </c>
      <c r="L258" s="45" t="str">
        <f t="shared" si="11"/>
        <v>Ivan – Gverić</v>
      </c>
      <c r="N258" s="103"/>
      <c r="O258" s="104"/>
      <c r="P258" s="105"/>
    </row>
    <row r="259" spans="2:16" x14ac:dyDescent="0.25">
      <c r="B259" s="103">
        <v>1554</v>
      </c>
      <c r="C259" s="104" t="s">
        <v>1866</v>
      </c>
      <c r="D259" s="104" t="s">
        <v>1992</v>
      </c>
      <c r="E259" s="104" t="s">
        <v>529</v>
      </c>
      <c r="F259" s="105" t="s">
        <v>1908</v>
      </c>
      <c r="H259" s="45" t="str">
        <f t="shared" si="9"/>
        <v>Damir – Hercigonja – OK Kapela – M45</v>
      </c>
      <c r="J259" s="45" t="str">
        <f t="shared" si="10"/>
        <v>Damir – Hercigonja – OK Kapela</v>
      </c>
      <c r="L259" s="45" t="str">
        <f t="shared" si="11"/>
        <v>Damir – Hercigonja</v>
      </c>
      <c r="N259" s="103"/>
      <c r="O259" s="104"/>
      <c r="P259" s="105"/>
    </row>
    <row r="260" spans="2:16" x14ac:dyDescent="0.25">
      <c r="B260" s="103">
        <v>1467</v>
      </c>
      <c r="C260" s="104" t="s">
        <v>2564</v>
      </c>
      <c r="D260" s="104" t="s">
        <v>1992</v>
      </c>
      <c r="E260" s="104" t="s">
        <v>529</v>
      </c>
      <c r="F260" s="105" t="s">
        <v>2731</v>
      </c>
      <c r="H260" s="45" t="str">
        <f t="shared" si="9"/>
        <v>Lucija – Hercigonja – OK Kapela – Ž14</v>
      </c>
      <c r="J260" s="45" t="str">
        <f t="shared" si="10"/>
        <v>Lucija – Hercigonja – OK Kapela</v>
      </c>
      <c r="L260" s="45" t="str">
        <f t="shared" si="11"/>
        <v>Lucija – Hercigonja</v>
      </c>
      <c r="N260" s="103"/>
      <c r="O260" s="104"/>
      <c r="P260" s="105"/>
    </row>
    <row r="261" spans="2:16" x14ac:dyDescent="0.25">
      <c r="B261" s="103">
        <v>1437</v>
      </c>
      <c r="C261" s="104" t="s">
        <v>3822</v>
      </c>
      <c r="D261" s="104" t="s">
        <v>1992</v>
      </c>
      <c r="E261" s="104" t="s">
        <v>529</v>
      </c>
      <c r="F261" s="105" t="s">
        <v>3093</v>
      </c>
      <c r="H261" s="45" t="str">
        <f t="shared" si="9"/>
        <v>Pia – Hercigonja – OK Kapela – Ž21B</v>
      </c>
      <c r="J261" s="45" t="str">
        <f t="shared" si="10"/>
        <v>Pia – Hercigonja – OK Kapela</v>
      </c>
      <c r="L261" s="45" t="str">
        <f t="shared" si="11"/>
        <v>Pia – Hercigonja</v>
      </c>
      <c r="N261" s="103"/>
      <c r="O261" s="104"/>
      <c r="P261" s="105"/>
    </row>
    <row r="262" spans="2:16" x14ac:dyDescent="0.25">
      <c r="B262" s="103">
        <v>1861</v>
      </c>
      <c r="C262" s="104" t="s">
        <v>881</v>
      </c>
      <c r="D262" s="104" t="s">
        <v>880</v>
      </c>
      <c r="E262" s="104" t="s">
        <v>529</v>
      </c>
      <c r="F262" s="105" t="s">
        <v>885</v>
      </c>
      <c r="H262" s="45" t="str">
        <f t="shared" si="9"/>
        <v>Andraž – Hribar – OK Kapela – M21A</v>
      </c>
      <c r="J262" s="45" t="str">
        <f t="shared" si="10"/>
        <v>Andraž – Hribar – OK Kapela</v>
      </c>
      <c r="L262" s="45" t="str">
        <f t="shared" si="11"/>
        <v>Andraž – Hribar</v>
      </c>
      <c r="N262" s="103"/>
      <c r="O262" s="104"/>
      <c r="P262" s="105"/>
    </row>
    <row r="263" spans="2:16" x14ac:dyDescent="0.25">
      <c r="B263" s="103">
        <v>1961</v>
      </c>
      <c r="C263" s="104" t="s">
        <v>1179</v>
      </c>
      <c r="D263" s="104" t="s">
        <v>880</v>
      </c>
      <c r="E263" s="104" t="s">
        <v>529</v>
      </c>
      <c r="F263" s="105"/>
      <c r="H263" s="45" t="str">
        <f t="shared" si="9"/>
        <v>Dominik – Hribar – OK Kapela</v>
      </c>
      <c r="J263" s="45" t="str">
        <f t="shared" si="10"/>
        <v>Dominik – Hribar – OK Kapela</v>
      </c>
      <c r="L263" s="45" t="str">
        <f t="shared" si="11"/>
        <v>Dominik – Hribar</v>
      </c>
      <c r="N263" s="103"/>
      <c r="O263" s="104"/>
      <c r="P263" s="105"/>
    </row>
    <row r="264" spans="2:16" x14ac:dyDescent="0.25">
      <c r="B264" s="103">
        <v>1954</v>
      </c>
      <c r="C264" s="104" t="s">
        <v>2484</v>
      </c>
      <c r="D264" s="104" t="s">
        <v>3912</v>
      </c>
      <c r="E264" s="104" t="s">
        <v>529</v>
      </c>
      <c r="F264" s="105"/>
      <c r="H264" s="45" t="str">
        <f t="shared" si="9"/>
        <v>Iva – Hruškar – OK Kapela</v>
      </c>
      <c r="J264" s="45" t="str">
        <f t="shared" si="10"/>
        <v>Iva – Hruškar – OK Kapela</v>
      </c>
      <c r="L264" s="45" t="str">
        <f t="shared" si="11"/>
        <v>Iva – Hruškar</v>
      </c>
      <c r="N264" s="103"/>
      <c r="O264" s="104"/>
      <c r="P264" s="105"/>
    </row>
    <row r="265" spans="2:16" x14ac:dyDescent="0.25">
      <c r="B265" s="103">
        <v>1865</v>
      </c>
      <c r="C265" s="104" t="s">
        <v>3261</v>
      </c>
      <c r="D265" s="104" t="s">
        <v>3913</v>
      </c>
      <c r="E265" s="104" t="s">
        <v>529</v>
      </c>
      <c r="F265" s="105" t="s">
        <v>3093</v>
      </c>
      <c r="H265" s="45" t="str">
        <f t="shared" si="9"/>
        <v>Željka – Ilijašev – OK Kapela – Ž21B</v>
      </c>
      <c r="J265" s="45" t="str">
        <f t="shared" si="10"/>
        <v>Željka – Ilijašev – OK Kapela</v>
      </c>
      <c r="L265" s="45" t="str">
        <f t="shared" si="11"/>
        <v>Željka – Ilijašev</v>
      </c>
      <c r="N265" s="103"/>
      <c r="O265" s="104"/>
      <c r="P265" s="105"/>
    </row>
    <row r="266" spans="2:16" x14ac:dyDescent="0.25">
      <c r="B266" s="103">
        <v>1792</v>
      </c>
      <c r="C266" s="104" t="s">
        <v>3914</v>
      </c>
      <c r="D266" s="104" t="s">
        <v>3805</v>
      </c>
      <c r="E266" s="104" t="s">
        <v>529</v>
      </c>
      <c r="F266" s="105"/>
      <c r="H266" s="45" t="str">
        <f t="shared" si="9"/>
        <v>Ružica – Jakopec – OK Kapela</v>
      </c>
      <c r="J266" s="45" t="str">
        <f t="shared" si="10"/>
        <v>Ružica – Jakopec – OK Kapela</v>
      </c>
      <c r="L266" s="45" t="str">
        <f t="shared" si="11"/>
        <v>Ružica – Jakopec</v>
      </c>
      <c r="N266" s="103"/>
      <c r="O266" s="104"/>
      <c r="P266" s="105"/>
    </row>
    <row r="267" spans="2:16" x14ac:dyDescent="0.25">
      <c r="B267" s="103">
        <v>1128</v>
      </c>
      <c r="C267" s="104" t="s">
        <v>3559</v>
      </c>
      <c r="D267" s="104" t="s">
        <v>3558</v>
      </c>
      <c r="E267" s="104" t="s">
        <v>529</v>
      </c>
      <c r="F267" s="105" t="s">
        <v>3442</v>
      </c>
      <c r="H267" s="45" t="str">
        <f t="shared" ref="H267:H330" si="12">IF(C267="","",C267) &amp; IF(D267="",""," – " &amp; D267) &amp; IF(E267="",""," – " &amp; E267) &amp; IF(F267="",""," – " &amp; F267)</f>
        <v>Marija – Jazvić Mioković – OK Kapela – Ž45</v>
      </c>
      <c r="J267" s="45" t="str">
        <f t="shared" ref="J267:J330" si="13">IF(C267="","",C267) &amp; IF(D267="",""," – " &amp; D267) &amp; IF(E267="",""," – " &amp; E267)</f>
        <v>Marija – Jazvić Mioković – OK Kapela</v>
      </c>
      <c r="L267" s="45" t="str">
        <f t="shared" ref="L267:L330" si="14">IF(C267="","",C267) &amp; IF(D267="",""," – " &amp; D267)</f>
        <v>Marija – Jazvić Mioković</v>
      </c>
      <c r="N267" s="103"/>
      <c r="O267" s="104"/>
      <c r="P267" s="105"/>
    </row>
    <row r="268" spans="2:16" x14ac:dyDescent="0.25">
      <c r="B268" s="103">
        <v>1514</v>
      </c>
      <c r="C268" s="104" t="s">
        <v>1125</v>
      </c>
      <c r="D268" s="104" t="s">
        <v>1124</v>
      </c>
      <c r="E268" s="104" t="s">
        <v>529</v>
      </c>
      <c r="F268" s="105" t="s">
        <v>1129</v>
      </c>
      <c r="H268" s="45" t="str">
        <f t="shared" si="12"/>
        <v>Ivor – Jelić – OK Kapela – M21B</v>
      </c>
      <c r="J268" s="45" t="str">
        <f t="shared" si="13"/>
        <v>Ivor – Jelić – OK Kapela</v>
      </c>
      <c r="L268" s="45" t="str">
        <f t="shared" si="14"/>
        <v>Ivor – Jelić</v>
      </c>
      <c r="N268" s="103"/>
      <c r="O268" s="104"/>
      <c r="P268" s="105"/>
    </row>
    <row r="269" spans="2:16" x14ac:dyDescent="0.25">
      <c r="B269" s="103">
        <v>1188</v>
      </c>
      <c r="C269" s="104" t="s">
        <v>1523</v>
      </c>
      <c r="D269" s="104" t="s">
        <v>1124</v>
      </c>
      <c r="E269" s="104" t="s">
        <v>529</v>
      </c>
      <c r="F269" s="105" t="s">
        <v>2194</v>
      </c>
      <c r="H269" s="45" t="str">
        <f t="shared" si="12"/>
        <v>Mladen – Jelić – OK Kapela – M55</v>
      </c>
      <c r="J269" s="45" t="str">
        <f t="shared" si="13"/>
        <v>Mladen – Jelić – OK Kapela</v>
      </c>
      <c r="L269" s="45" t="str">
        <f t="shared" si="14"/>
        <v>Mladen – Jelić</v>
      </c>
      <c r="N269" s="103"/>
      <c r="O269" s="104"/>
      <c r="P269" s="105"/>
    </row>
    <row r="270" spans="2:16" x14ac:dyDescent="0.25">
      <c r="B270" s="103">
        <v>1465</v>
      </c>
      <c r="C270" s="104" t="s">
        <v>3023</v>
      </c>
      <c r="D270" s="104" t="s">
        <v>3022</v>
      </c>
      <c r="E270" s="104" t="s">
        <v>529</v>
      </c>
      <c r="F270" s="105" t="s">
        <v>3000</v>
      </c>
      <c r="H270" s="45" t="str">
        <f t="shared" si="12"/>
        <v>Olga – Jerković Perić – OK Kapela – Ž21A</v>
      </c>
      <c r="J270" s="45" t="str">
        <f t="shared" si="13"/>
        <v>Olga – Jerković Perić – OK Kapela</v>
      </c>
      <c r="L270" s="45" t="str">
        <f t="shared" si="14"/>
        <v>Olga – Jerković Perić</v>
      </c>
      <c r="N270" s="103"/>
      <c r="O270" s="104"/>
      <c r="P270" s="105"/>
    </row>
    <row r="271" spans="2:16" x14ac:dyDescent="0.25">
      <c r="B271" s="103">
        <v>1955</v>
      </c>
      <c r="C271" s="104" t="s">
        <v>437</v>
      </c>
      <c r="D271" s="104" t="s">
        <v>3915</v>
      </c>
      <c r="E271" s="104" t="s">
        <v>529</v>
      </c>
      <c r="F271" s="105"/>
      <c r="H271" s="45" t="str">
        <f t="shared" si="12"/>
        <v>Ivan – Juričić – OK Kapela</v>
      </c>
      <c r="J271" s="45" t="str">
        <f t="shared" si="13"/>
        <v>Ivan – Juričić – OK Kapela</v>
      </c>
      <c r="L271" s="45" t="str">
        <f t="shared" si="14"/>
        <v>Ivan – Juričić</v>
      </c>
      <c r="N271" s="103"/>
      <c r="O271" s="104"/>
      <c r="P271" s="105"/>
    </row>
    <row r="272" spans="2:16" x14ac:dyDescent="0.25">
      <c r="B272" s="103">
        <v>1081</v>
      </c>
      <c r="C272" s="104" t="s">
        <v>1073</v>
      </c>
      <c r="D272" s="104" t="s">
        <v>3916</v>
      </c>
      <c r="E272" s="104" t="s">
        <v>529</v>
      </c>
      <c r="F272" s="105" t="s">
        <v>885</v>
      </c>
      <c r="H272" s="45" t="str">
        <f t="shared" si="12"/>
        <v>Vedran – Kaldi – OK Kapela – M21A</v>
      </c>
      <c r="J272" s="45" t="str">
        <f t="shared" si="13"/>
        <v>Vedran – Kaldi – OK Kapela</v>
      </c>
      <c r="L272" s="45" t="str">
        <f t="shared" si="14"/>
        <v>Vedran – Kaldi</v>
      </c>
      <c r="N272" s="103"/>
      <c r="O272" s="104"/>
      <c r="P272" s="105"/>
    </row>
    <row r="273" spans="2:16" x14ac:dyDescent="0.25">
      <c r="B273" s="103">
        <v>1184</v>
      </c>
      <c r="C273" s="104" t="s">
        <v>3762</v>
      </c>
      <c r="D273" s="104" t="s">
        <v>3917</v>
      </c>
      <c r="E273" s="104" t="s">
        <v>529</v>
      </c>
      <c r="F273" s="105" t="s">
        <v>3093</v>
      </c>
      <c r="H273" s="45" t="str">
        <f t="shared" si="12"/>
        <v>Irena – Kasaš Spasić – OK Kapela – Ž21B</v>
      </c>
      <c r="J273" s="45" t="str">
        <f t="shared" si="13"/>
        <v>Irena – Kasaš Spasić – OK Kapela</v>
      </c>
      <c r="L273" s="45" t="str">
        <f t="shared" si="14"/>
        <v>Irena – Kasaš Spasić</v>
      </c>
      <c r="N273" s="103"/>
      <c r="O273" s="104"/>
      <c r="P273" s="105"/>
    </row>
    <row r="274" spans="2:16" x14ac:dyDescent="0.25">
      <c r="B274" s="103">
        <v>1232</v>
      </c>
      <c r="C274" s="104" t="s">
        <v>3918</v>
      </c>
      <c r="D274" s="104" t="s">
        <v>3919</v>
      </c>
      <c r="E274" s="104" t="s">
        <v>529</v>
      </c>
      <c r="F274" s="105"/>
      <c r="H274" s="45" t="str">
        <f t="shared" si="12"/>
        <v>Tamara – Kefeček – OK Kapela</v>
      </c>
      <c r="J274" s="45" t="str">
        <f t="shared" si="13"/>
        <v>Tamara – Kefeček – OK Kapela</v>
      </c>
      <c r="L274" s="45" t="str">
        <f t="shared" si="14"/>
        <v>Tamara – Kefeček</v>
      </c>
      <c r="N274" s="103"/>
      <c r="O274" s="104"/>
      <c r="P274" s="105"/>
    </row>
    <row r="275" spans="2:16" x14ac:dyDescent="0.25">
      <c r="B275" s="103">
        <v>1871</v>
      </c>
      <c r="C275" s="104" t="s">
        <v>1392</v>
      </c>
      <c r="D275" s="104" t="s">
        <v>1391</v>
      </c>
      <c r="E275" s="104" t="s">
        <v>529</v>
      </c>
      <c r="F275" s="105" t="s">
        <v>1129</v>
      </c>
      <c r="H275" s="45" t="str">
        <f t="shared" si="12"/>
        <v>Vjekoslav – Klarić – OK Kapela – M21B</v>
      </c>
      <c r="J275" s="45" t="str">
        <f t="shared" si="13"/>
        <v>Vjekoslav – Klarić – OK Kapela</v>
      </c>
      <c r="L275" s="45" t="str">
        <f t="shared" si="14"/>
        <v>Vjekoslav – Klarić</v>
      </c>
      <c r="N275" s="103"/>
      <c r="O275" s="104"/>
      <c r="P275" s="105"/>
    </row>
    <row r="276" spans="2:16" x14ac:dyDescent="0.25">
      <c r="B276" s="103">
        <v>1483</v>
      </c>
      <c r="C276" s="104" t="s">
        <v>3059</v>
      </c>
      <c r="D276" s="104" t="s">
        <v>1220</v>
      </c>
      <c r="E276" s="104" t="s">
        <v>529</v>
      </c>
      <c r="F276" s="105" t="s">
        <v>3000</v>
      </c>
      <c r="H276" s="45" t="str">
        <f t="shared" si="12"/>
        <v>Ines – Kos – OK Kapela – Ž21A</v>
      </c>
      <c r="J276" s="45" t="str">
        <f t="shared" si="13"/>
        <v>Ines – Kos – OK Kapela</v>
      </c>
      <c r="L276" s="45" t="str">
        <f t="shared" si="14"/>
        <v>Ines – Kos</v>
      </c>
      <c r="N276" s="103"/>
      <c r="O276" s="104"/>
      <c r="P276" s="105"/>
    </row>
    <row r="277" spans="2:16" x14ac:dyDescent="0.25">
      <c r="B277" s="103">
        <v>1204</v>
      </c>
      <c r="C277" s="104" t="s">
        <v>2784</v>
      </c>
      <c r="D277" s="104" t="s">
        <v>2783</v>
      </c>
      <c r="E277" s="104" t="s">
        <v>529</v>
      </c>
      <c r="F277" s="105" t="s">
        <v>2765</v>
      </c>
      <c r="H277" s="45" t="str">
        <f t="shared" si="12"/>
        <v>Wanda – Kovač – OK Kapela – Ž16</v>
      </c>
      <c r="J277" s="45" t="str">
        <f t="shared" si="13"/>
        <v>Wanda – Kovač – OK Kapela</v>
      </c>
      <c r="L277" s="45" t="str">
        <f t="shared" si="14"/>
        <v>Wanda – Kovač</v>
      </c>
      <c r="N277" s="103"/>
      <c r="O277" s="104"/>
      <c r="P277" s="105"/>
    </row>
    <row r="278" spans="2:16" x14ac:dyDescent="0.25">
      <c r="B278" s="103">
        <v>1150</v>
      </c>
      <c r="C278" s="104" t="s">
        <v>3920</v>
      </c>
      <c r="D278" s="104" t="s">
        <v>3921</v>
      </c>
      <c r="E278" s="104" t="s">
        <v>529</v>
      </c>
      <c r="F278" s="105" t="s">
        <v>1129</v>
      </c>
      <c r="H278" s="45" t="str">
        <f t="shared" si="12"/>
        <v>Dragan – Kovačević – OK Kapela – M21B</v>
      </c>
      <c r="J278" s="45" t="str">
        <f t="shared" si="13"/>
        <v>Dragan – Kovačević – OK Kapela</v>
      </c>
      <c r="L278" s="45" t="str">
        <f t="shared" si="14"/>
        <v>Dragan – Kovačević</v>
      </c>
      <c r="N278" s="103"/>
      <c r="O278" s="104"/>
      <c r="P278" s="105"/>
    </row>
    <row r="279" spans="2:16" x14ac:dyDescent="0.25">
      <c r="B279" s="103">
        <v>1541</v>
      </c>
      <c r="C279" s="104" t="s">
        <v>2741</v>
      </c>
      <c r="D279" s="104" t="s">
        <v>3336</v>
      </c>
      <c r="E279" s="104" t="s">
        <v>529</v>
      </c>
      <c r="F279" s="105" t="s">
        <v>3264</v>
      </c>
      <c r="H279" s="45" t="str">
        <f t="shared" si="12"/>
        <v>Monika – Kovaljesko – OK Kapela – Ž35</v>
      </c>
      <c r="J279" s="45" t="str">
        <f t="shared" si="13"/>
        <v>Monika – Kovaljesko – OK Kapela</v>
      </c>
      <c r="L279" s="45" t="str">
        <f t="shared" si="14"/>
        <v>Monika – Kovaljesko</v>
      </c>
      <c r="N279" s="103"/>
      <c r="O279" s="104"/>
      <c r="P279" s="105"/>
    </row>
    <row r="280" spans="2:16" x14ac:dyDescent="0.25">
      <c r="B280" s="103">
        <v>1331</v>
      </c>
      <c r="C280" s="104" t="s">
        <v>3391</v>
      </c>
      <c r="D280" s="104" t="s">
        <v>3390</v>
      </c>
      <c r="E280" s="104" t="s">
        <v>529</v>
      </c>
      <c r="F280" s="105" t="s">
        <v>3264</v>
      </c>
      <c r="H280" s="45" t="str">
        <f t="shared" si="12"/>
        <v>Aida – Krkić Drobić – OK Kapela – Ž35</v>
      </c>
      <c r="J280" s="45" t="str">
        <f t="shared" si="13"/>
        <v>Aida – Krkić Drobić – OK Kapela</v>
      </c>
      <c r="L280" s="45" t="str">
        <f t="shared" si="14"/>
        <v>Aida – Krkić Drobić</v>
      </c>
      <c r="N280" s="103"/>
      <c r="O280" s="104"/>
      <c r="P280" s="105"/>
    </row>
    <row r="281" spans="2:16" x14ac:dyDescent="0.25">
      <c r="B281" s="103">
        <v>1265</v>
      </c>
      <c r="C281" s="104" t="s">
        <v>3922</v>
      </c>
      <c r="D281" s="104" t="s">
        <v>3923</v>
      </c>
      <c r="E281" s="104" t="s">
        <v>529</v>
      </c>
      <c r="F281" s="105" t="s">
        <v>3000</v>
      </c>
      <c r="H281" s="45" t="str">
        <f t="shared" si="12"/>
        <v>Dorotea – Kutleša – OK Kapela – Ž21A</v>
      </c>
      <c r="J281" s="45" t="str">
        <f t="shared" si="13"/>
        <v>Dorotea – Kutleša – OK Kapela</v>
      </c>
      <c r="L281" s="45" t="str">
        <f t="shared" si="14"/>
        <v>Dorotea – Kutleša</v>
      </c>
      <c r="N281" s="103"/>
      <c r="O281" s="104"/>
      <c r="P281" s="105"/>
    </row>
    <row r="282" spans="2:16" x14ac:dyDescent="0.25">
      <c r="B282" s="103">
        <v>1476</v>
      </c>
      <c r="C282" s="104" t="s">
        <v>2536</v>
      </c>
      <c r="D282" s="104" t="s">
        <v>3191</v>
      </c>
      <c r="E282" s="104" t="s">
        <v>529</v>
      </c>
      <c r="F282" s="105" t="s">
        <v>3093</v>
      </c>
      <c r="H282" s="45" t="str">
        <f t="shared" si="12"/>
        <v>Sandra – Latinger – OK Kapela – Ž21B</v>
      </c>
      <c r="J282" s="45" t="str">
        <f t="shared" si="13"/>
        <v>Sandra – Latinger – OK Kapela</v>
      </c>
      <c r="L282" s="45" t="str">
        <f t="shared" si="14"/>
        <v>Sandra – Latinger</v>
      </c>
      <c r="N282" s="103"/>
      <c r="O282" s="104"/>
      <c r="P282" s="105"/>
    </row>
    <row r="283" spans="2:16" x14ac:dyDescent="0.25">
      <c r="B283" s="103">
        <v>1135</v>
      </c>
      <c r="C283" s="104" t="s">
        <v>3924</v>
      </c>
      <c r="D283" s="104" t="s">
        <v>3925</v>
      </c>
      <c r="E283" s="104" t="s">
        <v>529</v>
      </c>
      <c r="F283" s="105" t="s">
        <v>3264</v>
      </c>
      <c r="H283" s="45" t="str">
        <f t="shared" si="12"/>
        <v>Slađana – Lučić – OK Kapela – Ž35</v>
      </c>
      <c r="J283" s="45" t="str">
        <f t="shared" si="13"/>
        <v>Slađana – Lučić – OK Kapela</v>
      </c>
      <c r="L283" s="45" t="str">
        <f t="shared" si="14"/>
        <v>Slađana – Lučić</v>
      </c>
      <c r="N283" s="103"/>
      <c r="O283" s="104"/>
      <c r="P283" s="105"/>
    </row>
    <row r="284" spans="2:16" x14ac:dyDescent="0.25">
      <c r="B284" s="103">
        <v>1302</v>
      </c>
      <c r="C284" s="104" t="s">
        <v>1363</v>
      </c>
      <c r="D284" s="104" t="s">
        <v>1233</v>
      </c>
      <c r="E284" s="104" t="s">
        <v>529</v>
      </c>
      <c r="F284" s="105" t="s">
        <v>1129</v>
      </c>
      <c r="H284" s="45" t="str">
        <f t="shared" si="12"/>
        <v>Domagoj – Malović – OK Kapela – M21B</v>
      </c>
      <c r="J284" s="45" t="str">
        <f t="shared" si="13"/>
        <v>Domagoj – Malović – OK Kapela</v>
      </c>
      <c r="L284" s="45" t="str">
        <f t="shared" si="14"/>
        <v>Domagoj – Malović</v>
      </c>
      <c r="N284" s="103"/>
      <c r="O284" s="104"/>
      <c r="P284" s="105"/>
    </row>
    <row r="285" spans="2:16" x14ac:dyDescent="0.25">
      <c r="B285" s="103">
        <v>1948</v>
      </c>
      <c r="C285" s="104" t="s">
        <v>437</v>
      </c>
      <c r="D285" s="104" t="s">
        <v>1233</v>
      </c>
      <c r="E285" s="104" t="s">
        <v>529</v>
      </c>
      <c r="F285" s="105"/>
      <c r="H285" s="45" t="str">
        <f t="shared" si="12"/>
        <v>Ivan – Malović – OK Kapela</v>
      </c>
      <c r="J285" s="45" t="str">
        <f t="shared" si="13"/>
        <v>Ivan – Malović – OK Kapela</v>
      </c>
      <c r="L285" s="45" t="str">
        <f t="shared" si="14"/>
        <v>Ivan – Malović</v>
      </c>
      <c r="N285" s="103"/>
      <c r="O285" s="104"/>
      <c r="P285" s="105"/>
    </row>
    <row r="286" spans="2:16" x14ac:dyDescent="0.25">
      <c r="B286" s="103">
        <v>1488</v>
      </c>
      <c r="C286" s="104" t="s">
        <v>2436</v>
      </c>
      <c r="D286" s="104" t="s">
        <v>3813</v>
      </c>
      <c r="E286" s="104" t="s">
        <v>529</v>
      </c>
      <c r="F286" s="105" t="s">
        <v>3264</v>
      </c>
      <c r="H286" s="45" t="str">
        <f t="shared" si="12"/>
        <v>Ana – Mandić – OK Kapela – Ž35</v>
      </c>
      <c r="J286" s="45" t="str">
        <f t="shared" si="13"/>
        <v>Ana – Mandić – OK Kapela</v>
      </c>
      <c r="L286" s="45" t="str">
        <f t="shared" si="14"/>
        <v>Ana – Mandić</v>
      </c>
      <c r="N286" s="103"/>
      <c r="O286" s="104"/>
      <c r="P286" s="105"/>
    </row>
    <row r="287" spans="2:16" x14ac:dyDescent="0.25">
      <c r="B287" s="103">
        <v>1866</v>
      </c>
      <c r="C287" s="104" t="s">
        <v>3238</v>
      </c>
      <c r="D287" s="104" t="s">
        <v>524</v>
      </c>
      <c r="E287" s="104" t="s">
        <v>529</v>
      </c>
      <c r="F287" s="105" t="s">
        <v>3093</v>
      </c>
      <c r="H287" s="45" t="str">
        <f t="shared" si="12"/>
        <v>Martina – Martin – OK Kapela – Ž21B</v>
      </c>
      <c r="J287" s="45" t="str">
        <f t="shared" si="13"/>
        <v>Martina – Martin – OK Kapela</v>
      </c>
      <c r="L287" s="45" t="str">
        <f t="shared" si="14"/>
        <v>Martina – Martin</v>
      </c>
      <c r="N287" s="103"/>
      <c r="O287" s="104"/>
      <c r="P287" s="105"/>
    </row>
    <row r="288" spans="2:16" x14ac:dyDescent="0.25">
      <c r="B288" s="103">
        <v>1108</v>
      </c>
      <c r="C288" s="104" t="s">
        <v>524</v>
      </c>
      <c r="D288" s="104" t="s">
        <v>523</v>
      </c>
      <c r="E288" s="104" t="s">
        <v>529</v>
      </c>
      <c r="F288" s="105" t="s">
        <v>486</v>
      </c>
      <c r="H288" s="45" t="str">
        <f t="shared" si="12"/>
        <v>Martin – Meštrović – OK Kapela – M14</v>
      </c>
      <c r="J288" s="45" t="str">
        <f t="shared" si="13"/>
        <v>Martin – Meštrović – OK Kapela</v>
      </c>
      <c r="L288" s="45" t="str">
        <f t="shared" si="14"/>
        <v>Martin – Meštrović</v>
      </c>
      <c r="N288" s="103"/>
      <c r="O288" s="104"/>
      <c r="P288" s="105"/>
    </row>
    <row r="289" spans="2:16" x14ac:dyDescent="0.25">
      <c r="B289" s="103">
        <v>1367</v>
      </c>
      <c r="C289" s="104" t="s">
        <v>1028</v>
      </c>
      <c r="D289" s="104" t="s">
        <v>523</v>
      </c>
      <c r="E289" s="104" t="s">
        <v>529</v>
      </c>
      <c r="F289" s="105" t="s">
        <v>1574</v>
      </c>
      <c r="H289" s="45" t="str">
        <f t="shared" si="12"/>
        <v>Tomislav – Meštrović – OK Kapela – M35</v>
      </c>
      <c r="J289" s="45" t="str">
        <f t="shared" si="13"/>
        <v>Tomislav – Meštrović – OK Kapela</v>
      </c>
      <c r="L289" s="45" t="str">
        <f t="shared" si="14"/>
        <v>Tomislav – Meštrović</v>
      </c>
      <c r="N289" s="103"/>
      <c r="O289" s="104"/>
      <c r="P289" s="105"/>
    </row>
    <row r="290" spans="2:16" x14ac:dyDescent="0.25">
      <c r="B290" s="103">
        <v>1786</v>
      </c>
      <c r="C290" s="104" t="s">
        <v>2447</v>
      </c>
      <c r="D290" s="104" t="s">
        <v>3926</v>
      </c>
      <c r="E290" s="104" t="s">
        <v>529</v>
      </c>
      <c r="F290" s="105" t="s">
        <v>3093</v>
      </c>
      <c r="H290" s="45" t="str">
        <f t="shared" si="12"/>
        <v>Ivana – Mikulinjak – OK Kapela – Ž21B</v>
      </c>
      <c r="J290" s="45" t="str">
        <f t="shared" si="13"/>
        <v>Ivana – Mikulinjak – OK Kapela</v>
      </c>
      <c r="L290" s="45" t="str">
        <f t="shared" si="14"/>
        <v>Ivana – Mikulinjak</v>
      </c>
      <c r="N290" s="103"/>
      <c r="O290" s="104"/>
      <c r="P290" s="105"/>
    </row>
    <row r="291" spans="2:16" x14ac:dyDescent="0.25">
      <c r="B291" s="103">
        <v>1092</v>
      </c>
      <c r="C291" s="104" t="s">
        <v>2564</v>
      </c>
      <c r="D291" s="104" t="s">
        <v>3927</v>
      </c>
      <c r="E291" s="104" t="s">
        <v>529</v>
      </c>
      <c r="F291" s="105" t="s">
        <v>3264</v>
      </c>
      <c r="H291" s="45" t="str">
        <f t="shared" si="12"/>
        <v>Lucija – Milas – OK Kapela – Ž35</v>
      </c>
      <c r="J291" s="45" t="str">
        <f t="shared" si="13"/>
        <v>Lucija – Milas – OK Kapela</v>
      </c>
      <c r="L291" s="45" t="str">
        <f t="shared" si="14"/>
        <v>Lucija – Milas</v>
      </c>
      <c r="N291" s="103"/>
      <c r="O291" s="104"/>
      <c r="P291" s="105"/>
    </row>
    <row r="292" spans="2:16" x14ac:dyDescent="0.25">
      <c r="B292" s="103">
        <v>1964</v>
      </c>
      <c r="C292" s="104" t="s">
        <v>2536</v>
      </c>
      <c r="D292" s="104" t="s">
        <v>2577</v>
      </c>
      <c r="E292" s="104" t="s">
        <v>529</v>
      </c>
      <c r="F292" s="105"/>
      <c r="H292" s="45" t="str">
        <f t="shared" si="12"/>
        <v>Sandra – Miletić – OK Kapela</v>
      </c>
      <c r="J292" s="45" t="str">
        <f t="shared" si="13"/>
        <v>Sandra – Miletić – OK Kapela</v>
      </c>
      <c r="L292" s="45" t="str">
        <f t="shared" si="14"/>
        <v>Sandra – Miletić</v>
      </c>
      <c r="N292" s="103"/>
      <c r="O292" s="104"/>
      <c r="P292" s="105"/>
    </row>
    <row r="293" spans="2:16" x14ac:dyDescent="0.25">
      <c r="B293" s="103">
        <v>1754</v>
      </c>
      <c r="C293" s="104" t="s">
        <v>2881</v>
      </c>
      <c r="D293" s="104" t="s">
        <v>3229</v>
      </c>
      <c r="E293" s="104" t="s">
        <v>529</v>
      </c>
      <c r="F293" s="105"/>
      <c r="H293" s="45" t="str">
        <f t="shared" si="12"/>
        <v>Ira – Miličević – OK Kapela</v>
      </c>
      <c r="J293" s="45" t="str">
        <f t="shared" si="13"/>
        <v>Ira – Miličević – OK Kapela</v>
      </c>
      <c r="L293" s="45" t="str">
        <f t="shared" si="14"/>
        <v>Ira – Miličević</v>
      </c>
      <c r="N293" s="103"/>
      <c r="O293" s="104"/>
      <c r="P293" s="105"/>
    </row>
    <row r="294" spans="2:16" x14ac:dyDescent="0.25">
      <c r="B294" s="103">
        <v>1430</v>
      </c>
      <c r="C294" s="104" t="s">
        <v>2244</v>
      </c>
      <c r="D294" s="104" t="s">
        <v>2243</v>
      </c>
      <c r="E294" s="104" t="s">
        <v>529</v>
      </c>
      <c r="F294" s="105" t="s">
        <v>2194</v>
      </c>
      <c r="H294" s="45" t="str">
        <f t="shared" si="12"/>
        <v>Mile – Mioković – OK Kapela – M55</v>
      </c>
      <c r="J294" s="45" t="str">
        <f t="shared" si="13"/>
        <v>Mile – Mioković – OK Kapela</v>
      </c>
      <c r="L294" s="45" t="str">
        <f t="shared" si="14"/>
        <v>Mile – Mioković</v>
      </c>
      <c r="N294" s="103"/>
      <c r="O294" s="104"/>
      <c r="P294" s="105"/>
    </row>
    <row r="295" spans="2:16" x14ac:dyDescent="0.25">
      <c r="B295" s="103">
        <v>1243</v>
      </c>
      <c r="C295" s="104" t="s">
        <v>2892</v>
      </c>
      <c r="D295" s="104" t="s">
        <v>2243</v>
      </c>
      <c r="E295" s="104" t="s">
        <v>529</v>
      </c>
      <c r="F295" s="105" t="s">
        <v>2765</v>
      </c>
      <c r="H295" s="45" t="str">
        <f t="shared" si="12"/>
        <v>Nina – Mioković – OK Kapela – Ž16</v>
      </c>
      <c r="J295" s="45" t="str">
        <f t="shared" si="13"/>
        <v>Nina – Mioković – OK Kapela</v>
      </c>
      <c r="L295" s="45" t="str">
        <f t="shared" si="14"/>
        <v>Nina – Mioković</v>
      </c>
      <c r="N295" s="103"/>
      <c r="O295" s="104"/>
      <c r="P295" s="105"/>
    </row>
    <row r="296" spans="2:16" x14ac:dyDescent="0.25">
      <c r="B296" s="103">
        <v>1516</v>
      </c>
      <c r="C296" s="104" t="s">
        <v>404</v>
      </c>
      <c r="D296" s="104" t="s">
        <v>2106</v>
      </c>
      <c r="E296" s="104" t="s">
        <v>529</v>
      </c>
      <c r="F296" s="105" t="s">
        <v>1908</v>
      </c>
      <c r="H296" s="45" t="str">
        <f t="shared" si="12"/>
        <v>Mario – Nimac – OK Kapela – M45</v>
      </c>
      <c r="J296" s="45" t="str">
        <f t="shared" si="13"/>
        <v>Mario – Nimac – OK Kapela</v>
      </c>
      <c r="L296" s="45" t="str">
        <f t="shared" si="14"/>
        <v>Mario – Nimac</v>
      </c>
      <c r="N296" s="103"/>
      <c r="O296" s="104"/>
      <c r="P296" s="105"/>
    </row>
    <row r="297" spans="2:16" x14ac:dyDescent="0.25">
      <c r="B297" s="103">
        <v>1787</v>
      </c>
      <c r="C297" s="104" t="s">
        <v>3928</v>
      </c>
      <c r="D297" s="104" t="s">
        <v>3929</v>
      </c>
      <c r="E297" s="104" t="s">
        <v>529</v>
      </c>
      <c r="F297" s="105"/>
      <c r="H297" s="45" t="str">
        <f t="shared" si="12"/>
        <v>Silvije – Nosić – OK Kapela</v>
      </c>
      <c r="J297" s="45" t="str">
        <f t="shared" si="13"/>
        <v>Silvije – Nosić – OK Kapela</v>
      </c>
      <c r="L297" s="45" t="str">
        <f t="shared" si="14"/>
        <v>Silvije – Nosić</v>
      </c>
      <c r="N297" s="103"/>
      <c r="O297" s="104"/>
      <c r="P297" s="105"/>
    </row>
    <row r="298" spans="2:16" x14ac:dyDescent="0.25">
      <c r="B298" s="103">
        <v>1258</v>
      </c>
      <c r="C298" s="104" t="s">
        <v>3930</v>
      </c>
      <c r="D298" s="104" t="s">
        <v>3931</v>
      </c>
      <c r="E298" s="104" t="s">
        <v>529</v>
      </c>
      <c r="F298" s="105" t="s">
        <v>2731</v>
      </c>
      <c r="H298" s="45" t="str">
        <f t="shared" si="12"/>
        <v>Anja Vita – Ogorelec – OK Kapela – Ž14</v>
      </c>
      <c r="J298" s="45" t="str">
        <f t="shared" si="13"/>
        <v>Anja Vita – Ogorelec – OK Kapela</v>
      </c>
      <c r="L298" s="45" t="str">
        <f t="shared" si="14"/>
        <v>Anja Vita – Ogorelec</v>
      </c>
      <c r="N298" s="103"/>
      <c r="O298" s="104"/>
      <c r="P298" s="105"/>
    </row>
    <row r="299" spans="2:16" x14ac:dyDescent="0.25">
      <c r="B299" s="103">
        <v>1670</v>
      </c>
      <c r="C299" s="104" t="s">
        <v>3924</v>
      </c>
      <c r="D299" s="104" t="s">
        <v>3932</v>
      </c>
      <c r="E299" s="104" t="s">
        <v>529</v>
      </c>
      <c r="F299" s="105"/>
      <c r="H299" s="45" t="str">
        <f t="shared" si="12"/>
        <v>Slađana – Ovčarić – OK Kapela</v>
      </c>
      <c r="J299" s="45" t="str">
        <f t="shared" si="13"/>
        <v>Slađana – Ovčarić – OK Kapela</v>
      </c>
      <c r="L299" s="45" t="str">
        <f t="shared" si="14"/>
        <v>Slađana – Ovčarić</v>
      </c>
      <c r="N299" s="103"/>
      <c r="O299" s="104"/>
      <c r="P299" s="105"/>
    </row>
    <row r="300" spans="2:16" x14ac:dyDescent="0.25">
      <c r="B300" s="103">
        <v>1212</v>
      </c>
      <c r="C300" s="104" t="s">
        <v>3023</v>
      </c>
      <c r="D300" s="104" t="s">
        <v>3101</v>
      </c>
      <c r="E300" s="104" t="s">
        <v>529</v>
      </c>
      <c r="F300" s="105" t="s">
        <v>3093</v>
      </c>
      <c r="H300" s="45" t="str">
        <f t="shared" si="12"/>
        <v>Olga – Pajnić – OK Kapela – Ž21B</v>
      </c>
      <c r="J300" s="45" t="str">
        <f t="shared" si="13"/>
        <v>Olga – Pajnić – OK Kapela</v>
      </c>
      <c r="L300" s="45" t="str">
        <f t="shared" si="14"/>
        <v>Olga – Pajnić</v>
      </c>
      <c r="N300" s="103"/>
      <c r="O300" s="104"/>
      <c r="P300" s="105"/>
    </row>
    <row r="301" spans="2:16" x14ac:dyDescent="0.25">
      <c r="B301" s="103">
        <v>1294</v>
      </c>
      <c r="C301" s="104" t="s">
        <v>1662</v>
      </c>
      <c r="D301" s="104" t="s">
        <v>3933</v>
      </c>
      <c r="E301" s="104" t="s">
        <v>529</v>
      </c>
      <c r="F301" s="105" t="s">
        <v>885</v>
      </c>
      <c r="H301" s="45" t="str">
        <f t="shared" si="12"/>
        <v>Krunoslav – Peh – OK Kapela – M21A</v>
      </c>
      <c r="J301" s="45" t="str">
        <f t="shared" si="13"/>
        <v>Krunoslav – Peh – OK Kapela</v>
      </c>
      <c r="L301" s="45" t="str">
        <f t="shared" si="14"/>
        <v>Krunoslav – Peh</v>
      </c>
      <c r="N301" s="103"/>
      <c r="O301" s="104"/>
      <c r="P301" s="105"/>
    </row>
    <row r="302" spans="2:16" x14ac:dyDescent="0.25">
      <c r="B302" s="103">
        <v>1211</v>
      </c>
      <c r="C302" s="104" t="s">
        <v>2047</v>
      </c>
      <c r="D302" s="104" t="s">
        <v>2046</v>
      </c>
      <c r="E302" s="104" t="s">
        <v>529</v>
      </c>
      <c r="F302" s="105" t="s">
        <v>1908</v>
      </c>
      <c r="H302" s="45" t="str">
        <f t="shared" si="12"/>
        <v>Ivan Ivo – Penić – OK Kapela – M45</v>
      </c>
      <c r="J302" s="45" t="str">
        <f t="shared" si="13"/>
        <v>Ivan Ivo – Penić – OK Kapela</v>
      </c>
      <c r="L302" s="45" t="str">
        <f t="shared" si="14"/>
        <v>Ivan Ivo – Penić</v>
      </c>
      <c r="N302" s="103"/>
      <c r="O302" s="104"/>
      <c r="P302" s="105"/>
    </row>
    <row r="303" spans="2:16" x14ac:dyDescent="0.25">
      <c r="B303" s="103">
        <v>1019</v>
      </c>
      <c r="C303" s="104" t="s">
        <v>2911</v>
      </c>
      <c r="D303" s="104" t="s">
        <v>3863</v>
      </c>
      <c r="E303" s="104" t="s">
        <v>529</v>
      </c>
      <c r="F303" s="105" t="s">
        <v>3618</v>
      </c>
      <c r="H303" s="45" t="str">
        <f t="shared" si="12"/>
        <v>Jelena – Perić – OK Kapela – Ž55</v>
      </c>
      <c r="J303" s="45" t="str">
        <f t="shared" si="13"/>
        <v>Jelena – Perić – OK Kapela</v>
      </c>
      <c r="L303" s="45" t="str">
        <f t="shared" si="14"/>
        <v>Jelena – Perić</v>
      </c>
      <c r="N303" s="103"/>
      <c r="O303" s="104"/>
      <c r="P303" s="105"/>
    </row>
    <row r="304" spans="2:16" x14ac:dyDescent="0.25">
      <c r="B304" s="103">
        <v>1962</v>
      </c>
      <c r="C304" s="104" t="s">
        <v>2484</v>
      </c>
      <c r="D304" s="104" t="s">
        <v>2483</v>
      </c>
      <c r="E304" s="104" t="s">
        <v>529</v>
      </c>
      <c r="F304" s="105"/>
      <c r="H304" s="45" t="str">
        <f t="shared" si="12"/>
        <v>Iva – Pintur – OK Kapela</v>
      </c>
      <c r="J304" s="45" t="str">
        <f t="shared" si="13"/>
        <v>Iva – Pintur – OK Kapela</v>
      </c>
      <c r="L304" s="45" t="str">
        <f t="shared" si="14"/>
        <v>Iva – Pintur</v>
      </c>
      <c r="N304" s="103"/>
      <c r="O304" s="104"/>
      <c r="P304" s="105"/>
    </row>
    <row r="305" spans="2:16" x14ac:dyDescent="0.25">
      <c r="B305" s="103">
        <v>1560</v>
      </c>
      <c r="C305" s="104" t="s">
        <v>2594</v>
      </c>
      <c r="D305" s="104" t="s">
        <v>3934</v>
      </c>
      <c r="E305" s="104" t="s">
        <v>529</v>
      </c>
      <c r="F305" s="105" t="s">
        <v>3093</v>
      </c>
      <c r="H305" s="45" t="str">
        <f t="shared" si="12"/>
        <v>Maja – Pirija – OK Kapela – Ž21B</v>
      </c>
      <c r="J305" s="45" t="str">
        <f t="shared" si="13"/>
        <v>Maja – Pirija – OK Kapela</v>
      </c>
      <c r="L305" s="45" t="str">
        <f t="shared" si="14"/>
        <v>Maja – Pirija</v>
      </c>
      <c r="N305" s="103"/>
      <c r="O305" s="104"/>
      <c r="P305" s="105"/>
    </row>
    <row r="306" spans="2:16" x14ac:dyDescent="0.25">
      <c r="B306" s="103">
        <v>1222</v>
      </c>
      <c r="C306" s="104" t="s">
        <v>3300</v>
      </c>
      <c r="D306" s="104" t="s">
        <v>3299</v>
      </c>
      <c r="E306" s="104" t="s">
        <v>529</v>
      </c>
      <c r="F306" s="105" t="s">
        <v>3264</v>
      </c>
      <c r="H306" s="45" t="str">
        <f t="shared" si="12"/>
        <v>Antea – Popović – OK Kapela – Ž35</v>
      </c>
      <c r="J306" s="45" t="str">
        <f t="shared" si="13"/>
        <v>Antea – Popović – OK Kapela</v>
      </c>
      <c r="L306" s="45" t="str">
        <f t="shared" si="14"/>
        <v>Antea – Popović</v>
      </c>
      <c r="N306" s="103"/>
      <c r="O306" s="104"/>
      <c r="P306" s="105"/>
    </row>
    <row r="307" spans="2:16" x14ac:dyDescent="0.25">
      <c r="B307" s="103">
        <v>1500</v>
      </c>
      <c r="C307" s="104" t="s">
        <v>437</v>
      </c>
      <c r="D307" s="104" t="s">
        <v>2035</v>
      </c>
      <c r="E307" s="104" t="s">
        <v>529</v>
      </c>
      <c r="F307" s="105" t="s">
        <v>1908</v>
      </c>
      <c r="H307" s="45" t="str">
        <f t="shared" si="12"/>
        <v>Ivan – Posinjak – OK Kapela – M45</v>
      </c>
      <c r="J307" s="45" t="str">
        <f t="shared" si="13"/>
        <v>Ivan – Posinjak – OK Kapela</v>
      </c>
      <c r="L307" s="45" t="str">
        <f t="shared" si="14"/>
        <v>Ivan – Posinjak</v>
      </c>
      <c r="N307" s="103"/>
      <c r="O307" s="104"/>
      <c r="P307" s="105"/>
    </row>
    <row r="308" spans="2:16" x14ac:dyDescent="0.25">
      <c r="B308" s="103">
        <v>1869</v>
      </c>
      <c r="C308" s="104" t="s">
        <v>3521</v>
      </c>
      <c r="D308" s="104" t="s">
        <v>3935</v>
      </c>
      <c r="E308" s="104" t="s">
        <v>529</v>
      </c>
      <c r="F308" s="105" t="s">
        <v>3093</v>
      </c>
      <c r="H308" s="45" t="str">
        <f t="shared" si="12"/>
        <v>Nataša – Preis-Bedenik – OK Kapela – Ž21B</v>
      </c>
      <c r="J308" s="45" t="str">
        <f t="shared" si="13"/>
        <v>Nataša – Preis-Bedenik – OK Kapela</v>
      </c>
      <c r="L308" s="45" t="str">
        <f t="shared" si="14"/>
        <v>Nataša – Preis-Bedenik</v>
      </c>
      <c r="N308" s="103"/>
      <c r="O308" s="104"/>
      <c r="P308" s="105"/>
    </row>
    <row r="309" spans="2:16" x14ac:dyDescent="0.25">
      <c r="B309" s="103">
        <v>1350</v>
      </c>
      <c r="C309" s="104" t="s">
        <v>1208</v>
      </c>
      <c r="D309" s="104" t="s">
        <v>1207</v>
      </c>
      <c r="E309" s="104" t="s">
        <v>529</v>
      </c>
      <c r="F309" s="105" t="s">
        <v>1129</v>
      </c>
      <c r="H309" s="45" t="str">
        <f t="shared" si="12"/>
        <v>Branimir – Putniković – OK Kapela – M21B</v>
      </c>
      <c r="J309" s="45" t="str">
        <f t="shared" si="13"/>
        <v>Branimir – Putniković – OK Kapela</v>
      </c>
      <c r="L309" s="45" t="str">
        <f t="shared" si="14"/>
        <v>Branimir – Putniković</v>
      </c>
      <c r="N309" s="103"/>
      <c r="O309" s="104"/>
      <c r="P309" s="105"/>
    </row>
    <row r="310" spans="2:16" x14ac:dyDescent="0.25">
      <c r="B310" s="103">
        <v>1363</v>
      </c>
      <c r="C310" s="104" t="s">
        <v>2206</v>
      </c>
      <c r="D310" s="104" t="s">
        <v>2277</v>
      </c>
      <c r="E310" s="104" t="s">
        <v>529</v>
      </c>
      <c r="F310" s="105" t="s">
        <v>2194</v>
      </c>
      <c r="H310" s="45" t="str">
        <f t="shared" si="12"/>
        <v>Darko – Raškaj – OK Kapela – M55</v>
      </c>
      <c r="J310" s="45" t="str">
        <f t="shared" si="13"/>
        <v>Darko – Raškaj – OK Kapela</v>
      </c>
      <c r="L310" s="45" t="str">
        <f t="shared" si="14"/>
        <v>Darko – Raškaj</v>
      </c>
      <c r="N310" s="103"/>
      <c r="O310" s="104"/>
      <c r="P310" s="105"/>
    </row>
    <row r="311" spans="2:16" x14ac:dyDescent="0.25">
      <c r="B311" s="103">
        <v>1546</v>
      </c>
      <c r="C311" s="104" t="s">
        <v>740</v>
      </c>
      <c r="D311" s="104" t="s">
        <v>3936</v>
      </c>
      <c r="E311" s="104" t="s">
        <v>529</v>
      </c>
      <c r="F311" s="105" t="s">
        <v>1574</v>
      </c>
      <c r="H311" s="45" t="str">
        <f t="shared" si="12"/>
        <v>Goran – Rihter – OK Kapela – M35</v>
      </c>
      <c r="J311" s="45" t="str">
        <f t="shared" si="13"/>
        <v>Goran – Rihter – OK Kapela</v>
      </c>
      <c r="L311" s="45" t="str">
        <f t="shared" si="14"/>
        <v>Goran – Rihter</v>
      </c>
      <c r="N311" s="103"/>
      <c r="O311" s="104"/>
      <c r="P311" s="105"/>
    </row>
    <row r="312" spans="2:16" x14ac:dyDescent="0.25">
      <c r="B312" s="103">
        <v>1788</v>
      </c>
      <c r="C312" s="104" t="s">
        <v>1335</v>
      </c>
      <c r="D312" s="104" t="s">
        <v>3937</v>
      </c>
      <c r="E312" s="104" t="s">
        <v>529</v>
      </c>
      <c r="F312" s="105"/>
      <c r="H312" s="45" t="str">
        <f t="shared" si="12"/>
        <v>Dario – Rocco – OK Kapela</v>
      </c>
      <c r="J312" s="45" t="str">
        <f t="shared" si="13"/>
        <v>Dario – Rocco – OK Kapela</v>
      </c>
      <c r="L312" s="45" t="str">
        <f t="shared" si="14"/>
        <v>Dario – Rocco</v>
      </c>
      <c r="N312" s="103"/>
      <c r="O312" s="104"/>
      <c r="P312" s="105"/>
    </row>
    <row r="313" spans="2:16" x14ac:dyDescent="0.25">
      <c r="B313" s="103">
        <v>1789</v>
      </c>
      <c r="C313" s="104" t="s">
        <v>1179</v>
      </c>
      <c r="D313" s="104" t="s">
        <v>3938</v>
      </c>
      <c r="E313" s="104" t="s">
        <v>529</v>
      </c>
      <c r="F313" s="105"/>
      <c r="H313" s="45" t="str">
        <f t="shared" si="12"/>
        <v>Dominik – Sabljak – OK Kapela</v>
      </c>
      <c r="J313" s="45" t="str">
        <f t="shared" si="13"/>
        <v>Dominik – Sabljak – OK Kapela</v>
      </c>
      <c r="L313" s="45" t="str">
        <f t="shared" si="14"/>
        <v>Dominik – Sabljak</v>
      </c>
      <c r="N313" s="103"/>
      <c r="O313" s="104"/>
      <c r="P313" s="105"/>
    </row>
    <row r="314" spans="2:16" x14ac:dyDescent="0.25">
      <c r="B314" s="103">
        <v>1790</v>
      </c>
      <c r="C314" s="104" t="s">
        <v>1073</v>
      </c>
      <c r="D314" s="104" t="s">
        <v>3939</v>
      </c>
      <c r="E314" s="104" t="s">
        <v>529</v>
      </c>
      <c r="F314" s="105"/>
      <c r="H314" s="45" t="str">
        <f t="shared" si="12"/>
        <v>Vedran – Sabljić – OK Kapela</v>
      </c>
      <c r="J314" s="45" t="str">
        <f t="shared" si="13"/>
        <v>Vedran – Sabljić – OK Kapela</v>
      </c>
      <c r="L314" s="45" t="str">
        <f t="shared" si="14"/>
        <v>Vedran – Sabljić</v>
      </c>
      <c r="N314" s="103"/>
      <c r="O314" s="104"/>
      <c r="P314" s="105"/>
    </row>
    <row r="315" spans="2:16" x14ac:dyDescent="0.25">
      <c r="B315" s="103">
        <v>1479</v>
      </c>
      <c r="C315" s="104" t="s">
        <v>1335</v>
      </c>
      <c r="D315" s="104" t="s">
        <v>3940</v>
      </c>
      <c r="E315" s="104" t="s">
        <v>529</v>
      </c>
      <c r="F315" s="105" t="s">
        <v>2194</v>
      </c>
      <c r="H315" s="45" t="str">
        <f t="shared" si="12"/>
        <v>Dario – Sekušak – OK Kapela – M55</v>
      </c>
      <c r="J315" s="45" t="str">
        <f t="shared" si="13"/>
        <v>Dario – Sekušak – OK Kapela</v>
      </c>
      <c r="L315" s="45" t="str">
        <f t="shared" si="14"/>
        <v>Dario – Sekušak</v>
      </c>
      <c r="N315" s="103"/>
      <c r="O315" s="104"/>
      <c r="P315" s="105"/>
    </row>
    <row r="316" spans="2:16" x14ac:dyDescent="0.25">
      <c r="B316" s="103">
        <v>1565</v>
      </c>
      <c r="C316" s="104" t="s">
        <v>2447</v>
      </c>
      <c r="D316" s="104" t="s">
        <v>3941</v>
      </c>
      <c r="E316" s="104" t="s">
        <v>529</v>
      </c>
      <c r="F316" s="105" t="s">
        <v>3264</v>
      </c>
      <c r="H316" s="45" t="str">
        <f t="shared" si="12"/>
        <v>Ivana – Sertić – OK Kapela – Ž35</v>
      </c>
      <c r="J316" s="45" t="str">
        <f t="shared" si="13"/>
        <v>Ivana – Sertić – OK Kapela</v>
      </c>
      <c r="L316" s="45" t="str">
        <f t="shared" si="14"/>
        <v>Ivana – Sertić</v>
      </c>
      <c r="N316" s="103"/>
      <c r="O316" s="104"/>
      <c r="P316" s="105"/>
    </row>
    <row r="317" spans="2:16" x14ac:dyDescent="0.25">
      <c r="B317" s="103">
        <v>1791</v>
      </c>
      <c r="C317" s="104" t="s">
        <v>2436</v>
      </c>
      <c r="D317" s="104" t="s">
        <v>3942</v>
      </c>
      <c r="E317" s="104" t="s">
        <v>529</v>
      </c>
      <c r="F317" s="105"/>
      <c r="H317" s="45" t="str">
        <f t="shared" si="12"/>
        <v>Ana – Simon – OK Kapela</v>
      </c>
      <c r="J317" s="45" t="str">
        <f t="shared" si="13"/>
        <v>Ana – Simon – OK Kapela</v>
      </c>
      <c r="L317" s="45" t="str">
        <f t="shared" si="14"/>
        <v>Ana – Simon</v>
      </c>
      <c r="N317" s="103"/>
      <c r="O317" s="104"/>
      <c r="P317" s="105"/>
    </row>
    <row r="318" spans="2:16" x14ac:dyDescent="0.25">
      <c r="B318" s="103">
        <v>1963</v>
      </c>
      <c r="C318" s="104" t="s">
        <v>2436</v>
      </c>
      <c r="D318" s="104" t="s">
        <v>2435</v>
      </c>
      <c r="E318" s="104" t="s">
        <v>529</v>
      </c>
      <c r="F318" s="105"/>
      <c r="H318" s="45" t="str">
        <f t="shared" si="12"/>
        <v>Ana – Šiprak Stastny – OK Kapela</v>
      </c>
      <c r="J318" s="45" t="str">
        <f t="shared" si="13"/>
        <v>Ana – Šiprak Stastny – OK Kapela</v>
      </c>
      <c r="L318" s="45" t="str">
        <f t="shared" si="14"/>
        <v>Ana – Šiprak Stastny</v>
      </c>
      <c r="N318" s="103"/>
      <c r="O318" s="109"/>
      <c r="P318" s="105"/>
    </row>
    <row r="319" spans="2:16" x14ac:dyDescent="0.25">
      <c r="B319" s="103">
        <v>1581</v>
      </c>
      <c r="C319" s="104" t="s">
        <v>1496</v>
      </c>
      <c r="D319" s="104" t="s">
        <v>3943</v>
      </c>
      <c r="E319" s="104" t="s">
        <v>529</v>
      </c>
      <c r="F319" s="105"/>
      <c r="H319" s="45" t="str">
        <f t="shared" si="12"/>
        <v>Nikola – Škorić – OK Kapela</v>
      </c>
      <c r="J319" s="45" t="str">
        <f t="shared" si="13"/>
        <v>Nikola – Škorić – OK Kapela</v>
      </c>
      <c r="L319" s="45" t="str">
        <f t="shared" si="14"/>
        <v>Nikola – Škorić</v>
      </c>
      <c r="N319" s="103"/>
      <c r="O319" s="104"/>
      <c r="P319" s="105"/>
    </row>
    <row r="320" spans="2:16" x14ac:dyDescent="0.25">
      <c r="B320" s="103">
        <v>1417</v>
      </c>
      <c r="C320" s="104" t="s">
        <v>3252</v>
      </c>
      <c r="D320" s="104" t="s">
        <v>3944</v>
      </c>
      <c r="E320" s="104" t="s">
        <v>529</v>
      </c>
      <c r="F320" s="105" t="s">
        <v>3442</v>
      </c>
      <c r="H320" s="45" t="str">
        <f t="shared" si="12"/>
        <v>Marina – Šojat – OK Kapela – Ž45</v>
      </c>
      <c r="J320" s="45" t="str">
        <f t="shared" si="13"/>
        <v>Marina – Šojat – OK Kapela</v>
      </c>
      <c r="L320" s="45" t="str">
        <f t="shared" si="14"/>
        <v>Marina – Šojat</v>
      </c>
      <c r="N320" s="103"/>
      <c r="O320" s="104"/>
      <c r="P320" s="105"/>
    </row>
    <row r="321" spans="2:16" x14ac:dyDescent="0.25">
      <c r="B321" s="103">
        <v>1282</v>
      </c>
      <c r="C321" s="104" t="s">
        <v>1954</v>
      </c>
      <c r="D321" s="104" t="s">
        <v>3945</v>
      </c>
      <c r="E321" s="104" t="s">
        <v>529</v>
      </c>
      <c r="F321" s="105" t="s">
        <v>1574</v>
      </c>
      <c r="H321" s="45" t="str">
        <f t="shared" si="12"/>
        <v>Vladimir – Spasić – OK Kapela – M35</v>
      </c>
      <c r="J321" s="45" t="str">
        <f t="shared" si="13"/>
        <v>Vladimir – Spasić – OK Kapela</v>
      </c>
      <c r="L321" s="45" t="str">
        <f t="shared" si="14"/>
        <v>Vladimir – Spasić</v>
      </c>
      <c r="N321" s="103"/>
      <c r="O321" s="104"/>
      <c r="P321" s="105"/>
    </row>
    <row r="322" spans="2:16" x14ac:dyDescent="0.25">
      <c r="B322" s="103">
        <v>1358</v>
      </c>
      <c r="C322" s="104" t="s">
        <v>2256</v>
      </c>
      <c r="D322" s="104" t="s">
        <v>2255</v>
      </c>
      <c r="E322" s="104" t="s">
        <v>529</v>
      </c>
      <c r="F322" s="105" t="s">
        <v>2194</v>
      </c>
      <c r="H322" s="45" t="str">
        <f t="shared" si="12"/>
        <v>Krešo – Špoljar – OK Kapela – M55</v>
      </c>
      <c r="J322" s="45" t="str">
        <f t="shared" si="13"/>
        <v>Krešo – Špoljar – OK Kapela</v>
      </c>
      <c r="L322" s="45" t="str">
        <f t="shared" si="14"/>
        <v>Krešo – Špoljar</v>
      </c>
      <c r="N322" s="103"/>
      <c r="O322" s="104"/>
      <c r="P322" s="105"/>
    </row>
    <row r="323" spans="2:16" x14ac:dyDescent="0.25">
      <c r="B323" s="103">
        <v>1032</v>
      </c>
      <c r="C323" s="104" t="s">
        <v>3151</v>
      </c>
      <c r="D323" s="104" t="s">
        <v>3150</v>
      </c>
      <c r="E323" s="104" t="s">
        <v>529</v>
      </c>
      <c r="F323" s="105" t="s">
        <v>3093</v>
      </c>
      <c r="H323" s="45" t="str">
        <f t="shared" si="12"/>
        <v>Suzana – Stanić – OK Kapela – Ž21B</v>
      </c>
      <c r="J323" s="45" t="str">
        <f t="shared" si="13"/>
        <v>Suzana – Stanić – OK Kapela</v>
      </c>
      <c r="L323" s="45" t="str">
        <f t="shared" si="14"/>
        <v>Suzana – Stanić</v>
      </c>
      <c r="N323" s="103"/>
      <c r="O323" s="104"/>
      <c r="P323" s="105"/>
    </row>
    <row r="324" spans="2:16" x14ac:dyDescent="0.25">
      <c r="B324" s="103">
        <v>1348</v>
      </c>
      <c r="C324" s="104" t="s">
        <v>3775</v>
      </c>
      <c r="D324" s="104" t="s">
        <v>3946</v>
      </c>
      <c r="E324" s="104" t="s">
        <v>529</v>
      </c>
      <c r="F324" s="105" t="s">
        <v>1129</v>
      </c>
      <c r="H324" s="45" t="str">
        <f t="shared" si="12"/>
        <v>Bruno – Stanković – OK Kapela – M21B</v>
      </c>
      <c r="J324" s="45" t="str">
        <f t="shared" si="13"/>
        <v>Bruno – Stanković – OK Kapela</v>
      </c>
      <c r="L324" s="45" t="str">
        <f t="shared" si="14"/>
        <v>Bruno – Stanković</v>
      </c>
      <c r="N324" s="103"/>
      <c r="O324" s="104"/>
      <c r="P324" s="105"/>
    </row>
    <row r="325" spans="2:16" x14ac:dyDescent="0.25">
      <c r="B325" s="103">
        <v>1872</v>
      </c>
      <c r="C325" s="104" t="s">
        <v>2447</v>
      </c>
      <c r="D325" s="104" t="s">
        <v>1902</v>
      </c>
      <c r="E325" s="104" t="s">
        <v>529</v>
      </c>
      <c r="F325" s="105" t="s">
        <v>3093</v>
      </c>
      <c r="H325" s="45" t="str">
        <f t="shared" si="12"/>
        <v>Ivana – Stankovski – OK Kapela – Ž21B</v>
      </c>
      <c r="J325" s="45" t="str">
        <f t="shared" si="13"/>
        <v>Ivana – Stankovski – OK Kapela</v>
      </c>
      <c r="L325" s="45" t="str">
        <f t="shared" si="14"/>
        <v>Ivana – Stankovski</v>
      </c>
      <c r="N325" s="103"/>
      <c r="O325" s="104"/>
      <c r="P325" s="105"/>
    </row>
    <row r="326" spans="2:16" x14ac:dyDescent="0.25">
      <c r="B326" s="103">
        <v>1499</v>
      </c>
      <c r="C326" s="104" t="s">
        <v>1712</v>
      </c>
      <c r="D326" s="104" t="s">
        <v>1711</v>
      </c>
      <c r="E326" s="104" t="s">
        <v>529</v>
      </c>
      <c r="F326" s="105" t="s">
        <v>1574</v>
      </c>
      <c r="H326" s="45" t="str">
        <f t="shared" si="12"/>
        <v>Vanja – Suhina – OK Kapela – M35</v>
      </c>
      <c r="J326" s="45" t="str">
        <f t="shared" si="13"/>
        <v>Vanja – Suhina – OK Kapela</v>
      </c>
      <c r="L326" s="45" t="str">
        <f t="shared" si="14"/>
        <v>Vanja – Suhina</v>
      </c>
      <c r="N326" s="103"/>
      <c r="O326" s="104"/>
      <c r="P326" s="105"/>
    </row>
    <row r="327" spans="2:16" x14ac:dyDescent="0.25">
      <c r="B327" s="103">
        <v>1487</v>
      </c>
      <c r="C327" s="104" t="s">
        <v>2206</v>
      </c>
      <c r="D327" s="104" t="s">
        <v>3947</v>
      </c>
      <c r="E327" s="104" t="s">
        <v>529</v>
      </c>
      <c r="F327" s="105" t="s">
        <v>1574</v>
      </c>
      <c r="H327" s="45" t="str">
        <f t="shared" si="12"/>
        <v>Darko – Surjan – OK Kapela – M35</v>
      </c>
      <c r="J327" s="45" t="str">
        <f t="shared" si="13"/>
        <v>Darko – Surjan – OK Kapela</v>
      </c>
      <c r="L327" s="45" t="str">
        <f t="shared" si="14"/>
        <v>Darko – Surjan</v>
      </c>
      <c r="N327" s="103"/>
      <c r="O327" s="104"/>
      <c r="P327" s="105"/>
    </row>
    <row r="328" spans="2:16" x14ac:dyDescent="0.25">
      <c r="B328" s="103">
        <v>1420</v>
      </c>
      <c r="C328" s="104" t="s">
        <v>1248</v>
      </c>
      <c r="D328" s="104" t="s">
        <v>1247</v>
      </c>
      <c r="E328" s="104" t="s">
        <v>529</v>
      </c>
      <c r="F328" s="105" t="s">
        <v>1129</v>
      </c>
      <c r="H328" s="45" t="str">
        <f t="shared" si="12"/>
        <v>Zdravko – Tonković – OK Kapela – M21B</v>
      </c>
      <c r="J328" s="45" t="str">
        <f t="shared" si="13"/>
        <v>Zdravko – Tonković – OK Kapela</v>
      </c>
      <c r="L328" s="45" t="str">
        <f t="shared" si="14"/>
        <v>Zdravko – Tonković</v>
      </c>
      <c r="N328" s="103"/>
      <c r="O328" s="104"/>
      <c r="P328" s="105"/>
    </row>
    <row r="329" spans="2:16" x14ac:dyDescent="0.25">
      <c r="B329" s="103">
        <v>1072</v>
      </c>
      <c r="C329" s="104" t="s">
        <v>2174</v>
      </c>
      <c r="D329" s="104" t="s">
        <v>2173</v>
      </c>
      <c r="E329" s="104" t="s">
        <v>529</v>
      </c>
      <c r="F329" s="105" t="s">
        <v>1908</v>
      </c>
      <c r="H329" s="45" t="str">
        <f t="shared" si="12"/>
        <v>Vlatko – Tounec – OK Kapela – M45</v>
      </c>
      <c r="J329" s="45" t="str">
        <f t="shared" si="13"/>
        <v>Vlatko – Tounec – OK Kapela</v>
      </c>
      <c r="L329" s="45" t="str">
        <f t="shared" si="14"/>
        <v>Vlatko – Tounec</v>
      </c>
      <c r="N329" s="103"/>
      <c r="O329" s="104"/>
      <c r="P329" s="105"/>
    </row>
    <row r="330" spans="2:16" x14ac:dyDescent="0.25">
      <c r="B330" s="103">
        <v>1126</v>
      </c>
      <c r="C330" s="104" t="s">
        <v>1954</v>
      </c>
      <c r="D330" s="104" t="s">
        <v>1953</v>
      </c>
      <c r="E330" s="104" t="s">
        <v>529</v>
      </c>
      <c r="F330" s="105" t="s">
        <v>1908</v>
      </c>
      <c r="H330" s="45" t="str">
        <f t="shared" si="12"/>
        <v>Vladimir – Trivunović – OK Kapela – M45</v>
      </c>
      <c r="J330" s="45" t="str">
        <f t="shared" si="13"/>
        <v>Vladimir – Trivunović – OK Kapela</v>
      </c>
      <c r="L330" s="45" t="str">
        <f t="shared" si="14"/>
        <v>Vladimir – Trivunović</v>
      </c>
      <c r="N330" s="103"/>
      <c r="O330" s="104"/>
      <c r="P330" s="105"/>
    </row>
    <row r="331" spans="2:16" x14ac:dyDescent="0.25">
      <c r="B331" s="103">
        <v>1319</v>
      </c>
      <c r="C331" s="104" t="s">
        <v>2447</v>
      </c>
      <c r="D331" s="104" t="s">
        <v>3948</v>
      </c>
      <c r="E331" s="104" t="s">
        <v>529</v>
      </c>
      <c r="F331" s="105" t="s">
        <v>3093</v>
      </c>
      <c r="H331" s="45" t="str">
        <f t="shared" ref="H331:H394" si="15">IF(C331="","",C331) &amp; IF(D331="",""," – " &amp; D331) &amp; IF(E331="",""," – " &amp; E331) &amp; IF(F331="",""," – " &amp; F331)</f>
        <v>Ivana – Ulrich Cvenić – OK Kapela – Ž21B</v>
      </c>
      <c r="J331" s="45" t="str">
        <f t="shared" ref="J331:J394" si="16">IF(C331="","",C331) &amp; IF(D331="",""," – " &amp; D331) &amp; IF(E331="",""," – " &amp; E331)</f>
        <v>Ivana – Ulrich Cvenić – OK Kapela</v>
      </c>
      <c r="L331" s="45" t="str">
        <f t="shared" ref="L331:L394" si="17">IF(C331="","",C331) &amp; IF(D331="",""," – " &amp; D331)</f>
        <v>Ivana – Ulrich Cvenić</v>
      </c>
      <c r="N331" s="103"/>
      <c r="O331" s="104"/>
      <c r="P331" s="105"/>
    </row>
    <row r="332" spans="2:16" x14ac:dyDescent="0.25">
      <c r="B332" s="103">
        <v>1083</v>
      </c>
      <c r="C332" s="104" t="s">
        <v>3949</v>
      </c>
      <c r="D332" s="104" t="s">
        <v>2813</v>
      </c>
      <c r="E332" s="104" t="s">
        <v>529</v>
      </c>
      <c r="F332" s="105" t="s">
        <v>363</v>
      </c>
      <c r="H332" s="45" t="str">
        <f t="shared" si="15"/>
        <v>Fabijan – Vidaković – OK Kapela – M12</v>
      </c>
      <c r="J332" s="45" t="str">
        <f t="shared" si="16"/>
        <v>Fabijan – Vidaković – OK Kapela</v>
      </c>
      <c r="L332" s="45" t="str">
        <f t="shared" si="17"/>
        <v>Fabijan – Vidaković</v>
      </c>
      <c r="N332" s="103"/>
      <c r="O332" s="104"/>
      <c r="P332" s="105"/>
    </row>
    <row r="333" spans="2:16" x14ac:dyDescent="0.25">
      <c r="B333" s="103">
        <v>1259</v>
      </c>
      <c r="C333" s="104" t="s">
        <v>2814</v>
      </c>
      <c r="D333" s="104" t="s">
        <v>2813</v>
      </c>
      <c r="E333" s="104" t="s">
        <v>529</v>
      </c>
      <c r="F333" s="105" t="s">
        <v>2765</v>
      </c>
      <c r="H333" s="45" t="str">
        <f t="shared" si="15"/>
        <v>Majda – Vidaković – OK Kapela – Ž16</v>
      </c>
      <c r="J333" s="45" t="str">
        <f t="shared" si="16"/>
        <v>Majda – Vidaković – OK Kapela</v>
      </c>
      <c r="L333" s="45" t="str">
        <f t="shared" si="17"/>
        <v>Majda – Vidaković</v>
      </c>
      <c r="N333" s="103"/>
      <c r="O333" s="104"/>
      <c r="P333" s="105"/>
    </row>
    <row r="334" spans="2:16" x14ac:dyDescent="0.25">
      <c r="B334" s="103">
        <v>1398</v>
      </c>
      <c r="C334" s="104" t="s">
        <v>3950</v>
      </c>
      <c r="D334" s="104" t="s">
        <v>2813</v>
      </c>
      <c r="E334" s="104" t="s">
        <v>529</v>
      </c>
      <c r="F334" s="105" t="s">
        <v>1129</v>
      </c>
      <c r="H334" s="45" t="str">
        <f t="shared" si="15"/>
        <v>Zvonko – Vidaković – OK Kapela – M21B</v>
      </c>
      <c r="J334" s="45" t="str">
        <f t="shared" si="16"/>
        <v>Zvonko – Vidaković – OK Kapela</v>
      </c>
      <c r="L334" s="45" t="str">
        <f t="shared" si="17"/>
        <v>Zvonko – Vidaković</v>
      </c>
      <c r="N334" s="103"/>
      <c r="O334" s="104"/>
      <c r="P334" s="105"/>
    </row>
    <row r="335" spans="2:16" x14ac:dyDescent="0.25">
      <c r="B335" s="103">
        <v>1089</v>
      </c>
      <c r="C335" s="104" t="s">
        <v>1335</v>
      </c>
      <c r="D335" s="104" t="s">
        <v>1334</v>
      </c>
      <c r="E335" s="104" t="s">
        <v>529</v>
      </c>
      <c r="F335" s="105" t="s">
        <v>1129</v>
      </c>
      <c r="H335" s="45" t="str">
        <f t="shared" si="15"/>
        <v>Dario – Vodopija – OK Kapela – M21B</v>
      </c>
      <c r="J335" s="45" t="str">
        <f t="shared" si="16"/>
        <v>Dario – Vodopija – OK Kapela</v>
      </c>
      <c r="L335" s="45" t="str">
        <f t="shared" si="17"/>
        <v>Dario – Vodopija</v>
      </c>
      <c r="N335" s="103"/>
      <c r="O335" s="104"/>
      <c r="P335" s="105"/>
    </row>
    <row r="336" spans="2:16" x14ac:dyDescent="0.25">
      <c r="B336" s="103">
        <v>1498</v>
      </c>
      <c r="C336" s="104" t="s">
        <v>740</v>
      </c>
      <c r="D336" s="104" t="s">
        <v>1334</v>
      </c>
      <c r="E336" s="104" t="s">
        <v>529</v>
      </c>
      <c r="F336" s="105" t="s">
        <v>1574</v>
      </c>
      <c r="H336" s="45" t="str">
        <f t="shared" si="15"/>
        <v>Goran – Vodopija – OK Kapela – M35</v>
      </c>
      <c r="J336" s="45" t="str">
        <f t="shared" si="16"/>
        <v>Goran – Vodopija – OK Kapela</v>
      </c>
      <c r="L336" s="45" t="str">
        <f t="shared" si="17"/>
        <v>Goran – Vodopija</v>
      </c>
      <c r="N336" s="103"/>
      <c r="O336" s="104"/>
      <c r="P336" s="105"/>
    </row>
    <row r="337" spans="2:16" x14ac:dyDescent="0.25">
      <c r="B337" s="103">
        <v>1388</v>
      </c>
      <c r="C337" s="104" t="s">
        <v>1943</v>
      </c>
      <c r="D337" s="104" t="s">
        <v>1744</v>
      </c>
      <c r="E337" s="104" t="s">
        <v>529</v>
      </c>
      <c r="F337" s="105" t="s">
        <v>2194</v>
      </c>
      <c r="H337" s="45" t="str">
        <f t="shared" si="15"/>
        <v>Robert – Vuk – OK Kapela – M55</v>
      </c>
      <c r="J337" s="45" t="str">
        <f t="shared" si="16"/>
        <v>Robert – Vuk – OK Kapela</v>
      </c>
      <c r="L337" s="45" t="str">
        <f t="shared" si="17"/>
        <v>Robert – Vuk</v>
      </c>
      <c r="N337" s="103"/>
      <c r="O337" s="104"/>
      <c r="P337" s="105"/>
    </row>
    <row r="338" spans="2:16" x14ac:dyDescent="0.25">
      <c r="B338" s="103">
        <v>1053</v>
      </c>
      <c r="C338" s="104" t="s">
        <v>3483</v>
      </c>
      <c r="D338" s="104" t="s">
        <v>1744</v>
      </c>
      <c r="E338" s="104" t="s">
        <v>529</v>
      </c>
      <c r="F338" s="105" t="s">
        <v>3442</v>
      </c>
      <c r="H338" s="45" t="str">
        <f t="shared" si="15"/>
        <v>Srebrenka – Vuk – OK Kapela – Ž45</v>
      </c>
      <c r="J338" s="45" t="str">
        <f t="shared" si="16"/>
        <v>Srebrenka – Vuk – OK Kapela</v>
      </c>
      <c r="L338" s="45" t="str">
        <f t="shared" si="17"/>
        <v>Srebrenka – Vuk</v>
      </c>
      <c r="N338" s="103"/>
      <c r="O338" s="104"/>
      <c r="P338" s="105"/>
    </row>
    <row r="339" spans="2:16" x14ac:dyDescent="0.25">
      <c r="B339" s="103">
        <v>1960</v>
      </c>
      <c r="C339" s="104" t="s">
        <v>524</v>
      </c>
      <c r="D339" s="104" t="s">
        <v>2590</v>
      </c>
      <c r="E339" s="104" t="s">
        <v>529</v>
      </c>
      <c r="F339" s="105"/>
      <c r="H339" s="45" t="str">
        <f t="shared" si="15"/>
        <v>Martin – Vukmanović – OK Kapela</v>
      </c>
      <c r="J339" s="45" t="str">
        <f t="shared" si="16"/>
        <v>Martin – Vukmanović – OK Kapela</v>
      </c>
      <c r="L339" s="45" t="str">
        <f t="shared" si="17"/>
        <v>Martin – Vukmanović</v>
      </c>
      <c r="N339" s="103"/>
      <c r="O339" s="104"/>
      <c r="P339" s="105"/>
    </row>
    <row r="340" spans="2:16" x14ac:dyDescent="0.25">
      <c r="B340" s="103">
        <v>1075</v>
      </c>
      <c r="C340" s="104" t="s">
        <v>1523</v>
      </c>
      <c r="D340" s="104" t="s">
        <v>2590</v>
      </c>
      <c r="E340" s="104" t="s">
        <v>529</v>
      </c>
      <c r="F340" s="105" t="s">
        <v>1908</v>
      </c>
      <c r="H340" s="45" t="str">
        <f t="shared" si="15"/>
        <v>Mladen – Vukmanović – OK Kapela – M45</v>
      </c>
      <c r="J340" s="45" t="str">
        <f t="shared" si="16"/>
        <v>Mladen – Vukmanović – OK Kapela</v>
      </c>
      <c r="L340" s="45" t="str">
        <f t="shared" si="17"/>
        <v>Mladen – Vukmanović</v>
      </c>
      <c r="N340" s="103"/>
      <c r="O340" s="104"/>
      <c r="P340" s="105"/>
    </row>
    <row r="341" spans="2:16" x14ac:dyDescent="0.25">
      <c r="B341" s="103">
        <v>1094</v>
      </c>
      <c r="C341" s="104" t="s">
        <v>3011</v>
      </c>
      <c r="D341" s="104" t="s">
        <v>2590</v>
      </c>
      <c r="E341" s="104" t="s">
        <v>529</v>
      </c>
      <c r="F341" s="105" t="s">
        <v>3000</v>
      </c>
      <c r="H341" s="45" t="str">
        <f t="shared" si="15"/>
        <v>Vinka – Vukmanović – OK Kapela – Ž21A</v>
      </c>
      <c r="J341" s="45" t="str">
        <f t="shared" si="16"/>
        <v>Vinka – Vukmanović – OK Kapela</v>
      </c>
      <c r="L341" s="45" t="str">
        <f t="shared" si="17"/>
        <v>Vinka – Vukmanović</v>
      </c>
      <c r="N341" s="103"/>
      <c r="O341" s="104"/>
      <c r="P341" s="105"/>
    </row>
    <row r="342" spans="2:16" x14ac:dyDescent="0.25">
      <c r="B342" s="103">
        <v>1382</v>
      </c>
      <c r="C342" s="104" t="s">
        <v>3951</v>
      </c>
      <c r="D342" s="104" t="s">
        <v>3952</v>
      </c>
      <c r="E342" s="104" t="s">
        <v>529</v>
      </c>
      <c r="F342" s="105" t="s">
        <v>651</v>
      </c>
      <c r="H342" s="45" t="str">
        <f t="shared" si="15"/>
        <v>Bepo – Željem – OK Kapela – M16</v>
      </c>
      <c r="J342" s="45" t="str">
        <f t="shared" si="16"/>
        <v>Bepo – Željem – OK Kapela</v>
      </c>
      <c r="L342" s="45" t="str">
        <f t="shared" si="17"/>
        <v>Bepo – Željem</v>
      </c>
      <c r="N342" s="103"/>
      <c r="O342" s="104"/>
      <c r="P342" s="105"/>
    </row>
    <row r="343" spans="2:16" x14ac:dyDescent="0.25">
      <c r="B343" s="103">
        <v>1449</v>
      </c>
      <c r="C343" s="104" t="s">
        <v>3826</v>
      </c>
      <c r="D343" s="104" t="s">
        <v>3952</v>
      </c>
      <c r="E343" s="104" t="s">
        <v>529</v>
      </c>
      <c r="F343" s="105" t="s">
        <v>1129</v>
      </c>
      <c r="H343" s="45" t="str">
        <f t="shared" si="15"/>
        <v>Roko – Željem – OK Kapela – M21B</v>
      </c>
      <c r="J343" s="45" t="str">
        <f t="shared" si="16"/>
        <v>Roko – Željem – OK Kapela</v>
      </c>
      <c r="L343" s="45" t="str">
        <f t="shared" si="17"/>
        <v>Roko – Željem</v>
      </c>
      <c r="N343" s="103"/>
      <c r="O343" s="104"/>
      <c r="P343" s="105"/>
    </row>
    <row r="344" spans="2:16" x14ac:dyDescent="0.25">
      <c r="B344" s="103">
        <v>1061</v>
      </c>
      <c r="C344" s="104" t="s">
        <v>1954</v>
      </c>
      <c r="D344" s="104" t="s">
        <v>3953</v>
      </c>
      <c r="E344" s="104" t="s">
        <v>529</v>
      </c>
      <c r="F344" s="105" t="s">
        <v>1129</v>
      </c>
      <c r="H344" s="45" t="str">
        <f t="shared" si="15"/>
        <v>Vladimir – Ževrnja – OK Kapela – M21B</v>
      </c>
      <c r="J344" s="45" t="str">
        <f t="shared" si="16"/>
        <v>Vladimir – Ževrnja – OK Kapela</v>
      </c>
      <c r="L344" s="45" t="str">
        <f t="shared" si="17"/>
        <v>Vladimir – Ževrnja</v>
      </c>
      <c r="N344" s="103"/>
      <c r="O344" s="104"/>
      <c r="P344" s="105"/>
    </row>
    <row r="345" spans="2:16" x14ac:dyDescent="0.25">
      <c r="B345" s="103">
        <v>1275</v>
      </c>
      <c r="C345" s="104" t="s">
        <v>3954</v>
      </c>
      <c r="D345" s="104" t="s">
        <v>3955</v>
      </c>
      <c r="E345" s="104" t="s">
        <v>529</v>
      </c>
      <c r="F345" s="105" t="s">
        <v>3264</v>
      </c>
      <c r="H345" s="45" t="str">
        <f t="shared" si="15"/>
        <v>Marijana – Žgela Putniković – OK Kapela – Ž35</v>
      </c>
      <c r="J345" s="45" t="str">
        <f t="shared" si="16"/>
        <v>Marijana – Žgela Putniković – OK Kapela</v>
      </c>
      <c r="L345" s="45" t="str">
        <f t="shared" si="17"/>
        <v>Marijana – Žgela Putniković</v>
      </c>
      <c r="N345" s="103"/>
      <c r="O345" s="104"/>
      <c r="P345" s="105"/>
    </row>
    <row r="346" spans="2:16" x14ac:dyDescent="0.25">
      <c r="B346" s="103">
        <v>1950</v>
      </c>
      <c r="C346" s="104" t="s">
        <v>2447</v>
      </c>
      <c r="D346" s="104" t="s">
        <v>2446</v>
      </c>
      <c r="E346" s="104" t="s">
        <v>529</v>
      </c>
      <c r="F346" s="105"/>
      <c r="H346" s="45" t="str">
        <f t="shared" si="15"/>
        <v>Ivana – Žitnik – OK Kapela</v>
      </c>
      <c r="J346" s="45" t="str">
        <f t="shared" si="16"/>
        <v>Ivana – Žitnik – OK Kapela</v>
      </c>
      <c r="L346" s="45" t="str">
        <f t="shared" si="17"/>
        <v>Ivana – Žitnik</v>
      </c>
      <c r="N346" s="103"/>
      <c r="O346" s="104"/>
      <c r="P346" s="105"/>
    </row>
    <row r="347" spans="2:16" x14ac:dyDescent="0.25">
      <c r="B347" s="103">
        <v>1656</v>
      </c>
      <c r="C347" s="104" t="s">
        <v>3599</v>
      </c>
      <c r="D347" s="104" t="s">
        <v>3956</v>
      </c>
      <c r="E347" s="104" t="s">
        <v>455</v>
      </c>
      <c r="F347" s="105"/>
      <c r="H347" s="45" t="str">
        <f t="shared" si="15"/>
        <v>Sanja – Benaković – OK Maksimir</v>
      </c>
      <c r="J347" s="45" t="str">
        <f t="shared" si="16"/>
        <v>Sanja – Benaković – OK Maksimir</v>
      </c>
      <c r="L347" s="45" t="str">
        <f t="shared" si="17"/>
        <v>Sanja – Benaković</v>
      </c>
      <c r="N347" s="103"/>
      <c r="O347" s="104"/>
      <c r="P347" s="105"/>
    </row>
    <row r="348" spans="2:16" x14ac:dyDescent="0.25">
      <c r="B348" s="103">
        <v>1060</v>
      </c>
      <c r="C348" s="104" t="s">
        <v>2412</v>
      </c>
      <c r="D348" s="104" t="s">
        <v>2411</v>
      </c>
      <c r="E348" s="104" t="s">
        <v>455</v>
      </c>
      <c r="F348" s="105" t="s">
        <v>2402</v>
      </c>
      <c r="H348" s="45" t="str">
        <f t="shared" si="15"/>
        <v>Radovan – Čepelak – OK Maksimir – M70</v>
      </c>
      <c r="J348" s="45" t="str">
        <f t="shared" si="16"/>
        <v>Radovan – Čepelak – OK Maksimir</v>
      </c>
      <c r="L348" s="45" t="str">
        <f t="shared" si="17"/>
        <v>Radovan – Čepelak</v>
      </c>
      <c r="N348" s="103"/>
      <c r="O348" s="104"/>
      <c r="P348" s="105"/>
    </row>
    <row r="349" spans="2:16" x14ac:dyDescent="0.25">
      <c r="B349" s="103">
        <v>1062</v>
      </c>
      <c r="C349" s="104" t="s">
        <v>3309</v>
      </c>
      <c r="D349" s="104" t="s">
        <v>3308</v>
      </c>
      <c r="E349" s="104" t="s">
        <v>455</v>
      </c>
      <c r="F349" s="105" t="s">
        <v>3264</v>
      </c>
      <c r="H349" s="45" t="str">
        <f t="shared" si="15"/>
        <v>Fabiana – Cini – OK Maksimir – Ž35</v>
      </c>
      <c r="J349" s="45" t="str">
        <f t="shared" si="16"/>
        <v>Fabiana – Cini – OK Maksimir</v>
      </c>
      <c r="L349" s="45" t="str">
        <f t="shared" si="17"/>
        <v>Fabiana – Cini</v>
      </c>
      <c r="N349" s="103"/>
      <c r="O349" s="104"/>
      <c r="P349" s="105"/>
    </row>
    <row r="350" spans="2:16" x14ac:dyDescent="0.25">
      <c r="B350" s="103">
        <v>1593</v>
      </c>
      <c r="C350" s="104" t="s">
        <v>3742</v>
      </c>
      <c r="D350" s="104" t="s">
        <v>3957</v>
      </c>
      <c r="E350" s="104" t="s">
        <v>455</v>
      </c>
      <c r="F350" s="105"/>
      <c r="H350" s="45" t="str">
        <f t="shared" si="15"/>
        <v>Matej – Čović – OK Maksimir</v>
      </c>
      <c r="J350" s="45" t="str">
        <f t="shared" si="16"/>
        <v>Matej – Čović – OK Maksimir</v>
      </c>
      <c r="L350" s="45" t="str">
        <f t="shared" si="17"/>
        <v>Matej – Čović</v>
      </c>
      <c r="N350" s="103"/>
      <c r="O350" s="104"/>
      <c r="P350" s="105"/>
    </row>
    <row r="351" spans="2:16" x14ac:dyDescent="0.25">
      <c r="B351" s="103">
        <v>1354</v>
      </c>
      <c r="C351" s="104" t="s">
        <v>1523</v>
      </c>
      <c r="D351" s="104" t="s">
        <v>3958</v>
      </c>
      <c r="E351" s="104" t="s">
        <v>455</v>
      </c>
      <c r="F351" s="105" t="s">
        <v>2402</v>
      </c>
      <c r="H351" s="45" t="str">
        <f t="shared" si="15"/>
        <v>Mladen – Debić – OK Maksimir – M70</v>
      </c>
      <c r="J351" s="45" t="str">
        <f t="shared" si="16"/>
        <v>Mladen – Debić – OK Maksimir</v>
      </c>
      <c r="L351" s="45" t="str">
        <f t="shared" si="17"/>
        <v>Mladen – Debić</v>
      </c>
      <c r="N351" s="103"/>
      <c r="O351" s="104"/>
      <c r="P351" s="105"/>
    </row>
    <row r="352" spans="2:16" x14ac:dyDescent="0.25">
      <c r="B352" s="103">
        <v>1418</v>
      </c>
      <c r="C352" s="104" t="s">
        <v>452</v>
      </c>
      <c r="D352" s="104" t="s">
        <v>1591</v>
      </c>
      <c r="E352" s="104" t="s">
        <v>455</v>
      </c>
      <c r="F352" s="105" t="s">
        <v>1574</v>
      </c>
      <c r="H352" s="45" t="str">
        <f t="shared" si="15"/>
        <v>Petar – Delić – OK Maksimir – M35</v>
      </c>
      <c r="J352" s="45" t="str">
        <f t="shared" si="16"/>
        <v>Petar – Delić – OK Maksimir</v>
      </c>
      <c r="L352" s="45" t="str">
        <f t="shared" si="17"/>
        <v>Petar – Delić</v>
      </c>
      <c r="N352" s="103"/>
      <c r="O352" s="104"/>
      <c r="P352" s="105"/>
    </row>
    <row r="353" spans="2:16" x14ac:dyDescent="0.25">
      <c r="B353" s="103">
        <v>1369</v>
      </c>
      <c r="C353" s="104" t="s">
        <v>3959</v>
      </c>
      <c r="D353" s="104" t="s">
        <v>3960</v>
      </c>
      <c r="E353" s="104" t="s">
        <v>455</v>
      </c>
      <c r="F353" s="105" t="s">
        <v>3093</v>
      </c>
      <c r="H353" s="45" t="str">
        <f t="shared" si="15"/>
        <v>Doroteja – Držaić – OK Maksimir – Ž21B</v>
      </c>
      <c r="J353" s="45" t="str">
        <f t="shared" si="16"/>
        <v>Doroteja – Držaić – OK Maksimir</v>
      </c>
      <c r="L353" s="45" t="str">
        <f t="shared" si="17"/>
        <v>Doroteja – Držaić</v>
      </c>
      <c r="N353" s="103"/>
      <c r="O353" s="104"/>
      <c r="P353" s="105"/>
    </row>
    <row r="354" spans="2:16" x14ac:dyDescent="0.25">
      <c r="B354" s="103">
        <v>1618</v>
      </c>
      <c r="C354" s="104" t="s">
        <v>3961</v>
      </c>
      <c r="D354" s="104" t="s">
        <v>3962</v>
      </c>
      <c r="E354" s="104" t="s">
        <v>455</v>
      </c>
      <c r="F354" s="105"/>
      <c r="H354" s="45" t="str">
        <f t="shared" si="15"/>
        <v>Hanna – Fejzić – OK Maksimir</v>
      </c>
      <c r="J354" s="45" t="str">
        <f t="shared" si="16"/>
        <v>Hanna – Fejzić – OK Maksimir</v>
      </c>
      <c r="L354" s="45" t="str">
        <f t="shared" si="17"/>
        <v>Hanna – Fejzić</v>
      </c>
      <c r="N354" s="103"/>
      <c r="O354" s="104"/>
      <c r="P354" s="105"/>
    </row>
    <row r="355" spans="2:16" x14ac:dyDescent="0.25">
      <c r="B355" s="103">
        <v>1202</v>
      </c>
      <c r="C355" s="104" t="s">
        <v>3963</v>
      </c>
      <c r="D355" s="104" t="s">
        <v>3964</v>
      </c>
      <c r="E355" s="104" t="s">
        <v>455</v>
      </c>
      <c r="F355" s="105" t="s">
        <v>3000</v>
      </c>
      <c r="H355" s="45" t="str">
        <f t="shared" si="15"/>
        <v>Margaux Marthe Marie – Grioche – OK Maksimir – Ž21A</v>
      </c>
      <c r="J355" s="45" t="str">
        <f t="shared" si="16"/>
        <v>Margaux Marthe Marie – Grioche – OK Maksimir</v>
      </c>
      <c r="L355" s="45" t="str">
        <f t="shared" si="17"/>
        <v>Margaux Marthe Marie – Grioche</v>
      </c>
      <c r="N355" s="103"/>
      <c r="O355" s="104"/>
      <c r="P355" s="105"/>
    </row>
    <row r="356" spans="2:16" x14ac:dyDescent="0.25">
      <c r="B356" s="103">
        <v>1286</v>
      </c>
      <c r="C356" s="104" t="s">
        <v>3965</v>
      </c>
      <c r="D356" s="104" t="s">
        <v>3966</v>
      </c>
      <c r="E356" s="104" t="s">
        <v>455</v>
      </c>
      <c r="F356" s="105"/>
      <c r="H356" s="45" t="str">
        <f t="shared" si="15"/>
        <v>Tajana – Holjevac-Gagulić – OK Maksimir</v>
      </c>
      <c r="J356" s="45" t="str">
        <f t="shared" si="16"/>
        <v>Tajana – Holjevac-Gagulić – OK Maksimir</v>
      </c>
      <c r="L356" s="45" t="str">
        <f t="shared" si="17"/>
        <v>Tajana – Holjevac-Gagulić</v>
      </c>
      <c r="N356" s="103"/>
      <c r="O356" s="104"/>
      <c r="P356" s="105"/>
    </row>
    <row r="357" spans="2:16" x14ac:dyDescent="0.25">
      <c r="B357" s="103">
        <v>1130</v>
      </c>
      <c r="C357" s="104" t="s">
        <v>940</v>
      </c>
      <c r="D357" s="104" t="s">
        <v>939</v>
      </c>
      <c r="E357" s="104" t="s">
        <v>455</v>
      </c>
      <c r="F357" s="105" t="s">
        <v>885</v>
      </c>
      <c r="H357" s="45" t="str">
        <f t="shared" si="15"/>
        <v>Lobel – Horvat – OK Maksimir – M21A</v>
      </c>
      <c r="J357" s="45" t="str">
        <f t="shared" si="16"/>
        <v>Lobel – Horvat – OK Maksimir</v>
      </c>
      <c r="L357" s="45" t="str">
        <f t="shared" si="17"/>
        <v>Lobel – Horvat</v>
      </c>
      <c r="N357" s="103"/>
      <c r="O357" s="104"/>
      <c r="P357" s="105"/>
    </row>
    <row r="358" spans="2:16" x14ac:dyDescent="0.25">
      <c r="B358" s="103">
        <v>1959</v>
      </c>
      <c r="C358" s="104" t="s">
        <v>3238</v>
      </c>
      <c r="D358" s="104" t="s">
        <v>939</v>
      </c>
      <c r="E358" s="104" t="s">
        <v>455</v>
      </c>
      <c r="F358" s="105"/>
      <c r="H358" s="45" t="str">
        <f t="shared" si="15"/>
        <v>Martina – Horvat – OK Maksimir</v>
      </c>
      <c r="J358" s="45" t="str">
        <f t="shared" si="16"/>
        <v>Martina – Horvat – OK Maksimir</v>
      </c>
      <c r="L358" s="45" t="str">
        <f t="shared" si="17"/>
        <v>Martina – Horvat</v>
      </c>
      <c r="N358" s="103"/>
      <c r="O358" s="104"/>
      <c r="P358" s="105"/>
    </row>
    <row r="359" spans="2:16" x14ac:dyDescent="0.25">
      <c r="B359" s="103">
        <v>1515</v>
      </c>
      <c r="C359" s="104" t="s">
        <v>2622</v>
      </c>
      <c r="D359" s="104" t="s">
        <v>939</v>
      </c>
      <c r="E359" s="104" t="s">
        <v>455</v>
      </c>
      <c r="F359" s="105" t="s">
        <v>3442</v>
      </c>
      <c r="H359" s="45" t="str">
        <f t="shared" si="15"/>
        <v>Mirjana – Horvat – OK Maksimir – Ž45</v>
      </c>
      <c r="J359" s="45" t="str">
        <f t="shared" si="16"/>
        <v>Mirjana – Horvat – OK Maksimir</v>
      </c>
      <c r="L359" s="45" t="str">
        <f t="shared" si="17"/>
        <v>Mirjana – Horvat</v>
      </c>
      <c r="N359" s="103"/>
      <c r="O359" s="104"/>
      <c r="P359" s="105"/>
    </row>
    <row r="360" spans="2:16" x14ac:dyDescent="0.25">
      <c r="B360" s="103">
        <v>1109</v>
      </c>
      <c r="C360" s="104" t="s">
        <v>2225</v>
      </c>
      <c r="D360" s="104" t="s">
        <v>939</v>
      </c>
      <c r="E360" s="104" t="s">
        <v>455</v>
      </c>
      <c r="F360" s="105" t="s">
        <v>2194</v>
      </c>
      <c r="H360" s="45" t="str">
        <f t="shared" si="15"/>
        <v>Saša – Horvat – OK Maksimir – M55</v>
      </c>
      <c r="J360" s="45" t="str">
        <f t="shared" si="16"/>
        <v>Saša – Horvat – OK Maksimir</v>
      </c>
      <c r="L360" s="45" t="str">
        <f t="shared" si="17"/>
        <v>Saša – Horvat</v>
      </c>
      <c r="N360" s="103"/>
      <c r="O360" s="104"/>
      <c r="P360" s="105"/>
    </row>
    <row r="361" spans="2:16" x14ac:dyDescent="0.25">
      <c r="B361" s="103">
        <v>1223</v>
      </c>
      <c r="C361" s="104" t="s">
        <v>3967</v>
      </c>
      <c r="D361" s="104" t="s">
        <v>939</v>
      </c>
      <c r="E361" s="104" t="s">
        <v>455</v>
      </c>
      <c r="F361" s="105" t="s">
        <v>885</v>
      </c>
      <c r="H361" s="45" t="str">
        <f t="shared" si="15"/>
        <v>Vjeran – Horvat – OK Maksimir – M21A</v>
      </c>
      <c r="J361" s="45" t="str">
        <f t="shared" si="16"/>
        <v>Vjeran – Horvat – OK Maksimir</v>
      </c>
      <c r="L361" s="45" t="str">
        <f t="shared" si="17"/>
        <v>Vjeran – Horvat</v>
      </c>
      <c r="N361" s="103"/>
      <c r="O361" s="104"/>
      <c r="P361" s="105"/>
    </row>
    <row r="362" spans="2:16" x14ac:dyDescent="0.25">
      <c r="B362" s="103">
        <v>1372</v>
      </c>
      <c r="C362" s="104" t="s">
        <v>3461</v>
      </c>
      <c r="D362" s="104" t="s">
        <v>3460</v>
      </c>
      <c r="E362" s="104" t="s">
        <v>455</v>
      </c>
      <c r="F362" s="105" t="s">
        <v>3442</v>
      </c>
      <c r="H362" s="45" t="str">
        <f t="shared" si="15"/>
        <v>Mirka – Jakšić – OK Maksimir – Ž45</v>
      </c>
      <c r="J362" s="45" t="str">
        <f t="shared" si="16"/>
        <v>Mirka – Jakšić – OK Maksimir</v>
      </c>
      <c r="L362" s="45" t="str">
        <f t="shared" si="17"/>
        <v>Mirka – Jakšić</v>
      </c>
      <c r="N362" s="103"/>
      <c r="O362" s="104"/>
      <c r="P362" s="105"/>
    </row>
    <row r="363" spans="2:16" x14ac:dyDescent="0.25">
      <c r="B363" s="103">
        <v>1228</v>
      </c>
      <c r="C363" s="104" t="s">
        <v>3139</v>
      </c>
      <c r="D363" s="104" t="s">
        <v>3968</v>
      </c>
      <c r="E363" s="104" t="s">
        <v>455</v>
      </c>
      <c r="F363" s="105" t="s">
        <v>3442</v>
      </c>
      <c r="H363" s="45" t="str">
        <f t="shared" si="15"/>
        <v>Višnja – Kabalin Borenić – OK Maksimir – Ž45</v>
      </c>
      <c r="J363" s="45" t="str">
        <f t="shared" si="16"/>
        <v>Višnja – Kabalin Borenić – OK Maksimir</v>
      </c>
      <c r="L363" s="45" t="str">
        <f t="shared" si="17"/>
        <v>Višnja – Kabalin Borenić</v>
      </c>
      <c r="N363" s="103"/>
      <c r="O363" s="104"/>
      <c r="P363" s="105"/>
    </row>
    <row r="364" spans="2:16" x14ac:dyDescent="0.25">
      <c r="B364" s="103">
        <v>1404</v>
      </c>
      <c r="C364" s="104" t="s">
        <v>3969</v>
      </c>
      <c r="D364" s="104" t="s">
        <v>451</v>
      </c>
      <c r="E364" s="104" t="s">
        <v>455</v>
      </c>
      <c r="F364" s="105" t="s">
        <v>2636</v>
      </c>
      <c r="H364" s="45" t="str">
        <f t="shared" si="15"/>
        <v>Greta – Kaniški – OK Maksimir – Ž12</v>
      </c>
      <c r="J364" s="45" t="str">
        <f t="shared" si="16"/>
        <v>Greta – Kaniški – OK Maksimir</v>
      </c>
      <c r="L364" s="45" t="str">
        <f t="shared" si="17"/>
        <v>Greta – Kaniški</v>
      </c>
      <c r="N364" s="103"/>
      <c r="O364" s="104"/>
      <c r="P364" s="105"/>
    </row>
    <row r="365" spans="2:16" x14ac:dyDescent="0.25">
      <c r="B365" s="103">
        <v>1439</v>
      </c>
      <c r="C365" s="104" t="s">
        <v>3970</v>
      </c>
      <c r="D365" s="104" t="s">
        <v>451</v>
      </c>
      <c r="E365" s="104" t="s">
        <v>455</v>
      </c>
      <c r="F365" s="105" t="s">
        <v>2927</v>
      </c>
      <c r="H365" s="45" t="str">
        <f t="shared" si="15"/>
        <v>Laura – Kaniški – OK Maksimir – Ž20</v>
      </c>
      <c r="J365" s="45" t="str">
        <f t="shared" si="16"/>
        <v>Laura – Kaniški – OK Maksimir</v>
      </c>
      <c r="L365" s="45" t="str">
        <f t="shared" si="17"/>
        <v>Laura – Kaniški</v>
      </c>
      <c r="N365" s="103"/>
      <c r="O365" s="104"/>
      <c r="P365" s="105"/>
    </row>
    <row r="366" spans="2:16" x14ac:dyDescent="0.25">
      <c r="B366" s="103">
        <v>1321</v>
      </c>
      <c r="C366" s="104" t="s">
        <v>452</v>
      </c>
      <c r="D366" s="104" t="s">
        <v>451</v>
      </c>
      <c r="E366" s="104" t="s">
        <v>455</v>
      </c>
      <c r="F366" s="105" t="s">
        <v>363</v>
      </c>
      <c r="H366" s="45" t="str">
        <f t="shared" si="15"/>
        <v>Petar – Kaniški – OK Maksimir – M12</v>
      </c>
      <c r="J366" s="45" t="str">
        <f t="shared" si="16"/>
        <v>Petar – Kaniški – OK Maksimir</v>
      </c>
      <c r="L366" s="45" t="str">
        <f t="shared" si="17"/>
        <v>Petar – Kaniški</v>
      </c>
      <c r="N366" s="103"/>
      <c r="O366" s="104"/>
      <c r="P366" s="105"/>
    </row>
    <row r="367" spans="2:16" x14ac:dyDescent="0.25">
      <c r="B367" s="103">
        <v>1475</v>
      </c>
      <c r="C367" s="104" t="s">
        <v>1943</v>
      </c>
      <c r="D367" s="104" t="s">
        <v>451</v>
      </c>
      <c r="E367" s="104" t="s">
        <v>455</v>
      </c>
      <c r="F367" s="105" t="s">
        <v>1908</v>
      </c>
      <c r="H367" s="45" t="str">
        <f t="shared" si="15"/>
        <v>Robert – Kaniški – OK Maksimir – M45</v>
      </c>
      <c r="J367" s="45" t="str">
        <f t="shared" si="16"/>
        <v>Robert – Kaniški – OK Maksimir</v>
      </c>
      <c r="L367" s="45" t="str">
        <f t="shared" si="17"/>
        <v>Robert – Kaniški</v>
      </c>
      <c r="N367" s="103"/>
      <c r="O367" s="104"/>
      <c r="P367" s="105"/>
    </row>
    <row r="368" spans="2:16" x14ac:dyDescent="0.25">
      <c r="B368" s="103">
        <v>1138</v>
      </c>
      <c r="C368" s="104" t="s">
        <v>1028</v>
      </c>
      <c r="D368" s="104" t="s">
        <v>451</v>
      </c>
      <c r="E368" s="104" t="s">
        <v>455</v>
      </c>
      <c r="F368" s="105"/>
      <c r="H368" s="45" t="str">
        <f t="shared" si="15"/>
        <v>Tomislav – Kaniški – OK Maksimir</v>
      </c>
      <c r="J368" s="45" t="str">
        <f t="shared" si="16"/>
        <v>Tomislav – Kaniški – OK Maksimir</v>
      </c>
      <c r="L368" s="45" t="str">
        <f t="shared" si="17"/>
        <v>Tomislav – Kaniški</v>
      </c>
      <c r="N368" s="103"/>
      <c r="O368" s="104"/>
      <c r="P368" s="105"/>
    </row>
    <row r="369" spans="2:16" x14ac:dyDescent="0.25">
      <c r="B369" s="103">
        <v>1535</v>
      </c>
      <c r="C369" s="104" t="s">
        <v>1179</v>
      </c>
      <c r="D369" s="104" t="s">
        <v>3971</v>
      </c>
      <c r="E369" s="104" t="s">
        <v>455</v>
      </c>
      <c r="F369" s="105" t="s">
        <v>885</v>
      </c>
      <c r="H369" s="45" t="str">
        <f t="shared" si="15"/>
        <v>Dominik – Kirin – OK Maksimir – M21A</v>
      </c>
      <c r="J369" s="45" t="str">
        <f t="shared" si="16"/>
        <v>Dominik – Kirin – OK Maksimir</v>
      </c>
      <c r="L369" s="45" t="str">
        <f t="shared" si="17"/>
        <v>Dominik – Kirin</v>
      </c>
      <c r="N369" s="103"/>
      <c r="O369" s="104"/>
      <c r="P369" s="105"/>
    </row>
    <row r="370" spans="2:16" x14ac:dyDescent="0.25">
      <c r="B370" s="103">
        <v>1176</v>
      </c>
      <c r="C370" s="104" t="s">
        <v>1179</v>
      </c>
      <c r="D370" s="104" t="s">
        <v>1178</v>
      </c>
      <c r="E370" s="104" t="s">
        <v>455</v>
      </c>
      <c r="F370" s="105" t="s">
        <v>1129</v>
      </c>
      <c r="H370" s="45" t="str">
        <f t="shared" si="15"/>
        <v>Dominik – Klasić – OK Maksimir – M21B</v>
      </c>
      <c r="J370" s="45" t="str">
        <f t="shared" si="16"/>
        <v>Dominik – Klasić – OK Maksimir</v>
      </c>
      <c r="L370" s="45" t="str">
        <f t="shared" si="17"/>
        <v>Dominik – Klasić</v>
      </c>
      <c r="N370" s="103"/>
      <c r="O370" s="104"/>
      <c r="P370" s="105"/>
    </row>
    <row r="371" spans="2:16" x14ac:dyDescent="0.25">
      <c r="B371" s="103">
        <v>1337</v>
      </c>
      <c r="C371" s="104" t="s">
        <v>3972</v>
      </c>
      <c r="D371" s="104" t="s">
        <v>3973</v>
      </c>
      <c r="E371" s="104" t="s">
        <v>455</v>
      </c>
      <c r="F371" s="105" t="s">
        <v>3093</v>
      </c>
      <c r="H371" s="45" t="str">
        <f t="shared" si="15"/>
        <v>Kyra – Krahenbuhl – OK Maksimir – Ž21B</v>
      </c>
      <c r="J371" s="45" t="str">
        <f t="shared" si="16"/>
        <v>Kyra – Krahenbuhl – OK Maksimir</v>
      </c>
      <c r="L371" s="45" t="str">
        <f t="shared" si="17"/>
        <v>Kyra – Krahenbuhl</v>
      </c>
      <c r="N371" s="103"/>
      <c r="O371" s="104"/>
      <c r="P371" s="105"/>
    </row>
    <row r="372" spans="2:16" x14ac:dyDescent="0.25">
      <c r="B372" s="103">
        <v>1225</v>
      </c>
      <c r="C372" s="104" t="s">
        <v>3532</v>
      </c>
      <c r="D372" s="104" t="s">
        <v>3531</v>
      </c>
      <c r="E372" s="104" t="s">
        <v>455</v>
      </c>
      <c r="F372" s="105" t="s">
        <v>3442</v>
      </c>
      <c r="H372" s="45" t="str">
        <f t="shared" si="15"/>
        <v>Evelyn – Kraintz – OK Maksimir – Ž45</v>
      </c>
      <c r="J372" s="45" t="str">
        <f t="shared" si="16"/>
        <v>Evelyn – Kraintz – OK Maksimir</v>
      </c>
      <c r="L372" s="45" t="str">
        <f t="shared" si="17"/>
        <v>Evelyn – Kraintz</v>
      </c>
      <c r="N372" s="103"/>
      <c r="O372" s="104"/>
      <c r="P372" s="105"/>
    </row>
    <row r="373" spans="2:16" x14ac:dyDescent="0.25">
      <c r="B373" s="103">
        <v>1250</v>
      </c>
      <c r="C373" s="104" t="s">
        <v>3974</v>
      </c>
      <c r="D373" s="104" t="s">
        <v>3975</v>
      </c>
      <c r="E373" s="104" t="s">
        <v>455</v>
      </c>
      <c r="F373" s="105" t="s">
        <v>2366</v>
      </c>
      <c r="H373" s="45" t="str">
        <f t="shared" si="15"/>
        <v>Antun Zoran – Krivokapić – OK Maksimir – M65</v>
      </c>
      <c r="J373" s="45" t="str">
        <f t="shared" si="16"/>
        <v>Antun Zoran – Krivokapić – OK Maksimir</v>
      </c>
      <c r="L373" s="45" t="str">
        <f t="shared" si="17"/>
        <v>Antun Zoran – Krivokapić</v>
      </c>
      <c r="N373" s="103"/>
      <c r="O373" s="104"/>
      <c r="P373" s="105"/>
    </row>
    <row r="374" spans="2:16" x14ac:dyDescent="0.25">
      <c r="B374" s="103">
        <v>1655</v>
      </c>
      <c r="C374" s="104" t="s">
        <v>2622</v>
      </c>
      <c r="D374" s="104" t="s">
        <v>3976</v>
      </c>
      <c r="E374" s="104" t="s">
        <v>455</v>
      </c>
      <c r="F374" s="105"/>
      <c r="H374" s="45" t="str">
        <f t="shared" si="15"/>
        <v>Mirjana – Marchiotti – OK Maksimir</v>
      </c>
      <c r="J374" s="45" t="str">
        <f t="shared" si="16"/>
        <v>Mirjana – Marchiotti – OK Maksimir</v>
      </c>
      <c r="L374" s="45" t="str">
        <f t="shared" si="17"/>
        <v>Mirjana – Marchiotti</v>
      </c>
      <c r="N374" s="103"/>
      <c r="O374" s="104"/>
      <c r="P374" s="105"/>
    </row>
    <row r="375" spans="2:16" x14ac:dyDescent="0.25">
      <c r="B375" s="103">
        <v>1755</v>
      </c>
      <c r="C375" s="104" t="s">
        <v>3977</v>
      </c>
      <c r="D375" s="104" t="s">
        <v>3978</v>
      </c>
      <c r="E375" s="104" t="s">
        <v>455</v>
      </c>
      <c r="F375" s="105"/>
      <c r="H375" s="45" t="str">
        <f t="shared" si="15"/>
        <v>Asmir – Mašić – OK Maksimir</v>
      </c>
      <c r="J375" s="45" t="str">
        <f t="shared" si="16"/>
        <v>Asmir – Mašić – OK Maksimir</v>
      </c>
      <c r="L375" s="45" t="str">
        <f t="shared" si="17"/>
        <v>Asmir – Mašić</v>
      </c>
      <c r="N375" s="103"/>
      <c r="O375" s="104"/>
      <c r="P375" s="105"/>
    </row>
    <row r="376" spans="2:16" x14ac:dyDescent="0.25">
      <c r="B376" s="103">
        <v>1562</v>
      </c>
      <c r="C376" s="104" t="s">
        <v>2206</v>
      </c>
      <c r="D376" s="104" t="s">
        <v>2205</v>
      </c>
      <c r="E376" s="104" t="s">
        <v>455</v>
      </c>
      <c r="F376" s="105" t="s">
        <v>2194</v>
      </c>
      <c r="H376" s="45" t="str">
        <f t="shared" si="15"/>
        <v>Darko – Merunka – OK Maksimir – M55</v>
      </c>
      <c r="J376" s="45" t="str">
        <f t="shared" si="16"/>
        <v>Darko – Merunka – OK Maksimir</v>
      </c>
      <c r="L376" s="45" t="str">
        <f t="shared" si="17"/>
        <v>Darko – Merunka</v>
      </c>
      <c r="N376" s="103"/>
      <c r="O376" s="104"/>
      <c r="P376" s="105"/>
    </row>
    <row r="377" spans="2:16" x14ac:dyDescent="0.25">
      <c r="B377" s="103">
        <v>1608</v>
      </c>
      <c r="C377" s="104" t="s">
        <v>3979</v>
      </c>
      <c r="D377" s="104" t="s">
        <v>3980</v>
      </c>
      <c r="E377" s="104" t="s">
        <v>455</v>
      </c>
      <c r="F377" s="105"/>
      <c r="H377" s="45" t="str">
        <f t="shared" si="15"/>
        <v>Alan – Omerčić – OK Maksimir</v>
      </c>
      <c r="J377" s="45" t="str">
        <f t="shared" si="16"/>
        <v>Alan – Omerčić – OK Maksimir</v>
      </c>
      <c r="L377" s="45" t="str">
        <f t="shared" si="17"/>
        <v>Alan – Omerčić</v>
      </c>
      <c r="N377" s="103"/>
      <c r="O377" s="104"/>
      <c r="P377" s="105"/>
    </row>
    <row r="378" spans="2:16" x14ac:dyDescent="0.25">
      <c r="B378" s="103">
        <v>1617</v>
      </c>
      <c r="C378" s="104" t="s">
        <v>3843</v>
      </c>
      <c r="D378" s="104" t="s">
        <v>3980</v>
      </c>
      <c r="E378" s="104" t="s">
        <v>455</v>
      </c>
      <c r="F378" s="105"/>
      <c r="H378" s="45" t="str">
        <f t="shared" si="15"/>
        <v>Helena – Omerčić – OK Maksimir</v>
      </c>
      <c r="J378" s="45" t="str">
        <f t="shared" si="16"/>
        <v>Helena – Omerčić – OK Maksimir</v>
      </c>
      <c r="L378" s="45" t="str">
        <f t="shared" si="17"/>
        <v>Helena – Omerčić</v>
      </c>
      <c r="N378" s="103"/>
      <c r="O378" s="104"/>
      <c r="P378" s="105"/>
    </row>
    <row r="379" spans="2:16" x14ac:dyDescent="0.25">
      <c r="B379" s="103">
        <v>1351</v>
      </c>
      <c r="C379" s="104" t="s">
        <v>3981</v>
      </c>
      <c r="D379" s="104" t="s">
        <v>3982</v>
      </c>
      <c r="E379" s="104" t="s">
        <v>455</v>
      </c>
      <c r="F379" s="105"/>
      <c r="H379" s="45" t="str">
        <f t="shared" si="15"/>
        <v>Lorena – Orešković – OK Maksimir</v>
      </c>
      <c r="J379" s="45" t="str">
        <f t="shared" si="16"/>
        <v>Lorena – Orešković – OK Maksimir</v>
      </c>
      <c r="L379" s="45" t="str">
        <f t="shared" si="17"/>
        <v>Lorena – Orešković</v>
      </c>
      <c r="N379" s="103"/>
      <c r="O379" s="104"/>
      <c r="P379" s="105"/>
    </row>
    <row r="380" spans="2:16" x14ac:dyDescent="0.25">
      <c r="B380" s="103">
        <v>1965</v>
      </c>
      <c r="C380" s="104" t="s">
        <v>3983</v>
      </c>
      <c r="D380" s="104" t="s">
        <v>3984</v>
      </c>
      <c r="E380" s="104" t="s">
        <v>455</v>
      </c>
      <c r="F380" s="105"/>
      <c r="H380" s="45" t="str">
        <f t="shared" si="15"/>
        <v>Florian – Pigac – OK Maksimir</v>
      </c>
      <c r="J380" s="45" t="str">
        <f t="shared" si="16"/>
        <v>Florian – Pigac – OK Maksimir</v>
      </c>
      <c r="L380" s="45" t="str">
        <f t="shared" si="17"/>
        <v>Florian – Pigac</v>
      </c>
      <c r="N380" s="103"/>
      <c r="O380" s="104"/>
      <c r="P380" s="105"/>
    </row>
    <row r="381" spans="2:16" x14ac:dyDescent="0.25">
      <c r="B381" s="103">
        <v>1949</v>
      </c>
      <c r="C381" s="104" t="s">
        <v>1546</v>
      </c>
      <c r="D381" s="104" t="s">
        <v>3985</v>
      </c>
      <c r="E381" s="104" t="s">
        <v>455</v>
      </c>
      <c r="F381" s="105"/>
      <c r="H381" s="45" t="str">
        <f t="shared" si="15"/>
        <v>Ante – Raguž – OK Maksimir</v>
      </c>
      <c r="J381" s="45" t="str">
        <f t="shared" si="16"/>
        <v>Ante – Raguž – OK Maksimir</v>
      </c>
      <c r="L381" s="45" t="str">
        <f t="shared" si="17"/>
        <v>Ante – Raguž</v>
      </c>
      <c r="N381" s="103"/>
      <c r="O381" s="104"/>
      <c r="P381" s="105"/>
    </row>
    <row r="382" spans="2:16" x14ac:dyDescent="0.25">
      <c r="B382" s="103">
        <v>1137</v>
      </c>
      <c r="C382" s="104" t="s">
        <v>3815</v>
      </c>
      <c r="D382" s="104" t="s">
        <v>3986</v>
      </c>
      <c r="E382" s="104" t="s">
        <v>455</v>
      </c>
      <c r="F382" s="105" t="s">
        <v>3264</v>
      </c>
      <c r="H382" s="45" t="str">
        <f t="shared" si="15"/>
        <v>Dunja – Riet, van de – OK Maksimir – Ž35</v>
      </c>
      <c r="J382" s="45" t="str">
        <f t="shared" si="16"/>
        <v>Dunja – Riet, van de – OK Maksimir</v>
      </c>
      <c r="L382" s="45" t="str">
        <f t="shared" si="17"/>
        <v>Dunja – Riet, van de</v>
      </c>
      <c r="N382" s="103"/>
      <c r="O382" s="104"/>
      <c r="P382" s="105"/>
    </row>
    <row r="383" spans="2:16" x14ac:dyDescent="0.25">
      <c r="B383" s="103">
        <v>1014</v>
      </c>
      <c r="C383" s="104" t="s">
        <v>3987</v>
      </c>
      <c r="D383" s="104" t="s">
        <v>3986</v>
      </c>
      <c r="E383" s="104" t="s">
        <v>455</v>
      </c>
      <c r="F383" s="105"/>
      <c r="H383" s="45" t="str">
        <f t="shared" si="15"/>
        <v>Gerrit – Riet, van de – OK Maksimir</v>
      </c>
      <c r="J383" s="45" t="str">
        <f t="shared" si="16"/>
        <v>Gerrit – Riet, van de – OK Maksimir</v>
      </c>
      <c r="L383" s="45" t="str">
        <f t="shared" si="17"/>
        <v>Gerrit – Riet, van de</v>
      </c>
      <c r="N383" s="103"/>
      <c r="O383" s="104"/>
      <c r="P383" s="105"/>
    </row>
    <row r="384" spans="2:16" x14ac:dyDescent="0.25">
      <c r="B384" s="103">
        <v>1520</v>
      </c>
      <c r="C384" s="104" t="s">
        <v>3988</v>
      </c>
      <c r="D384" s="104" t="s">
        <v>3989</v>
      </c>
      <c r="E384" s="104" t="s">
        <v>455</v>
      </c>
      <c r="F384" s="105" t="s">
        <v>1908</v>
      </c>
      <c r="H384" s="45" t="str">
        <f t="shared" si="15"/>
        <v>Radenko – Romanović – OK Maksimir – M45</v>
      </c>
      <c r="J384" s="45" t="str">
        <f t="shared" si="16"/>
        <v>Radenko – Romanović – OK Maksimir</v>
      </c>
      <c r="L384" s="45" t="str">
        <f t="shared" si="17"/>
        <v>Radenko – Romanović</v>
      </c>
      <c r="N384" s="103"/>
      <c r="O384" s="104"/>
      <c r="P384" s="105"/>
    </row>
    <row r="385" spans="2:16" x14ac:dyDescent="0.25">
      <c r="B385" s="103">
        <v>1383</v>
      </c>
      <c r="C385" s="104" t="s">
        <v>2524</v>
      </c>
      <c r="D385" s="104" t="s">
        <v>3990</v>
      </c>
      <c r="E385" s="104" t="s">
        <v>455</v>
      </c>
      <c r="F385" s="105" t="s">
        <v>3000</v>
      </c>
      <c r="H385" s="45" t="str">
        <f t="shared" si="15"/>
        <v>Nika – Sakar – OK Maksimir – Ž21A</v>
      </c>
      <c r="J385" s="45" t="str">
        <f t="shared" si="16"/>
        <v>Nika – Sakar – OK Maksimir</v>
      </c>
      <c r="L385" s="45" t="str">
        <f t="shared" si="17"/>
        <v>Nika – Sakar</v>
      </c>
      <c r="N385" s="103"/>
      <c r="O385" s="104"/>
      <c r="P385" s="105"/>
    </row>
    <row r="386" spans="2:16" x14ac:dyDescent="0.25">
      <c r="B386" s="103">
        <v>1345</v>
      </c>
      <c r="C386" s="104" t="s">
        <v>3787</v>
      </c>
      <c r="D386" s="104" t="s">
        <v>3991</v>
      </c>
      <c r="E386" s="104" t="s">
        <v>455</v>
      </c>
      <c r="F386" s="105" t="s">
        <v>3000</v>
      </c>
      <c r="H386" s="45" t="str">
        <f t="shared" si="15"/>
        <v>Tena – Sakar Vukić – OK Maksimir – Ž21A</v>
      </c>
      <c r="J386" s="45" t="str">
        <f t="shared" si="16"/>
        <v>Tena – Sakar Vukić – OK Maksimir</v>
      </c>
      <c r="L386" s="45" t="str">
        <f t="shared" si="17"/>
        <v>Tena – Sakar Vukić</v>
      </c>
      <c r="N386" s="103"/>
      <c r="O386" s="104"/>
      <c r="P386" s="105"/>
    </row>
    <row r="387" spans="2:16" x14ac:dyDescent="0.25">
      <c r="B387" s="103">
        <v>1937</v>
      </c>
      <c r="C387" s="104" t="s">
        <v>1335</v>
      </c>
      <c r="D387" s="104" t="s">
        <v>2456</v>
      </c>
      <c r="E387" s="104" t="s">
        <v>455</v>
      </c>
      <c r="F387" s="105" t="s">
        <v>1129</v>
      </c>
      <c r="H387" s="45" t="str">
        <f t="shared" si="15"/>
        <v>Dario – Šimatić – OK Maksimir – M21B</v>
      </c>
      <c r="J387" s="45" t="str">
        <f t="shared" si="16"/>
        <v>Dario – Šimatić – OK Maksimir</v>
      </c>
      <c r="L387" s="45" t="str">
        <f t="shared" si="17"/>
        <v>Dario – Šimatić</v>
      </c>
      <c r="N387" s="103"/>
      <c r="O387" s="104"/>
      <c r="P387" s="105"/>
    </row>
    <row r="388" spans="2:16" x14ac:dyDescent="0.25">
      <c r="B388" s="103">
        <v>1134</v>
      </c>
      <c r="C388" s="104" t="s">
        <v>3992</v>
      </c>
      <c r="D388" s="104" t="s">
        <v>3993</v>
      </c>
      <c r="E388" s="104" t="s">
        <v>455</v>
      </c>
      <c r="F388" s="105" t="s">
        <v>1908</v>
      </c>
      <c r="H388" s="45" t="str">
        <f t="shared" si="15"/>
        <v>Andrej – Smerke – OK Maksimir – M45</v>
      </c>
      <c r="J388" s="45" t="str">
        <f t="shared" si="16"/>
        <v>Andrej – Smerke – OK Maksimir</v>
      </c>
      <c r="L388" s="45" t="str">
        <f t="shared" si="17"/>
        <v>Andrej – Smerke</v>
      </c>
      <c r="N388" s="103"/>
      <c r="O388" s="104"/>
      <c r="P388" s="105"/>
    </row>
    <row r="389" spans="2:16" x14ac:dyDescent="0.25">
      <c r="B389" s="103">
        <v>1143</v>
      </c>
      <c r="C389" s="104" t="s">
        <v>3994</v>
      </c>
      <c r="D389" s="104" t="s">
        <v>2190</v>
      </c>
      <c r="E389" s="104" t="s">
        <v>455</v>
      </c>
      <c r="F389" s="105" t="s">
        <v>885</v>
      </c>
      <c r="H389" s="45" t="str">
        <f t="shared" si="15"/>
        <v>Andro Vladimir – Štambuk – OK Maksimir – M21A</v>
      </c>
      <c r="J389" s="45" t="str">
        <f t="shared" si="16"/>
        <v>Andro Vladimir – Štambuk – OK Maksimir</v>
      </c>
      <c r="L389" s="45" t="str">
        <f t="shared" si="17"/>
        <v>Andro Vladimir – Štambuk</v>
      </c>
      <c r="N389" s="103"/>
      <c r="O389" s="104"/>
      <c r="P389" s="105"/>
    </row>
    <row r="390" spans="2:16" x14ac:dyDescent="0.25">
      <c r="B390" s="103">
        <v>1158</v>
      </c>
      <c r="C390" s="104" t="s">
        <v>2484</v>
      </c>
      <c r="D390" s="104" t="s">
        <v>2190</v>
      </c>
      <c r="E390" s="104" t="s">
        <v>455</v>
      </c>
      <c r="F390" s="105" t="s">
        <v>3000</v>
      </c>
      <c r="H390" s="45" t="str">
        <f t="shared" si="15"/>
        <v>Iva – Štambuk – OK Maksimir – Ž21A</v>
      </c>
      <c r="J390" s="45" t="str">
        <f t="shared" si="16"/>
        <v>Iva – Štambuk – OK Maksimir</v>
      </c>
      <c r="L390" s="45" t="str">
        <f t="shared" si="17"/>
        <v>Iva – Štambuk</v>
      </c>
      <c r="N390" s="103"/>
      <c r="O390" s="104"/>
      <c r="P390" s="105"/>
    </row>
    <row r="391" spans="2:16" x14ac:dyDescent="0.25">
      <c r="B391" s="103">
        <v>1349</v>
      </c>
      <c r="C391" s="104" t="s">
        <v>404</v>
      </c>
      <c r="D391" s="104" t="s">
        <v>2190</v>
      </c>
      <c r="E391" s="104" t="s">
        <v>455</v>
      </c>
      <c r="F391" s="105" t="s">
        <v>885</v>
      </c>
      <c r="H391" s="45" t="str">
        <f t="shared" si="15"/>
        <v>Mario – Štambuk – OK Maksimir – M21A</v>
      </c>
      <c r="J391" s="45" t="str">
        <f t="shared" si="16"/>
        <v>Mario – Štambuk – OK Maksimir</v>
      </c>
      <c r="L391" s="45" t="str">
        <f t="shared" si="17"/>
        <v>Mario – Štambuk</v>
      </c>
      <c r="N391" s="103"/>
      <c r="O391" s="104"/>
      <c r="P391" s="105"/>
    </row>
    <row r="392" spans="2:16" x14ac:dyDescent="0.25">
      <c r="B392" s="103">
        <v>1257</v>
      </c>
      <c r="C392" s="104" t="s">
        <v>452</v>
      </c>
      <c r="D392" s="104" t="s">
        <v>669</v>
      </c>
      <c r="E392" s="104" t="s">
        <v>455</v>
      </c>
      <c r="F392" s="105" t="s">
        <v>2194</v>
      </c>
      <c r="H392" s="45" t="str">
        <f t="shared" si="15"/>
        <v>Petar – Strmečki – OK Maksimir – M55</v>
      </c>
      <c r="J392" s="45" t="str">
        <f t="shared" si="16"/>
        <v>Petar – Strmečki – OK Maksimir</v>
      </c>
      <c r="L392" s="45" t="str">
        <f t="shared" si="17"/>
        <v>Petar – Strmečki</v>
      </c>
      <c r="N392" s="103"/>
      <c r="O392" s="104"/>
      <c r="P392" s="105"/>
    </row>
    <row r="393" spans="2:16" x14ac:dyDescent="0.25">
      <c r="B393" s="103">
        <v>1165</v>
      </c>
      <c r="C393" s="104" t="s">
        <v>670</v>
      </c>
      <c r="D393" s="104" t="s">
        <v>669</v>
      </c>
      <c r="E393" s="104" t="s">
        <v>455</v>
      </c>
      <c r="F393" s="105" t="s">
        <v>651</v>
      </c>
      <c r="H393" s="45" t="str">
        <f t="shared" si="15"/>
        <v>Vibor – Strmečki – OK Maksimir – M16</v>
      </c>
      <c r="J393" s="45" t="str">
        <f t="shared" si="16"/>
        <v>Vibor – Strmečki – OK Maksimir</v>
      </c>
      <c r="L393" s="45" t="str">
        <f t="shared" si="17"/>
        <v>Vibor – Strmečki</v>
      </c>
      <c r="N393" s="103"/>
      <c r="O393" s="104"/>
      <c r="P393" s="105"/>
    </row>
    <row r="394" spans="2:16" x14ac:dyDescent="0.25">
      <c r="B394" s="103">
        <v>1276</v>
      </c>
      <c r="C394" s="104" t="s">
        <v>2436</v>
      </c>
      <c r="D394" s="104" t="s">
        <v>2019</v>
      </c>
      <c r="E394" s="104" t="s">
        <v>455</v>
      </c>
      <c r="F394" s="105" t="s">
        <v>3000</v>
      </c>
      <c r="H394" s="45" t="str">
        <f t="shared" si="15"/>
        <v>Ana – Tišljar – OK Maksimir – Ž21A</v>
      </c>
      <c r="J394" s="45" t="str">
        <f t="shared" si="16"/>
        <v>Ana – Tišljar – OK Maksimir</v>
      </c>
      <c r="L394" s="45" t="str">
        <f t="shared" si="17"/>
        <v>Ana – Tišljar</v>
      </c>
      <c r="N394" s="103"/>
      <c r="O394" s="104"/>
      <c r="P394" s="105"/>
    </row>
    <row r="395" spans="2:16" x14ac:dyDescent="0.25">
      <c r="B395" s="103">
        <v>1556</v>
      </c>
      <c r="C395" s="104" t="s">
        <v>1320</v>
      </c>
      <c r="D395" s="104" t="s">
        <v>3995</v>
      </c>
      <c r="E395" s="104" t="s">
        <v>455</v>
      </c>
      <c r="F395" s="105" t="s">
        <v>2402</v>
      </c>
      <c r="H395" s="45" t="str">
        <f t="shared" ref="H395:H458" si="18">IF(C395="","",C395) &amp; IF(D395="",""," – " &amp; D395) &amp; IF(E395="",""," – " &amp; E395) &amp; IF(F395="",""," – " &amp; F395)</f>
        <v>Željko – Ulip – OK Maksimir – M70</v>
      </c>
      <c r="J395" s="45" t="str">
        <f t="shared" ref="J395:J458" si="19">IF(C395="","",C395) &amp; IF(D395="",""," – " &amp; D395) &amp; IF(E395="",""," – " &amp; E395)</f>
        <v>Željko – Ulip – OK Maksimir</v>
      </c>
      <c r="L395" s="45" t="str">
        <f t="shared" ref="L395:L458" si="20">IF(C395="","",C395) &amp; IF(D395="",""," – " &amp; D395)</f>
        <v>Željko – Ulip</v>
      </c>
      <c r="N395" s="103"/>
      <c r="O395" s="104"/>
      <c r="P395" s="105"/>
    </row>
    <row r="396" spans="2:16" x14ac:dyDescent="0.25">
      <c r="B396" s="103">
        <v>1407</v>
      </c>
      <c r="C396" s="104" t="s">
        <v>3996</v>
      </c>
      <c r="D396" s="104" t="s">
        <v>3997</v>
      </c>
      <c r="E396" s="104" t="s">
        <v>455</v>
      </c>
      <c r="F396" s="105" t="s">
        <v>1908</v>
      </c>
      <c r="H396" s="45" t="str">
        <f t="shared" si="18"/>
        <v>Milivoj – Uroić – OK Maksimir – M45</v>
      </c>
      <c r="J396" s="45" t="str">
        <f t="shared" si="19"/>
        <v>Milivoj – Uroić – OK Maksimir</v>
      </c>
      <c r="L396" s="45" t="str">
        <f t="shared" si="20"/>
        <v>Milivoj – Uroić</v>
      </c>
      <c r="N396" s="103"/>
      <c r="O396" s="104"/>
      <c r="P396" s="105"/>
    </row>
    <row r="397" spans="2:16" x14ac:dyDescent="0.25">
      <c r="B397" s="103">
        <v>1456</v>
      </c>
      <c r="C397" s="104" t="s">
        <v>3998</v>
      </c>
      <c r="D397" s="104" t="s">
        <v>3999</v>
      </c>
      <c r="E397" s="104" t="s">
        <v>455</v>
      </c>
      <c r="F397" s="105" t="s">
        <v>2636</v>
      </c>
      <c r="H397" s="45" t="str">
        <f t="shared" si="18"/>
        <v>Beatrice – Velimirović – OK Maksimir – Ž12</v>
      </c>
      <c r="J397" s="45" t="str">
        <f t="shared" si="19"/>
        <v>Beatrice – Velimirović – OK Maksimir</v>
      </c>
      <c r="L397" s="45" t="str">
        <f t="shared" si="20"/>
        <v>Beatrice – Velimirović</v>
      </c>
      <c r="N397" s="103"/>
      <c r="O397" s="104"/>
      <c r="P397" s="105"/>
    </row>
    <row r="398" spans="2:16" x14ac:dyDescent="0.25">
      <c r="B398" s="103">
        <v>1485</v>
      </c>
      <c r="C398" s="104" t="s">
        <v>4000</v>
      </c>
      <c r="D398" s="104" t="s">
        <v>3999</v>
      </c>
      <c r="E398" s="104" t="s">
        <v>455</v>
      </c>
      <c r="F398" s="105" t="s">
        <v>2636</v>
      </c>
      <c r="H398" s="45" t="str">
        <f t="shared" si="18"/>
        <v>Vittoria – Velimirović – OK Maksimir – Ž12</v>
      </c>
      <c r="J398" s="45" t="str">
        <f t="shared" si="19"/>
        <v>Vittoria – Velimirović – OK Maksimir</v>
      </c>
      <c r="L398" s="45" t="str">
        <f t="shared" si="20"/>
        <v>Vittoria – Velimirović</v>
      </c>
      <c r="N398" s="103"/>
      <c r="O398" s="104"/>
      <c r="P398" s="105"/>
    </row>
    <row r="399" spans="2:16" x14ac:dyDescent="0.25">
      <c r="B399" s="103">
        <v>1878</v>
      </c>
      <c r="C399" s="104" t="s">
        <v>3261</v>
      </c>
      <c r="D399" s="104" t="s">
        <v>3676</v>
      </c>
      <c r="E399" s="104" t="s">
        <v>455</v>
      </c>
      <c r="F399" s="105" t="s">
        <v>3679</v>
      </c>
      <c r="H399" s="45" t="str">
        <f t="shared" si="18"/>
        <v>Željka – Vendler Čepelak – OK Maksimir – Ž65</v>
      </c>
      <c r="J399" s="45" t="str">
        <f t="shared" si="19"/>
        <v>Željka – Vendler Čepelak – OK Maksimir</v>
      </c>
      <c r="L399" s="45" t="str">
        <f t="shared" si="20"/>
        <v>Željka – Vendler Čepelak</v>
      </c>
      <c r="N399" s="103"/>
      <c r="O399" s="104"/>
      <c r="P399" s="105"/>
    </row>
    <row r="400" spans="2:16" x14ac:dyDescent="0.25">
      <c r="B400" s="103">
        <v>1313</v>
      </c>
      <c r="C400" s="104" t="s">
        <v>1967</v>
      </c>
      <c r="D400" s="104" t="s">
        <v>727</v>
      </c>
      <c r="E400" s="104" t="s">
        <v>455</v>
      </c>
      <c r="F400" s="105" t="s">
        <v>1908</v>
      </c>
      <c r="H400" s="45" t="str">
        <f t="shared" si="18"/>
        <v>Bojan – Vukelić – OK Maksimir – M45</v>
      </c>
      <c r="J400" s="45" t="str">
        <f t="shared" si="19"/>
        <v>Bojan – Vukelić – OK Maksimir</v>
      </c>
      <c r="L400" s="45" t="str">
        <f t="shared" si="20"/>
        <v>Bojan – Vukelić</v>
      </c>
      <c r="N400" s="103"/>
      <c r="O400" s="104"/>
      <c r="P400" s="105"/>
    </row>
    <row r="401" spans="2:16" x14ac:dyDescent="0.25">
      <c r="B401" s="103">
        <v>1442</v>
      </c>
      <c r="C401" s="104" t="s">
        <v>2646</v>
      </c>
      <c r="D401" s="104" t="s">
        <v>727</v>
      </c>
      <c r="E401" s="104" t="s">
        <v>455</v>
      </c>
      <c r="F401" s="105" t="s">
        <v>2765</v>
      </c>
      <c r="H401" s="45" t="str">
        <f t="shared" si="18"/>
        <v>Dora – Vukelić – OK Maksimir – Ž16</v>
      </c>
      <c r="J401" s="45" t="str">
        <f t="shared" si="19"/>
        <v>Dora – Vukelić – OK Maksimir</v>
      </c>
      <c r="L401" s="45" t="str">
        <f t="shared" si="20"/>
        <v>Dora – Vukelić</v>
      </c>
      <c r="N401" s="103"/>
      <c r="O401" s="104"/>
      <c r="P401" s="105"/>
    </row>
    <row r="402" spans="2:16" x14ac:dyDescent="0.25">
      <c r="B402" s="103">
        <v>1170</v>
      </c>
      <c r="C402" s="104" t="s">
        <v>728</v>
      </c>
      <c r="D402" s="104" t="s">
        <v>727</v>
      </c>
      <c r="E402" s="104" t="s">
        <v>455</v>
      </c>
      <c r="F402" s="105" t="s">
        <v>651</v>
      </c>
      <c r="H402" s="45" t="str">
        <f t="shared" si="18"/>
        <v>Juraj – Vukelić – OK Maksimir – M16</v>
      </c>
      <c r="J402" s="45" t="str">
        <f t="shared" si="19"/>
        <v>Juraj – Vukelić – OK Maksimir</v>
      </c>
      <c r="L402" s="45" t="str">
        <f t="shared" si="20"/>
        <v>Juraj – Vukelić</v>
      </c>
      <c r="N402" s="103"/>
      <c r="O402" s="104"/>
      <c r="P402" s="105"/>
    </row>
    <row r="403" spans="2:16" x14ac:dyDescent="0.25">
      <c r="B403" s="103">
        <v>1091</v>
      </c>
      <c r="C403" s="104" t="s">
        <v>3826</v>
      </c>
      <c r="D403" s="104" t="s">
        <v>4001</v>
      </c>
      <c r="E403" s="104" t="s">
        <v>455</v>
      </c>
      <c r="F403" s="105" t="s">
        <v>363</v>
      </c>
      <c r="H403" s="45" t="str">
        <f t="shared" si="18"/>
        <v>Roko – Vukić – OK Maksimir – M12</v>
      </c>
      <c r="J403" s="45" t="str">
        <f t="shared" si="19"/>
        <v>Roko – Vukić – OK Maksimir</v>
      </c>
      <c r="L403" s="45" t="str">
        <f t="shared" si="20"/>
        <v>Roko – Vukić</v>
      </c>
      <c r="N403" s="103"/>
      <c r="O403" s="104"/>
      <c r="P403" s="105"/>
    </row>
    <row r="404" spans="2:16" x14ac:dyDescent="0.25">
      <c r="B404" s="103">
        <v>1078</v>
      </c>
      <c r="C404" s="104" t="s">
        <v>1320</v>
      </c>
      <c r="D404" s="104" t="s">
        <v>4002</v>
      </c>
      <c r="E404" s="104" t="s">
        <v>3729</v>
      </c>
      <c r="F404" s="105" t="s">
        <v>1908</v>
      </c>
      <c r="H404" s="45" t="str">
        <f t="shared" si="18"/>
        <v>Željko – Antolić – OK Međimurje – M45</v>
      </c>
      <c r="J404" s="45" t="str">
        <f t="shared" si="19"/>
        <v>Željko – Antolić – OK Međimurje</v>
      </c>
      <c r="L404" s="45" t="str">
        <f t="shared" si="20"/>
        <v>Željko – Antolić</v>
      </c>
      <c r="N404" s="103"/>
      <c r="O404" s="104"/>
      <c r="P404" s="105"/>
    </row>
    <row r="405" spans="2:16" x14ac:dyDescent="0.25">
      <c r="B405" s="103">
        <v>1192</v>
      </c>
      <c r="C405" s="104" t="s">
        <v>508</v>
      </c>
      <c r="D405" s="104" t="s">
        <v>4003</v>
      </c>
      <c r="E405" s="104" t="s">
        <v>3729</v>
      </c>
      <c r="F405" s="105" t="s">
        <v>885</v>
      </c>
      <c r="H405" s="45" t="str">
        <f t="shared" si="18"/>
        <v>Luka – Bahun – OK Međimurje – M21A</v>
      </c>
      <c r="J405" s="45" t="str">
        <f t="shared" si="19"/>
        <v>Luka – Bahun – OK Međimurje</v>
      </c>
      <c r="L405" s="45" t="str">
        <f t="shared" si="20"/>
        <v>Luka – Bahun</v>
      </c>
      <c r="N405" s="103"/>
      <c r="O405" s="104"/>
      <c r="P405" s="105"/>
    </row>
    <row r="406" spans="2:16" x14ac:dyDescent="0.25">
      <c r="B406" s="103">
        <v>1196</v>
      </c>
      <c r="C406" s="104" t="s">
        <v>1943</v>
      </c>
      <c r="D406" s="104" t="s">
        <v>4004</v>
      </c>
      <c r="E406" s="104" t="s">
        <v>3729</v>
      </c>
      <c r="F406" s="105" t="s">
        <v>1129</v>
      </c>
      <c r="H406" s="45" t="str">
        <f t="shared" si="18"/>
        <v>Robert – Belović – OK Međimurje – M21B</v>
      </c>
      <c r="J406" s="45" t="str">
        <f t="shared" si="19"/>
        <v>Robert – Belović – OK Međimurje</v>
      </c>
      <c r="L406" s="45" t="str">
        <f t="shared" si="20"/>
        <v>Robert – Belović</v>
      </c>
      <c r="N406" s="103"/>
      <c r="O406" s="104"/>
      <c r="P406" s="105"/>
    </row>
    <row r="407" spans="2:16" x14ac:dyDescent="0.25">
      <c r="B407" s="103">
        <v>1267</v>
      </c>
      <c r="C407" s="104" t="s">
        <v>4005</v>
      </c>
      <c r="D407" s="104" t="s">
        <v>4006</v>
      </c>
      <c r="E407" s="104" t="s">
        <v>3729</v>
      </c>
      <c r="F407" s="105" t="s">
        <v>3442</v>
      </c>
      <c r="H407" s="45" t="str">
        <f t="shared" si="18"/>
        <v>Jasminka – Cindrić Perković – OK Međimurje – Ž45</v>
      </c>
      <c r="J407" s="45" t="str">
        <f t="shared" si="19"/>
        <v>Jasminka – Cindrić Perković – OK Međimurje</v>
      </c>
      <c r="L407" s="45" t="str">
        <f t="shared" si="20"/>
        <v>Jasminka – Cindrić Perković</v>
      </c>
      <c r="N407" s="103"/>
      <c r="O407" s="104"/>
      <c r="P407" s="105"/>
    </row>
    <row r="408" spans="2:16" x14ac:dyDescent="0.25">
      <c r="B408" s="103">
        <v>1555</v>
      </c>
      <c r="C408" s="104" t="s">
        <v>3889</v>
      </c>
      <c r="D408" s="104" t="s">
        <v>4007</v>
      </c>
      <c r="E408" s="104" t="s">
        <v>3729</v>
      </c>
      <c r="F408" s="105" t="s">
        <v>1908</v>
      </c>
      <c r="H408" s="45" t="str">
        <f t="shared" si="18"/>
        <v>Branko – Crljenica – OK Međimurje – M45</v>
      </c>
      <c r="J408" s="45" t="str">
        <f t="shared" si="19"/>
        <v>Branko – Crljenica – OK Međimurje</v>
      </c>
      <c r="L408" s="45" t="str">
        <f t="shared" si="20"/>
        <v>Branko – Crljenica</v>
      </c>
      <c r="N408" s="103"/>
      <c r="O408" s="104"/>
      <c r="P408" s="105"/>
    </row>
    <row r="409" spans="2:16" x14ac:dyDescent="0.25">
      <c r="B409" s="103">
        <v>1558</v>
      </c>
      <c r="C409" s="104" t="s">
        <v>2206</v>
      </c>
      <c r="D409" s="104" t="s">
        <v>4008</v>
      </c>
      <c r="E409" s="104" t="s">
        <v>3729</v>
      </c>
      <c r="F409" s="105" t="s">
        <v>1908</v>
      </c>
      <c r="H409" s="45" t="str">
        <f t="shared" si="18"/>
        <v>Darko – Duhović – OK Međimurje – M45</v>
      </c>
      <c r="J409" s="45" t="str">
        <f t="shared" si="19"/>
        <v>Darko – Duhović – OK Međimurje</v>
      </c>
      <c r="L409" s="45" t="str">
        <f t="shared" si="20"/>
        <v>Darko – Duhović</v>
      </c>
      <c r="N409" s="103"/>
      <c r="O409" s="104"/>
      <c r="P409" s="105"/>
    </row>
    <row r="410" spans="2:16" x14ac:dyDescent="0.25">
      <c r="B410" s="103">
        <v>1127</v>
      </c>
      <c r="C410" s="104" t="s">
        <v>962</v>
      </c>
      <c r="D410" s="104" t="s">
        <v>4009</v>
      </c>
      <c r="E410" s="104" t="s">
        <v>3729</v>
      </c>
      <c r="F410" s="105"/>
      <c r="H410" s="45" t="str">
        <f t="shared" si="18"/>
        <v>Dražen – Henc – OK Međimurje</v>
      </c>
      <c r="J410" s="45" t="str">
        <f t="shared" si="19"/>
        <v>Dražen – Henc – OK Međimurje</v>
      </c>
      <c r="L410" s="45" t="str">
        <f t="shared" si="20"/>
        <v>Dražen – Henc</v>
      </c>
      <c r="N410" s="103"/>
      <c r="O410" s="104"/>
      <c r="P410" s="105"/>
    </row>
    <row r="411" spans="2:16" x14ac:dyDescent="0.25">
      <c r="B411" s="103">
        <v>1399</v>
      </c>
      <c r="C411" s="104" t="s">
        <v>2225</v>
      </c>
      <c r="D411" s="104" t="s">
        <v>939</v>
      </c>
      <c r="E411" s="104" t="s">
        <v>3729</v>
      </c>
      <c r="F411" s="105"/>
      <c r="H411" s="45" t="str">
        <f t="shared" si="18"/>
        <v>Saša – Horvat – OK Međimurje</v>
      </c>
      <c r="J411" s="45" t="str">
        <f t="shared" si="19"/>
        <v>Saša – Horvat – OK Međimurje</v>
      </c>
      <c r="L411" s="45" t="str">
        <f t="shared" si="20"/>
        <v>Saša – Horvat</v>
      </c>
      <c r="N411" s="103"/>
      <c r="O411" s="104"/>
      <c r="P411" s="105"/>
    </row>
    <row r="412" spans="2:16" x14ac:dyDescent="0.25">
      <c r="B412" s="103">
        <v>1318</v>
      </c>
      <c r="C412" s="104" t="s">
        <v>962</v>
      </c>
      <c r="D412" s="104" t="s">
        <v>4010</v>
      </c>
      <c r="E412" s="104" t="s">
        <v>3729</v>
      </c>
      <c r="F412" s="105" t="s">
        <v>2194</v>
      </c>
      <c r="H412" s="45" t="str">
        <f t="shared" si="18"/>
        <v>Dražen – Janžek – OK Međimurje – M55</v>
      </c>
      <c r="J412" s="45" t="str">
        <f t="shared" si="19"/>
        <v>Dražen – Janžek – OK Međimurje</v>
      </c>
      <c r="L412" s="45" t="str">
        <f t="shared" si="20"/>
        <v>Dražen – Janžek</v>
      </c>
      <c r="N412" s="103"/>
      <c r="O412" s="104"/>
      <c r="P412" s="105"/>
    </row>
    <row r="413" spans="2:16" x14ac:dyDescent="0.25">
      <c r="B413" s="103">
        <v>1171</v>
      </c>
      <c r="C413" s="104" t="s">
        <v>4011</v>
      </c>
      <c r="D413" s="104" t="s">
        <v>4010</v>
      </c>
      <c r="E413" s="104" t="s">
        <v>3729</v>
      </c>
      <c r="F413" s="105" t="s">
        <v>1129</v>
      </c>
      <c r="H413" s="45" t="str">
        <f t="shared" si="18"/>
        <v>Gregor – Janžek – OK Međimurje – M21B</v>
      </c>
      <c r="J413" s="45" t="str">
        <f t="shared" si="19"/>
        <v>Gregor – Janžek – OK Međimurje</v>
      </c>
      <c r="L413" s="45" t="str">
        <f t="shared" si="20"/>
        <v>Gregor – Janžek</v>
      </c>
      <c r="N413" s="103"/>
      <c r="O413" s="104"/>
      <c r="P413" s="105"/>
    </row>
    <row r="414" spans="2:16" x14ac:dyDescent="0.25">
      <c r="B414" s="103">
        <v>1507</v>
      </c>
      <c r="C414" s="104" t="s">
        <v>352</v>
      </c>
      <c r="D414" s="104" t="s">
        <v>4010</v>
      </c>
      <c r="E414" s="104" t="s">
        <v>3729</v>
      </c>
      <c r="F414" s="105" t="s">
        <v>1129</v>
      </c>
      <c r="H414" s="45" t="str">
        <f t="shared" si="18"/>
        <v>Lovro – Janžek – OK Međimurje – M21B</v>
      </c>
      <c r="J414" s="45" t="str">
        <f t="shared" si="19"/>
        <v>Lovro – Janžek – OK Međimurje</v>
      </c>
      <c r="L414" s="45" t="str">
        <f t="shared" si="20"/>
        <v>Lovro – Janžek</v>
      </c>
      <c r="N414" s="103"/>
      <c r="O414" s="104"/>
      <c r="P414" s="105"/>
    </row>
    <row r="415" spans="2:16" x14ac:dyDescent="0.25">
      <c r="B415" s="103">
        <v>1384</v>
      </c>
      <c r="C415" s="104" t="s">
        <v>4012</v>
      </c>
      <c r="D415" s="104" t="s">
        <v>4010</v>
      </c>
      <c r="E415" s="104" t="s">
        <v>3729</v>
      </c>
      <c r="F415" s="105" t="s">
        <v>3442</v>
      </c>
      <c r="H415" s="45" t="str">
        <f t="shared" si="18"/>
        <v>Smiljana – Janžek – OK Međimurje – Ž45</v>
      </c>
      <c r="J415" s="45" t="str">
        <f t="shared" si="19"/>
        <v>Smiljana – Janžek – OK Međimurje</v>
      </c>
      <c r="L415" s="45" t="str">
        <f t="shared" si="20"/>
        <v>Smiljana – Janžek</v>
      </c>
      <c r="N415" s="103"/>
      <c r="O415" s="104"/>
      <c r="P415" s="105"/>
    </row>
    <row r="416" spans="2:16" x14ac:dyDescent="0.25">
      <c r="B416" s="103">
        <v>1377</v>
      </c>
      <c r="C416" s="104" t="s">
        <v>1546</v>
      </c>
      <c r="D416" s="104" t="s">
        <v>4013</v>
      </c>
      <c r="E416" s="104" t="s">
        <v>3729</v>
      </c>
      <c r="F416" s="105"/>
      <c r="H416" s="45" t="str">
        <f t="shared" si="18"/>
        <v>Ante – Jović – OK Međimurje</v>
      </c>
      <c r="J416" s="45" t="str">
        <f t="shared" si="19"/>
        <v>Ante – Jović – OK Međimurje</v>
      </c>
      <c r="L416" s="45" t="str">
        <f t="shared" si="20"/>
        <v>Ante – Jović</v>
      </c>
      <c r="N416" s="103"/>
      <c r="O416" s="104"/>
      <c r="P416" s="105"/>
    </row>
    <row r="417" spans="2:16" x14ac:dyDescent="0.25">
      <c r="B417" s="103">
        <v>1400</v>
      </c>
      <c r="C417" s="104" t="s">
        <v>1028</v>
      </c>
      <c r="D417" s="104" t="s">
        <v>4014</v>
      </c>
      <c r="E417" s="104" t="s">
        <v>3729</v>
      </c>
      <c r="F417" s="105"/>
      <c r="H417" s="45" t="str">
        <f t="shared" si="18"/>
        <v>Tomislav – Kelemen – OK Međimurje</v>
      </c>
      <c r="J417" s="45" t="str">
        <f t="shared" si="19"/>
        <v>Tomislav – Kelemen – OK Međimurje</v>
      </c>
      <c r="L417" s="45" t="str">
        <f t="shared" si="20"/>
        <v>Tomislav – Kelemen</v>
      </c>
      <c r="N417" s="103"/>
      <c r="O417" s="104"/>
      <c r="P417" s="105"/>
    </row>
    <row r="418" spans="2:16" x14ac:dyDescent="0.25">
      <c r="B418" s="103">
        <v>1818</v>
      </c>
      <c r="C418" s="104" t="s">
        <v>2206</v>
      </c>
      <c r="D418" s="104" t="s">
        <v>1391</v>
      </c>
      <c r="E418" s="104" t="s">
        <v>3729</v>
      </c>
      <c r="F418" s="105"/>
      <c r="H418" s="45" t="str">
        <f t="shared" si="18"/>
        <v>Darko – Klarić – OK Međimurje</v>
      </c>
      <c r="J418" s="45" t="str">
        <f t="shared" si="19"/>
        <v>Darko – Klarić – OK Međimurje</v>
      </c>
      <c r="L418" s="45" t="str">
        <f t="shared" si="20"/>
        <v>Darko – Klarić</v>
      </c>
      <c r="N418" s="103"/>
      <c r="O418" s="109"/>
      <c r="P418" s="105"/>
    </row>
    <row r="419" spans="2:16" x14ac:dyDescent="0.25">
      <c r="B419" s="103">
        <v>1819</v>
      </c>
      <c r="C419" s="104" t="s">
        <v>604</v>
      </c>
      <c r="D419" s="104" t="s">
        <v>1391</v>
      </c>
      <c r="E419" s="104" t="s">
        <v>3729</v>
      </c>
      <c r="F419" s="105"/>
      <c r="H419" s="45" t="str">
        <f t="shared" si="18"/>
        <v>Marko – Klarić – OK Međimurje</v>
      </c>
      <c r="J419" s="45" t="str">
        <f t="shared" si="19"/>
        <v>Marko – Klarić – OK Međimurje</v>
      </c>
      <c r="L419" s="45" t="str">
        <f t="shared" si="20"/>
        <v>Marko – Klarić</v>
      </c>
      <c r="N419" s="103"/>
      <c r="O419" s="104"/>
      <c r="P419" s="105"/>
    </row>
    <row r="420" spans="2:16" x14ac:dyDescent="0.25">
      <c r="B420" s="103">
        <v>1564</v>
      </c>
      <c r="C420" s="104" t="s">
        <v>4015</v>
      </c>
      <c r="D420" s="104" t="s">
        <v>4016</v>
      </c>
      <c r="E420" s="104" t="s">
        <v>3729</v>
      </c>
      <c r="F420" s="105"/>
      <c r="H420" s="45" t="str">
        <f t="shared" si="18"/>
        <v>Mihaela – Kočila Petković – OK Međimurje</v>
      </c>
      <c r="J420" s="45" t="str">
        <f t="shared" si="19"/>
        <v>Mihaela – Kočila Petković – OK Međimurje</v>
      </c>
      <c r="L420" s="45" t="str">
        <f t="shared" si="20"/>
        <v>Mihaela – Kočila Petković</v>
      </c>
      <c r="N420" s="103"/>
      <c r="O420" s="104"/>
      <c r="P420" s="105"/>
    </row>
    <row r="421" spans="2:16" x14ac:dyDescent="0.25">
      <c r="B421" s="103">
        <v>1365</v>
      </c>
      <c r="C421" s="104" t="s">
        <v>1320</v>
      </c>
      <c r="D421" s="104" t="s">
        <v>4017</v>
      </c>
      <c r="E421" s="104" t="s">
        <v>3729</v>
      </c>
      <c r="F421" s="105" t="s">
        <v>1908</v>
      </c>
      <c r="H421" s="45" t="str">
        <f t="shared" si="18"/>
        <v>Željko – Koščak – OK Međimurje – M45</v>
      </c>
      <c r="J421" s="45" t="str">
        <f t="shared" si="19"/>
        <v>Željko – Koščak – OK Međimurje</v>
      </c>
      <c r="L421" s="45" t="str">
        <f t="shared" si="20"/>
        <v>Željko – Koščak</v>
      </c>
      <c r="N421" s="103"/>
      <c r="O421" s="104"/>
      <c r="P421" s="105"/>
    </row>
    <row r="422" spans="2:16" x14ac:dyDescent="0.25">
      <c r="B422" s="103">
        <v>1161</v>
      </c>
      <c r="C422" s="104" t="s">
        <v>604</v>
      </c>
      <c r="D422" s="104" t="s">
        <v>4018</v>
      </c>
      <c r="E422" s="104" t="s">
        <v>3729</v>
      </c>
      <c r="F422" s="105" t="s">
        <v>1574</v>
      </c>
      <c r="H422" s="45" t="str">
        <f t="shared" si="18"/>
        <v>Marko – Leljak – OK Međimurje – M35</v>
      </c>
      <c r="J422" s="45" t="str">
        <f t="shared" si="19"/>
        <v>Marko – Leljak – OK Međimurje</v>
      </c>
      <c r="L422" s="45" t="str">
        <f t="shared" si="20"/>
        <v>Marko – Leljak</v>
      </c>
      <c r="N422" s="103"/>
      <c r="O422" s="104"/>
      <c r="P422" s="105"/>
    </row>
    <row r="423" spans="2:16" x14ac:dyDescent="0.25">
      <c r="B423" s="103">
        <v>1290</v>
      </c>
      <c r="C423" s="104" t="s">
        <v>2836</v>
      </c>
      <c r="D423" s="104" t="s">
        <v>1931</v>
      </c>
      <c r="E423" s="104" t="s">
        <v>3729</v>
      </c>
      <c r="F423" s="105"/>
      <c r="H423" s="45" t="str">
        <f t="shared" si="18"/>
        <v>Jana – Markulinčić – OK Međimurje</v>
      </c>
      <c r="J423" s="45" t="str">
        <f t="shared" si="19"/>
        <v>Jana – Markulinčić – OK Međimurje</v>
      </c>
      <c r="L423" s="45" t="str">
        <f t="shared" si="20"/>
        <v>Jana – Markulinčić</v>
      </c>
      <c r="N423" s="103"/>
      <c r="O423" s="104"/>
      <c r="P423" s="105"/>
    </row>
    <row r="424" spans="2:16" x14ac:dyDescent="0.25">
      <c r="B424" s="103">
        <v>1064</v>
      </c>
      <c r="C424" s="104" t="s">
        <v>1194</v>
      </c>
      <c r="D424" s="104" t="s">
        <v>1931</v>
      </c>
      <c r="E424" s="104" t="s">
        <v>3729</v>
      </c>
      <c r="F424" s="105"/>
      <c r="H424" s="45" t="str">
        <f t="shared" si="18"/>
        <v>Predrag – Markulinčić – OK Međimurje</v>
      </c>
      <c r="J424" s="45" t="str">
        <f t="shared" si="19"/>
        <v>Predrag – Markulinčić – OK Međimurje</v>
      </c>
      <c r="L424" s="45" t="str">
        <f t="shared" si="20"/>
        <v>Predrag – Markulinčić</v>
      </c>
      <c r="N424" s="103"/>
      <c r="O424" s="104"/>
      <c r="P424" s="105"/>
    </row>
    <row r="425" spans="2:16" x14ac:dyDescent="0.25">
      <c r="B425" s="103">
        <v>1834</v>
      </c>
      <c r="C425" s="104" t="s">
        <v>471</v>
      </c>
      <c r="D425" s="104" t="s">
        <v>4019</v>
      </c>
      <c r="E425" s="104" t="s">
        <v>3729</v>
      </c>
      <c r="F425" s="105"/>
      <c r="H425" s="45" t="str">
        <f t="shared" si="18"/>
        <v>Filip – Mlinarić – OK Međimurje</v>
      </c>
      <c r="J425" s="45" t="str">
        <f t="shared" si="19"/>
        <v>Filip – Mlinarić – OK Međimurje</v>
      </c>
      <c r="L425" s="45" t="str">
        <f t="shared" si="20"/>
        <v>Filip – Mlinarić</v>
      </c>
      <c r="N425" s="103"/>
      <c r="O425" s="104"/>
      <c r="P425" s="105"/>
    </row>
    <row r="426" spans="2:16" x14ac:dyDescent="0.25">
      <c r="B426" s="103">
        <v>1356</v>
      </c>
      <c r="C426" s="104" t="s">
        <v>508</v>
      </c>
      <c r="D426" s="104" t="s">
        <v>4020</v>
      </c>
      <c r="E426" s="104" t="s">
        <v>3729</v>
      </c>
      <c r="F426" s="105"/>
      <c r="H426" s="45" t="str">
        <f t="shared" si="18"/>
        <v>Luka – Novak – OK Međimurje</v>
      </c>
      <c r="J426" s="45" t="str">
        <f t="shared" si="19"/>
        <v>Luka – Novak – OK Međimurje</v>
      </c>
      <c r="L426" s="45" t="str">
        <f t="shared" si="20"/>
        <v>Luka – Novak</v>
      </c>
      <c r="N426" s="103"/>
      <c r="O426" s="104"/>
      <c r="P426" s="105"/>
    </row>
    <row r="427" spans="2:16" x14ac:dyDescent="0.25">
      <c r="B427" s="103">
        <v>1122</v>
      </c>
      <c r="C427" s="104" t="s">
        <v>4021</v>
      </c>
      <c r="D427" s="104" t="s">
        <v>4022</v>
      </c>
      <c r="E427" s="104" t="s">
        <v>3729</v>
      </c>
      <c r="F427" s="105"/>
      <c r="H427" s="45" t="str">
        <f t="shared" si="18"/>
        <v>Ranko – Orehovec – OK Međimurje</v>
      </c>
      <c r="J427" s="45" t="str">
        <f t="shared" si="19"/>
        <v>Ranko – Orehovec – OK Međimurje</v>
      </c>
      <c r="L427" s="45" t="str">
        <f t="shared" si="20"/>
        <v>Ranko – Orehovec</v>
      </c>
      <c r="N427" s="103"/>
      <c r="O427" s="104"/>
      <c r="P427" s="105"/>
    </row>
    <row r="428" spans="2:16" x14ac:dyDescent="0.25">
      <c r="B428" s="103">
        <v>1334</v>
      </c>
      <c r="C428" s="104" t="s">
        <v>1903</v>
      </c>
      <c r="D428" s="104" t="s">
        <v>3752</v>
      </c>
      <c r="E428" s="104" t="s">
        <v>3729</v>
      </c>
      <c r="F428" s="105" t="s">
        <v>1129</v>
      </c>
      <c r="H428" s="45" t="str">
        <f t="shared" si="18"/>
        <v>Dalibor – Perković – OK Međimurje – M21B</v>
      </c>
      <c r="J428" s="45" t="str">
        <f t="shared" si="19"/>
        <v>Dalibor – Perković – OK Međimurje</v>
      </c>
      <c r="L428" s="45" t="str">
        <f t="shared" si="20"/>
        <v>Dalibor – Perković</v>
      </c>
      <c r="N428" s="103"/>
      <c r="O428" s="104"/>
      <c r="P428" s="105"/>
    </row>
    <row r="429" spans="2:16" x14ac:dyDescent="0.25">
      <c r="B429" s="103">
        <v>1327</v>
      </c>
      <c r="C429" s="104" t="s">
        <v>1496</v>
      </c>
      <c r="D429" s="104" t="s">
        <v>4023</v>
      </c>
      <c r="E429" s="104" t="s">
        <v>3729</v>
      </c>
      <c r="F429" s="105"/>
      <c r="H429" s="45" t="str">
        <f t="shared" si="18"/>
        <v>Nikola – Petković – OK Međimurje</v>
      </c>
      <c r="J429" s="45" t="str">
        <f t="shared" si="19"/>
        <v>Nikola – Petković – OK Međimurje</v>
      </c>
      <c r="L429" s="45" t="str">
        <f t="shared" si="20"/>
        <v>Nikola – Petković</v>
      </c>
      <c r="N429" s="103"/>
      <c r="O429" s="104"/>
      <c r="P429" s="105"/>
    </row>
    <row r="430" spans="2:16" x14ac:dyDescent="0.25">
      <c r="B430" s="103">
        <v>1817</v>
      </c>
      <c r="C430" s="104" t="s">
        <v>3889</v>
      </c>
      <c r="D430" s="104" t="s">
        <v>4024</v>
      </c>
      <c r="E430" s="104" t="s">
        <v>3729</v>
      </c>
      <c r="F430" s="105"/>
      <c r="H430" s="45" t="str">
        <f t="shared" si="18"/>
        <v>Branko – Polanec – OK Međimurje</v>
      </c>
      <c r="J430" s="45" t="str">
        <f t="shared" si="19"/>
        <v>Branko – Polanec – OK Međimurje</v>
      </c>
      <c r="L430" s="45" t="str">
        <f t="shared" si="20"/>
        <v>Branko – Polanec</v>
      </c>
      <c r="N430" s="103"/>
      <c r="O430" s="104"/>
      <c r="P430" s="105"/>
    </row>
    <row r="431" spans="2:16" x14ac:dyDescent="0.25">
      <c r="B431" s="103">
        <v>1452</v>
      </c>
      <c r="C431" s="104" t="s">
        <v>2447</v>
      </c>
      <c r="D431" s="104" t="s">
        <v>4025</v>
      </c>
      <c r="E431" s="104" t="s">
        <v>3729</v>
      </c>
      <c r="F431" s="105" t="s">
        <v>3093</v>
      </c>
      <c r="H431" s="45" t="str">
        <f t="shared" si="18"/>
        <v>Ivana – Tkalec – OK Međimurje – Ž21B</v>
      </c>
      <c r="J431" s="45" t="str">
        <f t="shared" si="19"/>
        <v>Ivana – Tkalec – OK Međimurje</v>
      </c>
      <c r="L431" s="45" t="str">
        <f t="shared" si="20"/>
        <v>Ivana – Tkalec</v>
      </c>
      <c r="N431" s="103"/>
      <c r="O431" s="104"/>
      <c r="P431" s="105"/>
    </row>
    <row r="432" spans="2:16" x14ac:dyDescent="0.25">
      <c r="B432" s="103">
        <v>1947</v>
      </c>
      <c r="C432" s="104" t="s">
        <v>475</v>
      </c>
      <c r="D432" s="104" t="s">
        <v>4025</v>
      </c>
      <c r="E432" s="104" t="s">
        <v>3729</v>
      </c>
      <c r="F432" s="105"/>
      <c r="H432" s="45" t="str">
        <f t="shared" si="18"/>
        <v>Jakov – Tkalec – OK Međimurje</v>
      </c>
      <c r="J432" s="45" t="str">
        <f t="shared" si="19"/>
        <v>Jakov – Tkalec – OK Međimurje</v>
      </c>
      <c r="L432" s="45" t="str">
        <f t="shared" si="20"/>
        <v>Jakov – Tkalec</v>
      </c>
      <c r="N432" s="103"/>
      <c r="O432" s="104"/>
      <c r="P432" s="105"/>
    </row>
    <row r="433" spans="2:16" x14ac:dyDescent="0.25">
      <c r="B433" s="103">
        <v>1946</v>
      </c>
      <c r="C433" s="104" t="s">
        <v>2824</v>
      </c>
      <c r="D433" s="104" t="s">
        <v>4025</v>
      </c>
      <c r="E433" s="104" t="s">
        <v>3729</v>
      </c>
      <c r="F433" s="105"/>
      <c r="H433" s="45" t="str">
        <f t="shared" si="18"/>
        <v>Marta – Tkalec – OK Međimurje</v>
      </c>
      <c r="J433" s="45" t="str">
        <f t="shared" si="19"/>
        <v>Marta – Tkalec – OK Međimurje</v>
      </c>
      <c r="L433" s="45" t="str">
        <f t="shared" si="20"/>
        <v>Marta – Tkalec</v>
      </c>
      <c r="N433" s="103"/>
      <c r="O433" s="104"/>
      <c r="P433" s="105"/>
    </row>
    <row r="434" spans="2:16" x14ac:dyDescent="0.25">
      <c r="B434" s="103">
        <v>1820</v>
      </c>
      <c r="C434" s="104" t="s">
        <v>1496</v>
      </c>
      <c r="D434" s="104" t="s">
        <v>4025</v>
      </c>
      <c r="E434" s="104" t="s">
        <v>3729</v>
      </c>
      <c r="F434" s="105"/>
      <c r="H434" s="45" t="str">
        <f t="shared" si="18"/>
        <v>Nikola – Tkalec – OK Međimurje</v>
      </c>
      <c r="J434" s="45" t="str">
        <f t="shared" si="19"/>
        <v>Nikola – Tkalec – OK Međimurje</v>
      </c>
      <c r="L434" s="45" t="str">
        <f t="shared" si="20"/>
        <v>Nikola – Tkalec</v>
      </c>
      <c r="N434" s="103"/>
      <c r="O434" s="104"/>
      <c r="P434" s="105"/>
    </row>
    <row r="435" spans="2:16" x14ac:dyDescent="0.25">
      <c r="B435" s="103">
        <v>1821</v>
      </c>
      <c r="C435" s="104" t="s">
        <v>1943</v>
      </c>
      <c r="D435" s="104" t="s">
        <v>4025</v>
      </c>
      <c r="E435" s="104" t="s">
        <v>3729</v>
      </c>
      <c r="F435" s="105"/>
      <c r="H435" s="45" t="str">
        <f t="shared" si="18"/>
        <v>Robert – Tkalec – OK Međimurje</v>
      </c>
      <c r="J435" s="45" t="str">
        <f t="shared" si="19"/>
        <v>Robert – Tkalec – OK Međimurje</v>
      </c>
      <c r="L435" s="45" t="str">
        <f t="shared" si="20"/>
        <v>Robert – Tkalec</v>
      </c>
      <c r="N435" s="103"/>
      <c r="O435" s="104"/>
      <c r="P435" s="105"/>
    </row>
    <row r="436" spans="2:16" x14ac:dyDescent="0.25">
      <c r="B436" s="103">
        <v>1822</v>
      </c>
      <c r="C436" s="104" t="s">
        <v>1073</v>
      </c>
      <c r="D436" s="104" t="s">
        <v>4025</v>
      </c>
      <c r="E436" s="104" t="s">
        <v>3729</v>
      </c>
      <c r="F436" s="105"/>
      <c r="H436" s="45" t="str">
        <f t="shared" si="18"/>
        <v>Vedran – Tkalec – OK Međimurje</v>
      </c>
      <c r="J436" s="45" t="str">
        <f t="shared" si="19"/>
        <v>Vedran – Tkalec – OK Međimurje</v>
      </c>
      <c r="L436" s="45" t="str">
        <f t="shared" si="20"/>
        <v>Vedran – Tkalec</v>
      </c>
      <c r="N436" s="103"/>
      <c r="O436" s="104"/>
      <c r="P436" s="105"/>
    </row>
    <row r="437" spans="2:16" x14ac:dyDescent="0.25">
      <c r="B437" s="103">
        <v>1090</v>
      </c>
      <c r="C437" s="104" t="s">
        <v>1954</v>
      </c>
      <c r="D437" s="104" t="s">
        <v>4025</v>
      </c>
      <c r="E437" s="104" t="s">
        <v>3729</v>
      </c>
      <c r="F437" s="105" t="s">
        <v>1129</v>
      </c>
      <c r="H437" s="45" t="str">
        <f t="shared" si="18"/>
        <v>Vladimir – Tkalec – OK Međimurje – M21B</v>
      </c>
      <c r="J437" s="45" t="str">
        <f t="shared" si="19"/>
        <v>Vladimir – Tkalec – OK Međimurje</v>
      </c>
      <c r="L437" s="45" t="str">
        <f t="shared" si="20"/>
        <v>Vladimir – Tkalec</v>
      </c>
      <c r="N437" s="103"/>
      <c r="O437" s="104"/>
      <c r="P437" s="105"/>
    </row>
    <row r="438" spans="2:16" x14ac:dyDescent="0.25">
      <c r="B438" s="103">
        <v>1308</v>
      </c>
      <c r="C438" s="104" t="s">
        <v>820</v>
      </c>
      <c r="D438" s="104" t="s">
        <v>4026</v>
      </c>
      <c r="E438" s="104" t="s">
        <v>3729</v>
      </c>
      <c r="F438" s="105"/>
      <c r="H438" s="45" t="str">
        <f t="shared" si="18"/>
        <v>Noa – Turk – OK Međimurje</v>
      </c>
      <c r="J438" s="45" t="str">
        <f t="shared" si="19"/>
        <v>Noa – Turk – OK Međimurje</v>
      </c>
      <c r="L438" s="45" t="str">
        <f t="shared" si="20"/>
        <v>Noa – Turk</v>
      </c>
      <c r="N438" s="103"/>
      <c r="O438" s="104"/>
      <c r="P438" s="105"/>
    </row>
    <row r="439" spans="2:16" x14ac:dyDescent="0.25">
      <c r="B439" s="103">
        <v>1527</v>
      </c>
      <c r="C439" s="104" t="s">
        <v>2601</v>
      </c>
      <c r="D439" s="104" t="s">
        <v>4026</v>
      </c>
      <c r="E439" s="104" t="s">
        <v>3729</v>
      </c>
      <c r="F439" s="105"/>
      <c r="H439" s="45" t="str">
        <f t="shared" si="18"/>
        <v>Petra – Turk – OK Međimurje</v>
      </c>
      <c r="J439" s="45" t="str">
        <f t="shared" si="19"/>
        <v>Petra – Turk – OK Međimurje</v>
      </c>
      <c r="L439" s="45" t="str">
        <f t="shared" si="20"/>
        <v>Petra – Turk</v>
      </c>
      <c r="N439" s="103"/>
      <c r="O439" s="104"/>
      <c r="P439" s="105"/>
    </row>
    <row r="440" spans="2:16" x14ac:dyDescent="0.25">
      <c r="B440" s="103">
        <v>1246</v>
      </c>
      <c r="C440" s="104" t="s">
        <v>4027</v>
      </c>
      <c r="D440" s="104" t="s">
        <v>4028</v>
      </c>
      <c r="E440" s="104" t="s">
        <v>3729</v>
      </c>
      <c r="F440" s="105"/>
      <c r="H440" s="45" t="str">
        <f t="shared" si="18"/>
        <v>Emerik – Večerić – OK Međimurje</v>
      </c>
      <c r="J440" s="45" t="str">
        <f t="shared" si="19"/>
        <v>Emerik – Večerić – OK Međimurje</v>
      </c>
      <c r="L440" s="45" t="str">
        <f t="shared" si="20"/>
        <v>Emerik – Večerić</v>
      </c>
      <c r="N440" s="103"/>
      <c r="O440" s="104"/>
      <c r="P440" s="105"/>
    </row>
    <row r="441" spans="2:16" x14ac:dyDescent="0.25">
      <c r="B441" s="103">
        <v>1823</v>
      </c>
      <c r="C441" s="104" t="s">
        <v>1208</v>
      </c>
      <c r="D441" s="104" t="s">
        <v>4029</v>
      </c>
      <c r="E441" s="104" t="s">
        <v>3729</v>
      </c>
      <c r="F441" s="105"/>
      <c r="H441" s="45" t="str">
        <f t="shared" si="18"/>
        <v>Branimir – Vinko – OK Međimurje</v>
      </c>
      <c r="J441" s="45" t="str">
        <f t="shared" si="19"/>
        <v>Branimir – Vinko – OK Međimurje</v>
      </c>
      <c r="L441" s="45" t="str">
        <f t="shared" si="20"/>
        <v>Branimir – Vinko</v>
      </c>
      <c r="N441" s="103"/>
      <c r="O441" s="104"/>
      <c r="P441" s="105"/>
    </row>
    <row r="442" spans="2:16" x14ac:dyDescent="0.25">
      <c r="B442" s="103">
        <v>1306</v>
      </c>
      <c r="C442" s="104" t="s">
        <v>1954</v>
      </c>
      <c r="D442" s="104" t="s">
        <v>4029</v>
      </c>
      <c r="E442" s="104" t="s">
        <v>3729</v>
      </c>
      <c r="F442" s="105" t="s">
        <v>2194</v>
      </c>
      <c r="H442" s="45" t="str">
        <f t="shared" si="18"/>
        <v>Vladimir – Vinko – OK Međimurje – M55</v>
      </c>
      <c r="J442" s="45" t="str">
        <f t="shared" si="19"/>
        <v>Vladimir – Vinko – OK Međimurje</v>
      </c>
      <c r="L442" s="45" t="str">
        <f t="shared" si="20"/>
        <v>Vladimir – Vinko</v>
      </c>
      <c r="N442" s="103"/>
      <c r="O442" s="104"/>
      <c r="P442" s="105"/>
    </row>
    <row r="443" spans="2:16" x14ac:dyDescent="0.25">
      <c r="B443" s="103">
        <v>1406</v>
      </c>
      <c r="C443" s="104" t="s">
        <v>2447</v>
      </c>
      <c r="D443" s="104" t="s">
        <v>4030</v>
      </c>
      <c r="E443" s="104" t="s">
        <v>3729</v>
      </c>
      <c r="F443" s="105"/>
      <c r="H443" s="45" t="str">
        <f t="shared" si="18"/>
        <v>Ivana – Zeljko – OK Međimurje</v>
      </c>
      <c r="J443" s="45" t="str">
        <f t="shared" si="19"/>
        <v>Ivana – Zeljko – OK Međimurje</v>
      </c>
      <c r="L443" s="45" t="str">
        <f t="shared" si="20"/>
        <v>Ivana – Zeljko</v>
      </c>
      <c r="N443" s="103"/>
      <c r="O443" s="104"/>
      <c r="P443" s="105"/>
    </row>
    <row r="444" spans="2:16" x14ac:dyDescent="0.25">
      <c r="B444" s="103">
        <v>1278</v>
      </c>
      <c r="C444" s="104" t="s">
        <v>3120</v>
      </c>
      <c r="D444" s="104" t="s">
        <v>4031</v>
      </c>
      <c r="E444" s="104" t="s">
        <v>3729</v>
      </c>
      <c r="F444" s="105"/>
      <c r="H444" s="45" t="str">
        <f t="shared" si="18"/>
        <v>Lana – Žnidarić – OK Međimurje</v>
      </c>
      <c r="J444" s="45" t="str">
        <f t="shared" si="19"/>
        <v>Lana – Žnidarić – OK Međimurje</v>
      </c>
      <c r="L444" s="45" t="str">
        <f t="shared" si="20"/>
        <v>Lana – Žnidarić</v>
      </c>
      <c r="N444" s="103"/>
      <c r="O444" s="104"/>
      <c r="P444" s="105"/>
    </row>
    <row r="445" spans="2:16" x14ac:dyDescent="0.25">
      <c r="B445" s="103">
        <v>1687</v>
      </c>
      <c r="C445" s="104" t="s">
        <v>714</v>
      </c>
      <c r="D445" s="104" t="s">
        <v>4032</v>
      </c>
      <c r="E445" s="104" t="s">
        <v>2024</v>
      </c>
      <c r="F445" s="105"/>
      <c r="H445" s="45" t="str">
        <f t="shared" si="18"/>
        <v>Borna – Bašić – OK Orion</v>
      </c>
      <c r="J445" s="45" t="str">
        <f t="shared" si="19"/>
        <v>Borna – Bašić – OK Orion</v>
      </c>
      <c r="L445" s="45" t="str">
        <f t="shared" si="20"/>
        <v>Borna – Bašić</v>
      </c>
      <c r="N445" s="103"/>
      <c r="O445" s="104"/>
      <c r="P445" s="105"/>
    </row>
    <row r="446" spans="2:16" x14ac:dyDescent="0.25">
      <c r="B446" s="103">
        <v>1684</v>
      </c>
      <c r="C446" s="104" t="s">
        <v>4033</v>
      </c>
      <c r="D446" s="104" t="s">
        <v>4032</v>
      </c>
      <c r="E446" s="104" t="s">
        <v>2024</v>
      </c>
      <c r="F446" s="105"/>
      <c r="H446" s="45" t="str">
        <f t="shared" si="18"/>
        <v>Lucia Gianna – Bašić – OK Orion</v>
      </c>
      <c r="J446" s="45" t="str">
        <f t="shared" si="19"/>
        <v>Lucia Gianna – Bašić – OK Orion</v>
      </c>
      <c r="L446" s="45" t="str">
        <f t="shared" si="20"/>
        <v>Lucia Gianna – Bašić</v>
      </c>
      <c r="N446" s="103"/>
      <c r="O446" s="104"/>
      <c r="P446" s="105"/>
    </row>
    <row r="447" spans="2:16" x14ac:dyDescent="0.25">
      <c r="B447" s="103">
        <v>1686</v>
      </c>
      <c r="C447" s="104" t="s">
        <v>869</v>
      </c>
      <c r="D447" s="104" t="s">
        <v>4034</v>
      </c>
      <c r="E447" s="104" t="s">
        <v>2024</v>
      </c>
      <c r="F447" s="105"/>
      <c r="H447" s="45" t="str">
        <f t="shared" si="18"/>
        <v>Antonio – Kralj – OK Orion</v>
      </c>
      <c r="J447" s="45" t="str">
        <f t="shared" si="19"/>
        <v>Antonio – Kralj – OK Orion</v>
      </c>
      <c r="L447" s="45" t="str">
        <f t="shared" si="20"/>
        <v>Antonio – Kralj</v>
      </c>
      <c r="N447" s="103"/>
      <c r="O447" s="104"/>
      <c r="P447" s="105"/>
    </row>
    <row r="448" spans="2:16" x14ac:dyDescent="0.25">
      <c r="B448" s="103">
        <v>1683</v>
      </c>
      <c r="C448" s="104" t="s">
        <v>2484</v>
      </c>
      <c r="D448" s="104" t="s">
        <v>4035</v>
      </c>
      <c r="E448" s="104" t="s">
        <v>2024</v>
      </c>
      <c r="F448" s="105" t="s">
        <v>3093</v>
      </c>
      <c r="H448" s="45" t="str">
        <f t="shared" si="18"/>
        <v>Iva – Renić – OK Orion – Ž21B</v>
      </c>
      <c r="J448" s="45" t="str">
        <f t="shared" si="19"/>
        <v>Iva – Renić – OK Orion</v>
      </c>
      <c r="L448" s="45" t="str">
        <f t="shared" si="20"/>
        <v>Iva – Renić</v>
      </c>
      <c r="N448" s="103"/>
      <c r="O448" s="104"/>
      <c r="P448" s="105"/>
    </row>
    <row r="449" spans="2:16" x14ac:dyDescent="0.25">
      <c r="B449" s="103">
        <v>1685</v>
      </c>
      <c r="C449" s="104" t="s">
        <v>604</v>
      </c>
      <c r="D449" s="104" t="s">
        <v>4035</v>
      </c>
      <c r="E449" s="104" t="s">
        <v>2024</v>
      </c>
      <c r="F449" s="105" t="s">
        <v>1129</v>
      </c>
      <c r="H449" s="45" t="str">
        <f t="shared" si="18"/>
        <v>Marko – Renić – OK Orion – M21B</v>
      </c>
      <c r="J449" s="45" t="str">
        <f t="shared" si="19"/>
        <v>Marko – Renić – OK Orion</v>
      </c>
      <c r="L449" s="45" t="str">
        <f t="shared" si="20"/>
        <v>Marko – Renić</v>
      </c>
      <c r="N449" s="103"/>
      <c r="O449" s="104"/>
      <c r="P449" s="105"/>
    </row>
    <row r="450" spans="2:16" x14ac:dyDescent="0.25">
      <c r="B450" s="103">
        <v>1688</v>
      </c>
      <c r="C450" s="104" t="s">
        <v>4036</v>
      </c>
      <c r="D450" s="104" t="s">
        <v>4035</v>
      </c>
      <c r="E450" s="104" t="s">
        <v>2024</v>
      </c>
      <c r="F450" s="105" t="s">
        <v>651</v>
      </c>
      <c r="H450" s="45" t="str">
        <f t="shared" si="18"/>
        <v>Niko – Renić – OK Orion – M16</v>
      </c>
      <c r="J450" s="45" t="str">
        <f t="shared" si="19"/>
        <v>Niko – Renić – OK Orion</v>
      </c>
      <c r="L450" s="45" t="str">
        <f t="shared" si="20"/>
        <v>Niko – Renić</v>
      </c>
      <c r="N450" s="103"/>
      <c r="O450" s="104"/>
      <c r="P450" s="105"/>
    </row>
    <row r="451" spans="2:16" x14ac:dyDescent="0.25">
      <c r="B451" s="103">
        <v>1680</v>
      </c>
      <c r="C451" s="104" t="s">
        <v>3233</v>
      </c>
      <c r="D451" s="104" t="s">
        <v>4035</v>
      </c>
      <c r="E451" s="104" t="s">
        <v>2024</v>
      </c>
      <c r="F451" s="105" t="s">
        <v>3442</v>
      </c>
      <c r="H451" s="45" t="str">
        <f t="shared" si="18"/>
        <v>Nikolina – Renić – OK Orion – Ž45</v>
      </c>
      <c r="J451" s="45" t="str">
        <f t="shared" si="19"/>
        <v>Nikolina – Renić – OK Orion</v>
      </c>
      <c r="L451" s="45" t="str">
        <f t="shared" si="20"/>
        <v>Nikolina – Renić</v>
      </c>
      <c r="N451" s="103"/>
      <c r="O451" s="104"/>
      <c r="P451" s="105"/>
    </row>
    <row r="452" spans="2:16" x14ac:dyDescent="0.25">
      <c r="B452" s="103">
        <v>1689</v>
      </c>
      <c r="C452" s="104" t="s">
        <v>452</v>
      </c>
      <c r="D452" s="104" t="s">
        <v>4035</v>
      </c>
      <c r="E452" s="104" t="s">
        <v>2024</v>
      </c>
      <c r="F452" s="105" t="s">
        <v>1908</v>
      </c>
      <c r="H452" s="45" t="str">
        <f t="shared" si="18"/>
        <v>Petar – Renić – OK Orion – M45</v>
      </c>
      <c r="J452" s="45" t="str">
        <f t="shared" si="19"/>
        <v>Petar – Renić – OK Orion</v>
      </c>
      <c r="L452" s="45" t="str">
        <f t="shared" si="20"/>
        <v>Petar – Renić</v>
      </c>
      <c r="N452" s="103"/>
      <c r="O452" s="104"/>
      <c r="P452" s="105"/>
    </row>
    <row r="453" spans="2:16" x14ac:dyDescent="0.25">
      <c r="B453" s="103">
        <v>1682</v>
      </c>
      <c r="C453" s="104" t="s">
        <v>4037</v>
      </c>
      <c r="D453" s="104" t="s">
        <v>2019</v>
      </c>
      <c r="E453" s="104" t="s">
        <v>2024</v>
      </c>
      <c r="F453" s="105" t="s">
        <v>1129</v>
      </c>
      <c r="H453" s="45" t="str">
        <f t="shared" si="18"/>
        <v>Antun – Tišljar – OK Orion – M21B</v>
      </c>
      <c r="J453" s="45" t="str">
        <f t="shared" si="19"/>
        <v>Antun – Tišljar – OK Orion</v>
      </c>
      <c r="L453" s="45" t="str">
        <f t="shared" si="20"/>
        <v>Antun – Tišljar</v>
      </c>
      <c r="N453" s="103"/>
      <c r="O453" s="104"/>
      <c r="P453" s="105"/>
    </row>
    <row r="454" spans="2:16" x14ac:dyDescent="0.25">
      <c r="B454" s="103">
        <v>1249</v>
      </c>
      <c r="C454" s="104" t="s">
        <v>2020</v>
      </c>
      <c r="D454" s="104" t="s">
        <v>2019</v>
      </c>
      <c r="E454" s="104" t="s">
        <v>2024</v>
      </c>
      <c r="F454" s="105" t="s">
        <v>1908</v>
      </c>
      <c r="H454" s="45" t="str">
        <f t="shared" si="18"/>
        <v>Ivo – Tišljar – OK Orion – M45</v>
      </c>
      <c r="J454" s="45" t="str">
        <f t="shared" si="19"/>
        <v>Ivo – Tišljar – OK Orion</v>
      </c>
      <c r="L454" s="45" t="str">
        <f t="shared" si="20"/>
        <v>Ivo – Tišljar</v>
      </c>
      <c r="N454" s="103"/>
      <c r="O454" s="104"/>
      <c r="P454" s="105"/>
    </row>
    <row r="455" spans="2:16" x14ac:dyDescent="0.25">
      <c r="B455" s="103">
        <v>1681</v>
      </c>
      <c r="C455" s="104" t="s">
        <v>3559</v>
      </c>
      <c r="D455" s="104" t="s">
        <v>2019</v>
      </c>
      <c r="E455" s="104" t="s">
        <v>2024</v>
      </c>
      <c r="F455" s="105" t="s">
        <v>3093</v>
      </c>
      <c r="H455" s="45" t="str">
        <f t="shared" si="18"/>
        <v>Marija – Tišljar – OK Orion – Ž21B</v>
      </c>
      <c r="J455" s="45" t="str">
        <f t="shared" si="19"/>
        <v>Marija – Tišljar – OK Orion</v>
      </c>
      <c r="L455" s="45" t="str">
        <f t="shared" si="20"/>
        <v>Marija – Tišljar</v>
      </c>
      <c r="N455" s="103"/>
      <c r="O455" s="104"/>
      <c r="P455" s="105"/>
    </row>
    <row r="456" spans="2:16" x14ac:dyDescent="0.25">
      <c r="B456" s="103">
        <v>1155</v>
      </c>
      <c r="C456" s="104" t="s">
        <v>4038</v>
      </c>
      <c r="D456" s="104" t="s">
        <v>2019</v>
      </c>
      <c r="E456" s="104" t="s">
        <v>2024</v>
      </c>
      <c r="F456" s="105" t="s">
        <v>651</v>
      </c>
      <c r="H456" s="45" t="str">
        <f t="shared" si="18"/>
        <v>Mirko – Tišljar – OK Orion – M16</v>
      </c>
      <c r="J456" s="45" t="str">
        <f t="shared" si="19"/>
        <v>Mirko – Tišljar – OK Orion</v>
      </c>
      <c r="L456" s="45" t="str">
        <f t="shared" si="20"/>
        <v>Mirko – Tišljar</v>
      </c>
      <c r="N456" s="103"/>
      <c r="O456" s="104"/>
      <c r="P456" s="105"/>
    </row>
    <row r="457" spans="2:16" x14ac:dyDescent="0.25">
      <c r="B457" s="103">
        <v>1838</v>
      </c>
      <c r="C457" s="104" t="s">
        <v>2436</v>
      </c>
      <c r="D457" s="104" t="s">
        <v>4039</v>
      </c>
      <c r="E457" s="104" t="s">
        <v>1924</v>
      </c>
      <c r="F457" s="105"/>
      <c r="H457" s="45" t="str">
        <f t="shared" si="18"/>
        <v>Ana – Grbac – OK Ris</v>
      </c>
      <c r="J457" s="45" t="str">
        <f t="shared" si="19"/>
        <v>Ana – Grbac – OK Ris</v>
      </c>
      <c r="L457" s="45" t="str">
        <f t="shared" si="20"/>
        <v>Ana – Grbac</v>
      </c>
      <c r="N457" s="103"/>
      <c r="O457" s="104"/>
      <c r="P457" s="105"/>
    </row>
    <row r="458" spans="2:16" x14ac:dyDescent="0.25">
      <c r="B458" s="103">
        <v>1827</v>
      </c>
      <c r="C458" s="104" t="s">
        <v>740</v>
      </c>
      <c r="D458" s="104" t="s">
        <v>4039</v>
      </c>
      <c r="E458" s="104" t="s">
        <v>1924</v>
      </c>
      <c r="F458" s="105"/>
      <c r="H458" s="45" t="str">
        <f t="shared" si="18"/>
        <v>Goran – Grbac – OK Ris</v>
      </c>
      <c r="J458" s="45" t="str">
        <f t="shared" si="19"/>
        <v>Goran – Grbac – OK Ris</v>
      </c>
      <c r="L458" s="45" t="str">
        <f t="shared" si="20"/>
        <v>Goran – Grbac</v>
      </c>
      <c r="N458" s="103"/>
      <c r="O458" s="104"/>
      <c r="P458" s="105"/>
    </row>
    <row r="459" spans="2:16" x14ac:dyDescent="0.25">
      <c r="B459" s="103">
        <v>1830</v>
      </c>
      <c r="C459" s="104" t="s">
        <v>4040</v>
      </c>
      <c r="D459" s="104" t="s">
        <v>1496</v>
      </c>
      <c r="E459" s="104" t="s">
        <v>1924</v>
      </c>
      <c r="F459" s="105"/>
      <c r="H459" s="45" t="str">
        <f t="shared" ref="H459:H522" si="21">IF(C459="","",C459) &amp; IF(D459="",""," – " &amp; D459) &amp; IF(E459="",""," – " &amp; E459) &amp; IF(F459="",""," – " &amp; F459)</f>
        <v>Toni – Nikola – OK Ris</v>
      </c>
      <c r="J459" s="45" t="str">
        <f t="shared" ref="J459:J522" si="22">IF(C459="","",C459) &amp; IF(D459="",""," – " &amp; D459) &amp; IF(E459="",""," – " &amp; E459)</f>
        <v>Toni – Nikola – OK Ris</v>
      </c>
      <c r="L459" s="45" t="str">
        <f t="shared" ref="L459:L522" si="23">IF(C459="","",C459) &amp; IF(D459="",""," – " &amp; D459)</f>
        <v>Toni – Nikola</v>
      </c>
      <c r="N459" s="103"/>
      <c r="O459" s="104"/>
      <c r="P459" s="105"/>
    </row>
    <row r="460" spans="2:16" x14ac:dyDescent="0.25">
      <c r="B460" s="103">
        <v>1966</v>
      </c>
      <c r="C460" s="104" t="s">
        <v>2924</v>
      </c>
      <c r="D460" s="104" t="s">
        <v>1920</v>
      </c>
      <c r="E460" s="104" t="s">
        <v>1924</v>
      </c>
      <c r="F460" s="105"/>
      <c r="H460" s="45" t="str">
        <f t="shared" si="21"/>
        <v>Dorja – Salopek – OK Ris</v>
      </c>
      <c r="J460" s="45" t="str">
        <f t="shared" si="22"/>
        <v>Dorja – Salopek – OK Ris</v>
      </c>
      <c r="L460" s="45" t="str">
        <f t="shared" si="23"/>
        <v>Dorja – Salopek</v>
      </c>
      <c r="N460" s="103"/>
      <c r="O460" s="104"/>
      <c r="P460" s="105"/>
    </row>
    <row r="461" spans="2:16" x14ac:dyDescent="0.25">
      <c r="B461" s="103">
        <v>1835</v>
      </c>
      <c r="C461" s="104" t="s">
        <v>1305</v>
      </c>
      <c r="D461" s="104" t="s">
        <v>1920</v>
      </c>
      <c r="E461" s="104" t="s">
        <v>1924</v>
      </c>
      <c r="F461" s="105"/>
      <c r="H461" s="45" t="str">
        <f t="shared" si="21"/>
        <v>Tihomir – Salopek – OK Ris</v>
      </c>
      <c r="J461" s="45" t="str">
        <f t="shared" si="22"/>
        <v>Tihomir – Salopek – OK Ris</v>
      </c>
      <c r="L461" s="45" t="str">
        <f t="shared" si="23"/>
        <v>Tihomir – Salopek</v>
      </c>
      <c r="N461" s="103"/>
      <c r="O461" s="104"/>
      <c r="P461" s="105"/>
    </row>
    <row r="462" spans="2:16" x14ac:dyDescent="0.25">
      <c r="B462" s="103">
        <v>1832</v>
      </c>
      <c r="C462" s="104" t="s">
        <v>4041</v>
      </c>
      <c r="D462" s="104" t="s">
        <v>1920</v>
      </c>
      <c r="E462" s="104" t="s">
        <v>1924</v>
      </c>
      <c r="F462" s="105"/>
      <c r="H462" s="45" t="str">
        <f t="shared" si="21"/>
        <v>Tihon – Salopek – OK Ris</v>
      </c>
      <c r="J462" s="45" t="str">
        <f t="shared" si="22"/>
        <v>Tihon – Salopek – OK Ris</v>
      </c>
      <c r="L462" s="45" t="str">
        <f t="shared" si="23"/>
        <v>Tihon – Salopek</v>
      </c>
      <c r="N462" s="103"/>
      <c r="O462" s="104"/>
      <c r="P462" s="105"/>
    </row>
    <row r="463" spans="2:16" x14ac:dyDescent="0.25">
      <c r="B463" s="103">
        <v>1833</v>
      </c>
      <c r="C463" s="104" t="s">
        <v>3992</v>
      </c>
      <c r="D463" s="104" t="s">
        <v>4042</v>
      </c>
      <c r="E463" s="104" t="s">
        <v>1924</v>
      </c>
      <c r="F463" s="105"/>
      <c r="H463" s="45" t="str">
        <f t="shared" si="21"/>
        <v>Andrej – Šubat – OK Ris</v>
      </c>
      <c r="J463" s="45" t="str">
        <f t="shared" si="22"/>
        <v>Andrej – Šubat – OK Ris</v>
      </c>
      <c r="L463" s="45" t="str">
        <f t="shared" si="23"/>
        <v>Andrej – Šubat</v>
      </c>
      <c r="N463" s="103"/>
      <c r="O463" s="104"/>
      <c r="P463" s="105"/>
    </row>
    <row r="464" spans="2:16" x14ac:dyDescent="0.25">
      <c r="B464" s="103">
        <v>1831</v>
      </c>
      <c r="C464" s="104" t="s">
        <v>4043</v>
      </c>
      <c r="D464" s="104" t="s">
        <v>4044</v>
      </c>
      <c r="E464" s="104" t="s">
        <v>1924</v>
      </c>
      <c r="F464" s="105"/>
      <c r="H464" s="45" t="str">
        <f t="shared" si="21"/>
        <v>Patricija – Urbanc – OK Ris</v>
      </c>
      <c r="J464" s="45" t="str">
        <f t="shared" si="22"/>
        <v>Patricija – Urbanc – OK Ris</v>
      </c>
      <c r="L464" s="45" t="str">
        <f t="shared" si="23"/>
        <v>Patricija – Urbanc</v>
      </c>
      <c r="N464" s="103"/>
      <c r="O464" s="104"/>
      <c r="P464" s="105"/>
    </row>
    <row r="465" spans="2:16" x14ac:dyDescent="0.25">
      <c r="B465" s="103">
        <v>1634</v>
      </c>
      <c r="C465" s="104" t="s">
        <v>2436</v>
      </c>
      <c r="D465" s="104" t="s">
        <v>4045</v>
      </c>
      <c r="E465" s="104" t="s">
        <v>3730</v>
      </c>
      <c r="F465" s="105" t="s">
        <v>2927</v>
      </c>
      <c r="H465" s="45" t="str">
        <f t="shared" si="21"/>
        <v>Ana – Balaban – OK Sova – Ž20</v>
      </c>
      <c r="J465" s="45" t="str">
        <f t="shared" si="22"/>
        <v>Ana – Balaban – OK Sova</v>
      </c>
      <c r="L465" s="45" t="str">
        <f t="shared" si="23"/>
        <v>Ana – Balaban</v>
      </c>
      <c r="N465" s="103"/>
      <c r="O465" s="104"/>
      <c r="P465" s="105"/>
    </row>
    <row r="466" spans="2:16" x14ac:dyDescent="0.25">
      <c r="B466" s="103">
        <v>1632</v>
      </c>
      <c r="C466" s="104" t="s">
        <v>2484</v>
      </c>
      <c r="D466" s="104" t="s">
        <v>4045</v>
      </c>
      <c r="E466" s="104" t="s">
        <v>3730</v>
      </c>
      <c r="F466" s="105" t="s">
        <v>2765</v>
      </c>
      <c r="H466" s="45" t="str">
        <f t="shared" si="21"/>
        <v>Iva – Balaban – OK Sova – Ž16</v>
      </c>
      <c r="J466" s="45" t="str">
        <f t="shared" si="22"/>
        <v>Iva – Balaban – OK Sova</v>
      </c>
      <c r="L466" s="45" t="str">
        <f t="shared" si="23"/>
        <v>Iva – Balaban</v>
      </c>
      <c r="N466" s="103"/>
      <c r="O466" s="104"/>
      <c r="P466" s="105"/>
    </row>
    <row r="467" spans="2:16" x14ac:dyDescent="0.25">
      <c r="B467" s="103">
        <v>1731</v>
      </c>
      <c r="C467" s="104" t="s">
        <v>4046</v>
      </c>
      <c r="D467" s="104" t="s">
        <v>4047</v>
      </c>
      <c r="E467" s="104" t="s">
        <v>3730</v>
      </c>
      <c r="F467" s="105"/>
      <c r="H467" s="45" t="str">
        <f t="shared" si="21"/>
        <v>Silvija – Balent – OK Sova</v>
      </c>
      <c r="J467" s="45" t="str">
        <f t="shared" si="22"/>
        <v>Silvija – Balent – OK Sova</v>
      </c>
      <c r="L467" s="45" t="str">
        <f t="shared" si="23"/>
        <v>Silvija – Balent</v>
      </c>
      <c r="N467" s="103"/>
      <c r="O467" s="104"/>
      <c r="P467" s="105"/>
    </row>
    <row r="468" spans="2:16" x14ac:dyDescent="0.25">
      <c r="B468" s="103">
        <v>1743</v>
      </c>
      <c r="C468" s="104" t="s">
        <v>2484</v>
      </c>
      <c r="D468" s="104" t="s">
        <v>4048</v>
      </c>
      <c r="E468" s="104" t="s">
        <v>3730</v>
      </c>
      <c r="F468" s="105"/>
      <c r="H468" s="45" t="str">
        <f t="shared" si="21"/>
        <v>Iva – Baržić – OK Sova</v>
      </c>
      <c r="J468" s="45" t="str">
        <f t="shared" si="22"/>
        <v>Iva – Baržić – OK Sova</v>
      </c>
      <c r="L468" s="45" t="str">
        <f t="shared" si="23"/>
        <v>Iva – Baržić</v>
      </c>
      <c r="N468" s="103"/>
      <c r="O468" s="104"/>
      <c r="P468" s="105"/>
    </row>
    <row r="469" spans="2:16" x14ac:dyDescent="0.25">
      <c r="B469" s="103">
        <v>1738</v>
      </c>
      <c r="C469" s="104" t="s">
        <v>1496</v>
      </c>
      <c r="D469" s="104" t="s">
        <v>4049</v>
      </c>
      <c r="E469" s="104" t="s">
        <v>3730</v>
      </c>
      <c r="F469" s="105"/>
      <c r="H469" s="45" t="str">
        <f t="shared" si="21"/>
        <v>Nikola – Bićanić – OK Sova</v>
      </c>
      <c r="J469" s="45" t="str">
        <f t="shared" si="22"/>
        <v>Nikola – Bićanić – OK Sova</v>
      </c>
      <c r="L469" s="45" t="str">
        <f t="shared" si="23"/>
        <v>Nikola – Bićanić</v>
      </c>
      <c r="N469" s="103"/>
      <c r="O469" s="104"/>
      <c r="P469" s="105"/>
    </row>
    <row r="470" spans="2:16" x14ac:dyDescent="0.25">
      <c r="B470" s="103">
        <v>1839</v>
      </c>
      <c r="C470" s="104" t="s">
        <v>404</v>
      </c>
      <c r="D470" s="104" t="s">
        <v>4050</v>
      </c>
      <c r="E470" s="104" t="s">
        <v>3730</v>
      </c>
      <c r="F470" s="105" t="s">
        <v>1129</v>
      </c>
      <c r="H470" s="45" t="str">
        <f t="shared" si="21"/>
        <v>Mario – Bilandžija – OK Sova – M21B</v>
      </c>
      <c r="J470" s="45" t="str">
        <f t="shared" si="22"/>
        <v>Mario – Bilandžija – OK Sova</v>
      </c>
      <c r="L470" s="45" t="str">
        <f t="shared" si="23"/>
        <v>Mario – Bilandžija</v>
      </c>
      <c r="N470" s="103"/>
      <c r="O470" s="104"/>
      <c r="P470" s="105"/>
    </row>
    <row r="471" spans="2:16" x14ac:dyDescent="0.25">
      <c r="B471" s="103">
        <v>1594</v>
      </c>
      <c r="C471" s="104" t="s">
        <v>3992</v>
      </c>
      <c r="D471" s="104" t="s">
        <v>4051</v>
      </c>
      <c r="E471" s="104" t="s">
        <v>3730</v>
      </c>
      <c r="F471" s="105" t="s">
        <v>1129</v>
      </c>
      <c r="H471" s="45" t="str">
        <f t="shared" si="21"/>
        <v>Andrej – Biro – OK Sova – M21B</v>
      </c>
      <c r="J471" s="45" t="str">
        <f t="shared" si="22"/>
        <v>Andrej – Biro – OK Sova</v>
      </c>
      <c r="L471" s="45" t="str">
        <f t="shared" si="23"/>
        <v>Andrej – Biro</v>
      </c>
      <c r="N471" s="103"/>
      <c r="O471" s="104"/>
      <c r="P471" s="105"/>
    </row>
    <row r="472" spans="2:16" x14ac:dyDescent="0.25">
      <c r="B472" s="103">
        <v>1636</v>
      </c>
      <c r="C472" s="104" t="s">
        <v>4052</v>
      </c>
      <c r="D472" s="104" t="s">
        <v>4053</v>
      </c>
      <c r="E472" s="104" t="s">
        <v>3730</v>
      </c>
      <c r="F472" s="105" t="s">
        <v>1129</v>
      </c>
      <c r="H472" s="45" t="str">
        <f t="shared" si="21"/>
        <v>Mateo – Bojo – OK Sova – M21B</v>
      </c>
      <c r="J472" s="45" t="str">
        <f t="shared" si="22"/>
        <v>Mateo – Bojo – OK Sova</v>
      </c>
      <c r="L472" s="45" t="str">
        <f t="shared" si="23"/>
        <v>Mateo – Bojo</v>
      </c>
      <c r="N472" s="103"/>
      <c r="O472" s="104"/>
      <c r="P472" s="105"/>
    </row>
    <row r="473" spans="2:16" x14ac:dyDescent="0.25">
      <c r="B473" s="103">
        <v>1736</v>
      </c>
      <c r="C473" s="104" t="s">
        <v>4054</v>
      </c>
      <c r="D473" s="104" t="s">
        <v>4055</v>
      </c>
      <c r="E473" s="104" t="s">
        <v>3730</v>
      </c>
      <c r="F473" s="105"/>
      <c r="H473" s="45" t="str">
        <f t="shared" si="21"/>
        <v>Sven – Brkanić – OK Sova</v>
      </c>
      <c r="J473" s="45" t="str">
        <f t="shared" si="22"/>
        <v>Sven – Brkanić – OK Sova</v>
      </c>
      <c r="L473" s="45" t="str">
        <f t="shared" si="23"/>
        <v>Sven – Brkanić</v>
      </c>
      <c r="N473" s="103"/>
      <c r="O473" s="104"/>
      <c r="P473" s="105"/>
    </row>
    <row r="474" spans="2:16" x14ac:dyDescent="0.25">
      <c r="B474" s="103">
        <v>1651</v>
      </c>
      <c r="C474" s="104" t="s">
        <v>4056</v>
      </c>
      <c r="D474" s="104" t="s">
        <v>4057</v>
      </c>
      <c r="E474" s="104" t="s">
        <v>3730</v>
      </c>
      <c r="F474" s="105" t="s">
        <v>3093</v>
      </c>
      <c r="H474" s="45" t="str">
        <f t="shared" si="21"/>
        <v>Diana – Buzov – OK Sova – Ž21B</v>
      </c>
      <c r="J474" s="45" t="str">
        <f t="shared" si="22"/>
        <v>Diana – Buzov – OK Sova</v>
      </c>
      <c r="L474" s="45" t="str">
        <f t="shared" si="23"/>
        <v>Diana – Buzov</v>
      </c>
      <c r="N474" s="103"/>
      <c r="O474" s="104"/>
      <c r="P474" s="105"/>
    </row>
    <row r="475" spans="2:16" x14ac:dyDescent="0.25">
      <c r="B475" s="103">
        <v>1648</v>
      </c>
      <c r="C475" s="104" t="s">
        <v>3954</v>
      </c>
      <c r="D475" s="104" t="s">
        <v>4058</v>
      </c>
      <c r="E475" s="104" t="s">
        <v>3730</v>
      </c>
      <c r="F475" s="105" t="s">
        <v>3000</v>
      </c>
      <c r="H475" s="45" t="str">
        <f t="shared" si="21"/>
        <v>Marijana – Čerkezović – OK Sova – Ž21A</v>
      </c>
      <c r="J475" s="45" t="str">
        <f t="shared" si="22"/>
        <v>Marijana – Čerkezović – OK Sova</v>
      </c>
      <c r="L475" s="45" t="str">
        <f t="shared" si="23"/>
        <v>Marijana – Čerkezović</v>
      </c>
      <c r="N475" s="103"/>
      <c r="O475" s="104"/>
      <c r="P475" s="105"/>
    </row>
    <row r="476" spans="2:16" x14ac:dyDescent="0.25">
      <c r="B476" s="103">
        <v>1740</v>
      </c>
      <c r="C476" s="104" t="s">
        <v>4059</v>
      </c>
      <c r="D476" s="104" t="s">
        <v>4060</v>
      </c>
      <c r="E476" s="104" t="s">
        <v>3730</v>
      </c>
      <c r="F476" s="105"/>
      <c r="H476" s="45" t="str">
        <f t="shared" si="21"/>
        <v>Manuela – Crnković – OK Sova</v>
      </c>
      <c r="J476" s="45" t="str">
        <f t="shared" si="22"/>
        <v>Manuela – Crnković – OK Sova</v>
      </c>
      <c r="L476" s="45" t="str">
        <f t="shared" si="23"/>
        <v>Manuela – Crnković</v>
      </c>
      <c r="N476" s="103"/>
      <c r="O476" s="104"/>
      <c r="P476" s="105"/>
    </row>
    <row r="477" spans="2:16" x14ac:dyDescent="0.25">
      <c r="B477" s="103">
        <v>1570</v>
      </c>
      <c r="C477" s="104" t="s">
        <v>4061</v>
      </c>
      <c r="D477" s="104" t="s">
        <v>4062</v>
      </c>
      <c r="E477" s="104" t="s">
        <v>3730</v>
      </c>
      <c r="F477" s="105" t="s">
        <v>1129</v>
      </c>
      <c r="H477" s="45" t="str">
        <f t="shared" si="21"/>
        <v>Nebojša – Čubra – OK Sova – M21B</v>
      </c>
      <c r="J477" s="45" t="str">
        <f t="shared" si="22"/>
        <v>Nebojša – Čubra – OK Sova</v>
      </c>
      <c r="L477" s="45" t="str">
        <f t="shared" si="23"/>
        <v>Nebojša – Čubra</v>
      </c>
      <c r="N477" s="103"/>
      <c r="O477" s="104"/>
      <c r="P477" s="105"/>
    </row>
    <row r="478" spans="2:16" x14ac:dyDescent="0.25">
      <c r="B478" s="103">
        <v>1735</v>
      </c>
      <c r="C478" s="104" t="s">
        <v>1028</v>
      </c>
      <c r="D478" s="104" t="s">
        <v>4063</v>
      </c>
      <c r="E478" s="104" t="s">
        <v>3730</v>
      </c>
      <c r="F478" s="105"/>
      <c r="H478" s="45" t="str">
        <f t="shared" si="21"/>
        <v>Tomislav – Čulina – OK Sova</v>
      </c>
      <c r="J478" s="45" t="str">
        <f t="shared" si="22"/>
        <v>Tomislav – Čulina – OK Sova</v>
      </c>
      <c r="L478" s="45" t="str">
        <f t="shared" si="23"/>
        <v>Tomislav – Čulina</v>
      </c>
      <c r="N478" s="103"/>
      <c r="O478" s="104"/>
      <c r="P478" s="105"/>
    </row>
    <row r="479" spans="2:16" x14ac:dyDescent="0.25">
      <c r="B479" s="103">
        <v>1588</v>
      </c>
      <c r="C479" s="104" t="s">
        <v>437</v>
      </c>
      <c r="D479" s="104" t="s">
        <v>4064</v>
      </c>
      <c r="E479" s="104" t="s">
        <v>3730</v>
      </c>
      <c r="F479" s="105" t="s">
        <v>1129</v>
      </c>
      <c r="H479" s="45" t="str">
        <f t="shared" si="21"/>
        <v>Ivan – Čurić – OK Sova – M21B</v>
      </c>
      <c r="J479" s="45" t="str">
        <f t="shared" si="22"/>
        <v>Ivan – Čurić – OK Sova</v>
      </c>
      <c r="L479" s="45" t="str">
        <f t="shared" si="23"/>
        <v>Ivan – Čurić</v>
      </c>
      <c r="N479" s="103"/>
      <c r="O479" s="104"/>
      <c r="P479" s="105"/>
    </row>
    <row r="480" spans="2:16" x14ac:dyDescent="0.25">
      <c r="B480" s="103">
        <v>1732</v>
      </c>
      <c r="C480" s="104" t="s">
        <v>2510</v>
      </c>
      <c r="D480" s="104" t="s">
        <v>4065</v>
      </c>
      <c r="E480" s="104" t="s">
        <v>3730</v>
      </c>
      <c r="F480" s="105"/>
      <c r="H480" s="45" t="str">
        <f t="shared" si="21"/>
        <v>Antonija – Damjanović – OK Sova</v>
      </c>
      <c r="J480" s="45" t="str">
        <f t="shared" si="22"/>
        <v>Antonija – Damjanović – OK Sova</v>
      </c>
      <c r="L480" s="45" t="str">
        <f t="shared" si="23"/>
        <v>Antonija – Damjanović</v>
      </c>
      <c r="N480" s="103"/>
      <c r="O480" s="104"/>
      <c r="P480" s="105"/>
    </row>
    <row r="481" spans="2:16" x14ac:dyDescent="0.25">
      <c r="B481" s="103">
        <v>1640</v>
      </c>
      <c r="C481" s="104" t="s">
        <v>3918</v>
      </c>
      <c r="D481" s="104" t="s">
        <v>4066</v>
      </c>
      <c r="E481" s="104" t="s">
        <v>3730</v>
      </c>
      <c r="F481" s="105"/>
      <c r="H481" s="45" t="str">
        <f t="shared" si="21"/>
        <v>Tamara – Filipović – OK Sova</v>
      </c>
      <c r="J481" s="45" t="str">
        <f t="shared" si="22"/>
        <v>Tamara – Filipović – OK Sova</v>
      </c>
      <c r="L481" s="45" t="str">
        <f t="shared" si="23"/>
        <v>Tamara – Filipović</v>
      </c>
      <c r="N481" s="103"/>
      <c r="O481" s="104"/>
      <c r="P481" s="105"/>
    </row>
    <row r="482" spans="2:16" x14ac:dyDescent="0.25">
      <c r="B482" s="103">
        <v>1604</v>
      </c>
      <c r="C482" s="104" t="s">
        <v>404</v>
      </c>
      <c r="D482" s="104" t="s">
        <v>4067</v>
      </c>
      <c r="E482" s="104" t="s">
        <v>3730</v>
      </c>
      <c r="F482" s="105" t="s">
        <v>1129</v>
      </c>
      <c r="H482" s="45" t="str">
        <f t="shared" si="21"/>
        <v>Mario – Gabrić – OK Sova – M21B</v>
      </c>
      <c r="J482" s="45" t="str">
        <f t="shared" si="22"/>
        <v>Mario – Gabrić – OK Sova</v>
      </c>
      <c r="L482" s="45" t="str">
        <f t="shared" si="23"/>
        <v>Mario – Gabrić</v>
      </c>
      <c r="N482" s="103"/>
      <c r="O482" s="104"/>
      <c r="P482" s="105"/>
    </row>
    <row r="483" spans="2:16" x14ac:dyDescent="0.25">
      <c r="B483" s="103">
        <v>1603</v>
      </c>
      <c r="C483" s="104" t="s">
        <v>404</v>
      </c>
      <c r="D483" s="104" t="s">
        <v>4068</v>
      </c>
      <c r="E483" s="104" t="s">
        <v>3730</v>
      </c>
      <c r="F483" s="105" t="s">
        <v>1574</v>
      </c>
      <c r="H483" s="45" t="str">
        <f t="shared" si="21"/>
        <v>Mario – Gotal – OK Sova – M35</v>
      </c>
      <c r="J483" s="45" t="str">
        <f t="shared" si="22"/>
        <v>Mario – Gotal – OK Sova</v>
      </c>
      <c r="L483" s="45" t="str">
        <f t="shared" si="23"/>
        <v>Mario – Gotal</v>
      </c>
      <c r="N483" s="103"/>
      <c r="O483" s="104"/>
      <c r="P483" s="105"/>
    </row>
    <row r="484" spans="2:16" x14ac:dyDescent="0.25">
      <c r="B484" s="103">
        <v>1639</v>
      </c>
      <c r="C484" s="104" t="s">
        <v>1482</v>
      </c>
      <c r="D484" s="104" t="s">
        <v>4069</v>
      </c>
      <c r="E484" s="104" t="s">
        <v>3730</v>
      </c>
      <c r="F484" s="105" t="s">
        <v>1129</v>
      </c>
      <c r="H484" s="45" t="str">
        <f t="shared" si="21"/>
        <v>Hrvoje – Grginov – OK Sova – M21B</v>
      </c>
      <c r="J484" s="45" t="str">
        <f t="shared" si="22"/>
        <v>Hrvoje – Grginov – OK Sova</v>
      </c>
      <c r="L484" s="45" t="str">
        <f t="shared" si="23"/>
        <v>Hrvoje – Grginov</v>
      </c>
      <c r="N484" s="103"/>
      <c r="O484" s="104"/>
      <c r="P484" s="105"/>
    </row>
    <row r="485" spans="2:16" x14ac:dyDescent="0.25">
      <c r="B485" s="103">
        <v>1635</v>
      </c>
      <c r="C485" s="104" t="s">
        <v>508</v>
      </c>
      <c r="D485" s="104" t="s">
        <v>4070</v>
      </c>
      <c r="E485" s="104" t="s">
        <v>3730</v>
      </c>
      <c r="F485" s="105" t="s">
        <v>1129</v>
      </c>
      <c r="H485" s="45" t="str">
        <f t="shared" si="21"/>
        <v>Luka – Ivković – OK Sova – M21B</v>
      </c>
      <c r="J485" s="45" t="str">
        <f t="shared" si="22"/>
        <v>Luka – Ivković – OK Sova</v>
      </c>
      <c r="L485" s="45" t="str">
        <f t="shared" si="23"/>
        <v>Luka – Ivković</v>
      </c>
      <c r="N485" s="103"/>
      <c r="O485" s="104"/>
      <c r="P485" s="105"/>
    </row>
    <row r="486" spans="2:16" x14ac:dyDescent="0.25">
      <c r="B486" s="103">
        <v>1631</v>
      </c>
      <c r="C486" s="104" t="s">
        <v>2633</v>
      </c>
      <c r="D486" s="104" t="s">
        <v>4070</v>
      </c>
      <c r="E486" s="104" t="s">
        <v>3730</v>
      </c>
      <c r="F486" s="105" t="s">
        <v>3000</v>
      </c>
      <c r="H486" s="45" t="str">
        <f t="shared" si="21"/>
        <v>Sara – Ivković – OK Sova – Ž21A</v>
      </c>
      <c r="J486" s="45" t="str">
        <f t="shared" si="22"/>
        <v>Sara – Ivković – OK Sova</v>
      </c>
      <c r="L486" s="45" t="str">
        <f t="shared" si="23"/>
        <v>Sara – Ivković</v>
      </c>
      <c r="N486" s="103"/>
      <c r="O486" s="104"/>
      <c r="P486" s="105"/>
    </row>
    <row r="487" spans="2:16" x14ac:dyDescent="0.25">
      <c r="B487" s="103">
        <v>1616</v>
      </c>
      <c r="C487" s="104" t="s">
        <v>437</v>
      </c>
      <c r="D487" s="104" t="s">
        <v>4071</v>
      </c>
      <c r="E487" s="104" t="s">
        <v>3730</v>
      </c>
      <c r="F487" s="105" t="s">
        <v>1129</v>
      </c>
      <c r="H487" s="45" t="str">
        <f t="shared" si="21"/>
        <v>Ivan – Jukić – OK Sova – M21B</v>
      </c>
      <c r="J487" s="45" t="str">
        <f t="shared" si="22"/>
        <v>Ivan – Jukić – OK Sova</v>
      </c>
      <c r="L487" s="45" t="str">
        <f t="shared" si="23"/>
        <v>Ivan – Jukić</v>
      </c>
      <c r="N487" s="103"/>
      <c r="O487" s="104"/>
      <c r="P487" s="105"/>
    </row>
    <row r="488" spans="2:16" x14ac:dyDescent="0.25">
      <c r="B488" s="103">
        <v>1620</v>
      </c>
      <c r="C488" s="104" t="s">
        <v>475</v>
      </c>
      <c r="D488" s="104" t="s">
        <v>4072</v>
      </c>
      <c r="E488" s="104" t="s">
        <v>3730</v>
      </c>
      <c r="F488" s="105" t="s">
        <v>1129</v>
      </c>
      <c r="H488" s="45" t="str">
        <f t="shared" si="21"/>
        <v>Jakov – Kamenicki – OK Sova – M21B</v>
      </c>
      <c r="J488" s="45" t="str">
        <f t="shared" si="22"/>
        <v>Jakov – Kamenicki – OK Sova</v>
      </c>
      <c r="L488" s="45" t="str">
        <f t="shared" si="23"/>
        <v>Jakov – Kamenicki</v>
      </c>
      <c r="N488" s="103"/>
      <c r="O488" s="104"/>
      <c r="P488" s="105"/>
    </row>
    <row r="489" spans="2:16" x14ac:dyDescent="0.25">
      <c r="B489" s="103">
        <v>1729</v>
      </c>
      <c r="C489" s="104" t="s">
        <v>1208</v>
      </c>
      <c r="D489" s="104" t="s">
        <v>4073</v>
      </c>
      <c r="E489" s="104" t="s">
        <v>3730</v>
      </c>
      <c r="F489" s="105"/>
      <c r="H489" s="45" t="str">
        <f t="shared" si="21"/>
        <v>Branimir – Kelava – OK Sova</v>
      </c>
      <c r="J489" s="45" t="str">
        <f t="shared" si="22"/>
        <v>Branimir – Kelava – OK Sova</v>
      </c>
      <c r="L489" s="45" t="str">
        <f t="shared" si="23"/>
        <v>Branimir – Kelava</v>
      </c>
      <c r="N489" s="103"/>
      <c r="O489" s="104"/>
      <c r="P489" s="105"/>
    </row>
    <row r="490" spans="2:16" x14ac:dyDescent="0.25">
      <c r="B490" s="103">
        <v>1602</v>
      </c>
      <c r="C490" s="104" t="s">
        <v>589</v>
      </c>
      <c r="D490" s="104" t="s">
        <v>4074</v>
      </c>
      <c r="E490" s="104" t="s">
        <v>3730</v>
      </c>
      <c r="F490" s="105" t="s">
        <v>651</v>
      </c>
      <c r="H490" s="45" t="str">
        <f t="shared" si="21"/>
        <v>Karlo – Kobijak – OK Sova – M16</v>
      </c>
      <c r="J490" s="45" t="str">
        <f t="shared" si="22"/>
        <v>Karlo – Kobijak – OK Sova</v>
      </c>
      <c r="L490" s="45" t="str">
        <f t="shared" si="23"/>
        <v>Karlo – Kobijak</v>
      </c>
      <c r="N490" s="103"/>
      <c r="O490" s="104"/>
      <c r="P490" s="105"/>
    </row>
    <row r="491" spans="2:16" x14ac:dyDescent="0.25">
      <c r="B491" s="103">
        <v>1647</v>
      </c>
      <c r="C491" s="104" t="s">
        <v>1662</v>
      </c>
      <c r="D491" s="104" t="s">
        <v>4075</v>
      </c>
      <c r="E491" s="104" t="s">
        <v>3730</v>
      </c>
      <c r="F491" s="105" t="s">
        <v>1129</v>
      </c>
      <c r="H491" s="45" t="str">
        <f t="shared" si="21"/>
        <v>Krunoslav – Kokoš – OK Sova – M21B</v>
      </c>
      <c r="J491" s="45" t="str">
        <f t="shared" si="22"/>
        <v>Krunoslav – Kokoš – OK Sova</v>
      </c>
      <c r="L491" s="45" t="str">
        <f t="shared" si="23"/>
        <v>Krunoslav – Kokoš</v>
      </c>
      <c r="N491" s="103"/>
      <c r="O491" s="104"/>
      <c r="P491" s="105"/>
    </row>
    <row r="492" spans="2:16" x14ac:dyDescent="0.25">
      <c r="B492" s="103">
        <v>1574</v>
      </c>
      <c r="C492" s="104" t="s">
        <v>1335</v>
      </c>
      <c r="D492" s="104" t="s">
        <v>4076</v>
      </c>
      <c r="E492" s="104" t="s">
        <v>3730</v>
      </c>
      <c r="F492" s="105" t="s">
        <v>1129</v>
      </c>
      <c r="H492" s="45" t="str">
        <f t="shared" si="21"/>
        <v>Dario – Kostrić – OK Sova – M21B</v>
      </c>
      <c r="J492" s="45" t="str">
        <f t="shared" si="22"/>
        <v>Dario – Kostrić – OK Sova</v>
      </c>
      <c r="L492" s="45" t="str">
        <f t="shared" si="23"/>
        <v>Dario – Kostrić</v>
      </c>
      <c r="N492" s="103"/>
      <c r="O492" s="104"/>
      <c r="P492" s="105"/>
    </row>
    <row r="493" spans="2:16" x14ac:dyDescent="0.25">
      <c r="B493" s="103">
        <v>1613</v>
      </c>
      <c r="C493" s="104" t="s">
        <v>2436</v>
      </c>
      <c r="D493" s="104" t="s">
        <v>3921</v>
      </c>
      <c r="E493" s="104" t="s">
        <v>3730</v>
      </c>
      <c r="F493" s="105" t="s">
        <v>3000</v>
      </c>
      <c r="H493" s="45" t="str">
        <f t="shared" si="21"/>
        <v>Ana – Kovačević – OK Sova – Ž21A</v>
      </c>
      <c r="J493" s="45" t="str">
        <f t="shared" si="22"/>
        <v>Ana – Kovačević – OK Sova</v>
      </c>
      <c r="L493" s="45" t="str">
        <f t="shared" si="23"/>
        <v>Ana – Kovačević</v>
      </c>
      <c r="N493" s="103"/>
      <c r="O493" s="104"/>
      <c r="P493" s="105"/>
    </row>
    <row r="494" spans="2:16" x14ac:dyDescent="0.25">
      <c r="B494" s="103">
        <v>1742</v>
      </c>
      <c r="C494" s="104" t="s">
        <v>604</v>
      </c>
      <c r="D494" s="104" t="s">
        <v>4077</v>
      </c>
      <c r="E494" s="104" t="s">
        <v>3730</v>
      </c>
      <c r="F494" s="105"/>
      <c r="H494" s="45" t="str">
        <f t="shared" si="21"/>
        <v>Marko – Luketić – OK Sova</v>
      </c>
      <c r="J494" s="45" t="str">
        <f t="shared" si="22"/>
        <v>Marko – Luketić – OK Sova</v>
      </c>
      <c r="L494" s="45" t="str">
        <f t="shared" si="23"/>
        <v>Marko – Luketić</v>
      </c>
      <c r="N494" s="103"/>
      <c r="O494" s="104"/>
      <c r="P494" s="105"/>
    </row>
    <row r="495" spans="2:16" x14ac:dyDescent="0.25">
      <c r="B495" s="103">
        <v>1592</v>
      </c>
      <c r="C495" s="104" t="s">
        <v>1453</v>
      </c>
      <c r="D495" s="104" t="s">
        <v>4078</v>
      </c>
      <c r="E495" s="104" t="s">
        <v>3730</v>
      </c>
      <c r="F495" s="105" t="s">
        <v>2194</v>
      </c>
      <c r="H495" s="45" t="str">
        <f t="shared" si="21"/>
        <v>Franjo – Magušić – OK Sova – M55</v>
      </c>
      <c r="J495" s="45" t="str">
        <f t="shared" si="22"/>
        <v>Franjo – Magušić – OK Sova</v>
      </c>
      <c r="L495" s="45" t="str">
        <f t="shared" si="23"/>
        <v>Franjo – Magušić</v>
      </c>
      <c r="N495" s="103"/>
      <c r="O495" s="104"/>
      <c r="P495" s="105"/>
    </row>
    <row r="496" spans="2:16" x14ac:dyDescent="0.25">
      <c r="B496" s="103">
        <v>1741</v>
      </c>
      <c r="C496" s="104" t="s">
        <v>4079</v>
      </c>
      <c r="D496" s="104" t="s">
        <v>4080</v>
      </c>
      <c r="E496" s="104" t="s">
        <v>3730</v>
      </c>
      <c r="F496" s="105"/>
      <c r="H496" s="45" t="str">
        <f t="shared" si="21"/>
        <v>Stipan – Marinčić – OK Sova</v>
      </c>
      <c r="J496" s="45" t="str">
        <f t="shared" si="22"/>
        <v>Stipan – Marinčić – OK Sova</v>
      </c>
      <c r="L496" s="45" t="str">
        <f t="shared" si="23"/>
        <v>Stipan – Marinčić</v>
      </c>
      <c r="N496" s="103"/>
      <c r="O496" s="104"/>
      <c r="P496" s="105"/>
    </row>
    <row r="497" spans="2:16" x14ac:dyDescent="0.25">
      <c r="B497" s="103">
        <v>1585</v>
      </c>
      <c r="C497" s="104" t="s">
        <v>437</v>
      </c>
      <c r="D497" s="104" t="s">
        <v>4081</v>
      </c>
      <c r="E497" s="104" t="s">
        <v>3730</v>
      </c>
      <c r="F497" s="105" t="s">
        <v>1129</v>
      </c>
      <c r="H497" s="45" t="str">
        <f t="shared" si="21"/>
        <v>Ivan – Maršić – OK Sova – M21B</v>
      </c>
      <c r="J497" s="45" t="str">
        <f t="shared" si="22"/>
        <v>Ivan – Maršić – OK Sova</v>
      </c>
      <c r="L497" s="45" t="str">
        <f t="shared" si="23"/>
        <v>Ivan – Maršić</v>
      </c>
      <c r="N497" s="103"/>
      <c r="O497" s="104"/>
      <c r="P497" s="105"/>
    </row>
    <row r="498" spans="2:16" x14ac:dyDescent="0.25">
      <c r="B498" s="103">
        <v>1728</v>
      </c>
      <c r="C498" s="104" t="s">
        <v>4082</v>
      </c>
      <c r="D498" s="104" t="s">
        <v>4083</v>
      </c>
      <c r="E498" s="104" t="s">
        <v>3730</v>
      </c>
      <c r="F498" s="105"/>
      <c r="H498" s="45" t="str">
        <f t="shared" si="21"/>
        <v>Kristina – Martinčević – OK Sova</v>
      </c>
      <c r="J498" s="45" t="str">
        <f t="shared" si="22"/>
        <v>Kristina – Martinčević – OK Sova</v>
      </c>
      <c r="L498" s="45" t="str">
        <f t="shared" si="23"/>
        <v>Kristina – Martinčević</v>
      </c>
      <c r="N498" s="103"/>
      <c r="O498" s="104"/>
      <c r="P498" s="105"/>
    </row>
    <row r="499" spans="2:16" x14ac:dyDescent="0.25">
      <c r="B499" s="103">
        <v>1599</v>
      </c>
      <c r="C499" s="104" t="s">
        <v>869</v>
      </c>
      <c r="D499" s="104" t="s">
        <v>1421</v>
      </c>
      <c r="E499" s="104" t="s">
        <v>3730</v>
      </c>
      <c r="F499" s="105" t="s">
        <v>1908</v>
      </c>
      <c r="H499" s="45" t="str">
        <f t="shared" si="21"/>
        <v>Antonio – Martinović – OK Sova – M45</v>
      </c>
      <c r="J499" s="45" t="str">
        <f t="shared" si="22"/>
        <v>Antonio – Martinović – OK Sova</v>
      </c>
      <c r="L499" s="45" t="str">
        <f t="shared" si="23"/>
        <v>Antonio – Martinović</v>
      </c>
      <c r="N499" s="103"/>
      <c r="O499" s="104"/>
      <c r="P499" s="105"/>
    </row>
    <row r="500" spans="2:16" x14ac:dyDescent="0.25">
      <c r="B500" s="103">
        <v>1583</v>
      </c>
      <c r="C500" s="104" t="s">
        <v>4084</v>
      </c>
      <c r="D500" s="104" t="s">
        <v>4085</v>
      </c>
      <c r="E500" s="104" t="s">
        <v>3730</v>
      </c>
      <c r="F500" s="105" t="s">
        <v>1129</v>
      </c>
      <c r="H500" s="45" t="str">
        <f t="shared" si="21"/>
        <v>Despot – Matijević – OK Sova – M21B</v>
      </c>
      <c r="J500" s="45" t="str">
        <f t="shared" si="22"/>
        <v>Despot – Matijević – OK Sova</v>
      </c>
      <c r="L500" s="45" t="str">
        <f t="shared" si="23"/>
        <v>Despot – Matijević</v>
      </c>
      <c r="N500" s="103"/>
      <c r="O500" s="104"/>
      <c r="P500" s="105"/>
    </row>
    <row r="501" spans="2:16" x14ac:dyDescent="0.25">
      <c r="B501" s="103">
        <v>1638</v>
      </c>
      <c r="C501" s="104" t="s">
        <v>4086</v>
      </c>
      <c r="D501" s="104" t="s">
        <v>4087</v>
      </c>
      <c r="E501" s="104" t="s">
        <v>3730</v>
      </c>
      <c r="F501" s="105" t="s">
        <v>1129</v>
      </c>
      <c r="H501" s="45" t="str">
        <f t="shared" si="21"/>
        <v>Armin – Mehinović – OK Sova – M21B</v>
      </c>
      <c r="J501" s="45" t="str">
        <f t="shared" si="22"/>
        <v>Armin – Mehinović – OK Sova</v>
      </c>
      <c r="L501" s="45" t="str">
        <f t="shared" si="23"/>
        <v>Armin – Mehinović</v>
      </c>
      <c r="N501" s="103"/>
      <c r="O501" s="104"/>
      <c r="P501" s="105"/>
    </row>
    <row r="502" spans="2:16" x14ac:dyDescent="0.25">
      <c r="B502" s="103">
        <v>1589</v>
      </c>
      <c r="C502" s="104" t="s">
        <v>4088</v>
      </c>
      <c r="D502" s="104" t="s">
        <v>4089</v>
      </c>
      <c r="E502" s="104" t="s">
        <v>3730</v>
      </c>
      <c r="F502" s="105" t="s">
        <v>3000</v>
      </c>
      <c r="H502" s="45" t="str">
        <f t="shared" si="21"/>
        <v>Nastasia – Melmajer – OK Sova – Ž21A</v>
      </c>
      <c r="J502" s="45" t="str">
        <f t="shared" si="22"/>
        <v>Nastasia – Melmajer – OK Sova</v>
      </c>
      <c r="L502" s="45" t="str">
        <f t="shared" si="23"/>
        <v>Nastasia – Melmajer</v>
      </c>
      <c r="N502" s="103"/>
      <c r="O502" s="104"/>
      <c r="P502" s="105"/>
    </row>
    <row r="503" spans="2:16" x14ac:dyDescent="0.25">
      <c r="B503" s="103">
        <v>1744</v>
      </c>
      <c r="C503" s="104" t="s">
        <v>2703</v>
      </c>
      <c r="D503" s="104" t="s">
        <v>2303</v>
      </c>
      <c r="E503" s="104" t="s">
        <v>3730</v>
      </c>
      <c r="F503" s="105"/>
      <c r="H503" s="45" t="str">
        <f t="shared" si="21"/>
        <v>Ema – Mihaljević – OK Sova</v>
      </c>
      <c r="J503" s="45" t="str">
        <f t="shared" si="22"/>
        <v>Ema – Mihaljević – OK Sova</v>
      </c>
      <c r="L503" s="45" t="str">
        <f t="shared" si="23"/>
        <v>Ema – Mihaljević</v>
      </c>
      <c r="N503" s="103"/>
      <c r="O503" s="104"/>
      <c r="P503" s="105"/>
    </row>
    <row r="504" spans="2:16" x14ac:dyDescent="0.25">
      <c r="B504" s="103">
        <v>1733</v>
      </c>
      <c r="C504" s="104" t="s">
        <v>604</v>
      </c>
      <c r="D504" s="104" t="s">
        <v>4090</v>
      </c>
      <c r="E504" s="104" t="s">
        <v>3730</v>
      </c>
      <c r="F504" s="105"/>
      <c r="H504" s="45" t="str">
        <f t="shared" si="21"/>
        <v>Marko – Mirković – OK Sova</v>
      </c>
      <c r="J504" s="45" t="str">
        <f t="shared" si="22"/>
        <v>Marko – Mirković – OK Sova</v>
      </c>
      <c r="L504" s="45" t="str">
        <f t="shared" si="23"/>
        <v>Marko – Mirković</v>
      </c>
      <c r="N504" s="103"/>
      <c r="O504" s="104"/>
      <c r="P504" s="105"/>
    </row>
    <row r="505" spans="2:16" x14ac:dyDescent="0.25">
      <c r="B505" s="103">
        <v>1612</v>
      </c>
      <c r="C505" s="104" t="s">
        <v>4091</v>
      </c>
      <c r="D505" s="104" t="s">
        <v>572</v>
      </c>
      <c r="E505" s="104" t="s">
        <v>3730</v>
      </c>
      <c r="F505" s="105" t="s">
        <v>1129</v>
      </c>
      <c r="H505" s="45" t="str">
        <f t="shared" si="21"/>
        <v>Eni – Nikolić – OK Sova – M21B</v>
      </c>
      <c r="J505" s="45" t="str">
        <f t="shared" si="22"/>
        <v>Eni – Nikolić – OK Sova</v>
      </c>
      <c r="L505" s="45" t="str">
        <f t="shared" si="23"/>
        <v>Eni – Nikolić</v>
      </c>
      <c r="N505" s="103"/>
      <c r="O505" s="104"/>
      <c r="P505" s="105"/>
    </row>
    <row r="506" spans="2:16" x14ac:dyDescent="0.25">
      <c r="B506" s="103">
        <v>1622</v>
      </c>
      <c r="C506" s="104" t="s">
        <v>4092</v>
      </c>
      <c r="D506" s="104" t="s">
        <v>4093</v>
      </c>
      <c r="E506" s="104" t="s">
        <v>3730</v>
      </c>
      <c r="F506" s="105" t="s">
        <v>3264</v>
      </c>
      <c r="H506" s="45" t="str">
        <f t="shared" si="21"/>
        <v>Dolores – Pajčin – OK Sova – Ž35</v>
      </c>
      <c r="J506" s="45" t="str">
        <f t="shared" si="22"/>
        <v>Dolores – Pajčin – OK Sova</v>
      </c>
      <c r="L506" s="45" t="str">
        <f t="shared" si="23"/>
        <v>Dolores – Pajčin</v>
      </c>
      <c r="N506" s="103"/>
      <c r="O506" s="104"/>
      <c r="P506" s="105"/>
    </row>
    <row r="507" spans="2:16" x14ac:dyDescent="0.25">
      <c r="B507" s="103">
        <v>1606</v>
      </c>
      <c r="C507" s="104" t="s">
        <v>3120</v>
      </c>
      <c r="D507" s="104" t="s">
        <v>4093</v>
      </c>
      <c r="E507" s="104" t="s">
        <v>3730</v>
      </c>
      <c r="F507" s="105" t="s">
        <v>2927</v>
      </c>
      <c r="H507" s="45" t="str">
        <f t="shared" si="21"/>
        <v>Lana – Pajčin – OK Sova – Ž20</v>
      </c>
      <c r="J507" s="45" t="str">
        <f t="shared" si="22"/>
        <v>Lana – Pajčin – OK Sova</v>
      </c>
      <c r="L507" s="45" t="str">
        <f t="shared" si="23"/>
        <v>Lana – Pajčin</v>
      </c>
      <c r="N507" s="103"/>
      <c r="O507" s="104"/>
      <c r="P507" s="105"/>
    </row>
    <row r="508" spans="2:16" x14ac:dyDescent="0.25">
      <c r="B508" s="103">
        <v>1642</v>
      </c>
      <c r="C508" s="104" t="s">
        <v>1496</v>
      </c>
      <c r="D508" s="104" t="s">
        <v>4093</v>
      </c>
      <c r="E508" s="104" t="s">
        <v>3730</v>
      </c>
      <c r="F508" s="105" t="s">
        <v>1129</v>
      </c>
      <c r="H508" s="45" t="str">
        <f t="shared" si="21"/>
        <v>Nikola – Pajčin – OK Sova – M21B</v>
      </c>
      <c r="J508" s="45" t="str">
        <f t="shared" si="22"/>
        <v>Nikola – Pajčin – OK Sova</v>
      </c>
      <c r="L508" s="45" t="str">
        <f t="shared" si="23"/>
        <v>Nikola – Pajčin</v>
      </c>
      <c r="N508" s="103"/>
      <c r="O508" s="104"/>
      <c r="P508" s="105"/>
    </row>
    <row r="509" spans="2:16" x14ac:dyDescent="0.25">
      <c r="B509" s="103">
        <v>1734</v>
      </c>
      <c r="C509" s="104" t="s">
        <v>437</v>
      </c>
      <c r="D509" s="104" t="s">
        <v>4094</v>
      </c>
      <c r="E509" s="104" t="s">
        <v>3730</v>
      </c>
      <c r="F509" s="105"/>
      <c r="H509" s="45" t="str">
        <f t="shared" si="21"/>
        <v>Ivan – Pavlović – OK Sova</v>
      </c>
      <c r="J509" s="45" t="str">
        <f t="shared" si="22"/>
        <v>Ivan – Pavlović – OK Sova</v>
      </c>
      <c r="L509" s="45" t="str">
        <f t="shared" si="23"/>
        <v>Ivan – Pavlović</v>
      </c>
      <c r="N509" s="103"/>
      <c r="O509" s="104"/>
      <c r="P509" s="105"/>
    </row>
    <row r="510" spans="2:16" x14ac:dyDescent="0.25">
      <c r="B510" s="103">
        <v>1737</v>
      </c>
      <c r="C510" s="104" t="s">
        <v>1546</v>
      </c>
      <c r="D510" s="104" t="s">
        <v>3863</v>
      </c>
      <c r="E510" s="104" t="s">
        <v>3730</v>
      </c>
      <c r="F510" s="105"/>
      <c r="H510" s="45" t="str">
        <f t="shared" si="21"/>
        <v>Ante – Perić – OK Sova</v>
      </c>
      <c r="J510" s="45" t="str">
        <f t="shared" si="22"/>
        <v>Ante – Perić – OK Sova</v>
      </c>
      <c r="L510" s="45" t="str">
        <f t="shared" si="23"/>
        <v>Ante – Perić</v>
      </c>
      <c r="N510" s="103"/>
      <c r="O510" s="104"/>
      <c r="P510" s="105"/>
    </row>
    <row r="511" spans="2:16" x14ac:dyDescent="0.25">
      <c r="B511" s="103">
        <v>1600</v>
      </c>
      <c r="C511" s="104" t="s">
        <v>2633</v>
      </c>
      <c r="D511" s="104" t="s">
        <v>4095</v>
      </c>
      <c r="E511" s="104" t="s">
        <v>3730</v>
      </c>
      <c r="F511" s="105" t="s">
        <v>2927</v>
      </c>
      <c r="H511" s="45" t="str">
        <f t="shared" si="21"/>
        <v>Sara – Peter – OK Sova – Ž20</v>
      </c>
      <c r="J511" s="45" t="str">
        <f t="shared" si="22"/>
        <v>Sara – Peter – OK Sova</v>
      </c>
      <c r="L511" s="45" t="str">
        <f t="shared" si="23"/>
        <v>Sara – Peter</v>
      </c>
      <c r="N511" s="103"/>
      <c r="O511" s="104"/>
      <c r="P511" s="105"/>
    </row>
    <row r="512" spans="2:16" x14ac:dyDescent="0.25">
      <c r="B512" s="103">
        <v>1653</v>
      </c>
      <c r="C512" s="104" t="s">
        <v>4096</v>
      </c>
      <c r="D512" s="104" t="s">
        <v>4095</v>
      </c>
      <c r="E512" s="104" t="s">
        <v>3730</v>
      </c>
      <c r="F512" s="105" t="s">
        <v>2927</v>
      </c>
      <c r="H512" s="45" t="str">
        <f t="shared" si="21"/>
        <v>Stela – Peter – OK Sova – Ž20</v>
      </c>
      <c r="J512" s="45" t="str">
        <f t="shared" si="22"/>
        <v>Stela – Peter – OK Sova</v>
      </c>
      <c r="L512" s="45" t="str">
        <f t="shared" si="23"/>
        <v>Stela – Peter</v>
      </c>
      <c r="N512" s="103"/>
      <c r="O512" s="104"/>
      <c r="P512" s="105"/>
    </row>
    <row r="513" spans="2:16" x14ac:dyDescent="0.25">
      <c r="B513" s="103">
        <v>1579</v>
      </c>
      <c r="C513" s="104" t="s">
        <v>1320</v>
      </c>
      <c r="D513" s="104" t="s">
        <v>4097</v>
      </c>
      <c r="E513" s="104" t="s">
        <v>3730</v>
      </c>
      <c r="F513" s="105" t="s">
        <v>1129</v>
      </c>
      <c r="H513" s="45" t="str">
        <f t="shared" si="21"/>
        <v>Željko – Plentaj – OK Sova – M21B</v>
      </c>
      <c r="J513" s="45" t="str">
        <f t="shared" si="22"/>
        <v>Željko – Plentaj – OK Sova</v>
      </c>
      <c r="L513" s="45" t="str">
        <f t="shared" si="23"/>
        <v>Željko – Plentaj</v>
      </c>
      <c r="N513" s="103"/>
      <c r="O513" s="104"/>
      <c r="P513" s="105"/>
    </row>
    <row r="514" spans="2:16" x14ac:dyDescent="0.25">
      <c r="B514" s="103">
        <v>1582</v>
      </c>
      <c r="C514" s="104" t="s">
        <v>4098</v>
      </c>
      <c r="D514" s="104" t="s">
        <v>4099</v>
      </c>
      <c r="E514" s="104" t="s">
        <v>3730</v>
      </c>
      <c r="F514" s="105" t="s">
        <v>1129</v>
      </c>
      <c r="H514" s="45" t="str">
        <f t="shared" si="21"/>
        <v>Šime – Šarić – OK Sova – M21B</v>
      </c>
      <c r="J514" s="45" t="str">
        <f t="shared" si="22"/>
        <v>Šime – Šarić – OK Sova</v>
      </c>
      <c r="L514" s="45" t="str">
        <f t="shared" si="23"/>
        <v>Šime – Šarić</v>
      </c>
      <c r="N514" s="103"/>
      <c r="O514" s="104"/>
      <c r="P514" s="105"/>
    </row>
    <row r="515" spans="2:16" x14ac:dyDescent="0.25">
      <c r="B515" s="103">
        <v>1590</v>
      </c>
      <c r="C515" s="104" t="s">
        <v>1903</v>
      </c>
      <c r="D515" s="104" t="s">
        <v>4100</v>
      </c>
      <c r="E515" s="104" t="s">
        <v>3730</v>
      </c>
      <c r="F515" s="105" t="s">
        <v>1908</v>
      </c>
      <c r="H515" s="45" t="str">
        <f t="shared" si="21"/>
        <v>Dalibor – Sovilj – OK Sova – M45</v>
      </c>
      <c r="J515" s="45" t="str">
        <f t="shared" si="22"/>
        <v>Dalibor – Sovilj – OK Sova</v>
      </c>
      <c r="L515" s="45" t="str">
        <f t="shared" si="23"/>
        <v>Dalibor – Sovilj</v>
      </c>
      <c r="N515" s="103"/>
      <c r="O515" s="104"/>
      <c r="P515" s="105"/>
    </row>
    <row r="516" spans="2:16" x14ac:dyDescent="0.25">
      <c r="B516" s="103">
        <v>1629</v>
      </c>
      <c r="C516" s="104" t="s">
        <v>4101</v>
      </c>
      <c r="D516" s="104" t="s">
        <v>4102</v>
      </c>
      <c r="E516" s="104" t="s">
        <v>3730</v>
      </c>
      <c r="F516" s="105" t="s">
        <v>885</v>
      </c>
      <c r="H516" s="45" t="str">
        <f t="shared" si="21"/>
        <v>Matjaž – Štanfel – OK Sova – M21A</v>
      </c>
      <c r="J516" s="45" t="str">
        <f t="shared" si="22"/>
        <v>Matjaž – Štanfel – OK Sova</v>
      </c>
      <c r="L516" s="45" t="str">
        <f t="shared" si="23"/>
        <v>Matjaž – Štanfel</v>
      </c>
      <c r="N516" s="103"/>
      <c r="O516" s="104"/>
      <c r="P516" s="105"/>
    </row>
    <row r="517" spans="2:16" x14ac:dyDescent="0.25">
      <c r="B517" s="103">
        <v>1730</v>
      </c>
      <c r="C517" s="104" t="s">
        <v>1546</v>
      </c>
      <c r="D517" s="104" t="s">
        <v>4103</v>
      </c>
      <c r="E517" s="104" t="s">
        <v>3730</v>
      </c>
      <c r="F517" s="105"/>
      <c r="H517" s="45" t="str">
        <f t="shared" si="21"/>
        <v>Ante – Tipurić – OK Sova</v>
      </c>
      <c r="J517" s="45" t="str">
        <f t="shared" si="22"/>
        <v>Ante – Tipurić – OK Sova</v>
      </c>
      <c r="L517" s="45" t="str">
        <f t="shared" si="23"/>
        <v>Ante – Tipurić</v>
      </c>
      <c r="N517" s="103"/>
      <c r="O517" s="104"/>
      <c r="P517" s="105"/>
    </row>
    <row r="518" spans="2:16" x14ac:dyDescent="0.25">
      <c r="B518" s="103">
        <v>1654</v>
      </c>
      <c r="C518" s="104" t="s">
        <v>1305</v>
      </c>
      <c r="D518" s="104" t="s">
        <v>4104</v>
      </c>
      <c r="E518" s="104" t="s">
        <v>3730</v>
      </c>
      <c r="F518" s="105" t="s">
        <v>1129</v>
      </c>
      <c r="H518" s="45" t="str">
        <f t="shared" si="21"/>
        <v>Tihomir – Topalović – OK Sova – M21B</v>
      </c>
      <c r="J518" s="45" t="str">
        <f t="shared" si="22"/>
        <v>Tihomir – Topalović – OK Sova</v>
      </c>
      <c r="L518" s="45" t="str">
        <f t="shared" si="23"/>
        <v>Tihomir – Topalović</v>
      </c>
      <c r="N518" s="103"/>
      <c r="O518" s="109"/>
      <c r="P518" s="105"/>
    </row>
    <row r="519" spans="2:16" x14ac:dyDescent="0.25">
      <c r="B519" s="103">
        <v>1829</v>
      </c>
      <c r="C519" s="104" t="s">
        <v>3559</v>
      </c>
      <c r="D519" s="104" t="s">
        <v>4105</v>
      </c>
      <c r="E519" s="104" t="s">
        <v>3730</v>
      </c>
      <c r="F519" s="105" t="s">
        <v>3000</v>
      </c>
      <c r="H519" s="45" t="str">
        <f t="shared" si="21"/>
        <v>Marija – Vida – OK Sova – Ž21A</v>
      </c>
      <c r="J519" s="45" t="str">
        <f t="shared" si="22"/>
        <v>Marija – Vida – OK Sova</v>
      </c>
      <c r="L519" s="45" t="str">
        <f t="shared" si="23"/>
        <v>Marija – Vida</v>
      </c>
      <c r="N519" s="103"/>
      <c r="O519" s="104"/>
      <c r="P519" s="105"/>
    </row>
    <row r="520" spans="2:16" x14ac:dyDescent="0.25">
      <c r="B520" s="103">
        <v>1598</v>
      </c>
      <c r="C520" s="104" t="s">
        <v>604</v>
      </c>
      <c r="D520" s="104" t="s">
        <v>4106</v>
      </c>
      <c r="E520" s="104" t="s">
        <v>3730</v>
      </c>
      <c r="F520" s="105"/>
      <c r="H520" s="45" t="str">
        <f t="shared" si="21"/>
        <v>Marko – Vrabec – OK Sova</v>
      </c>
      <c r="J520" s="45" t="str">
        <f t="shared" si="22"/>
        <v>Marko – Vrabec – OK Sova</v>
      </c>
      <c r="L520" s="45" t="str">
        <f t="shared" si="23"/>
        <v>Marko – Vrabec</v>
      </c>
      <c r="N520" s="103"/>
      <c r="O520" s="104"/>
      <c r="P520" s="105"/>
    </row>
    <row r="521" spans="2:16" x14ac:dyDescent="0.25">
      <c r="B521" s="103">
        <v>1727</v>
      </c>
      <c r="C521" s="104" t="s">
        <v>4107</v>
      </c>
      <c r="D521" s="104" t="s">
        <v>4108</v>
      </c>
      <c r="E521" s="104" t="s">
        <v>3730</v>
      </c>
      <c r="F521" s="105"/>
      <c r="H521" s="45" t="str">
        <f t="shared" si="21"/>
        <v>Doris – Vunić – OK Sova</v>
      </c>
      <c r="J521" s="45" t="str">
        <f t="shared" si="22"/>
        <v>Doris – Vunić – OK Sova</v>
      </c>
      <c r="L521" s="45" t="str">
        <f t="shared" si="23"/>
        <v>Doris – Vunić</v>
      </c>
      <c r="N521" s="103"/>
      <c r="O521" s="104"/>
      <c r="P521" s="105"/>
    </row>
    <row r="522" spans="2:16" x14ac:dyDescent="0.25">
      <c r="B522" s="103">
        <v>1572</v>
      </c>
      <c r="C522" s="104" t="s">
        <v>471</v>
      </c>
      <c r="D522" s="104" t="s">
        <v>4109</v>
      </c>
      <c r="E522" s="104" t="s">
        <v>3730</v>
      </c>
      <c r="F522" s="105" t="s">
        <v>1129</v>
      </c>
      <c r="H522" s="45" t="str">
        <f t="shared" si="21"/>
        <v>Filip – Zadrović – OK Sova – M21B</v>
      </c>
      <c r="J522" s="45" t="str">
        <f t="shared" si="22"/>
        <v>Filip – Zadrović – OK Sova</v>
      </c>
      <c r="L522" s="45" t="str">
        <f t="shared" si="23"/>
        <v>Filip – Zadrović</v>
      </c>
      <c r="N522" s="103"/>
      <c r="O522" s="104"/>
      <c r="P522" s="105"/>
    </row>
    <row r="523" spans="2:16" x14ac:dyDescent="0.25">
      <c r="B523" s="103">
        <v>1739</v>
      </c>
      <c r="C523" s="104" t="s">
        <v>4110</v>
      </c>
      <c r="D523" s="104" t="s">
        <v>4111</v>
      </c>
      <c r="E523" s="104" t="s">
        <v>3730</v>
      </c>
      <c r="F523" s="105"/>
      <c r="H523" s="45" t="str">
        <f t="shared" ref="H523:H586" si="24">IF(C523="","",C523) &amp; IF(D523="",""," – " &amp; D523) &amp; IF(E523="",""," – " &amp; E523) &amp; IF(F523="",""," – " &amp; F523)</f>
        <v>Antonela – Žderić – OK Sova</v>
      </c>
      <c r="J523" s="45" t="str">
        <f t="shared" ref="J523:J586" si="25">IF(C523="","",C523) &amp; IF(D523="",""," – " &amp; D523) &amp; IF(E523="",""," – " &amp; E523)</f>
        <v>Antonela – Žderić – OK Sova</v>
      </c>
      <c r="L523" s="45" t="str">
        <f t="shared" ref="L523:L586" si="26">IF(C523="","",C523) &amp; IF(D523="",""," – " &amp; D523)</f>
        <v>Antonela – Žderić</v>
      </c>
      <c r="N523" s="103"/>
      <c r="O523" s="104"/>
      <c r="P523" s="105"/>
    </row>
    <row r="524" spans="2:16" x14ac:dyDescent="0.25">
      <c r="B524" s="103">
        <v>1611</v>
      </c>
      <c r="C524" s="104" t="s">
        <v>1005</v>
      </c>
      <c r="D524" s="104" t="s">
        <v>4112</v>
      </c>
      <c r="E524" s="104" t="s">
        <v>3730</v>
      </c>
      <c r="F524" s="105" t="s">
        <v>1129</v>
      </c>
      <c r="H524" s="45" t="str">
        <f t="shared" si="24"/>
        <v>Josip – Župarić – OK Sova – M21B</v>
      </c>
      <c r="J524" s="45" t="str">
        <f t="shared" si="25"/>
        <v>Josip – Župarić – OK Sova</v>
      </c>
      <c r="L524" s="45" t="str">
        <f t="shared" si="26"/>
        <v>Josip – Župarić</v>
      </c>
      <c r="N524" s="103"/>
      <c r="O524" s="104"/>
      <c r="P524" s="105"/>
    </row>
    <row r="525" spans="2:16" x14ac:dyDescent="0.25">
      <c r="B525" s="103">
        <v>1657</v>
      </c>
      <c r="C525" s="104" t="s">
        <v>4113</v>
      </c>
      <c r="D525" s="104" t="s">
        <v>4114</v>
      </c>
      <c r="E525" s="104" t="s">
        <v>409</v>
      </c>
      <c r="F525" s="105"/>
      <c r="H525" s="45" t="str">
        <f t="shared" si="24"/>
        <v>Hiba – Amaneh – OK Varaždin</v>
      </c>
      <c r="J525" s="45" t="str">
        <f t="shared" si="25"/>
        <v>Hiba – Amaneh – OK Varaždin</v>
      </c>
      <c r="L525" s="45" t="str">
        <f t="shared" si="26"/>
        <v>Hiba – Amaneh</v>
      </c>
      <c r="N525" s="103"/>
      <c r="O525" s="104"/>
      <c r="P525" s="105"/>
    </row>
    <row r="526" spans="2:16" x14ac:dyDescent="0.25">
      <c r="B526" s="103">
        <v>1050</v>
      </c>
      <c r="C526" s="104" t="s">
        <v>557</v>
      </c>
      <c r="D526" s="104" t="s">
        <v>470</v>
      </c>
      <c r="E526" s="104" t="s">
        <v>409</v>
      </c>
      <c r="F526" s="105" t="s">
        <v>486</v>
      </c>
      <c r="H526" s="45" t="str">
        <f t="shared" si="24"/>
        <v>Adam – Anadolac – OK Varaždin – M14</v>
      </c>
      <c r="J526" s="45" t="str">
        <f t="shared" si="25"/>
        <v>Adam – Anadolac – OK Varaždin</v>
      </c>
      <c r="L526" s="45" t="str">
        <f t="shared" si="26"/>
        <v>Adam – Anadolac</v>
      </c>
      <c r="N526" s="103"/>
      <c r="O526" s="104"/>
      <c r="P526" s="105"/>
    </row>
    <row r="527" spans="2:16" x14ac:dyDescent="0.25">
      <c r="B527" s="103">
        <v>1179</v>
      </c>
      <c r="C527" s="104" t="s">
        <v>1467</v>
      </c>
      <c r="D527" s="104" t="s">
        <v>470</v>
      </c>
      <c r="E527" s="104" t="s">
        <v>409</v>
      </c>
      <c r="F527" s="105" t="s">
        <v>1129</v>
      </c>
      <c r="H527" s="45" t="str">
        <f t="shared" si="24"/>
        <v>Emil – Anadolac – OK Varaždin – M21B</v>
      </c>
      <c r="J527" s="45" t="str">
        <f t="shared" si="25"/>
        <v>Emil – Anadolac – OK Varaždin</v>
      </c>
      <c r="L527" s="45" t="str">
        <f t="shared" si="26"/>
        <v>Emil – Anadolac</v>
      </c>
      <c r="N527" s="103"/>
      <c r="O527" s="104"/>
      <c r="P527" s="105"/>
    </row>
    <row r="528" spans="2:16" x14ac:dyDescent="0.25">
      <c r="B528" s="103">
        <v>1106</v>
      </c>
      <c r="C528" s="104" t="s">
        <v>471</v>
      </c>
      <c r="D528" s="104" t="s">
        <v>470</v>
      </c>
      <c r="E528" s="104" t="s">
        <v>409</v>
      </c>
      <c r="F528" s="105" t="s">
        <v>363</v>
      </c>
      <c r="H528" s="45" t="str">
        <f t="shared" si="24"/>
        <v>Filip – Anadolac – OK Varaždin – M12</v>
      </c>
      <c r="J528" s="45" t="str">
        <f t="shared" si="25"/>
        <v>Filip – Anadolac – OK Varaždin</v>
      </c>
      <c r="L528" s="45" t="str">
        <f t="shared" si="26"/>
        <v>Filip – Anadolac</v>
      </c>
      <c r="N528" s="103"/>
      <c r="O528" s="104"/>
      <c r="P528" s="105"/>
    </row>
    <row r="529" spans="2:16" x14ac:dyDescent="0.25">
      <c r="B529" s="103">
        <v>1633</v>
      </c>
      <c r="C529" s="104" t="s">
        <v>589</v>
      </c>
      <c r="D529" s="104" t="s">
        <v>4115</v>
      </c>
      <c r="E529" s="104" t="s">
        <v>409</v>
      </c>
      <c r="F529" s="105"/>
      <c r="H529" s="45" t="str">
        <f t="shared" si="24"/>
        <v>Karlo – Bartolić – OK Varaždin</v>
      </c>
      <c r="J529" s="45" t="str">
        <f t="shared" si="25"/>
        <v>Karlo – Bartolić – OK Varaždin</v>
      </c>
      <c r="L529" s="45" t="str">
        <f t="shared" si="26"/>
        <v>Karlo – Bartolić</v>
      </c>
      <c r="N529" s="103"/>
      <c r="O529" s="104"/>
      <c r="P529" s="105"/>
    </row>
    <row r="530" spans="2:16" x14ac:dyDescent="0.25">
      <c r="B530" s="103">
        <v>1379</v>
      </c>
      <c r="C530" s="104" t="s">
        <v>452</v>
      </c>
      <c r="D530" s="104" t="s">
        <v>2631</v>
      </c>
      <c r="E530" s="104" t="s">
        <v>409</v>
      </c>
      <c r="F530" s="105"/>
      <c r="H530" s="45" t="str">
        <f t="shared" si="24"/>
        <v>Petar – Barulek – OK Varaždin</v>
      </c>
      <c r="J530" s="45" t="str">
        <f t="shared" si="25"/>
        <v>Petar – Barulek – OK Varaždin</v>
      </c>
      <c r="L530" s="45" t="str">
        <f t="shared" si="26"/>
        <v>Petar – Barulek</v>
      </c>
      <c r="N530" s="103"/>
      <c r="O530" s="104"/>
      <c r="P530" s="105"/>
    </row>
    <row r="531" spans="2:16" x14ac:dyDescent="0.25">
      <c r="B531" s="103">
        <v>1096</v>
      </c>
      <c r="C531" s="104" t="s">
        <v>4116</v>
      </c>
      <c r="D531" s="104" t="s">
        <v>4117</v>
      </c>
      <c r="E531" s="104" t="s">
        <v>409</v>
      </c>
      <c r="F531" s="105"/>
      <c r="H531" s="45" t="str">
        <f t="shared" si="24"/>
        <v>Miro – Borček – OK Varaždin</v>
      </c>
      <c r="J531" s="45" t="str">
        <f t="shared" si="25"/>
        <v>Miro – Borček – OK Varaždin</v>
      </c>
      <c r="L531" s="45" t="str">
        <f t="shared" si="26"/>
        <v>Miro – Borček</v>
      </c>
      <c r="N531" s="103"/>
      <c r="O531" s="104"/>
      <c r="P531" s="105"/>
    </row>
    <row r="532" spans="2:16" x14ac:dyDescent="0.25">
      <c r="B532" s="103">
        <v>1099</v>
      </c>
      <c r="C532" s="104" t="s">
        <v>1662</v>
      </c>
      <c r="D532" s="104" t="s">
        <v>1661</v>
      </c>
      <c r="E532" s="104" t="s">
        <v>409</v>
      </c>
      <c r="F532" s="105" t="s">
        <v>1574</v>
      </c>
      <c r="H532" s="45" t="str">
        <f t="shared" si="24"/>
        <v>Krunoslav – Canjuga – OK Varaždin – M35</v>
      </c>
      <c r="J532" s="45" t="str">
        <f t="shared" si="25"/>
        <v>Krunoslav – Canjuga – OK Varaždin</v>
      </c>
      <c r="L532" s="45" t="str">
        <f t="shared" si="26"/>
        <v>Krunoslav – Canjuga</v>
      </c>
      <c r="N532" s="103"/>
      <c r="O532" s="104"/>
      <c r="P532" s="105"/>
    </row>
    <row r="533" spans="2:16" x14ac:dyDescent="0.25">
      <c r="B533" s="103">
        <v>1335</v>
      </c>
      <c r="C533" s="104" t="s">
        <v>4118</v>
      </c>
      <c r="D533" s="104" t="s">
        <v>1661</v>
      </c>
      <c r="E533" s="104" t="s">
        <v>409</v>
      </c>
      <c r="F533" s="105"/>
      <c r="H533" s="45" t="str">
        <f t="shared" si="24"/>
        <v>Stjepan – Canjuga – OK Varaždin</v>
      </c>
      <c r="J533" s="45" t="str">
        <f t="shared" si="25"/>
        <v>Stjepan – Canjuga – OK Varaždin</v>
      </c>
      <c r="L533" s="45" t="str">
        <f t="shared" si="26"/>
        <v>Stjepan – Canjuga</v>
      </c>
      <c r="N533" s="103"/>
      <c r="O533" s="104"/>
      <c r="P533" s="105"/>
    </row>
    <row r="534" spans="2:16" x14ac:dyDescent="0.25">
      <c r="B534" s="103">
        <v>1458</v>
      </c>
      <c r="C534" s="104" t="s">
        <v>2484</v>
      </c>
      <c r="D534" s="104" t="s">
        <v>3763</v>
      </c>
      <c r="E534" s="104" t="s">
        <v>409</v>
      </c>
      <c r="F534" s="105"/>
      <c r="H534" s="45" t="str">
        <f t="shared" si="24"/>
        <v>Iva – Detić – OK Varaždin</v>
      </c>
      <c r="J534" s="45" t="str">
        <f t="shared" si="25"/>
        <v>Iva – Detić – OK Varaždin</v>
      </c>
      <c r="L534" s="45" t="str">
        <f t="shared" si="26"/>
        <v>Iva – Detić</v>
      </c>
      <c r="N534" s="103"/>
      <c r="O534" s="104"/>
      <c r="P534" s="105"/>
    </row>
    <row r="535" spans="2:16" x14ac:dyDescent="0.25">
      <c r="B535" s="103">
        <v>1194</v>
      </c>
      <c r="C535" s="104" t="s">
        <v>3837</v>
      </c>
      <c r="D535" s="104" t="s">
        <v>3763</v>
      </c>
      <c r="E535" s="104" t="s">
        <v>409</v>
      </c>
      <c r="F535" s="105" t="s">
        <v>3264</v>
      </c>
      <c r="H535" s="45" t="str">
        <f t="shared" si="24"/>
        <v>Lidija – Detić – OK Varaždin – Ž35</v>
      </c>
      <c r="J535" s="45" t="str">
        <f t="shared" si="25"/>
        <v>Lidija – Detić – OK Varaždin</v>
      </c>
      <c r="L535" s="45" t="str">
        <f t="shared" si="26"/>
        <v>Lidija – Detić</v>
      </c>
      <c r="N535" s="103"/>
      <c r="O535" s="104"/>
      <c r="P535" s="105"/>
    </row>
    <row r="536" spans="2:16" x14ac:dyDescent="0.25">
      <c r="B536" s="103">
        <v>1425</v>
      </c>
      <c r="C536" s="104" t="s">
        <v>2564</v>
      </c>
      <c r="D536" s="104" t="s">
        <v>3763</v>
      </c>
      <c r="E536" s="104" t="s">
        <v>409</v>
      </c>
      <c r="F536" s="105" t="s">
        <v>2636</v>
      </c>
      <c r="H536" s="45" t="str">
        <f t="shared" si="24"/>
        <v>Lucija – Detić – OK Varaždin – Ž12</v>
      </c>
      <c r="J536" s="45" t="str">
        <f t="shared" si="25"/>
        <v>Lucija – Detić – OK Varaždin</v>
      </c>
      <c r="L536" s="45" t="str">
        <f t="shared" si="26"/>
        <v>Lucija – Detić</v>
      </c>
      <c r="N536" s="103"/>
      <c r="O536" s="104"/>
      <c r="P536" s="105"/>
    </row>
    <row r="537" spans="2:16" x14ac:dyDescent="0.25">
      <c r="B537" s="103">
        <v>1571</v>
      </c>
      <c r="C537" s="104" t="s">
        <v>4054</v>
      </c>
      <c r="D537" s="104" t="s">
        <v>4119</v>
      </c>
      <c r="E537" s="104" t="s">
        <v>409</v>
      </c>
      <c r="F537" s="105"/>
      <c r="H537" s="45" t="str">
        <f t="shared" si="24"/>
        <v>Sven – Divjak – OK Varaždin</v>
      </c>
      <c r="J537" s="45" t="str">
        <f t="shared" si="25"/>
        <v>Sven – Divjak – OK Varaždin</v>
      </c>
      <c r="L537" s="45" t="str">
        <f t="shared" si="26"/>
        <v>Sven – Divjak</v>
      </c>
      <c r="N537" s="103"/>
      <c r="O537" s="104"/>
      <c r="P537" s="105"/>
    </row>
    <row r="538" spans="2:16" x14ac:dyDescent="0.25">
      <c r="B538" s="103">
        <v>1235</v>
      </c>
      <c r="C538" s="104" t="s">
        <v>4120</v>
      </c>
      <c r="D538" s="104" t="s">
        <v>4121</v>
      </c>
      <c r="E538" s="104" t="s">
        <v>409</v>
      </c>
      <c r="F538" s="105" t="s">
        <v>2765</v>
      </c>
      <c r="H538" s="45" t="str">
        <f t="shared" si="24"/>
        <v>Julijana – Dolenc – OK Varaždin – Ž16</v>
      </c>
      <c r="J538" s="45" t="str">
        <f t="shared" si="25"/>
        <v>Julijana – Dolenc – OK Varaždin</v>
      </c>
      <c r="L538" s="45" t="str">
        <f t="shared" si="26"/>
        <v>Julijana – Dolenc</v>
      </c>
      <c r="N538" s="103"/>
      <c r="O538" s="104"/>
      <c r="P538" s="105"/>
    </row>
    <row r="539" spans="2:16" x14ac:dyDescent="0.25">
      <c r="B539" s="103">
        <v>1085</v>
      </c>
      <c r="C539" s="104" t="s">
        <v>420</v>
      </c>
      <c r="D539" s="104" t="s">
        <v>4122</v>
      </c>
      <c r="E539" s="104" t="s">
        <v>409</v>
      </c>
      <c r="F539" s="105"/>
      <c r="H539" s="45" t="str">
        <f t="shared" si="24"/>
        <v>Teo – Friščić – OK Varaždin</v>
      </c>
      <c r="J539" s="45" t="str">
        <f t="shared" si="25"/>
        <v>Teo – Friščić – OK Varaždin</v>
      </c>
      <c r="L539" s="45" t="str">
        <f t="shared" si="26"/>
        <v>Teo – Friščić</v>
      </c>
      <c r="N539" s="103"/>
      <c r="O539" s="104"/>
      <c r="P539" s="105"/>
    </row>
    <row r="540" spans="2:16" x14ac:dyDescent="0.25">
      <c r="B540" s="103">
        <v>1511</v>
      </c>
      <c r="C540" s="104" t="s">
        <v>475</v>
      </c>
      <c r="D540" s="104" t="s">
        <v>4123</v>
      </c>
      <c r="E540" s="104" t="s">
        <v>409</v>
      </c>
      <c r="F540" s="105"/>
      <c r="H540" s="45" t="str">
        <f t="shared" si="24"/>
        <v>Jakov – Grabar – OK Varaždin</v>
      </c>
      <c r="J540" s="45" t="str">
        <f t="shared" si="25"/>
        <v>Jakov – Grabar – OK Varaždin</v>
      </c>
      <c r="L540" s="45" t="str">
        <f t="shared" si="26"/>
        <v>Jakov – Grabar</v>
      </c>
      <c r="N540" s="103"/>
      <c r="O540" s="104"/>
      <c r="P540" s="105"/>
    </row>
    <row r="541" spans="2:16" x14ac:dyDescent="0.25">
      <c r="B541" s="103">
        <v>1630</v>
      </c>
      <c r="C541" s="104" t="s">
        <v>1262</v>
      </c>
      <c r="D541" s="104" t="s">
        <v>4124</v>
      </c>
      <c r="E541" s="104" t="s">
        <v>409</v>
      </c>
      <c r="F541" s="105"/>
      <c r="H541" s="45" t="str">
        <f t="shared" si="24"/>
        <v>Kristijan – Grivić – OK Varaždin</v>
      </c>
      <c r="J541" s="45" t="str">
        <f t="shared" si="25"/>
        <v>Kristijan – Grivić – OK Varaždin</v>
      </c>
      <c r="L541" s="45" t="str">
        <f t="shared" si="26"/>
        <v>Kristijan – Grivić</v>
      </c>
      <c r="N541" s="103"/>
      <c r="O541" s="104"/>
      <c r="P541" s="105"/>
    </row>
    <row r="542" spans="2:16" x14ac:dyDescent="0.25">
      <c r="B542" s="103">
        <v>1624</v>
      </c>
      <c r="C542" s="104" t="s">
        <v>524</v>
      </c>
      <c r="D542" s="104" t="s">
        <v>4124</v>
      </c>
      <c r="E542" s="104" t="s">
        <v>409</v>
      </c>
      <c r="F542" s="105"/>
      <c r="H542" s="45" t="str">
        <f t="shared" si="24"/>
        <v>Martin – Grivić – OK Varaždin</v>
      </c>
      <c r="J542" s="45" t="str">
        <f t="shared" si="25"/>
        <v>Martin – Grivić – OK Varaždin</v>
      </c>
      <c r="L542" s="45" t="str">
        <f t="shared" si="26"/>
        <v>Martin – Grivić</v>
      </c>
      <c r="N542" s="103"/>
      <c r="O542" s="104"/>
      <c r="P542" s="105"/>
    </row>
    <row r="543" spans="2:16" x14ac:dyDescent="0.25">
      <c r="B543" s="103">
        <v>1362</v>
      </c>
      <c r="C543" s="104" t="s">
        <v>3879</v>
      </c>
      <c r="D543" s="104" t="s">
        <v>4125</v>
      </c>
      <c r="E543" s="104" t="s">
        <v>409</v>
      </c>
      <c r="F543" s="105"/>
      <c r="H543" s="45" t="str">
        <f t="shared" si="24"/>
        <v>Dorijan – Habek – OK Varaždin</v>
      </c>
      <c r="J543" s="45" t="str">
        <f t="shared" si="25"/>
        <v>Dorijan – Habek – OK Varaždin</v>
      </c>
      <c r="L543" s="45" t="str">
        <f t="shared" si="26"/>
        <v>Dorijan – Habek</v>
      </c>
      <c r="N543" s="103"/>
      <c r="O543" s="104"/>
      <c r="P543" s="105"/>
    </row>
    <row r="544" spans="2:16" x14ac:dyDescent="0.25">
      <c r="B544" s="103">
        <v>1151</v>
      </c>
      <c r="C544" s="104" t="s">
        <v>1762</v>
      </c>
      <c r="D544" s="104" t="s">
        <v>1761</v>
      </c>
      <c r="E544" s="104" t="s">
        <v>409</v>
      </c>
      <c r="F544" s="105" t="s">
        <v>1574</v>
      </c>
      <c r="H544" s="45" t="str">
        <f t="shared" si="24"/>
        <v>Miroslav – Hainž – OK Varaždin – M35</v>
      </c>
      <c r="J544" s="45" t="str">
        <f t="shared" si="25"/>
        <v>Miroslav – Hainž – OK Varaždin</v>
      </c>
      <c r="L544" s="45" t="str">
        <f t="shared" si="26"/>
        <v>Miroslav – Hainž</v>
      </c>
      <c r="N544" s="103"/>
      <c r="O544" s="104"/>
      <c r="P544" s="105"/>
    </row>
    <row r="545" spans="2:16" x14ac:dyDescent="0.25">
      <c r="B545" s="103">
        <v>1464</v>
      </c>
      <c r="C545" s="104" t="s">
        <v>508</v>
      </c>
      <c r="D545" s="104" t="s">
        <v>4126</v>
      </c>
      <c r="E545" s="104" t="s">
        <v>409</v>
      </c>
      <c r="F545" s="105"/>
      <c r="H545" s="45" t="str">
        <f t="shared" si="24"/>
        <v>Luka – Hofman – OK Varaždin</v>
      </c>
      <c r="J545" s="45" t="str">
        <f t="shared" si="25"/>
        <v>Luka – Hofman – OK Varaždin</v>
      </c>
      <c r="L545" s="45" t="str">
        <f t="shared" si="26"/>
        <v>Luka – Hofman</v>
      </c>
      <c r="N545" s="103"/>
      <c r="O545" s="104"/>
      <c r="P545" s="105"/>
    </row>
    <row r="546" spans="2:16" x14ac:dyDescent="0.25">
      <c r="B546" s="103">
        <v>1403</v>
      </c>
      <c r="C546" s="104" t="s">
        <v>3664</v>
      </c>
      <c r="D546" s="104" t="s">
        <v>3663</v>
      </c>
      <c r="E546" s="104" t="s">
        <v>409</v>
      </c>
      <c r="F546" s="105" t="s">
        <v>3618</v>
      </c>
      <c r="H546" s="45" t="str">
        <f t="shared" si="24"/>
        <v>Karmen – Holenda – OK Varaždin – Ž55</v>
      </c>
      <c r="J546" s="45" t="str">
        <f t="shared" si="25"/>
        <v>Karmen – Holenda – OK Varaždin</v>
      </c>
      <c r="L546" s="45" t="str">
        <f t="shared" si="26"/>
        <v>Karmen – Holenda</v>
      </c>
      <c r="N546" s="103"/>
      <c r="O546" s="104"/>
      <c r="P546" s="105"/>
    </row>
    <row r="547" spans="2:16" x14ac:dyDescent="0.25">
      <c r="B547" s="103">
        <v>1658</v>
      </c>
      <c r="C547" s="104" t="s">
        <v>2564</v>
      </c>
      <c r="D547" s="104" t="s">
        <v>4127</v>
      </c>
      <c r="E547" s="104" t="s">
        <v>409</v>
      </c>
      <c r="F547" s="105"/>
      <c r="H547" s="45" t="str">
        <f t="shared" si="24"/>
        <v>Lucija – Jertec – OK Varaždin</v>
      </c>
      <c r="J547" s="45" t="str">
        <f t="shared" si="25"/>
        <v>Lucija – Jertec – OK Varaždin</v>
      </c>
      <c r="L547" s="45" t="str">
        <f t="shared" si="26"/>
        <v>Lucija – Jertec</v>
      </c>
      <c r="N547" s="103"/>
      <c r="O547" s="104"/>
      <c r="P547" s="105"/>
    </row>
    <row r="548" spans="2:16" x14ac:dyDescent="0.25">
      <c r="B548" s="103">
        <v>1601</v>
      </c>
      <c r="C548" s="104" t="s">
        <v>471</v>
      </c>
      <c r="D548" s="104" t="s">
        <v>4128</v>
      </c>
      <c r="E548" s="104" t="s">
        <v>409</v>
      </c>
      <c r="F548" s="105"/>
      <c r="H548" s="45" t="str">
        <f t="shared" si="24"/>
        <v>Filip – Juraga – OK Varaždin</v>
      </c>
      <c r="J548" s="45" t="str">
        <f t="shared" si="25"/>
        <v>Filip – Juraga – OK Varaždin</v>
      </c>
      <c r="L548" s="45" t="str">
        <f t="shared" si="26"/>
        <v>Filip – Juraga</v>
      </c>
      <c r="N548" s="103"/>
      <c r="O548" s="104"/>
      <c r="P548" s="105"/>
    </row>
    <row r="549" spans="2:16" x14ac:dyDescent="0.25">
      <c r="B549" s="103">
        <v>1186</v>
      </c>
      <c r="C549" s="104" t="s">
        <v>2703</v>
      </c>
      <c r="D549" s="104" t="s">
        <v>2625</v>
      </c>
      <c r="E549" s="104" t="s">
        <v>409</v>
      </c>
      <c r="F549" s="105" t="s">
        <v>2636</v>
      </c>
      <c r="H549" s="45" t="str">
        <f t="shared" si="24"/>
        <v>Ema – Juričan – OK Varaždin – Ž12</v>
      </c>
      <c r="J549" s="45" t="str">
        <f t="shared" si="25"/>
        <v>Ema – Juričan – OK Varaždin</v>
      </c>
      <c r="L549" s="45" t="str">
        <f t="shared" si="26"/>
        <v>Ema – Juričan</v>
      </c>
      <c r="N549" s="103"/>
      <c r="O549" s="104"/>
      <c r="P549" s="105"/>
    </row>
    <row r="550" spans="2:16" x14ac:dyDescent="0.25">
      <c r="B550" s="103">
        <v>1401</v>
      </c>
      <c r="C550" s="104" t="s">
        <v>2524</v>
      </c>
      <c r="D550" s="104" t="s">
        <v>2625</v>
      </c>
      <c r="E550" s="104" t="s">
        <v>409</v>
      </c>
      <c r="F550" s="105"/>
      <c r="H550" s="45" t="str">
        <f t="shared" si="24"/>
        <v>Nika – Juričan – OK Varaždin</v>
      </c>
      <c r="J550" s="45" t="str">
        <f t="shared" si="25"/>
        <v>Nika – Juričan – OK Varaždin</v>
      </c>
      <c r="L550" s="45" t="str">
        <f t="shared" si="26"/>
        <v>Nika – Juričan</v>
      </c>
      <c r="N550" s="103"/>
      <c r="O550" s="104"/>
      <c r="P550" s="105"/>
    </row>
    <row r="551" spans="2:16" x14ac:dyDescent="0.25">
      <c r="B551" s="103">
        <v>1573</v>
      </c>
      <c r="C551" s="104" t="s">
        <v>589</v>
      </c>
      <c r="D551" s="104" t="s">
        <v>4129</v>
      </c>
      <c r="E551" s="104" t="s">
        <v>409</v>
      </c>
      <c r="F551" s="105"/>
      <c r="H551" s="45" t="str">
        <f t="shared" si="24"/>
        <v>Karlo – Kadović – OK Varaždin</v>
      </c>
      <c r="J551" s="45" t="str">
        <f t="shared" si="25"/>
        <v>Karlo – Kadović – OK Varaždin</v>
      </c>
      <c r="L551" s="45" t="str">
        <f t="shared" si="26"/>
        <v>Karlo – Kadović</v>
      </c>
      <c r="N551" s="103"/>
      <c r="O551" s="104"/>
      <c r="P551" s="105"/>
    </row>
    <row r="552" spans="2:16" x14ac:dyDescent="0.25">
      <c r="B552" s="103">
        <v>1659</v>
      </c>
      <c r="C552" s="104" t="s">
        <v>3559</v>
      </c>
      <c r="D552" s="104" t="s">
        <v>4130</v>
      </c>
      <c r="E552" s="104" t="s">
        <v>409</v>
      </c>
      <c r="F552" s="105"/>
      <c r="H552" s="45" t="str">
        <f t="shared" si="24"/>
        <v>Marija – Kirić – OK Varaždin</v>
      </c>
      <c r="J552" s="45" t="str">
        <f t="shared" si="25"/>
        <v>Marija – Kirić – OK Varaždin</v>
      </c>
      <c r="L552" s="45" t="str">
        <f t="shared" si="26"/>
        <v>Marija – Kirić</v>
      </c>
      <c r="N552" s="103"/>
      <c r="O552" s="104"/>
      <c r="P552" s="105"/>
    </row>
    <row r="553" spans="2:16" x14ac:dyDescent="0.25">
      <c r="B553" s="103">
        <v>1419</v>
      </c>
      <c r="C553" s="104" t="s">
        <v>508</v>
      </c>
      <c r="D553" s="104" t="s">
        <v>835</v>
      </c>
      <c r="E553" s="104" t="s">
        <v>409</v>
      </c>
      <c r="F553" s="105" t="s">
        <v>768</v>
      </c>
      <c r="H553" s="45" t="str">
        <f t="shared" si="24"/>
        <v>Luka – Kocijan – OK Varaždin – M20</v>
      </c>
      <c r="J553" s="45" t="str">
        <f t="shared" si="25"/>
        <v>Luka – Kocijan – OK Varaždin</v>
      </c>
      <c r="L553" s="45" t="str">
        <f t="shared" si="26"/>
        <v>Luka – Kocijan</v>
      </c>
      <c r="N553" s="103"/>
      <c r="O553" s="104"/>
      <c r="P553" s="105"/>
    </row>
    <row r="554" spans="2:16" x14ac:dyDescent="0.25">
      <c r="B554" s="103">
        <v>1132</v>
      </c>
      <c r="C554" s="104" t="s">
        <v>714</v>
      </c>
      <c r="D554" s="104" t="s">
        <v>4131</v>
      </c>
      <c r="E554" s="104" t="s">
        <v>409</v>
      </c>
      <c r="F554" s="105"/>
      <c r="H554" s="45" t="str">
        <f t="shared" si="24"/>
        <v>Borna – Košćak – OK Varaždin</v>
      </c>
      <c r="J554" s="45" t="str">
        <f t="shared" si="25"/>
        <v>Borna – Košćak – OK Varaždin</v>
      </c>
      <c r="L554" s="45" t="str">
        <f t="shared" si="26"/>
        <v>Borna – Košćak</v>
      </c>
      <c r="N554" s="103"/>
      <c r="O554" s="104"/>
      <c r="P554" s="105"/>
    </row>
    <row r="555" spans="2:16" x14ac:dyDescent="0.25">
      <c r="B555" s="103">
        <v>1093</v>
      </c>
      <c r="C555" s="104" t="s">
        <v>4132</v>
      </c>
      <c r="D555" s="104" t="s">
        <v>4131</v>
      </c>
      <c r="E555" s="104" t="s">
        <v>409</v>
      </c>
      <c r="F555" s="105"/>
      <c r="H555" s="45" t="str">
        <f t="shared" si="24"/>
        <v>Elena – Košćak – OK Varaždin</v>
      </c>
      <c r="J555" s="45" t="str">
        <f t="shared" si="25"/>
        <v>Elena – Košćak – OK Varaždin</v>
      </c>
      <c r="L555" s="45" t="str">
        <f t="shared" si="26"/>
        <v>Elena – Košćak</v>
      </c>
      <c r="N555" s="103"/>
      <c r="O555" s="104"/>
      <c r="P555" s="105"/>
    </row>
    <row r="556" spans="2:16" x14ac:dyDescent="0.25">
      <c r="B556" s="103">
        <v>1649</v>
      </c>
      <c r="C556" s="104" t="s">
        <v>2836</v>
      </c>
      <c r="D556" s="104" t="s">
        <v>3771</v>
      </c>
      <c r="E556" s="104" t="s">
        <v>409</v>
      </c>
      <c r="F556" s="105"/>
      <c r="H556" s="45" t="str">
        <f t="shared" si="24"/>
        <v>Jana – Kovačić – OK Varaždin</v>
      </c>
      <c r="J556" s="45" t="str">
        <f t="shared" si="25"/>
        <v>Jana – Kovačić – OK Varaždin</v>
      </c>
      <c r="L556" s="45" t="str">
        <f t="shared" si="26"/>
        <v>Jana – Kovačić</v>
      </c>
      <c r="N556" s="103"/>
      <c r="O556" s="104"/>
      <c r="P556" s="105"/>
    </row>
    <row r="557" spans="2:16" x14ac:dyDescent="0.25">
      <c r="B557" s="103">
        <v>1272</v>
      </c>
      <c r="C557" s="104" t="s">
        <v>4133</v>
      </c>
      <c r="D557" s="104" t="s">
        <v>4134</v>
      </c>
      <c r="E557" s="104" t="s">
        <v>409</v>
      </c>
      <c r="F557" s="105"/>
      <c r="H557" s="45" t="str">
        <f t="shared" si="24"/>
        <v>Nera – Krečak – OK Varaždin</v>
      </c>
      <c r="J557" s="45" t="str">
        <f t="shared" si="25"/>
        <v>Nera – Krečak – OK Varaždin</v>
      </c>
      <c r="L557" s="45" t="str">
        <f t="shared" si="26"/>
        <v>Nera – Krečak</v>
      </c>
      <c r="N557" s="103"/>
      <c r="O557" s="104"/>
      <c r="P557" s="105"/>
    </row>
    <row r="558" spans="2:16" x14ac:dyDescent="0.25">
      <c r="B558" s="103">
        <v>1538</v>
      </c>
      <c r="C558" s="104" t="s">
        <v>2524</v>
      </c>
      <c r="D558" s="104" t="s">
        <v>713</v>
      </c>
      <c r="E558" s="104" t="s">
        <v>409</v>
      </c>
      <c r="F558" s="105" t="s">
        <v>2636</v>
      </c>
      <c r="H558" s="45" t="str">
        <f t="shared" si="24"/>
        <v>Nika – Kuzmanić – OK Varaždin – Ž12</v>
      </c>
      <c r="J558" s="45" t="str">
        <f t="shared" si="25"/>
        <v>Nika – Kuzmanić – OK Varaždin</v>
      </c>
      <c r="L558" s="45" t="str">
        <f t="shared" si="26"/>
        <v>Nika – Kuzmanić</v>
      </c>
      <c r="N558" s="103"/>
      <c r="O558" s="104"/>
      <c r="P558" s="105"/>
    </row>
    <row r="559" spans="2:16" x14ac:dyDescent="0.25">
      <c r="B559" s="103">
        <v>1274</v>
      </c>
      <c r="C559" s="104" t="s">
        <v>1194</v>
      </c>
      <c r="D559" s="104" t="s">
        <v>2347</v>
      </c>
      <c r="E559" s="104" t="s">
        <v>409</v>
      </c>
      <c r="F559" s="105" t="s">
        <v>2194</v>
      </c>
      <c r="H559" s="45" t="str">
        <f t="shared" si="24"/>
        <v>Predrag – Labaš – OK Varaždin – M55</v>
      </c>
      <c r="J559" s="45" t="str">
        <f t="shared" si="25"/>
        <v>Predrag – Labaš – OK Varaždin</v>
      </c>
      <c r="L559" s="45" t="str">
        <f t="shared" si="26"/>
        <v>Predrag – Labaš</v>
      </c>
      <c r="N559" s="103"/>
      <c r="O559" s="104"/>
      <c r="P559" s="105"/>
    </row>
    <row r="560" spans="2:16" x14ac:dyDescent="0.25">
      <c r="B560" s="103">
        <v>1174</v>
      </c>
      <c r="C560" s="104" t="s">
        <v>404</v>
      </c>
      <c r="D560" s="104" t="s">
        <v>403</v>
      </c>
      <c r="E560" s="104" t="s">
        <v>409</v>
      </c>
      <c r="F560" s="105" t="s">
        <v>363</v>
      </c>
      <c r="H560" s="45" t="str">
        <f t="shared" si="24"/>
        <v>Mario – Lah – OK Varaždin – M12</v>
      </c>
      <c r="J560" s="45" t="str">
        <f t="shared" si="25"/>
        <v>Mario – Lah – OK Varaždin</v>
      </c>
      <c r="L560" s="45" t="str">
        <f t="shared" si="26"/>
        <v>Mario – Lah</v>
      </c>
      <c r="N560" s="103"/>
      <c r="O560" s="104"/>
      <c r="P560" s="105"/>
    </row>
    <row r="561" spans="2:16" x14ac:dyDescent="0.25">
      <c r="B561" s="103">
        <v>1310</v>
      </c>
      <c r="C561" s="104" t="s">
        <v>1290</v>
      </c>
      <c r="D561" s="104" t="s">
        <v>403</v>
      </c>
      <c r="E561" s="104" t="s">
        <v>409</v>
      </c>
      <c r="F561" s="105" t="s">
        <v>1129</v>
      </c>
      <c r="H561" s="45" t="str">
        <f t="shared" si="24"/>
        <v>Siniša – Lah – OK Varaždin – M21B</v>
      </c>
      <c r="J561" s="45" t="str">
        <f t="shared" si="25"/>
        <v>Siniša – Lah – OK Varaždin</v>
      </c>
      <c r="L561" s="45" t="str">
        <f t="shared" si="26"/>
        <v>Siniša – Lah</v>
      </c>
      <c r="N561" s="103"/>
      <c r="O561" s="104"/>
      <c r="P561" s="105"/>
    </row>
    <row r="562" spans="2:16" x14ac:dyDescent="0.25">
      <c r="B562" s="103">
        <v>1660</v>
      </c>
      <c r="C562" s="104" t="s">
        <v>4135</v>
      </c>
      <c r="D562" s="104" t="s">
        <v>4136</v>
      </c>
      <c r="E562" s="104" t="s">
        <v>409</v>
      </c>
      <c r="F562" s="105"/>
      <c r="H562" s="45" t="str">
        <f t="shared" si="24"/>
        <v>Sven Ivor – Lebinac – OK Varaždin</v>
      </c>
      <c r="J562" s="45" t="str">
        <f t="shared" si="25"/>
        <v>Sven Ivor – Lebinac – OK Varaždin</v>
      </c>
      <c r="L562" s="45" t="str">
        <f t="shared" si="26"/>
        <v>Sven Ivor – Lebinac</v>
      </c>
      <c r="N562" s="103"/>
      <c r="O562" s="104"/>
      <c r="P562" s="105"/>
    </row>
    <row r="563" spans="2:16" x14ac:dyDescent="0.25">
      <c r="B563" s="103">
        <v>1931</v>
      </c>
      <c r="C563" s="104" t="s">
        <v>2646</v>
      </c>
      <c r="D563" s="104" t="s">
        <v>4137</v>
      </c>
      <c r="E563" s="104" t="s">
        <v>409</v>
      </c>
      <c r="F563" s="105"/>
      <c r="H563" s="45" t="str">
        <f t="shared" si="24"/>
        <v>Dora – Lešnjak – OK Varaždin</v>
      </c>
      <c r="J563" s="45" t="str">
        <f t="shared" si="25"/>
        <v>Dora – Lešnjak – OK Varaždin</v>
      </c>
      <c r="L563" s="45" t="str">
        <f t="shared" si="26"/>
        <v>Dora – Lešnjak</v>
      </c>
      <c r="N563" s="103"/>
      <c r="O563" s="104"/>
      <c r="P563" s="105"/>
    </row>
    <row r="564" spans="2:16" x14ac:dyDescent="0.25">
      <c r="B564" s="103">
        <v>1131</v>
      </c>
      <c r="C564" s="104" t="s">
        <v>4138</v>
      </c>
      <c r="D564" s="104" t="s">
        <v>4137</v>
      </c>
      <c r="E564" s="104" t="s">
        <v>409</v>
      </c>
      <c r="F564" s="105"/>
      <c r="H564" s="45" t="str">
        <f t="shared" si="24"/>
        <v>Tadej – Lešnjak – OK Varaždin</v>
      </c>
      <c r="J564" s="45" t="str">
        <f t="shared" si="25"/>
        <v>Tadej – Lešnjak – OK Varaždin</v>
      </c>
      <c r="L564" s="45" t="str">
        <f t="shared" si="26"/>
        <v>Tadej – Lešnjak</v>
      </c>
      <c r="N564" s="103"/>
      <c r="O564" s="104"/>
      <c r="P564" s="105"/>
    </row>
    <row r="565" spans="2:16" x14ac:dyDescent="0.25">
      <c r="B565" s="103">
        <v>1935</v>
      </c>
      <c r="C565" s="104" t="s">
        <v>2484</v>
      </c>
      <c r="D565" s="104" t="s">
        <v>1193</v>
      </c>
      <c r="E565" s="104" t="s">
        <v>409</v>
      </c>
      <c r="F565" s="105"/>
      <c r="H565" s="45" t="str">
        <f t="shared" si="24"/>
        <v>Iva – Mađarić – OK Varaždin</v>
      </c>
      <c r="J565" s="45" t="str">
        <f t="shared" si="25"/>
        <v>Iva – Mađarić – OK Varaždin</v>
      </c>
      <c r="L565" s="45" t="str">
        <f t="shared" si="26"/>
        <v>Iva – Mađarić</v>
      </c>
      <c r="N565" s="103"/>
      <c r="O565" s="104"/>
      <c r="P565" s="105"/>
    </row>
    <row r="566" spans="2:16" x14ac:dyDescent="0.25">
      <c r="B566" s="103">
        <v>1936</v>
      </c>
      <c r="C566" s="104" t="s">
        <v>1194</v>
      </c>
      <c r="D566" s="104" t="s">
        <v>1193</v>
      </c>
      <c r="E566" s="104" t="s">
        <v>409</v>
      </c>
      <c r="F566" s="105" t="s">
        <v>1129</v>
      </c>
      <c r="H566" s="45" t="str">
        <f t="shared" si="24"/>
        <v>Predrag – Mađarić – OK Varaždin – M21B</v>
      </c>
      <c r="J566" s="45" t="str">
        <f t="shared" si="25"/>
        <v>Predrag – Mađarić – OK Varaždin</v>
      </c>
      <c r="L566" s="45" t="str">
        <f t="shared" si="26"/>
        <v>Predrag – Mađarić</v>
      </c>
      <c r="N566" s="103"/>
      <c r="O566" s="104"/>
      <c r="P566" s="105"/>
    </row>
    <row r="567" spans="2:16" x14ac:dyDescent="0.25">
      <c r="B567" s="103">
        <v>1463</v>
      </c>
      <c r="C567" s="104" t="s">
        <v>4139</v>
      </c>
      <c r="D567" s="104" t="s">
        <v>4140</v>
      </c>
      <c r="E567" s="104" t="s">
        <v>409</v>
      </c>
      <c r="F567" s="105"/>
      <c r="H567" s="45" t="str">
        <f t="shared" si="24"/>
        <v>Melanija – Majer – OK Varaždin</v>
      </c>
      <c r="J567" s="45" t="str">
        <f t="shared" si="25"/>
        <v>Melanija – Majer – OK Varaždin</v>
      </c>
      <c r="L567" s="45" t="str">
        <f t="shared" si="26"/>
        <v>Melanija – Majer</v>
      </c>
      <c r="N567" s="103"/>
      <c r="O567" s="104"/>
      <c r="P567" s="105"/>
    </row>
    <row r="568" spans="2:16" x14ac:dyDescent="0.25">
      <c r="B568" s="103">
        <v>1518</v>
      </c>
      <c r="C568" s="104" t="s">
        <v>4141</v>
      </c>
      <c r="D568" s="104" t="s">
        <v>4142</v>
      </c>
      <c r="E568" s="104" t="s">
        <v>409</v>
      </c>
      <c r="F568" s="105"/>
      <c r="H568" s="45" t="str">
        <f t="shared" si="24"/>
        <v>Marinka – Mak – OK Varaždin</v>
      </c>
      <c r="J568" s="45" t="str">
        <f t="shared" si="25"/>
        <v>Marinka – Mak – OK Varaždin</v>
      </c>
      <c r="L568" s="45" t="str">
        <f t="shared" si="26"/>
        <v>Marinka – Mak</v>
      </c>
      <c r="N568" s="103"/>
      <c r="O568" s="104"/>
      <c r="P568" s="105"/>
    </row>
    <row r="569" spans="2:16" x14ac:dyDescent="0.25">
      <c r="B569" s="103">
        <v>1241</v>
      </c>
      <c r="C569" s="104" t="s">
        <v>2601</v>
      </c>
      <c r="D569" s="104" t="s">
        <v>4143</v>
      </c>
      <c r="E569" s="104" t="s">
        <v>409</v>
      </c>
      <c r="F569" s="105"/>
      <c r="H569" s="45" t="str">
        <f t="shared" si="24"/>
        <v>Petra – Martak – OK Varaždin</v>
      </c>
      <c r="J569" s="45" t="str">
        <f t="shared" si="25"/>
        <v>Petra – Martak – OK Varaždin</v>
      </c>
      <c r="L569" s="45" t="str">
        <f t="shared" si="26"/>
        <v>Petra – Martak</v>
      </c>
      <c r="N569" s="103"/>
      <c r="O569" s="104"/>
      <c r="P569" s="105"/>
    </row>
    <row r="570" spans="2:16" x14ac:dyDescent="0.25">
      <c r="B570" s="103">
        <v>1597</v>
      </c>
      <c r="C570" s="104" t="s">
        <v>4144</v>
      </c>
      <c r="D570" s="104" t="s">
        <v>4083</v>
      </c>
      <c r="E570" s="104" t="s">
        <v>409</v>
      </c>
      <c r="F570" s="105"/>
      <c r="H570" s="45" t="str">
        <f t="shared" si="24"/>
        <v>Janik – Martinčević – OK Varaždin</v>
      </c>
      <c r="J570" s="45" t="str">
        <f t="shared" si="25"/>
        <v>Janik – Martinčević – OK Varaždin</v>
      </c>
      <c r="L570" s="45" t="str">
        <f t="shared" si="26"/>
        <v>Janik – Martinčević</v>
      </c>
      <c r="N570" s="103"/>
      <c r="O570" s="104"/>
      <c r="P570" s="105"/>
    </row>
    <row r="571" spans="2:16" x14ac:dyDescent="0.25">
      <c r="B571" s="103">
        <v>1628</v>
      </c>
      <c r="C571" s="104" t="s">
        <v>1194</v>
      </c>
      <c r="D571" s="104" t="s">
        <v>4083</v>
      </c>
      <c r="E571" s="104" t="s">
        <v>409</v>
      </c>
      <c r="F571" s="105"/>
      <c r="H571" s="45" t="str">
        <f t="shared" si="24"/>
        <v>Predrag – Martinčević – OK Varaždin</v>
      </c>
      <c r="J571" s="45" t="str">
        <f t="shared" si="25"/>
        <v>Predrag – Martinčević – OK Varaždin</v>
      </c>
      <c r="L571" s="45" t="str">
        <f t="shared" si="26"/>
        <v>Predrag – Martinčević</v>
      </c>
      <c r="N571" s="103"/>
      <c r="O571" s="104"/>
      <c r="P571" s="105"/>
    </row>
    <row r="572" spans="2:16" x14ac:dyDescent="0.25">
      <c r="B572" s="103">
        <v>1758</v>
      </c>
      <c r="C572" s="104" t="s">
        <v>3992</v>
      </c>
      <c r="D572" s="104" t="s">
        <v>4145</v>
      </c>
      <c r="E572" s="104" t="s">
        <v>409</v>
      </c>
      <c r="F572" s="105"/>
      <c r="H572" s="45" t="str">
        <f t="shared" si="24"/>
        <v>Andrej – Martinez – OK Varaždin</v>
      </c>
      <c r="J572" s="45" t="str">
        <f t="shared" si="25"/>
        <v>Andrej – Martinez – OK Varaždin</v>
      </c>
      <c r="L572" s="45" t="str">
        <f t="shared" si="26"/>
        <v>Andrej – Martinez</v>
      </c>
      <c r="N572" s="103"/>
      <c r="O572" s="104"/>
      <c r="P572" s="105"/>
    </row>
    <row r="573" spans="2:16" x14ac:dyDescent="0.25">
      <c r="B573" s="103">
        <v>1646</v>
      </c>
      <c r="C573" s="104" t="s">
        <v>3795</v>
      </c>
      <c r="D573" s="104" t="s">
        <v>4145</v>
      </c>
      <c r="E573" s="104" t="s">
        <v>409</v>
      </c>
      <c r="F573" s="105"/>
      <c r="H573" s="45" t="str">
        <f t="shared" si="24"/>
        <v>Anja – Martinez – OK Varaždin</v>
      </c>
      <c r="J573" s="45" t="str">
        <f t="shared" si="25"/>
        <v>Anja – Martinez – OK Varaždin</v>
      </c>
      <c r="L573" s="45" t="str">
        <f t="shared" si="26"/>
        <v>Anja – Martinez</v>
      </c>
      <c r="N573" s="103"/>
      <c r="O573" s="104"/>
      <c r="P573" s="105"/>
    </row>
    <row r="574" spans="2:16" x14ac:dyDescent="0.25">
      <c r="B574" s="103">
        <v>1432</v>
      </c>
      <c r="C574" s="104" t="s">
        <v>387</v>
      </c>
      <c r="D574" s="104" t="s">
        <v>4146</v>
      </c>
      <c r="E574" s="104" t="s">
        <v>409</v>
      </c>
      <c r="F574" s="105"/>
      <c r="H574" s="45" t="str">
        <f t="shared" si="24"/>
        <v>Marin – Mihinjač – OK Varaždin</v>
      </c>
      <c r="J574" s="45" t="str">
        <f t="shared" si="25"/>
        <v>Marin – Mihinjač – OK Varaždin</v>
      </c>
      <c r="L574" s="45" t="str">
        <f t="shared" si="26"/>
        <v>Marin – Mihinjač</v>
      </c>
      <c r="N574" s="103"/>
      <c r="O574" s="104"/>
      <c r="P574" s="105"/>
    </row>
    <row r="575" spans="2:16" x14ac:dyDescent="0.25">
      <c r="B575" s="103">
        <v>1578</v>
      </c>
      <c r="C575" s="104" t="s">
        <v>3794</v>
      </c>
      <c r="D575" s="104" t="s">
        <v>4147</v>
      </c>
      <c r="E575" s="104" t="s">
        <v>409</v>
      </c>
      <c r="F575" s="105"/>
      <c r="H575" s="45" t="str">
        <f t="shared" si="24"/>
        <v>Lara – Možanić – OK Varaždin</v>
      </c>
      <c r="J575" s="45" t="str">
        <f t="shared" si="25"/>
        <v>Lara – Možanić – OK Varaždin</v>
      </c>
      <c r="L575" s="45" t="str">
        <f t="shared" si="26"/>
        <v>Lara – Možanić</v>
      </c>
      <c r="N575" s="103"/>
      <c r="O575" s="104"/>
      <c r="P575" s="105"/>
    </row>
    <row r="576" spans="2:16" x14ac:dyDescent="0.25">
      <c r="B576" s="103">
        <v>1097</v>
      </c>
      <c r="C576" s="104" t="s">
        <v>3599</v>
      </c>
      <c r="D576" s="104" t="s">
        <v>3715</v>
      </c>
      <c r="E576" s="104" t="s">
        <v>409</v>
      </c>
      <c r="F576" s="105" t="s">
        <v>3442</v>
      </c>
      <c r="H576" s="45" t="str">
        <f t="shared" si="24"/>
        <v>Sanja – Ostroški – OK Varaždin – Ž45</v>
      </c>
      <c r="J576" s="45" t="str">
        <f t="shared" si="25"/>
        <v>Sanja – Ostroški – OK Varaždin</v>
      </c>
      <c r="L576" s="45" t="str">
        <f t="shared" si="26"/>
        <v>Sanja – Ostroški</v>
      </c>
      <c r="N576" s="103"/>
      <c r="O576" s="104"/>
      <c r="P576" s="105"/>
    </row>
    <row r="577" spans="2:16" x14ac:dyDescent="0.25">
      <c r="B577" s="103">
        <v>1044</v>
      </c>
      <c r="C577" s="104" t="s">
        <v>4148</v>
      </c>
      <c r="D577" s="104" t="s">
        <v>4149</v>
      </c>
      <c r="E577" s="104" t="s">
        <v>409</v>
      </c>
      <c r="F577" s="105"/>
      <c r="H577" s="45" t="str">
        <f t="shared" si="24"/>
        <v>Zlatko – Pap – OK Varaždin</v>
      </c>
      <c r="J577" s="45" t="str">
        <f t="shared" si="25"/>
        <v>Zlatko – Pap – OK Varaždin</v>
      </c>
      <c r="L577" s="45" t="str">
        <f t="shared" si="26"/>
        <v>Zlatko – Pap</v>
      </c>
      <c r="N577" s="103"/>
      <c r="O577" s="104"/>
      <c r="P577" s="105"/>
    </row>
    <row r="578" spans="2:16" x14ac:dyDescent="0.25">
      <c r="B578" s="103">
        <v>1661</v>
      </c>
      <c r="C578" s="104" t="s">
        <v>4150</v>
      </c>
      <c r="D578" s="104" t="s">
        <v>4151</v>
      </c>
      <c r="E578" s="104" t="s">
        <v>409</v>
      </c>
      <c r="F578" s="105"/>
      <c r="H578" s="45" t="str">
        <f t="shared" si="24"/>
        <v>Vesna – Pascuttini-Juraga – OK Varaždin</v>
      </c>
      <c r="J578" s="45" t="str">
        <f t="shared" si="25"/>
        <v>Vesna – Pascuttini-Juraga – OK Varaždin</v>
      </c>
      <c r="L578" s="45" t="str">
        <f t="shared" si="26"/>
        <v>Vesna – Pascuttini-Juraga</v>
      </c>
      <c r="N578" s="103"/>
      <c r="O578" s="104"/>
      <c r="P578" s="105"/>
    </row>
    <row r="579" spans="2:16" x14ac:dyDescent="0.25">
      <c r="B579" s="103">
        <v>1079</v>
      </c>
      <c r="C579" s="104" t="s">
        <v>437</v>
      </c>
      <c r="D579" s="104" t="s">
        <v>874</v>
      </c>
      <c r="E579" s="104" t="s">
        <v>409</v>
      </c>
      <c r="F579" s="105" t="s">
        <v>768</v>
      </c>
      <c r="H579" s="45" t="str">
        <f t="shared" si="24"/>
        <v>Ivan – Pasquino – OK Varaždin – M20</v>
      </c>
      <c r="J579" s="45" t="str">
        <f t="shared" si="25"/>
        <v>Ivan – Pasquino – OK Varaždin</v>
      </c>
      <c r="L579" s="45" t="str">
        <f t="shared" si="26"/>
        <v>Ivan – Pasquino</v>
      </c>
      <c r="N579" s="103"/>
      <c r="O579" s="104"/>
      <c r="P579" s="105"/>
    </row>
    <row r="580" spans="2:16" x14ac:dyDescent="0.25">
      <c r="B580" s="103">
        <v>1933</v>
      </c>
      <c r="C580" s="104" t="s">
        <v>1496</v>
      </c>
      <c r="D580" s="104" t="s">
        <v>2386</v>
      </c>
      <c r="E580" s="104" t="s">
        <v>409</v>
      </c>
      <c r="F580" s="105"/>
      <c r="H580" s="45" t="str">
        <f t="shared" si="24"/>
        <v>Nikola – Pavić – OK Varaždin</v>
      </c>
      <c r="J580" s="45" t="str">
        <f t="shared" si="25"/>
        <v>Nikola – Pavić – OK Varaždin</v>
      </c>
      <c r="L580" s="45" t="str">
        <f t="shared" si="26"/>
        <v>Nikola – Pavić</v>
      </c>
      <c r="N580" s="103"/>
      <c r="O580" s="104"/>
      <c r="P580" s="105"/>
    </row>
    <row r="581" spans="2:16" x14ac:dyDescent="0.25">
      <c r="B581" s="103">
        <v>1625</v>
      </c>
      <c r="C581" s="104" t="s">
        <v>4152</v>
      </c>
      <c r="D581" s="104" t="s">
        <v>3780</v>
      </c>
      <c r="E581" s="104" t="s">
        <v>409</v>
      </c>
      <c r="F581" s="105"/>
      <c r="H581" s="45" t="str">
        <f t="shared" si="24"/>
        <v>Roman – Petak – OK Varaždin</v>
      </c>
      <c r="J581" s="45" t="str">
        <f t="shared" si="25"/>
        <v>Roman – Petak – OK Varaždin</v>
      </c>
      <c r="L581" s="45" t="str">
        <f t="shared" si="26"/>
        <v>Roman – Petak</v>
      </c>
      <c r="N581" s="103"/>
      <c r="O581" s="104"/>
      <c r="P581" s="105"/>
    </row>
    <row r="582" spans="2:16" x14ac:dyDescent="0.25">
      <c r="B582" s="103">
        <v>1116</v>
      </c>
      <c r="C582" s="104" t="s">
        <v>850</v>
      </c>
      <c r="D582" s="104" t="s">
        <v>849</v>
      </c>
      <c r="E582" s="104" t="s">
        <v>409</v>
      </c>
      <c r="F582" s="105" t="s">
        <v>768</v>
      </c>
      <c r="H582" s="45" t="str">
        <f t="shared" si="24"/>
        <v>Ozren – Pevec – OK Varaždin – M20</v>
      </c>
      <c r="J582" s="45" t="str">
        <f t="shared" si="25"/>
        <v>Ozren – Pevec – OK Varaždin</v>
      </c>
      <c r="L582" s="45" t="str">
        <f t="shared" si="26"/>
        <v>Ozren – Pevec</v>
      </c>
      <c r="N582" s="103"/>
      <c r="O582" s="104"/>
      <c r="P582" s="105"/>
    </row>
    <row r="583" spans="2:16" x14ac:dyDescent="0.25">
      <c r="B583" s="103">
        <v>1513</v>
      </c>
      <c r="C583" s="104" t="s">
        <v>4153</v>
      </c>
      <c r="D583" s="104" t="s">
        <v>849</v>
      </c>
      <c r="E583" s="104" t="s">
        <v>409</v>
      </c>
      <c r="F583" s="105"/>
      <c r="H583" s="45" t="str">
        <f t="shared" si="24"/>
        <v>Una Beata – Pevec – OK Varaždin</v>
      </c>
      <c r="J583" s="45" t="str">
        <f t="shared" si="25"/>
        <v>Una Beata – Pevec – OK Varaždin</v>
      </c>
      <c r="L583" s="45" t="str">
        <f t="shared" si="26"/>
        <v>Una Beata – Pevec</v>
      </c>
      <c r="N583" s="103"/>
      <c r="O583" s="104"/>
      <c r="P583" s="105"/>
    </row>
    <row r="584" spans="2:16" x14ac:dyDescent="0.25">
      <c r="B584" s="103">
        <v>1073</v>
      </c>
      <c r="C584" s="104" t="s">
        <v>4154</v>
      </c>
      <c r="D584" s="104" t="s">
        <v>4155</v>
      </c>
      <c r="E584" s="104" t="s">
        <v>409</v>
      </c>
      <c r="F584" s="105"/>
      <c r="H584" s="45" t="str">
        <f t="shared" si="24"/>
        <v>Nino – Piskač – OK Varaždin</v>
      </c>
      <c r="J584" s="45" t="str">
        <f t="shared" si="25"/>
        <v>Nino – Piskač – OK Varaždin</v>
      </c>
      <c r="L584" s="45" t="str">
        <f t="shared" si="26"/>
        <v>Nino – Piskač</v>
      </c>
      <c r="N584" s="103"/>
      <c r="O584" s="104"/>
      <c r="P584" s="105"/>
    </row>
    <row r="585" spans="2:16" x14ac:dyDescent="0.25">
      <c r="B585" s="103">
        <v>1934</v>
      </c>
      <c r="C585" s="104" t="s">
        <v>420</v>
      </c>
      <c r="D585" s="104" t="s">
        <v>4155</v>
      </c>
      <c r="E585" s="104" t="s">
        <v>409</v>
      </c>
      <c r="F585" s="105"/>
      <c r="H585" s="45" t="str">
        <f t="shared" si="24"/>
        <v>Teo – Piskač – OK Varaždin</v>
      </c>
      <c r="J585" s="45" t="str">
        <f t="shared" si="25"/>
        <v>Teo – Piskač – OK Varaždin</v>
      </c>
      <c r="L585" s="45" t="str">
        <f t="shared" si="26"/>
        <v>Teo – Piskač</v>
      </c>
      <c r="N585" s="103"/>
      <c r="O585" s="104"/>
      <c r="P585" s="105"/>
    </row>
    <row r="586" spans="2:16" x14ac:dyDescent="0.25">
      <c r="B586" s="103">
        <v>1441</v>
      </c>
      <c r="C586" s="104" t="s">
        <v>2703</v>
      </c>
      <c r="D586" s="104" t="s">
        <v>2871</v>
      </c>
      <c r="E586" s="104" t="s">
        <v>409</v>
      </c>
      <c r="F586" s="105" t="s">
        <v>2765</v>
      </c>
      <c r="H586" s="45" t="str">
        <f t="shared" si="24"/>
        <v>Ema – Potrebica – OK Varaždin – Ž16</v>
      </c>
      <c r="J586" s="45" t="str">
        <f t="shared" si="25"/>
        <v>Ema – Potrebica – OK Varaždin</v>
      </c>
      <c r="L586" s="45" t="str">
        <f t="shared" si="26"/>
        <v>Ema – Potrebica</v>
      </c>
      <c r="N586" s="103"/>
      <c r="O586" s="104"/>
      <c r="P586" s="105"/>
    </row>
    <row r="587" spans="2:16" x14ac:dyDescent="0.25">
      <c r="B587" s="103">
        <v>1220</v>
      </c>
      <c r="C587" s="104" t="s">
        <v>3410</v>
      </c>
      <c r="D587" s="104" t="s">
        <v>2871</v>
      </c>
      <c r="E587" s="104" t="s">
        <v>409</v>
      </c>
      <c r="F587" s="105" t="s">
        <v>3264</v>
      </c>
      <c r="H587" s="45" t="str">
        <f t="shared" ref="H587:H650" si="27">IF(C587="","",C587) &amp; IF(D587="",""," – " &amp; D587) &amp; IF(E587="",""," – " &amp; E587) &amp; IF(F587="",""," – " &amp; F587)</f>
        <v>Tanja – Potrebica – OK Varaždin – Ž35</v>
      </c>
      <c r="J587" s="45" t="str">
        <f t="shared" ref="J587:J650" si="28">IF(C587="","",C587) &amp; IF(D587="",""," – " &amp; D587) &amp; IF(E587="",""," – " &amp; E587)</f>
        <v>Tanja – Potrebica – OK Varaždin</v>
      </c>
      <c r="L587" s="45" t="str">
        <f t="shared" ref="L587:L650" si="29">IF(C587="","",C587) &amp; IF(D587="",""," – " &amp; D587)</f>
        <v>Tanja – Potrebica</v>
      </c>
      <c r="N587" s="103"/>
      <c r="O587" s="104"/>
      <c r="P587" s="105"/>
    </row>
    <row r="588" spans="2:16" x14ac:dyDescent="0.25">
      <c r="B588" s="103">
        <v>1637</v>
      </c>
      <c r="C588" s="104" t="s">
        <v>475</v>
      </c>
      <c r="D588" s="104" t="s">
        <v>4156</v>
      </c>
      <c r="E588" s="104" t="s">
        <v>409</v>
      </c>
      <c r="F588" s="105"/>
      <c r="H588" s="45" t="str">
        <f t="shared" si="27"/>
        <v>Jakov – Pravica – OK Varaždin</v>
      </c>
      <c r="J588" s="45" t="str">
        <f t="shared" si="28"/>
        <v>Jakov – Pravica – OK Varaždin</v>
      </c>
      <c r="L588" s="45" t="str">
        <f t="shared" si="29"/>
        <v>Jakov – Pravica</v>
      </c>
      <c r="N588" s="103"/>
      <c r="O588" s="104"/>
      <c r="P588" s="105"/>
    </row>
    <row r="589" spans="2:16" x14ac:dyDescent="0.25">
      <c r="B589" s="103">
        <v>1644</v>
      </c>
      <c r="C589" s="104" t="s">
        <v>3782</v>
      </c>
      <c r="D589" s="104" t="s">
        <v>4157</v>
      </c>
      <c r="E589" s="104" t="s">
        <v>409</v>
      </c>
      <c r="F589" s="105"/>
      <c r="H589" s="45" t="str">
        <f t="shared" si="27"/>
        <v>Mislav – Putarek – OK Varaždin</v>
      </c>
      <c r="J589" s="45" t="str">
        <f t="shared" si="28"/>
        <v>Mislav – Putarek – OK Varaždin</v>
      </c>
      <c r="L589" s="45" t="str">
        <f t="shared" si="29"/>
        <v>Mislav – Putarek</v>
      </c>
      <c r="N589" s="103"/>
      <c r="O589" s="104"/>
      <c r="P589" s="105"/>
    </row>
    <row r="590" spans="2:16" x14ac:dyDescent="0.25">
      <c r="B590" s="103">
        <v>1621</v>
      </c>
      <c r="C590" s="104" t="s">
        <v>4158</v>
      </c>
      <c r="D590" s="104" t="s">
        <v>4157</v>
      </c>
      <c r="E590" s="104" t="s">
        <v>409</v>
      </c>
      <c r="F590" s="105"/>
      <c r="H590" s="45" t="str">
        <f t="shared" si="27"/>
        <v>Vita – Putarek – OK Varaždin</v>
      </c>
      <c r="J590" s="45" t="str">
        <f t="shared" si="28"/>
        <v>Vita – Putarek – OK Varaždin</v>
      </c>
      <c r="L590" s="45" t="str">
        <f t="shared" si="29"/>
        <v>Vita – Putarek</v>
      </c>
      <c r="N590" s="103"/>
      <c r="O590" s="104"/>
      <c r="P590" s="105"/>
    </row>
    <row r="591" spans="2:16" x14ac:dyDescent="0.25">
      <c r="B591" s="103">
        <v>1531</v>
      </c>
      <c r="C591" s="104" t="s">
        <v>4159</v>
      </c>
      <c r="D591" s="104" t="s">
        <v>4160</v>
      </c>
      <c r="E591" s="104" t="s">
        <v>409</v>
      </c>
      <c r="F591" s="105"/>
      <c r="H591" s="45" t="str">
        <f t="shared" si="27"/>
        <v>Srećko – Radulović – OK Varaždin</v>
      </c>
      <c r="J591" s="45" t="str">
        <f t="shared" si="28"/>
        <v>Srećko – Radulović – OK Varaždin</v>
      </c>
      <c r="L591" s="45" t="str">
        <f t="shared" si="29"/>
        <v>Srećko – Radulović</v>
      </c>
      <c r="N591" s="103"/>
      <c r="O591" s="104"/>
      <c r="P591" s="105"/>
    </row>
    <row r="592" spans="2:16" x14ac:dyDescent="0.25">
      <c r="B592" s="103">
        <v>1281</v>
      </c>
      <c r="C592" s="104" t="s">
        <v>4105</v>
      </c>
      <c r="D592" s="104" t="s">
        <v>4161</v>
      </c>
      <c r="E592" s="104" t="s">
        <v>409</v>
      </c>
      <c r="F592" s="105"/>
      <c r="H592" s="45" t="str">
        <f t="shared" si="27"/>
        <v>Vida – Rak – OK Varaždin</v>
      </c>
      <c r="J592" s="45" t="str">
        <f t="shared" si="28"/>
        <v>Vida – Rak – OK Varaždin</v>
      </c>
      <c r="L592" s="45" t="str">
        <f t="shared" si="29"/>
        <v>Vida – Rak</v>
      </c>
      <c r="N592" s="103"/>
      <c r="O592" s="104"/>
      <c r="P592" s="105"/>
    </row>
    <row r="593" spans="2:16" x14ac:dyDescent="0.25">
      <c r="B593" s="103">
        <v>1652</v>
      </c>
      <c r="C593" s="104" t="s">
        <v>2646</v>
      </c>
      <c r="D593" s="104" t="s">
        <v>4162</v>
      </c>
      <c r="E593" s="104" t="s">
        <v>409</v>
      </c>
      <c r="F593" s="105"/>
      <c r="H593" s="45" t="str">
        <f t="shared" si="27"/>
        <v>Dora – Rodeš – OK Varaždin</v>
      </c>
      <c r="J593" s="45" t="str">
        <f t="shared" si="28"/>
        <v>Dora – Rodeš – OK Varaždin</v>
      </c>
      <c r="L593" s="45" t="str">
        <f t="shared" si="29"/>
        <v>Dora – Rodeš</v>
      </c>
      <c r="N593" s="103"/>
      <c r="O593" s="104"/>
      <c r="P593" s="105"/>
    </row>
    <row r="594" spans="2:16" x14ac:dyDescent="0.25">
      <c r="B594" s="103">
        <v>1147</v>
      </c>
      <c r="C594" s="104" t="s">
        <v>4163</v>
      </c>
      <c r="D594" s="104" t="s">
        <v>4164</v>
      </c>
      <c r="E594" s="104" t="s">
        <v>409</v>
      </c>
      <c r="F594" s="105"/>
      <c r="H594" s="45" t="str">
        <f t="shared" si="27"/>
        <v>Emanuel – Rožić – OK Varaždin</v>
      </c>
      <c r="J594" s="45" t="str">
        <f t="shared" si="28"/>
        <v>Emanuel – Rožić – OK Varaždin</v>
      </c>
      <c r="L594" s="45" t="str">
        <f t="shared" si="29"/>
        <v>Emanuel – Rožić</v>
      </c>
      <c r="N594" s="103"/>
      <c r="O594" s="104"/>
      <c r="P594" s="105"/>
    </row>
    <row r="595" spans="2:16" x14ac:dyDescent="0.25">
      <c r="B595" s="103">
        <v>1402</v>
      </c>
      <c r="C595" s="104" t="s">
        <v>2713</v>
      </c>
      <c r="D595" s="104" t="s">
        <v>1350</v>
      </c>
      <c r="E595" s="104" t="s">
        <v>409</v>
      </c>
      <c r="F595" s="105" t="s">
        <v>2636</v>
      </c>
      <c r="H595" s="45" t="str">
        <f t="shared" si="27"/>
        <v>Eva – Šantek – OK Varaždin – Ž12</v>
      </c>
      <c r="J595" s="45" t="str">
        <f t="shared" si="28"/>
        <v>Eva – Šantek – OK Varaždin</v>
      </c>
      <c r="L595" s="45" t="str">
        <f t="shared" si="29"/>
        <v>Eva – Šantek</v>
      </c>
      <c r="N595" s="103"/>
      <c r="O595" s="104"/>
      <c r="P595" s="105"/>
    </row>
    <row r="596" spans="2:16" x14ac:dyDescent="0.25">
      <c r="B596" s="103">
        <v>1149</v>
      </c>
      <c r="C596" s="104" t="s">
        <v>437</v>
      </c>
      <c r="D596" s="104" t="s">
        <v>1350</v>
      </c>
      <c r="E596" s="104" t="s">
        <v>409</v>
      </c>
      <c r="F596" s="105" t="s">
        <v>1129</v>
      </c>
      <c r="H596" s="45" t="str">
        <f t="shared" si="27"/>
        <v>Ivan – Šantek – OK Varaždin – M21B</v>
      </c>
      <c r="J596" s="45" t="str">
        <f t="shared" si="28"/>
        <v>Ivan – Šantek – OK Varaždin</v>
      </c>
      <c r="L596" s="45" t="str">
        <f t="shared" si="29"/>
        <v>Ivan – Šantek</v>
      </c>
      <c r="N596" s="103"/>
      <c r="O596" s="104"/>
      <c r="P596" s="105"/>
    </row>
    <row r="597" spans="2:16" x14ac:dyDescent="0.25">
      <c r="B597" s="103">
        <v>1932</v>
      </c>
      <c r="C597" s="104" t="s">
        <v>2564</v>
      </c>
      <c r="D597" s="104" t="s">
        <v>1350</v>
      </c>
      <c r="E597" s="104" t="s">
        <v>409</v>
      </c>
      <c r="F597" s="105"/>
      <c r="H597" s="45" t="str">
        <f t="shared" si="27"/>
        <v>Lucija – Šantek – OK Varaždin</v>
      </c>
      <c r="J597" s="45" t="str">
        <f t="shared" si="28"/>
        <v>Lucija – Šantek – OK Varaždin</v>
      </c>
      <c r="L597" s="45" t="str">
        <f t="shared" si="29"/>
        <v>Lucija – Šantek</v>
      </c>
      <c r="N597" s="103"/>
      <c r="O597" s="104"/>
      <c r="P597" s="105"/>
    </row>
    <row r="598" spans="2:16" x14ac:dyDescent="0.25">
      <c r="B598" s="103">
        <v>1270</v>
      </c>
      <c r="C598" s="104" t="s">
        <v>3559</v>
      </c>
      <c r="D598" s="104" t="s">
        <v>3569</v>
      </c>
      <c r="E598" s="104" t="s">
        <v>409</v>
      </c>
      <c r="F598" s="105" t="s">
        <v>3442</v>
      </c>
      <c r="H598" s="45" t="str">
        <f t="shared" si="27"/>
        <v>Marija – Schubert – OK Varaždin – Ž45</v>
      </c>
      <c r="J598" s="45" t="str">
        <f t="shared" si="28"/>
        <v>Marija – Schubert – OK Varaždin</v>
      </c>
      <c r="L598" s="45" t="str">
        <f t="shared" si="29"/>
        <v>Marija – Schubert</v>
      </c>
      <c r="N598" s="103"/>
      <c r="O598" s="104"/>
      <c r="P598" s="105"/>
    </row>
    <row r="599" spans="2:16" x14ac:dyDescent="0.25">
      <c r="B599" s="103">
        <v>1046</v>
      </c>
      <c r="C599" s="104" t="s">
        <v>2436</v>
      </c>
      <c r="D599" s="104" t="s">
        <v>4165</v>
      </c>
      <c r="E599" s="104" t="s">
        <v>409</v>
      </c>
      <c r="F599" s="105"/>
      <c r="H599" s="45" t="str">
        <f t="shared" si="27"/>
        <v>Ana – Smuđ – OK Varaždin</v>
      </c>
      <c r="J599" s="45" t="str">
        <f t="shared" si="28"/>
        <v>Ana – Smuđ – OK Varaždin</v>
      </c>
      <c r="L599" s="45" t="str">
        <f t="shared" si="29"/>
        <v>Ana – Smuđ</v>
      </c>
      <c r="N599" s="103"/>
      <c r="O599" s="104"/>
      <c r="P599" s="105"/>
    </row>
    <row r="600" spans="2:16" x14ac:dyDescent="0.25">
      <c r="B600" s="103">
        <v>1609</v>
      </c>
      <c r="C600" s="104" t="s">
        <v>1762</v>
      </c>
      <c r="D600" s="104" t="s">
        <v>4165</v>
      </c>
      <c r="E600" s="104" t="s">
        <v>409</v>
      </c>
      <c r="F600" s="105"/>
      <c r="H600" s="45" t="str">
        <f t="shared" si="27"/>
        <v>Miroslav – Smuđ – OK Varaždin</v>
      </c>
      <c r="J600" s="45" t="str">
        <f t="shared" si="28"/>
        <v>Miroslav – Smuđ – OK Varaždin</v>
      </c>
      <c r="L600" s="45" t="str">
        <f t="shared" si="29"/>
        <v>Miroslav – Smuđ</v>
      </c>
      <c r="N600" s="103"/>
      <c r="O600" s="104"/>
      <c r="P600" s="105"/>
    </row>
    <row r="601" spans="2:16" x14ac:dyDescent="0.25">
      <c r="B601" s="103">
        <v>1840</v>
      </c>
      <c r="C601" s="104" t="s">
        <v>2436</v>
      </c>
      <c r="D601" s="104" t="s">
        <v>2992</v>
      </c>
      <c r="E601" s="104" t="s">
        <v>409</v>
      </c>
      <c r="F601" s="105" t="s">
        <v>2927</v>
      </c>
      <c r="H601" s="45" t="str">
        <f t="shared" si="27"/>
        <v>Ana – Srebačić – OK Varaždin – Ž20</v>
      </c>
      <c r="J601" s="45" t="str">
        <f t="shared" si="28"/>
        <v>Ana – Srebačić – OK Varaždin</v>
      </c>
      <c r="L601" s="45" t="str">
        <f t="shared" si="29"/>
        <v>Ana – Srebačić</v>
      </c>
      <c r="N601" s="103"/>
      <c r="O601" s="104"/>
      <c r="P601" s="105"/>
    </row>
    <row r="602" spans="2:16" x14ac:dyDescent="0.25">
      <c r="B602" s="103">
        <v>1067</v>
      </c>
      <c r="C602" s="104" t="s">
        <v>3611</v>
      </c>
      <c r="D602" s="104" t="s">
        <v>2992</v>
      </c>
      <c r="E602" s="104" t="s">
        <v>409</v>
      </c>
      <c r="F602" s="105" t="s">
        <v>3442</v>
      </c>
      <c r="H602" s="45" t="str">
        <f t="shared" si="27"/>
        <v>Davorka – Srebačić – OK Varaždin – Ž45</v>
      </c>
      <c r="J602" s="45" t="str">
        <f t="shared" si="28"/>
        <v>Davorka – Srebačić – OK Varaždin</v>
      </c>
      <c r="L602" s="45" t="str">
        <f t="shared" si="29"/>
        <v>Davorka – Srebačić</v>
      </c>
      <c r="N602" s="103"/>
      <c r="O602" s="104"/>
      <c r="P602" s="105"/>
    </row>
    <row r="603" spans="2:16" x14ac:dyDescent="0.25">
      <c r="B603" s="103">
        <v>1756</v>
      </c>
      <c r="C603" s="104" t="s">
        <v>820</v>
      </c>
      <c r="D603" s="104" t="s">
        <v>4166</v>
      </c>
      <c r="E603" s="104" t="s">
        <v>409</v>
      </c>
      <c r="F603" s="105"/>
      <c r="H603" s="45" t="str">
        <f t="shared" si="27"/>
        <v>Noa – Stančić – OK Varaždin</v>
      </c>
      <c r="J603" s="45" t="str">
        <f t="shared" si="28"/>
        <v>Noa – Stančić – OK Varaždin</v>
      </c>
      <c r="L603" s="45" t="str">
        <f t="shared" si="29"/>
        <v>Noa – Stančić</v>
      </c>
      <c r="N603" s="103"/>
      <c r="O603" s="104"/>
      <c r="P603" s="105"/>
    </row>
    <row r="604" spans="2:16" x14ac:dyDescent="0.25">
      <c r="B604" s="103">
        <v>1568</v>
      </c>
      <c r="C604" s="104" t="s">
        <v>2266</v>
      </c>
      <c r="D604" s="104" t="s">
        <v>2399</v>
      </c>
      <c r="E604" s="104" t="s">
        <v>409</v>
      </c>
      <c r="F604" s="105" t="s">
        <v>2402</v>
      </c>
      <c r="H604" s="45" t="str">
        <f t="shared" si="27"/>
        <v>Milan – Turkalj – OK Varaždin – M70</v>
      </c>
      <c r="J604" s="45" t="str">
        <f t="shared" si="28"/>
        <v>Milan – Turkalj – OK Varaždin</v>
      </c>
      <c r="L604" s="45" t="str">
        <f t="shared" si="29"/>
        <v>Milan – Turkalj</v>
      </c>
      <c r="N604" s="103"/>
      <c r="O604" s="104"/>
      <c r="P604" s="105"/>
    </row>
    <row r="605" spans="2:16" x14ac:dyDescent="0.25">
      <c r="B605" s="103">
        <v>1180</v>
      </c>
      <c r="C605" s="104" t="s">
        <v>765</v>
      </c>
      <c r="D605" s="104" t="s">
        <v>4167</v>
      </c>
      <c r="E605" s="104" t="s">
        <v>409</v>
      </c>
      <c r="F605" s="105"/>
      <c r="H605" s="45" t="str">
        <f t="shared" si="27"/>
        <v>Jan – Turković – OK Varaždin</v>
      </c>
      <c r="J605" s="45" t="str">
        <f t="shared" si="28"/>
        <v>Jan – Turković – OK Varaždin</v>
      </c>
      <c r="L605" s="45" t="str">
        <f t="shared" si="29"/>
        <v>Jan – Turković</v>
      </c>
      <c r="N605" s="103"/>
      <c r="O605" s="104"/>
      <c r="P605" s="105"/>
    </row>
    <row r="606" spans="2:16" x14ac:dyDescent="0.25">
      <c r="B606" s="103">
        <v>1035</v>
      </c>
      <c r="C606" s="104" t="s">
        <v>4168</v>
      </c>
      <c r="D606" s="104" t="s">
        <v>4169</v>
      </c>
      <c r="E606" s="104" t="s">
        <v>409</v>
      </c>
      <c r="F606" s="105"/>
      <c r="H606" s="45" t="str">
        <f t="shared" si="27"/>
        <v>Tony – Udris – OK Varaždin</v>
      </c>
      <c r="J606" s="45" t="str">
        <f t="shared" si="28"/>
        <v>Tony – Udris – OK Varaždin</v>
      </c>
      <c r="L606" s="45" t="str">
        <f t="shared" si="29"/>
        <v>Tony – Udris</v>
      </c>
      <c r="N606" s="103"/>
      <c r="O606" s="104"/>
      <c r="P606" s="105"/>
    </row>
    <row r="607" spans="2:16" x14ac:dyDescent="0.25">
      <c r="B607" s="103">
        <v>1591</v>
      </c>
      <c r="C607" s="104" t="s">
        <v>3182</v>
      </c>
      <c r="D607" s="104" t="s">
        <v>4170</v>
      </c>
      <c r="E607" s="104" t="s">
        <v>409</v>
      </c>
      <c r="F607" s="105"/>
      <c r="H607" s="45" t="str">
        <f t="shared" si="27"/>
        <v>Hana – Uranić – OK Varaždin</v>
      </c>
      <c r="J607" s="45" t="str">
        <f t="shared" si="28"/>
        <v>Hana – Uranić – OK Varaždin</v>
      </c>
      <c r="L607" s="45" t="str">
        <f t="shared" si="29"/>
        <v>Hana – Uranić</v>
      </c>
      <c r="N607" s="103"/>
      <c r="O607" s="104"/>
      <c r="P607" s="105"/>
    </row>
    <row r="608" spans="2:16" x14ac:dyDescent="0.25">
      <c r="B608" s="103">
        <v>1759</v>
      </c>
      <c r="C608" s="104" t="s">
        <v>2892</v>
      </c>
      <c r="D608" s="104" t="s">
        <v>4171</v>
      </c>
      <c r="E608" s="104" t="s">
        <v>409</v>
      </c>
      <c r="F608" s="105"/>
      <c r="H608" s="45" t="str">
        <f t="shared" si="27"/>
        <v>Nina – Veseljak – OK Varaždin</v>
      </c>
      <c r="J608" s="45" t="str">
        <f t="shared" si="28"/>
        <v>Nina – Veseljak – OK Varaždin</v>
      </c>
      <c r="L608" s="45" t="str">
        <f t="shared" si="29"/>
        <v>Nina – Veseljak</v>
      </c>
      <c r="N608" s="103"/>
      <c r="O608" s="104"/>
      <c r="P608" s="105"/>
    </row>
    <row r="609" spans="2:16" x14ac:dyDescent="0.25">
      <c r="B609" s="103">
        <v>1051</v>
      </c>
      <c r="C609" s="104" t="s">
        <v>4110</v>
      </c>
      <c r="D609" s="104" t="s">
        <v>4172</v>
      </c>
      <c r="E609" s="104" t="s">
        <v>409</v>
      </c>
      <c r="F609" s="105"/>
      <c r="H609" s="45" t="str">
        <f t="shared" si="27"/>
        <v>Antonela – Vidović – OK Varaždin</v>
      </c>
      <c r="J609" s="45" t="str">
        <f t="shared" si="28"/>
        <v>Antonela – Vidović – OK Varaždin</v>
      </c>
      <c r="L609" s="45" t="str">
        <f t="shared" si="29"/>
        <v>Antonela – Vidović</v>
      </c>
      <c r="N609" s="103"/>
      <c r="O609" s="104"/>
      <c r="P609" s="105"/>
    </row>
    <row r="610" spans="2:16" x14ac:dyDescent="0.25">
      <c r="B610" s="103">
        <v>1551</v>
      </c>
      <c r="C610" s="104" t="s">
        <v>3687</v>
      </c>
      <c r="D610" s="104" t="s">
        <v>1334</v>
      </c>
      <c r="E610" s="104" t="s">
        <v>409</v>
      </c>
      <c r="F610" s="105"/>
      <c r="H610" s="45" t="str">
        <f t="shared" si="27"/>
        <v>Biserka – Vodopija – OK Varaždin</v>
      </c>
      <c r="J610" s="45" t="str">
        <f t="shared" si="28"/>
        <v>Biserka – Vodopija – OK Varaždin</v>
      </c>
      <c r="L610" s="45" t="str">
        <f t="shared" si="29"/>
        <v>Biserka – Vodopija</v>
      </c>
      <c r="N610" s="103"/>
      <c r="O610" s="104"/>
      <c r="P610" s="105"/>
    </row>
    <row r="611" spans="2:16" x14ac:dyDescent="0.25">
      <c r="B611" s="103">
        <v>1210</v>
      </c>
      <c r="C611" s="104" t="s">
        <v>3775</v>
      </c>
      <c r="D611" s="104" t="s">
        <v>1334</v>
      </c>
      <c r="E611" s="104" t="s">
        <v>409</v>
      </c>
      <c r="F611" s="105"/>
      <c r="H611" s="45" t="str">
        <f t="shared" si="27"/>
        <v>Bruno – Vodopija – OK Varaždin</v>
      </c>
      <c r="J611" s="45" t="str">
        <f t="shared" si="28"/>
        <v>Bruno – Vodopija – OK Varaždin</v>
      </c>
      <c r="L611" s="45" t="str">
        <f t="shared" si="29"/>
        <v>Bruno – Vodopija</v>
      </c>
      <c r="N611" s="103"/>
      <c r="O611" s="104"/>
      <c r="P611" s="105"/>
    </row>
    <row r="612" spans="2:16" x14ac:dyDescent="0.25">
      <c r="B612" s="103">
        <v>1662</v>
      </c>
      <c r="C612" s="104" t="s">
        <v>4173</v>
      </c>
      <c r="D612" s="104" t="s">
        <v>1334</v>
      </c>
      <c r="E612" s="104" t="s">
        <v>409</v>
      </c>
      <c r="F612" s="105"/>
      <c r="H612" s="45" t="str">
        <f t="shared" si="27"/>
        <v>Neven – Vodopija – OK Varaždin</v>
      </c>
      <c r="J612" s="45" t="str">
        <f t="shared" si="28"/>
        <v>Neven – Vodopija – OK Varaždin</v>
      </c>
      <c r="L612" s="45" t="str">
        <f t="shared" si="29"/>
        <v>Neven – Vodopija</v>
      </c>
      <c r="N612" s="103"/>
      <c r="O612" s="104"/>
      <c r="P612" s="105"/>
    </row>
    <row r="613" spans="2:16" x14ac:dyDescent="0.25">
      <c r="B613" s="103">
        <v>1245</v>
      </c>
      <c r="C613" s="104" t="s">
        <v>3761</v>
      </c>
      <c r="D613" s="104" t="s">
        <v>1334</v>
      </c>
      <c r="E613" s="104" t="s">
        <v>409</v>
      </c>
      <c r="F613" s="105"/>
      <c r="H613" s="45" t="str">
        <f t="shared" si="27"/>
        <v>Rea – Vodopija – OK Varaždin</v>
      </c>
      <c r="J613" s="45" t="str">
        <f t="shared" si="28"/>
        <v>Rea – Vodopija – OK Varaždin</v>
      </c>
      <c r="L613" s="45" t="str">
        <f t="shared" si="29"/>
        <v>Rea – Vodopija</v>
      </c>
      <c r="N613" s="103"/>
      <c r="O613" s="104"/>
      <c r="P613" s="105"/>
    </row>
    <row r="614" spans="2:16" x14ac:dyDescent="0.25">
      <c r="B614" s="103">
        <v>1299</v>
      </c>
      <c r="C614" s="104" t="s">
        <v>3950</v>
      </c>
      <c r="D614" s="104" t="s">
        <v>1334</v>
      </c>
      <c r="E614" s="104" t="s">
        <v>409</v>
      </c>
      <c r="F614" s="105"/>
      <c r="H614" s="45" t="str">
        <f t="shared" si="27"/>
        <v>Zvonko – Vodopija – OK Varaždin</v>
      </c>
      <c r="J614" s="45" t="str">
        <f t="shared" si="28"/>
        <v>Zvonko – Vodopija – OK Varaždin</v>
      </c>
      <c r="L614" s="45" t="str">
        <f t="shared" si="29"/>
        <v>Zvonko – Vodopija</v>
      </c>
      <c r="N614" s="103"/>
      <c r="O614" s="104"/>
      <c r="P614" s="105"/>
    </row>
    <row r="615" spans="2:16" x14ac:dyDescent="0.25">
      <c r="B615" s="103">
        <v>1619</v>
      </c>
      <c r="C615" s="104" t="s">
        <v>2633</v>
      </c>
      <c r="D615" s="104" t="s">
        <v>4174</v>
      </c>
      <c r="E615" s="104" t="s">
        <v>409</v>
      </c>
      <c r="F615" s="105"/>
      <c r="H615" s="45" t="str">
        <f t="shared" si="27"/>
        <v>Sara – Vugrek – OK Varaždin</v>
      </c>
      <c r="J615" s="45" t="str">
        <f t="shared" si="28"/>
        <v>Sara – Vugrek – OK Varaždin</v>
      </c>
      <c r="L615" s="45" t="str">
        <f t="shared" si="29"/>
        <v>Sara – Vugrek</v>
      </c>
      <c r="N615" s="103"/>
      <c r="O615" s="104"/>
      <c r="P615" s="105"/>
    </row>
    <row r="616" spans="2:16" x14ac:dyDescent="0.25">
      <c r="B616" s="103">
        <v>1757</v>
      </c>
      <c r="C616" s="104" t="s">
        <v>4163</v>
      </c>
      <c r="D616" s="104" t="s">
        <v>4175</v>
      </c>
      <c r="E616" s="104" t="s">
        <v>409</v>
      </c>
      <c r="F616" s="105"/>
      <c r="H616" s="45" t="str">
        <f t="shared" si="27"/>
        <v>Emanuel – Vukovac – OK Varaždin</v>
      </c>
      <c r="J616" s="45" t="str">
        <f t="shared" si="28"/>
        <v>Emanuel – Vukovac – OK Varaždin</v>
      </c>
      <c r="L616" s="45" t="str">
        <f t="shared" si="29"/>
        <v>Emanuel – Vukovac</v>
      </c>
      <c r="N616" s="103"/>
      <c r="O616" s="104"/>
      <c r="P616" s="105"/>
    </row>
    <row r="617" spans="2:16" x14ac:dyDescent="0.25">
      <c r="B617" s="103">
        <v>1539</v>
      </c>
      <c r="C617" s="104" t="s">
        <v>3809</v>
      </c>
      <c r="D617" s="104" t="s">
        <v>4176</v>
      </c>
      <c r="E617" s="104" t="s">
        <v>409</v>
      </c>
      <c r="F617" s="105"/>
      <c r="H617" s="45" t="str">
        <f t="shared" si="27"/>
        <v>Fran – Zagrajski – OK Varaždin</v>
      </c>
      <c r="J617" s="45" t="str">
        <f t="shared" si="28"/>
        <v>Fran – Zagrajski – OK Varaždin</v>
      </c>
      <c r="L617" s="45" t="str">
        <f t="shared" si="29"/>
        <v>Fran – Zagrajski</v>
      </c>
      <c r="N617" s="103"/>
      <c r="O617" s="104"/>
      <c r="P617" s="105"/>
    </row>
    <row r="618" spans="2:16" x14ac:dyDescent="0.25">
      <c r="B618" s="103">
        <v>1197</v>
      </c>
      <c r="C618" s="104" t="s">
        <v>2447</v>
      </c>
      <c r="D618" s="104" t="s">
        <v>4176</v>
      </c>
      <c r="E618" s="104" t="s">
        <v>409</v>
      </c>
      <c r="F618" s="105"/>
      <c r="H618" s="45" t="str">
        <f t="shared" si="27"/>
        <v>Ivana – Zagrajski – OK Varaždin</v>
      </c>
      <c r="J618" s="45" t="str">
        <f t="shared" si="28"/>
        <v>Ivana – Zagrajski – OK Varaždin</v>
      </c>
      <c r="L618" s="45" t="str">
        <f t="shared" si="29"/>
        <v>Ivana – Zagrajski</v>
      </c>
      <c r="N618" s="103"/>
      <c r="O618" s="109"/>
      <c r="P618" s="105"/>
    </row>
    <row r="619" spans="2:16" x14ac:dyDescent="0.25">
      <c r="B619" s="103">
        <v>1255</v>
      </c>
      <c r="C619" s="104" t="s">
        <v>2601</v>
      </c>
      <c r="D619" s="104" t="s">
        <v>4177</v>
      </c>
      <c r="E619" s="104" t="s">
        <v>425</v>
      </c>
      <c r="F619" s="105" t="s">
        <v>3093</v>
      </c>
      <c r="H619" s="45" t="str">
        <f t="shared" si="27"/>
        <v>Petra – Abramović – OK Vihor – Ž21B</v>
      </c>
      <c r="J619" s="45" t="str">
        <f t="shared" si="28"/>
        <v>Petra – Abramović – OK Vihor</v>
      </c>
      <c r="L619" s="45" t="str">
        <f t="shared" si="29"/>
        <v>Petra – Abramović</v>
      </c>
      <c r="N619" s="103"/>
      <c r="O619" s="104"/>
      <c r="P619" s="105"/>
    </row>
    <row r="620" spans="2:16" x14ac:dyDescent="0.25">
      <c r="B620" s="103">
        <v>1113</v>
      </c>
      <c r="C620" s="104" t="s">
        <v>2424</v>
      </c>
      <c r="D620" s="104" t="s">
        <v>2423</v>
      </c>
      <c r="E620" s="104" t="s">
        <v>425</v>
      </c>
      <c r="F620" s="105" t="s">
        <v>3093</v>
      </c>
      <c r="H620" s="45" t="str">
        <f t="shared" si="27"/>
        <v>Barbara – Arbanas – OK Vihor – Ž21B</v>
      </c>
      <c r="J620" s="45" t="str">
        <f t="shared" si="28"/>
        <v>Barbara – Arbanas – OK Vihor</v>
      </c>
      <c r="L620" s="45" t="str">
        <f t="shared" si="29"/>
        <v>Barbara – Arbanas</v>
      </c>
      <c r="N620" s="103"/>
      <c r="O620" s="104"/>
      <c r="P620" s="105"/>
    </row>
    <row r="621" spans="2:16" x14ac:dyDescent="0.25">
      <c r="B621" s="103">
        <v>1006</v>
      </c>
      <c r="C621" s="104" t="s">
        <v>4178</v>
      </c>
      <c r="D621" s="104" t="s">
        <v>4179</v>
      </c>
      <c r="E621" s="104" t="s">
        <v>425</v>
      </c>
      <c r="F621" s="105"/>
      <c r="H621" s="45" t="str">
        <f t="shared" si="27"/>
        <v>Anamarija – Artić – OK Vihor</v>
      </c>
      <c r="J621" s="45" t="str">
        <f t="shared" si="28"/>
        <v>Anamarija – Artić – OK Vihor</v>
      </c>
      <c r="L621" s="45" t="str">
        <f t="shared" si="29"/>
        <v>Anamarija – Artić</v>
      </c>
      <c r="N621" s="103"/>
      <c r="O621" s="104"/>
      <c r="P621" s="105"/>
    </row>
    <row r="622" spans="2:16" x14ac:dyDescent="0.25">
      <c r="B622" s="103">
        <v>1796</v>
      </c>
      <c r="C622" s="104" t="s">
        <v>4180</v>
      </c>
      <c r="D622" s="104" t="s">
        <v>4181</v>
      </c>
      <c r="E622" s="104" t="s">
        <v>425</v>
      </c>
      <c r="F622" s="105"/>
      <c r="H622" s="45" t="str">
        <f t="shared" si="27"/>
        <v>Anna – Artyushenko – OK Vihor</v>
      </c>
      <c r="J622" s="45" t="str">
        <f t="shared" si="28"/>
        <v>Anna – Artyushenko – OK Vihor</v>
      </c>
      <c r="L622" s="45" t="str">
        <f t="shared" si="29"/>
        <v>Anna – Artyushenko</v>
      </c>
      <c r="N622" s="103"/>
      <c r="O622" s="104"/>
      <c r="P622" s="105"/>
    </row>
    <row r="623" spans="2:16" x14ac:dyDescent="0.25">
      <c r="B623" s="103">
        <v>1797</v>
      </c>
      <c r="C623" s="104" t="s">
        <v>4182</v>
      </c>
      <c r="D623" s="104" t="s">
        <v>4181</v>
      </c>
      <c r="E623" s="104" t="s">
        <v>425</v>
      </c>
      <c r="F623" s="105"/>
      <c r="H623" s="45" t="str">
        <f t="shared" si="27"/>
        <v>Irina – Artyushenko – OK Vihor</v>
      </c>
      <c r="J623" s="45" t="str">
        <f t="shared" si="28"/>
        <v>Irina – Artyushenko – OK Vihor</v>
      </c>
      <c r="L623" s="45" t="str">
        <f t="shared" si="29"/>
        <v>Irina – Artyushenko</v>
      </c>
      <c r="N623" s="103"/>
      <c r="O623" s="104"/>
      <c r="P623" s="105"/>
    </row>
    <row r="624" spans="2:16" x14ac:dyDescent="0.25">
      <c r="B624" s="103">
        <v>1795</v>
      </c>
      <c r="C624" s="104" t="s">
        <v>4183</v>
      </c>
      <c r="D624" s="104" t="s">
        <v>4181</v>
      </c>
      <c r="E624" s="104" t="s">
        <v>425</v>
      </c>
      <c r="F624" s="105"/>
      <c r="H624" s="45" t="str">
        <f t="shared" si="27"/>
        <v>Julia – Artyushenko – OK Vihor</v>
      </c>
      <c r="J624" s="45" t="str">
        <f t="shared" si="28"/>
        <v>Julia – Artyushenko – OK Vihor</v>
      </c>
      <c r="L624" s="45" t="str">
        <f t="shared" si="29"/>
        <v>Julia – Artyushenko</v>
      </c>
      <c r="N624" s="103"/>
      <c r="O624" s="104"/>
      <c r="P624" s="105"/>
    </row>
    <row r="625" spans="2:16" x14ac:dyDescent="0.25">
      <c r="B625" s="103">
        <v>1691</v>
      </c>
      <c r="C625" s="104" t="s">
        <v>740</v>
      </c>
      <c r="D625" s="104" t="s">
        <v>4184</v>
      </c>
      <c r="E625" s="104" t="s">
        <v>425</v>
      </c>
      <c r="F625" s="105"/>
      <c r="H625" s="45" t="str">
        <f t="shared" si="27"/>
        <v>Goran – Babić – OK Vihor</v>
      </c>
      <c r="J625" s="45" t="str">
        <f t="shared" si="28"/>
        <v>Goran – Babić – OK Vihor</v>
      </c>
      <c r="L625" s="45" t="str">
        <f t="shared" si="29"/>
        <v>Goran – Babić</v>
      </c>
      <c r="N625" s="103"/>
      <c r="O625" s="104"/>
      <c r="P625" s="105"/>
    </row>
    <row r="626" spans="2:16" x14ac:dyDescent="0.25">
      <c r="B626" s="103">
        <v>1690</v>
      </c>
      <c r="C626" s="104" t="s">
        <v>4082</v>
      </c>
      <c r="D626" s="104" t="s">
        <v>4184</v>
      </c>
      <c r="E626" s="104" t="s">
        <v>425</v>
      </c>
      <c r="F626" s="105"/>
      <c r="H626" s="45" t="str">
        <f t="shared" si="27"/>
        <v>Kristina – Babić – OK Vihor</v>
      </c>
      <c r="J626" s="45" t="str">
        <f t="shared" si="28"/>
        <v>Kristina – Babić – OK Vihor</v>
      </c>
      <c r="L626" s="45" t="str">
        <f t="shared" si="29"/>
        <v>Kristina – Babić</v>
      </c>
      <c r="N626" s="103"/>
      <c r="O626" s="104"/>
      <c r="P626" s="105"/>
    </row>
    <row r="627" spans="2:16" x14ac:dyDescent="0.25">
      <c r="B627" s="103">
        <v>1692</v>
      </c>
      <c r="C627" s="104" t="s">
        <v>4118</v>
      </c>
      <c r="D627" s="104" t="s">
        <v>4184</v>
      </c>
      <c r="E627" s="104" t="s">
        <v>425</v>
      </c>
      <c r="F627" s="105"/>
      <c r="H627" s="45" t="str">
        <f t="shared" si="27"/>
        <v>Stjepan – Babić – OK Vihor</v>
      </c>
      <c r="J627" s="45" t="str">
        <f t="shared" si="28"/>
        <v>Stjepan – Babić – OK Vihor</v>
      </c>
      <c r="L627" s="45" t="str">
        <f t="shared" si="29"/>
        <v>Stjepan – Babić</v>
      </c>
      <c r="N627" s="103"/>
      <c r="O627" s="104"/>
      <c r="P627" s="105"/>
    </row>
    <row r="628" spans="2:16" x14ac:dyDescent="0.25">
      <c r="B628" s="103">
        <v>1693</v>
      </c>
      <c r="C628" s="104" t="s">
        <v>1052</v>
      </c>
      <c r="D628" s="104" t="s">
        <v>4185</v>
      </c>
      <c r="E628" s="104" t="s">
        <v>425</v>
      </c>
      <c r="F628" s="105"/>
      <c r="H628" s="45" t="str">
        <f t="shared" si="27"/>
        <v>Frane – Baće – OK Vihor</v>
      </c>
      <c r="J628" s="45" t="str">
        <f t="shared" si="28"/>
        <v>Frane – Baće – OK Vihor</v>
      </c>
      <c r="L628" s="45" t="str">
        <f t="shared" si="29"/>
        <v>Frane – Baće</v>
      </c>
      <c r="N628" s="103"/>
      <c r="O628" s="104"/>
      <c r="P628" s="105"/>
    </row>
    <row r="629" spans="2:16" x14ac:dyDescent="0.25">
      <c r="B629" s="103">
        <v>1055</v>
      </c>
      <c r="C629" s="104" t="s">
        <v>2674</v>
      </c>
      <c r="D629" s="104" t="s">
        <v>2673</v>
      </c>
      <c r="E629" s="104" t="s">
        <v>425</v>
      </c>
      <c r="F629" s="105" t="s">
        <v>2636</v>
      </c>
      <c r="H629" s="45" t="str">
        <f t="shared" si="27"/>
        <v>Luna – Bajrektarević – OK Vihor – Ž12</v>
      </c>
      <c r="J629" s="45" t="str">
        <f t="shared" si="28"/>
        <v>Luna – Bajrektarević – OK Vihor</v>
      </c>
      <c r="L629" s="45" t="str">
        <f t="shared" si="29"/>
        <v>Luna – Bajrektarević</v>
      </c>
      <c r="N629" s="103"/>
      <c r="O629" s="104"/>
      <c r="P629" s="105"/>
    </row>
    <row r="630" spans="2:16" x14ac:dyDescent="0.25">
      <c r="B630" s="103">
        <v>1881</v>
      </c>
      <c r="C630" s="104" t="s">
        <v>2484</v>
      </c>
      <c r="D630" s="104" t="s">
        <v>4186</v>
      </c>
      <c r="E630" s="104" t="s">
        <v>425</v>
      </c>
      <c r="F630" s="105" t="s">
        <v>3093</v>
      </c>
      <c r="H630" s="45" t="str">
        <f t="shared" si="27"/>
        <v>Iva – Balaž – OK Vihor – Ž21B</v>
      </c>
      <c r="J630" s="45" t="str">
        <f t="shared" si="28"/>
        <v>Iva – Balaž – OK Vihor</v>
      </c>
      <c r="L630" s="45" t="str">
        <f t="shared" si="29"/>
        <v>Iva – Balaž</v>
      </c>
      <c r="N630" s="103"/>
      <c r="O630" s="104"/>
      <c r="P630" s="105"/>
    </row>
    <row r="631" spans="2:16" x14ac:dyDescent="0.25">
      <c r="B631" s="103">
        <v>1811</v>
      </c>
      <c r="C631" s="104" t="s">
        <v>2510</v>
      </c>
      <c r="D631" s="104" t="s">
        <v>4187</v>
      </c>
      <c r="E631" s="104" t="s">
        <v>425</v>
      </c>
      <c r="F631" s="105"/>
      <c r="H631" s="45" t="str">
        <f t="shared" si="27"/>
        <v>Antonija – Banovic – OK Vihor</v>
      </c>
      <c r="J631" s="45" t="str">
        <f t="shared" si="28"/>
        <v>Antonija – Banovic – OK Vihor</v>
      </c>
      <c r="L631" s="45" t="str">
        <f t="shared" si="29"/>
        <v>Antonija – Banovic</v>
      </c>
      <c r="N631" s="103"/>
      <c r="O631" s="104"/>
      <c r="P631" s="105"/>
    </row>
    <row r="632" spans="2:16" x14ac:dyDescent="0.25">
      <c r="B632" s="103">
        <v>1882</v>
      </c>
      <c r="C632" s="104" t="s">
        <v>1262</v>
      </c>
      <c r="D632" s="104" t="s">
        <v>1536</v>
      </c>
      <c r="E632" s="104" t="s">
        <v>425</v>
      </c>
      <c r="F632" s="105" t="s">
        <v>1129</v>
      </c>
      <c r="H632" s="45" t="str">
        <f t="shared" si="27"/>
        <v>Kristijan – Barišić – OK Vihor – M21B</v>
      </c>
      <c r="J632" s="45" t="str">
        <f t="shared" si="28"/>
        <v>Kristijan – Barišić – OK Vihor</v>
      </c>
      <c r="L632" s="45" t="str">
        <f t="shared" si="29"/>
        <v>Kristijan – Barišić</v>
      </c>
      <c r="N632" s="103"/>
      <c r="O632" s="104"/>
      <c r="P632" s="105"/>
    </row>
    <row r="633" spans="2:16" x14ac:dyDescent="0.25">
      <c r="B633" s="103">
        <v>1380</v>
      </c>
      <c r="C633" s="104" t="s">
        <v>2436</v>
      </c>
      <c r="D633" s="104" t="s">
        <v>4188</v>
      </c>
      <c r="E633" s="104" t="s">
        <v>425</v>
      </c>
      <c r="F633" s="105"/>
      <c r="H633" s="45" t="str">
        <f t="shared" si="27"/>
        <v>Ana – Batinović – OK Vihor</v>
      </c>
      <c r="J633" s="45" t="str">
        <f t="shared" si="28"/>
        <v>Ana – Batinović – OK Vihor</v>
      </c>
      <c r="L633" s="45" t="str">
        <f t="shared" si="29"/>
        <v>Ana – Batinović</v>
      </c>
      <c r="N633" s="103"/>
      <c r="O633" s="104"/>
      <c r="P633" s="105"/>
    </row>
    <row r="634" spans="2:16" x14ac:dyDescent="0.25">
      <c r="B634" s="103">
        <v>1048</v>
      </c>
      <c r="C634" s="104" t="s">
        <v>4082</v>
      </c>
      <c r="D634" s="104" t="s">
        <v>4189</v>
      </c>
      <c r="E634" s="104" t="s">
        <v>425</v>
      </c>
      <c r="F634" s="105"/>
      <c r="H634" s="45" t="str">
        <f t="shared" si="27"/>
        <v>Kristina – Beljan – OK Vihor</v>
      </c>
      <c r="J634" s="45" t="str">
        <f t="shared" si="28"/>
        <v>Kristina – Beljan – OK Vihor</v>
      </c>
      <c r="L634" s="45" t="str">
        <f t="shared" si="29"/>
        <v>Kristina – Beljan</v>
      </c>
      <c r="N634" s="103"/>
      <c r="O634" s="104"/>
      <c r="P634" s="105"/>
    </row>
    <row r="635" spans="2:16" x14ac:dyDescent="0.25">
      <c r="B635" s="103">
        <v>1748</v>
      </c>
      <c r="C635" s="104" t="s">
        <v>4190</v>
      </c>
      <c r="D635" s="104" t="s">
        <v>4191</v>
      </c>
      <c r="E635" s="104" t="s">
        <v>425</v>
      </c>
      <c r="F635" s="105"/>
      <c r="H635" s="45" t="str">
        <f t="shared" si="27"/>
        <v>Filipa – Beroš – OK Vihor</v>
      </c>
      <c r="J635" s="45" t="str">
        <f t="shared" si="28"/>
        <v>Filipa – Beroš – OK Vihor</v>
      </c>
      <c r="L635" s="45" t="str">
        <f t="shared" si="29"/>
        <v>Filipa – Beroš</v>
      </c>
      <c r="N635" s="103"/>
      <c r="O635" s="104"/>
      <c r="P635" s="105"/>
    </row>
    <row r="636" spans="2:16" x14ac:dyDescent="0.25">
      <c r="B636" s="103">
        <v>1333</v>
      </c>
      <c r="C636" s="104" t="s">
        <v>2375</v>
      </c>
      <c r="D636" s="104" t="s">
        <v>4192</v>
      </c>
      <c r="E636" s="104" t="s">
        <v>425</v>
      </c>
      <c r="F636" s="105" t="s">
        <v>1129</v>
      </c>
      <c r="H636" s="45" t="str">
        <f t="shared" si="27"/>
        <v>Ivica – Bertol – OK Vihor – M21B</v>
      </c>
      <c r="J636" s="45" t="str">
        <f t="shared" si="28"/>
        <v>Ivica – Bertol – OK Vihor</v>
      </c>
      <c r="L636" s="45" t="str">
        <f t="shared" si="29"/>
        <v>Ivica – Bertol</v>
      </c>
      <c r="N636" s="103"/>
      <c r="O636" s="104"/>
      <c r="P636" s="105"/>
    </row>
    <row r="637" spans="2:16" x14ac:dyDescent="0.25">
      <c r="B637" s="103">
        <v>1009</v>
      </c>
      <c r="C637" s="104" t="s">
        <v>4193</v>
      </c>
      <c r="D637" s="104" t="s">
        <v>4194</v>
      </c>
      <c r="E637" s="104" t="s">
        <v>425</v>
      </c>
      <c r="F637" s="105"/>
      <c r="H637" s="45" t="str">
        <f t="shared" si="27"/>
        <v>Anita – Bilandžić – OK Vihor</v>
      </c>
      <c r="J637" s="45" t="str">
        <f t="shared" si="28"/>
        <v>Anita – Bilandžić – OK Vihor</v>
      </c>
      <c r="L637" s="45" t="str">
        <f t="shared" si="29"/>
        <v>Anita – Bilandžić</v>
      </c>
      <c r="N637" s="103"/>
      <c r="O637" s="104"/>
      <c r="P637" s="105"/>
    </row>
    <row r="638" spans="2:16" x14ac:dyDescent="0.25">
      <c r="B638" s="103">
        <v>1373</v>
      </c>
      <c r="C638" s="104" t="s">
        <v>4195</v>
      </c>
      <c r="D638" s="104" t="s">
        <v>4196</v>
      </c>
      <c r="E638" s="104" t="s">
        <v>425</v>
      </c>
      <c r="F638" s="105" t="s">
        <v>363</v>
      </c>
      <c r="H638" s="45" t="str">
        <f t="shared" si="27"/>
        <v>Maks – Bjelajac – OK Vihor – M12</v>
      </c>
      <c r="J638" s="45" t="str">
        <f t="shared" si="28"/>
        <v>Maks – Bjelajac – OK Vihor</v>
      </c>
      <c r="L638" s="45" t="str">
        <f t="shared" si="29"/>
        <v>Maks – Bjelajac</v>
      </c>
      <c r="N638" s="103"/>
      <c r="O638" s="104"/>
      <c r="P638" s="105"/>
    </row>
    <row r="639" spans="2:16" x14ac:dyDescent="0.25">
      <c r="B639" s="103">
        <v>1883</v>
      </c>
      <c r="C639" s="104" t="s">
        <v>2424</v>
      </c>
      <c r="D639" s="104" t="s">
        <v>2550</v>
      </c>
      <c r="E639" s="104" t="s">
        <v>425</v>
      </c>
      <c r="F639" s="105" t="s">
        <v>3093</v>
      </c>
      <c r="H639" s="45" t="str">
        <f t="shared" si="27"/>
        <v>Barbara – Bjeliš – OK Vihor – Ž21B</v>
      </c>
      <c r="J639" s="45" t="str">
        <f t="shared" si="28"/>
        <v>Barbara – Bjeliš – OK Vihor</v>
      </c>
      <c r="L639" s="45" t="str">
        <f t="shared" si="29"/>
        <v>Barbara – Bjeliš</v>
      </c>
      <c r="N639" s="103"/>
      <c r="O639" s="104"/>
      <c r="P639" s="105"/>
    </row>
    <row r="640" spans="2:16" x14ac:dyDescent="0.25">
      <c r="B640" s="103">
        <v>1352</v>
      </c>
      <c r="C640" s="104" t="s">
        <v>3775</v>
      </c>
      <c r="D640" s="104" t="s">
        <v>4197</v>
      </c>
      <c r="E640" s="104" t="s">
        <v>425</v>
      </c>
      <c r="F640" s="105" t="s">
        <v>1574</v>
      </c>
      <c r="H640" s="45" t="str">
        <f t="shared" si="27"/>
        <v>Bruno – Blažinč – OK Vihor – M35</v>
      </c>
      <c r="J640" s="45" t="str">
        <f t="shared" si="28"/>
        <v>Bruno – Blažinč – OK Vihor</v>
      </c>
      <c r="L640" s="45" t="str">
        <f t="shared" si="29"/>
        <v>Bruno – Blažinč</v>
      </c>
      <c r="N640" s="103"/>
      <c r="O640" s="104"/>
      <c r="P640" s="105"/>
    </row>
    <row r="641" spans="2:16" x14ac:dyDescent="0.25">
      <c r="B641" s="103">
        <v>1474</v>
      </c>
      <c r="C641" s="104" t="s">
        <v>589</v>
      </c>
      <c r="D641" s="104" t="s">
        <v>4198</v>
      </c>
      <c r="E641" s="104" t="s">
        <v>425</v>
      </c>
      <c r="F641" s="105" t="s">
        <v>1129</v>
      </c>
      <c r="H641" s="45" t="str">
        <f t="shared" si="27"/>
        <v>Karlo – Borisavljević – OK Vihor – M21B</v>
      </c>
      <c r="J641" s="45" t="str">
        <f t="shared" si="28"/>
        <v>Karlo – Borisavljević – OK Vihor</v>
      </c>
      <c r="L641" s="45" t="str">
        <f t="shared" si="29"/>
        <v>Karlo – Borisavljević</v>
      </c>
      <c r="N641" s="103"/>
      <c r="O641" s="104"/>
      <c r="P641" s="105"/>
    </row>
    <row r="642" spans="2:16" x14ac:dyDescent="0.25">
      <c r="B642" s="103">
        <v>1880</v>
      </c>
      <c r="C642" s="104" t="s">
        <v>4199</v>
      </c>
      <c r="D642" s="104" t="s">
        <v>4200</v>
      </c>
      <c r="E642" s="104" t="s">
        <v>425</v>
      </c>
      <c r="F642" s="105" t="s">
        <v>651</v>
      </c>
      <c r="H642" s="45" t="str">
        <f t="shared" si="27"/>
        <v>Bako – Botond – OK Vihor – M16</v>
      </c>
      <c r="J642" s="45" t="str">
        <f t="shared" si="28"/>
        <v>Bako – Botond – OK Vihor</v>
      </c>
      <c r="L642" s="45" t="str">
        <f t="shared" si="29"/>
        <v>Bako – Botond</v>
      </c>
      <c r="N642" s="103"/>
      <c r="O642" s="104"/>
      <c r="P642" s="105"/>
    </row>
    <row r="643" spans="2:16" x14ac:dyDescent="0.25">
      <c r="B643" s="103">
        <v>1003</v>
      </c>
      <c r="C643" s="104" t="s">
        <v>4201</v>
      </c>
      <c r="D643" s="104" t="s">
        <v>4202</v>
      </c>
      <c r="E643" s="104" t="s">
        <v>425</v>
      </c>
      <c r="F643" s="105"/>
      <c r="H643" s="45" t="str">
        <f t="shared" si="27"/>
        <v>Aleksandar – Brborović – OK Vihor</v>
      </c>
      <c r="J643" s="45" t="str">
        <f t="shared" si="28"/>
        <v>Aleksandar – Brborović – OK Vihor</v>
      </c>
      <c r="L643" s="45" t="str">
        <f t="shared" si="29"/>
        <v>Aleksandar – Brborović</v>
      </c>
      <c r="N643" s="103"/>
      <c r="O643" s="104"/>
      <c r="P643" s="105"/>
    </row>
    <row r="644" spans="2:16" x14ac:dyDescent="0.25">
      <c r="B644" s="103">
        <v>1199</v>
      </c>
      <c r="C644" s="104" t="s">
        <v>3230</v>
      </c>
      <c r="D644" s="104" t="s">
        <v>4203</v>
      </c>
      <c r="E644" s="104" t="s">
        <v>425</v>
      </c>
      <c r="F644" s="105" t="s">
        <v>3093</v>
      </c>
      <c r="H644" s="45" t="str">
        <f t="shared" si="27"/>
        <v>Aleksandra – Brezovečki Biđin – OK Vihor – Ž21B</v>
      </c>
      <c r="J644" s="45" t="str">
        <f t="shared" si="28"/>
        <v>Aleksandra – Brezovečki Biđin – OK Vihor</v>
      </c>
      <c r="L644" s="45" t="str">
        <f t="shared" si="29"/>
        <v>Aleksandra – Brezovečki Biđin</v>
      </c>
      <c r="N644" s="103"/>
      <c r="O644" s="104"/>
      <c r="P644" s="105"/>
    </row>
    <row r="645" spans="2:16" x14ac:dyDescent="0.25">
      <c r="B645" s="103">
        <v>1884</v>
      </c>
      <c r="C645" s="104" t="s">
        <v>1028</v>
      </c>
      <c r="D645" s="104" t="s">
        <v>1275</v>
      </c>
      <c r="E645" s="104" t="s">
        <v>425</v>
      </c>
      <c r="F645" s="105" t="s">
        <v>1129</v>
      </c>
      <c r="H645" s="45" t="str">
        <f t="shared" si="27"/>
        <v>Tomislav – Burgund – OK Vihor – M21B</v>
      </c>
      <c r="J645" s="45" t="str">
        <f t="shared" si="28"/>
        <v>Tomislav – Burgund – OK Vihor</v>
      </c>
      <c r="L645" s="45" t="str">
        <f t="shared" si="29"/>
        <v>Tomislav – Burgund</v>
      </c>
      <c r="N645" s="103"/>
      <c r="O645" s="104"/>
      <c r="P645" s="105"/>
    </row>
    <row r="646" spans="2:16" x14ac:dyDescent="0.25">
      <c r="B646" s="103">
        <v>1444</v>
      </c>
      <c r="C646" s="104" t="s">
        <v>685</v>
      </c>
      <c r="D646" s="104" t="s">
        <v>4204</v>
      </c>
      <c r="E646" s="104" t="s">
        <v>425</v>
      </c>
      <c r="F646" s="105" t="s">
        <v>2194</v>
      </c>
      <c r="H646" s="45" t="str">
        <f t="shared" si="27"/>
        <v>Patrick – Burton – OK Vihor – M55</v>
      </c>
      <c r="J646" s="45" t="str">
        <f t="shared" si="28"/>
        <v>Patrick – Burton – OK Vihor</v>
      </c>
      <c r="L646" s="45" t="str">
        <f t="shared" si="29"/>
        <v>Patrick – Burton</v>
      </c>
      <c r="N646" s="103"/>
      <c r="O646" s="104"/>
      <c r="P646" s="105"/>
    </row>
    <row r="647" spans="2:16" x14ac:dyDescent="0.25">
      <c r="B647" s="103">
        <v>1005</v>
      </c>
      <c r="C647" s="104" t="s">
        <v>4205</v>
      </c>
      <c r="D647" s="104" t="s">
        <v>4206</v>
      </c>
      <c r="E647" s="104" t="s">
        <v>425</v>
      </c>
      <c r="F647" s="105" t="s">
        <v>3093</v>
      </c>
      <c r="H647" s="45" t="str">
        <f t="shared" si="27"/>
        <v>Alma – Cacan – OK Vihor – Ž21B</v>
      </c>
      <c r="J647" s="45" t="str">
        <f t="shared" si="28"/>
        <v>Alma – Cacan – OK Vihor</v>
      </c>
      <c r="L647" s="45" t="str">
        <f t="shared" si="29"/>
        <v>Alma – Cacan</v>
      </c>
      <c r="N647" s="103"/>
      <c r="O647" s="104"/>
      <c r="P647" s="105"/>
    </row>
    <row r="648" spans="2:16" x14ac:dyDescent="0.25">
      <c r="B648" s="103">
        <v>1063</v>
      </c>
      <c r="C648" s="104" t="s">
        <v>3163</v>
      </c>
      <c r="D648" s="104" t="s">
        <v>3162</v>
      </c>
      <c r="E648" s="104" t="s">
        <v>425</v>
      </c>
      <c r="F648" s="105" t="s">
        <v>3093</v>
      </c>
      <c r="H648" s="45" t="str">
        <f t="shared" si="27"/>
        <v>Lovorka – Čaja – OK Vihor – Ž21B</v>
      </c>
      <c r="J648" s="45" t="str">
        <f t="shared" si="28"/>
        <v>Lovorka – Čaja – OK Vihor</v>
      </c>
      <c r="L648" s="45" t="str">
        <f t="shared" si="29"/>
        <v>Lovorka – Čaja</v>
      </c>
      <c r="N648" s="103"/>
      <c r="O648" s="104"/>
      <c r="P648" s="105"/>
    </row>
    <row r="649" spans="2:16" x14ac:dyDescent="0.25">
      <c r="B649" s="103">
        <v>1330</v>
      </c>
      <c r="C649" s="104" t="s">
        <v>3436</v>
      </c>
      <c r="D649" s="104" t="s">
        <v>3435</v>
      </c>
      <c r="E649" s="104" t="s">
        <v>425</v>
      </c>
      <c r="F649" s="105" t="s">
        <v>3264</v>
      </c>
      <c r="H649" s="45" t="str">
        <f t="shared" si="27"/>
        <v>Violeta – Čalić – OK Vihor – Ž35</v>
      </c>
      <c r="J649" s="45" t="str">
        <f t="shared" si="28"/>
        <v>Violeta – Čalić – OK Vihor</v>
      </c>
      <c r="L649" s="45" t="str">
        <f t="shared" si="29"/>
        <v>Violeta – Čalić</v>
      </c>
      <c r="N649" s="103"/>
      <c r="O649" s="104"/>
      <c r="P649" s="105"/>
    </row>
    <row r="650" spans="2:16" x14ac:dyDescent="0.25">
      <c r="B650" s="103">
        <v>1023</v>
      </c>
      <c r="C650" s="104" t="s">
        <v>2622</v>
      </c>
      <c r="D650" s="104" t="s">
        <v>4207</v>
      </c>
      <c r="E650" s="104" t="s">
        <v>425</v>
      </c>
      <c r="F650" s="105"/>
      <c r="H650" s="45" t="str">
        <f t="shared" si="27"/>
        <v>Mirjana – Čavlina – OK Vihor</v>
      </c>
      <c r="J650" s="45" t="str">
        <f t="shared" si="28"/>
        <v>Mirjana – Čavlina – OK Vihor</v>
      </c>
      <c r="L650" s="45" t="str">
        <f t="shared" si="29"/>
        <v>Mirjana – Čavlina</v>
      </c>
      <c r="N650" s="103"/>
      <c r="O650" s="104"/>
      <c r="P650" s="105"/>
    </row>
    <row r="651" spans="2:16" x14ac:dyDescent="0.25">
      <c r="B651" s="103">
        <v>1123</v>
      </c>
      <c r="C651" s="104" t="s">
        <v>4208</v>
      </c>
      <c r="D651" s="104" t="s">
        <v>4209</v>
      </c>
      <c r="E651" s="104" t="s">
        <v>425</v>
      </c>
      <c r="F651" s="105" t="s">
        <v>3442</v>
      </c>
      <c r="H651" s="45" t="str">
        <f t="shared" ref="H651:H714" si="30">IF(C651="","",C651) &amp; IF(D651="",""," – " &amp; D651) &amp; IF(E651="",""," – " &amp; E651) &amp; IF(F651="",""," – " &amp; F651)</f>
        <v>Magdalena – Čečura – OK Vihor – Ž45</v>
      </c>
      <c r="J651" s="45" t="str">
        <f t="shared" ref="J651:J714" si="31">IF(C651="","",C651) &amp; IF(D651="",""," – " &amp; D651) &amp; IF(E651="",""," – " &amp; E651)</f>
        <v>Magdalena – Čečura – OK Vihor</v>
      </c>
      <c r="L651" s="45" t="str">
        <f t="shared" ref="L651:L714" si="32">IF(C651="","",C651) &amp; IF(D651="",""," – " &amp; D651)</f>
        <v>Magdalena – Čečura</v>
      </c>
      <c r="N651" s="103"/>
      <c r="O651" s="104"/>
      <c r="P651" s="105"/>
    </row>
    <row r="652" spans="2:16" x14ac:dyDescent="0.25">
      <c r="B652" s="103">
        <v>1071</v>
      </c>
      <c r="C652" s="104" t="s">
        <v>4210</v>
      </c>
      <c r="D652" s="104" t="s">
        <v>4211</v>
      </c>
      <c r="E652" s="104" t="s">
        <v>425</v>
      </c>
      <c r="F652" s="105" t="s">
        <v>885</v>
      </c>
      <c r="H652" s="45" t="str">
        <f t="shared" si="30"/>
        <v>Oleg – Celić – OK Vihor – M21A</v>
      </c>
      <c r="J652" s="45" t="str">
        <f t="shared" si="31"/>
        <v>Oleg – Celić – OK Vihor</v>
      </c>
      <c r="L652" s="45" t="str">
        <f t="shared" si="32"/>
        <v>Oleg – Celić</v>
      </c>
      <c r="N652" s="103"/>
      <c r="O652" s="104"/>
      <c r="P652" s="105"/>
    </row>
    <row r="653" spans="2:16" x14ac:dyDescent="0.25">
      <c r="B653" s="103">
        <v>1914</v>
      </c>
      <c r="C653" s="104" t="s">
        <v>962</v>
      </c>
      <c r="D653" s="104" t="s">
        <v>4212</v>
      </c>
      <c r="E653" s="104" t="s">
        <v>425</v>
      </c>
      <c r="F653" s="105"/>
      <c r="H653" s="45" t="str">
        <f t="shared" si="30"/>
        <v>Dražen – Cenčić – OK Vihor</v>
      </c>
      <c r="J653" s="45" t="str">
        <f t="shared" si="31"/>
        <v>Dražen – Cenčić – OK Vihor</v>
      </c>
      <c r="L653" s="45" t="str">
        <f t="shared" si="32"/>
        <v>Dražen – Cenčić</v>
      </c>
      <c r="N653" s="103"/>
      <c r="O653" s="104"/>
      <c r="P653" s="105"/>
    </row>
    <row r="654" spans="2:16" x14ac:dyDescent="0.25">
      <c r="B654" s="103">
        <v>1339</v>
      </c>
      <c r="C654" s="104" t="s">
        <v>471</v>
      </c>
      <c r="D654" s="104" t="s">
        <v>4213</v>
      </c>
      <c r="E654" s="104" t="s">
        <v>425</v>
      </c>
      <c r="F654" s="105" t="s">
        <v>1129</v>
      </c>
      <c r="H654" s="45" t="str">
        <f t="shared" si="30"/>
        <v>Filip – Cesar – OK Vihor – M21B</v>
      </c>
      <c r="J654" s="45" t="str">
        <f t="shared" si="31"/>
        <v>Filip – Cesar – OK Vihor</v>
      </c>
      <c r="L654" s="45" t="str">
        <f t="shared" si="32"/>
        <v>Filip – Cesar</v>
      </c>
      <c r="N654" s="103"/>
      <c r="O654" s="104"/>
      <c r="P654" s="105"/>
    </row>
    <row r="655" spans="2:16" x14ac:dyDescent="0.25">
      <c r="B655" s="103">
        <v>1916</v>
      </c>
      <c r="C655" s="104" t="s">
        <v>2155</v>
      </c>
      <c r="D655" s="104" t="s">
        <v>2154</v>
      </c>
      <c r="E655" s="104" t="s">
        <v>425</v>
      </c>
      <c r="F655" s="105" t="s">
        <v>1908</v>
      </c>
      <c r="H655" s="45" t="str">
        <f t="shared" si="30"/>
        <v>Dinko – Ćetković – OK Vihor – M45</v>
      </c>
      <c r="J655" s="45" t="str">
        <f t="shared" si="31"/>
        <v>Dinko – Ćetković – OK Vihor</v>
      </c>
      <c r="L655" s="45" t="str">
        <f t="shared" si="32"/>
        <v>Dinko – Ćetković</v>
      </c>
      <c r="N655" s="103"/>
      <c r="O655" s="104"/>
      <c r="P655" s="105"/>
    </row>
    <row r="656" spans="2:16" x14ac:dyDescent="0.25">
      <c r="B656" s="103">
        <v>1814</v>
      </c>
      <c r="C656" s="104" t="s">
        <v>4150</v>
      </c>
      <c r="D656" s="104" t="s">
        <v>4214</v>
      </c>
      <c r="E656" s="104" t="s">
        <v>425</v>
      </c>
      <c r="F656" s="105"/>
      <c r="H656" s="45" t="str">
        <f t="shared" si="30"/>
        <v>Vesna – Ciglar Kovač – OK Vihor</v>
      </c>
      <c r="J656" s="45" t="str">
        <f t="shared" si="31"/>
        <v>Vesna – Ciglar Kovač – OK Vihor</v>
      </c>
      <c r="L656" s="45" t="str">
        <f t="shared" si="32"/>
        <v>Vesna – Ciglar Kovač</v>
      </c>
      <c r="N656" s="103"/>
      <c r="O656" s="104"/>
      <c r="P656" s="105"/>
    </row>
    <row r="657" spans="2:16" x14ac:dyDescent="0.25">
      <c r="B657" s="103">
        <v>1915</v>
      </c>
      <c r="C657" s="104" t="s">
        <v>1438</v>
      </c>
      <c r="D657" s="104" t="s">
        <v>1437</v>
      </c>
      <c r="E657" s="104" t="s">
        <v>425</v>
      </c>
      <c r="F657" s="105" t="s">
        <v>1129</v>
      </c>
      <c r="H657" s="45" t="str">
        <f t="shared" si="30"/>
        <v>Jurica – Cimperšak Žigrović – OK Vihor – M21B</v>
      </c>
      <c r="J657" s="45" t="str">
        <f t="shared" si="31"/>
        <v>Jurica – Cimperšak Žigrović – OK Vihor</v>
      </c>
      <c r="L657" s="45" t="str">
        <f t="shared" si="32"/>
        <v>Jurica – Cimperšak Žigrović</v>
      </c>
      <c r="N657" s="103"/>
      <c r="O657" s="104"/>
      <c r="P657" s="105"/>
    </row>
    <row r="658" spans="2:16" x14ac:dyDescent="0.25">
      <c r="B658" s="103">
        <v>1885</v>
      </c>
      <c r="C658" s="104" t="s">
        <v>1509</v>
      </c>
      <c r="D658" s="104" t="s">
        <v>1508</v>
      </c>
      <c r="E658" s="104" t="s">
        <v>425</v>
      </c>
      <c r="F658" s="105" t="s">
        <v>1129</v>
      </c>
      <c r="H658" s="45" t="str">
        <f t="shared" si="30"/>
        <v>Zoran – Ćorić – OK Vihor – M21B</v>
      </c>
      <c r="J658" s="45" t="str">
        <f t="shared" si="31"/>
        <v>Zoran – Ćorić – OK Vihor</v>
      </c>
      <c r="L658" s="45" t="str">
        <f t="shared" si="32"/>
        <v>Zoran – Ćorić</v>
      </c>
      <c r="N658" s="103"/>
      <c r="O658" s="104"/>
      <c r="P658" s="105"/>
    </row>
    <row r="659" spans="2:16" x14ac:dyDescent="0.25">
      <c r="B659" s="103">
        <v>1253</v>
      </c>
      <c r="C659" s="104" t="s">
        <v>1248</v>
      </c>
      <c r="D659" s="104" t="s">
        <v>4060</v>
      </c>
      <c r="E659" s="104" t="s">
        <v>425</v>
      </c>
      <c r="F659" s="105" t="s">
        <v>2194</v>
      </c>
      <c r="H659" s="45" t="str">
        <f t="shared" si="30"/>
        <v>Zdravko – Crnković – OK Vihor – M55</v>
      </c>
      <c r="J659" s="45" t="str">
        <f t="shared" si="31"/>
        <v>Zdravko – Crnković – OK Vihor</v>
      </c>
      <c r="L659" s="45" t="str">
        <f t="shared" si="32"/>
        <v>Zdravko – Crnković</v>
      </c>
      <c r="N659" s="103"/>
      <c r="O659" s="104"/>
      <c r="P659" s="105"/>
    </row>
    <row r="660" spans="2:16" x14ac:dyDescent="0.25">
      <c r="B660" s="103">
        <v>1809</v>
      </c>
      <c r="C660" s="104" t="s">
        <v>4012</v>
      </c>
      <c r="D660" s="104" t="s">
        <v>4215</v>
      </c>
      <c r="E660" s="104" t="s">
        <v>425</v>
      </c>
      <c r="F660" s="105"/>
      <c r="H660" s="45" t="str">
        <f t="shared" si="30"/>
        <v>Smiljana – Čuka Husnjak – OK Vihor</v>
      </c>
      <c r="J660" s="45" t="str">
        <f t="shared" si="31"/>
        <v>Smiljana – Čuka Husnjak – OK Vihor</v>
      </c>
      <c r="L660" s="45" t="str">
        <f t="shared" si="32"/>
        <v>Smiljana – Čuka Husnjak</v>
      </c>
      <c r="N660" s="103"/>
      <c r="O660" s="104"/>
      <c r="P660" s="105"/>
    </row>
    <row r="661" spans="2:16" x14ac:dyDescent="0.25">
      <c r="B661" s="103">
        <v>1296</v>
      </c>
      <c r="C661" s="104" t="s">
        <v>2594</v>
      </c>
      <c r="D661" s="104" t="s">
        <v>3616</v>
      </c>
      <c r="E661" s="104" t="s">
        <v>425</v>
      </c>
      <c r="F661" s="105" t="s">
        <v>3618</v>
      </c>
      <c r="H661" s="45" t="str">
        <f t="shared" si="30"/>
        <v>Maja – Cvitković – OK Vihor – Ž55</v>
      </c>
      <c r="J661" s="45" t="str">
        <f t="shared" si="31"/>
        <v>Maja – Cvitković – OK Vihor</v>
      </c>
      <c r="L661" s="45" t="str">
        <f t="shared" si="32"/>
        <v>Maja – Cvitković</v>
      </c>
      <c r="N661" s="103"/>
      <c r="O661" s="104"/>
      <c r="P661" s="105"/>
    </row>
    <row r="662" spans="2:16" x14ac:dyDescent="0.25">
      <c r="B662" s="103">
        <v>1343</v>
      </c>
      <c r="C662" s="104" t="s">
        <v>4216</v>
      </c>
      <c r="D662" s="104" t="s">
        <v>4217</v>
      </c>
      <c r="E662" s="104" t="s">
        <v>425</v>
      </c>
      <c r="F662" s="105" t="s">
        <v>1908</v>
      </c>
      <c r="H662" s="45" t="str">
        <f t="shared" si="30"/>
        <v>Francisco – Delgado – OK Vihor – M45</v>
      </c>
      <c r="J662" s="45" t="str">
        <f t="shared" si="31"/>
        <v>Francisco – Delgado – OK Vihor</v>
      </c>
      <c r="L662" s="45" t="str">
        <f t="shared" si="32"/>
        <v>Francisco – Delgado</v>
      </c>
      <c r="N662" s="103"/>
      <c r="O662" s="104"/>
      <c r="P662" s="105"/>
    </row>
    <row r="663" spans="2:16" x14ac:dyDescent="0.25">
      <c r="B663" s="103">
        <v>1288</v>
      </c>
      <c r="C663" s="104" t="s">
        <v>962</v>
      </c>
      <c r="D663" s="104" t="s">
        <v>4218</v>
      </c>
      <c r="E663" s="104" t="s">
        <v>425</v>
      </c>
      <c r="F663" s="105" t="s">
        <v>1129</v>
      </c>
      <c r="H663" s="45" t="str">
        <f t="shared" si="30"/>
        <v>Dražen – Dervišević – OK Vihor – M21B</v>
      </c>
      <c r="J663" s="45" t="str">
        <f t="shared" si="31"/>
        <v>Dražen – Dervišević – OK Vihor</v>
      </c>
      <c r="L663" s="45" t="str">
        <f t="shared" si="32"/>
        <v>Dražen – Dervišević</v>
      </c>
      <c r="N663" s="103"/>
      <c r="O663" s="104"/>
      <c r="P663" s="105"/>
    </row>
    <row r="664" spans="2:16" x14ac:dyDescent="0.25">
      <c r="B664" s="103">
        <v>1816</v>
      </c>
      <c r="C664" s="104" t="s">
        <v>4219</v>
      </c>
      <c r="D664" s="104" t="s">
        <v>4220</v>
      </c>
      <c r="E664" s="104" t="s">
        <v>425</v>
      </c>
      <c r="F664" s="105"/>
      <c r="H664" s="45" t="str">
        <f t="shared" si="30"/>
        <v>Alena – Detan Karlović – OK Vihor</v>
      </c>
      <c r="J664" s="45" t="str">
        <f t="shared" si="31"/>
        <v>Alena – Detan Karlović – OK Vihor</v>
      </c>
      <c r="L664" s="45" t="str">
        <f t="shared" si="32"/>
        <v>Alena – Detan Karlović</v>
      </c>
      <c r="N664" s="103"/>
      <c r="O664" s="104"/>
      <c r="P664" s="105"/>
    </row>
    <row r="665" spans="2:16" x14ac:dyDescent="0.25">
      <c r="B665" s="103">
        <v>1694</v>
      </c>
      <c r="C665" s="104" t="s">
        <v>2674</v>
      </c>
      <c r="D665" s="104" t="s">
        <v>4221</v>
      </c>
      <c r="E665" s="104" t="s">
        <v>425</v>
      </c>
      <c r="F665" s="105"/>
      <c r="H665" s="45" t="str">
        <f t="shared" si="30"/>
        <v>Luna – Đokić – OK Vihor</v>
      </c>
      <c r="J665" s="45" t="str">
        <f t="shared" si="31"/>
        <v>Luna – Đokić – OK Vihor</v>
      </c>
      <c r="L665" s="45" t="str">
        <f t="shared" si="32"/>
        <v>Luna – Đokić</v>
      </c>
      <c r="N665" s="103"/>
      <c r="O665" s="104"/>
      <c r="P665" s="105"/>
    </row>
    <row r="666" spans="2:16" x14ac:dyDescent="0.25">
      <c r="B666" s="103">
        <v>1346</v>
      </c>
      <c r="C666" s="104" t="s">
        <v>2447</v>
      </c>
      <c r="D666" s="104" t="s">
        <v>4222</v>
      </c>
      <c r="E666" s="104" t="s">
        <v>425</v>
      </c>
      <c r="F666" s="105" t="s">
        <v>3442</v>
      </c>
      <c r="H666" s="45" t="str">
        <f t="shared" si="30"/>
        <v>Ivana – Dolenac – OK Vihor – Ž45</v>
      </c>
      <c r="J666" s="45" t="str">
        <f t="shared" si="31"/>
        <v>Ivana – Dolenac – OK Vihor</v>
      </c>
      <c r="L666" s="45" t="str">
        <f t="shared" si="32"/>
        <v>Ivana – Dolenac</v>
      </c>
      <c r="N666" s="103"/>
      <c r="O666" s="104"/>
      <c r="P666" s="105"/>
    </row>
    <row r="667" spans="2:16" x14ac:dyDescent="0.25">
      <c r="B667" s="103">
        <v>1163</v>
      </c>
      <c r="C667" s="104" t="s">
        <v>3777</v>
      </c>
      <c r="D667" s="104" t="s">
        <v>4223</v>
      </c>
      <c r="E667" s="104" t="s">
        <v>425</v>
      </c>
      <c r="F667" s="105" t="s">
        <v>1908</v>
      </c>
      <c r="H667" s="45" t="str">
        <f t="shared" si="30"/>
        <v>Igor – Dorotić – OK Vihor – M45</v>
      </c>
      <c r="J667" s="45" t="str">
        <f t="shared" si="31"/>
        <v>Igor – Dorotić – OK Vihor</v>
      </c>
      <c r="L667" s="45" t="str">
        <f t="shared" si="32"/>
        <v>Igor – Dorotić</v>
      </c>
      <c r="N667" s="103"/>
      <c r="O667" s="104"/>
      <c r="P667" s="105"/>
    </row>
    <row r="668" spans="2:16" x14ac:dyDescent="0.25">
      <c r="B668" s="103">
        <v>1747</v>
      </c>
      <c r="C668" s="104" t="s">
        <v>2484</v>
      </c>
      <c r="D668" s="104" t="s">
        <v>4224</v>
      </c>
      <c r="E668" s="104" t="s">
        <v>425</v>
      </c>
      <c r="F668" s="105"/>
      <c r="H668" s="45" t="str">
        <f t="shared" si="30"/>
        <v>Iva – Drganc – OK Vihor</v>
      </c>
      <c r="J668" s="45" t="str">
        <f t="shared" si="31"/>
        <v>Iva – Drganc – OK Vihor</v>
      </c>
      <c r="L668" s="45" t="str">
        <f t="shared" si="32"/>
        <v>Iva – Drganc</v>
      </c>
      <c r="N668" s="103"/>
      <c r="O668" s="104"/>
      <c r="P668" s="105"/>
    </row>
    <row r="669" spans="2:16" x14ac:dyDescent="0.25">
      <c r="B669" s="103">
        <v>1344</v>
      </c>
      <c r="C669" s="104" t="s">
        <v>3843</v>
      </c>
      <c r="D669" s="104" t="s">
        <v>3138</v>
      </c>
      <c r="E669" s="104" t="s">
        <v>425</v>
      </c>
      <c r="F669" s="105" t="s">
        <v>3093</v>
      </c>
      <c r="H669" s="45" t="str">
        <f t="shared" si="30"/>
        <v>Helena – Dukić – OK Vihor – Ž21B</v>
      </c>
      <c r="J669" s="45" t="str">
        <f t="shared" si="31"/>
        <v>Helena – Dukić – OK Vihor</v>
      </c>
      <c r="L669" s="45" t="str">
        <f t="shared" si="32"/>
        <v>Helena – Dukić</v>
      </c>
      <c r="N669" s="103"/>
      <c r="O669" s="104"/>
      <c r="P669" s="105"/>
    </row>
    <row r="670" spans="2:16" x14ac:dyDescent="0.25">
      <c r="B670" s="103">
        <v>1695</v>
      </c>
      <c r="C670" s="104" t="s">
        <v>1290</v>
      </c>
      <c r="D670" s="104" t="s">
        <v>4225</v>
      </c>
      <c r="E670" s="104" t="s">
        <v>425</v>
      </c>
      <c r="F670" s="105"/>
      <c r="H670" s="45" t="str">
        <f t="shared" si="30"/>
        <v>Siniša – Đukić – OK Vihor</v>
      </c>
      <c r="J670" s="45" t="str">
        <f t="shared" si="31"/>
        <v>Siniša – Đukić – OK Vihor</v>
      </c>
      <c r="L670" s="45" t="str">
        <f t="shared" si="32"/>
        <v>Siniša – Đukić</v>
      </c>
      <c r="N670" s="103"/>
      <c r="O670" s="104"/>
      <c r="P670" s="105"/>
    </row>
    <row r="671" spans="2:16" x14ac:dyDescent="0.25">
      <c r="B671" s="103">
        <v>1230</v>
      </c>
      <c r="C671" s="104" t="s">
        <v>3836</v>
      </c>
      <c r="D671" s="104" t="s">
        <v>4226</v>
      </c>
      <c r="E671" s="104" t="s">
        <v>425</v>
      </c>
      <c r="F671" s="105" t="s">
        <v>3442</v>
      </c>
      <c r="H671" s="45" t="str">
        <f t="shared" si="30"/>
        <v>Tea – Đurek – OK Vihor – Ž45</v>
      </c>
      <c r="J671" s="45" t="str">
        <f t="shared" si="31"/>
        <v>Tea – Đurek – OK Vihor</v>
      </c>
      <c r="L671" s="45" t="str">
        <f t="shared" si="32"/>
        <v>Tea – Đurek</v>
      </c>
      <c r="N671" s="103"/>
      <c r="O671" s="104"/>
      <c r="P671" s="105"/>
    </row>
    <row r="672" spans="2:16" x14ac:dyDescent="0.25">
      <c r="B672" s="103">
        <v>1746</v>
      </c>
      <c r="C672" s="104" t="s">
        <v>2594</v>
      </c>
      <c r="D672" s="104" t="s">
        <v>4227</v>
      </c>
      <c r="E672" s="104" t="s">
        <v>425</v>
      </c>
      <c r="F672" s="105"/>
      <c r="H672" s="45" t="str">
        <f t="shared" si="30"/>
        <v>Maja – Duvnjak – OK Vihor</v>
      </c>
      <c r="J672" s="45" t="str">
        <f t="shared" si="31"/>
        <v>Maja – Duvnjak – OK Vihor</v>
      </c>
      <c r="L672" s="45" t="str">
        <f t="shared" si="32"/>
        <v>Maja – Duvnjak</v>
      </c>
      <c r="N672" s="103"/>
      <c r="O672" s="104"/>
      <c r="P672" s="105"/>
    </row>
    <row r="673" spans="2:16" x14ac:dyDescent="0.25">
      <c r="B673" s="103">
        <v>1015</v>
      </c>
      <c r="C673" s="104" t="s">
        <v>740</v>
      </c>
      <c r="D673" s="104" t="s">
        <v>4228</v>
      </c>
      <c r="E673" s="104" t="s">
        <v>425</v>
      </c>
      <c r="F673" s="105"/>
      <c r="H673" s="45" t="str">
        <f t="shared" si="30"/>
        <v>Goran – Ferić – OK Vihor</v>
      </c>
      <c r="J673" s="45" t="str">
        <f t="shared" si="31"/>
        <v>Goran – Ferić – OK Vihor</v>
      </c>
      <c r="L673" s="45" t="str">
        <f t="shared" si="32"/>
        <v>Goran – Ferić</v>
      </c>
      <c r="N673" s="103"/>
      <c r="O673" s="104"/>
      <c r="P673" s="105"/>
    </row>
    <row r="674" spans="2:16" x14ac:dyDescent="0.25">
      <c r="B674" s="103">
        <v>1157</v>
      </c>
      <c r="C674" s="104" t="s">
        <v>589</v>
      </c>
      <c r="D674" s="104" t="s">
        <v>4229</v>
      </c>
      <c r="E674" s="104" t="s">
        <v>425</v>
      </c>
      <c r="F674" s="105" t="s">
        <v>1129</v>
      </c>
      <c r="H674" s="45" t="str">
        <f t="shared" si="30"/>
        <v>Karlo – Filek – OK Vihor – M21B</v>
      </c>
      <c r="J674" s="45" t="str">
        <f t="shared" si="31"/>
        <v>Karlo – Filek – OK Vihor</v>
      </c>
      <c r="L674" s="45" t="str">
        <f t="shared" si="32"/>
        <v>Karlo – Filek</v>
      </c>
      <c r="N674" s="103"/>
      <c r="O674" s="104"/>
      <c r="P674" s="105"/>
    </row>
    <row r="675" spans="2:16" x14ac:dyDescent="0.25">
      <c r="B675" s="103">
        <v>1021</v>
      </c>
      <c r="C675" s="104" t="s">
        <v>2594</v>
      </c>
      <c r="D675" s="104" t="s">
        <v>4230</v>
      </c>
      <c r="E675" s="104" t="s">
        <v>425</v>
      </c>
      <c r="F675" s="105"/>
      <c r="H675" s="45" t="str">
        <f t="shared" si="30"/>
        <v>Maja – Flajsig – OK Vihor</v>
      </c>
      <c r="J675" s="45" t="str">
        <f t="shared" si="31"/>
        <v>Maja – Flajsig – OK Vihor</v>
      </c>
      <c r="L675" s="45" t="str">
        <f t="shared" si="32"/>
        <v>Maja – Flajsig</v>
      </c>
      <c r="N675" s="103"/>
      <c r="O675" s="104"/>
      <c r="P675" s="105"/>
    </row>
    <row r="676" spans="2:16" x14ac:dyDescent="0.25">
      <c r="B676" s="103">
        <v>1810</v>
      </c>
      <c r="C676" s="104" t="s">
        <v>3809</v>
      </c>
      <c r="D676" s="104" t="s">
        <v>4231</v>
      </c>
      <c r="E676" s="104" t="s">
        <v>425</v>
      </c>
      <c r="F676" s="105"/>
      <c r="H676" s="45" t="str">
        <f t="shared" si="30"/>
        <v>Fran – Fran Husnjak – OK Vihor</v>
      </c>
      <c r="J676" s="45" t="str">
        <f t="shared" si="31"/>
        <v>Fran – Fran Husnjak – OK Vihor</v>
      </c>
      <c r="L676" s="45" t="str">
        <f t="shared" si="32"/>
        <v>Fran – Fran Husnjak</v>
      </c>
      <c r="N676" s="103"/>
      <c r="O676" s="104"/>
      <c r="P676" s="105"/>
    </row>
    <row r="677" spans="2:16" x14ac:dyDescent="0.25">
      <c r="B677" s="103">
        <v>1750</v>
      </c>
      <c r="C677" s="104" t="s">
        <v>2424</v>
      </c>
      <c r="D677" s="104" t="s">
        <v>3908</v>
      </c>
      <c r="E677" s="104" t="s">
        <v>425</v>
      </c>
      <c r="F677" s="105"/>
      <c r="H677" s="45" t="str">
        <f t="shared" si="30"/>
        <v>Barbara – Fumić – OK Vihor</v>
      </c>
      <c r="J677" s="45" t="str">
        <f t="shared" si="31"/>
        <v>Barbara – Fumić – OK Vihor</v>
      </c>
      <c r="L677" s="45" t="str">
        <f t="shared" si="32"/>
        <v>Barbara – Fumić</v>
      </c>
      <c r="N677" s="103"/>
      <c r="O677" s="104"/>
      <c r="P677" s="105"/>
    </row>
    <row r="678" spans="2:16" x14ac:dyDescent="0.25">
      <c r="B678" s="103">
        <v>1886</v>
      </c>
      <c r="C678" s="104" t="s">
        <v>3172</v>
      </c>
      <c r="D678" s="104" t="s">
        <v>3257</v>
      </c>
      <c r="E678" s="104" t="s">
        <v>425</v>
      </c>
      <c r="F678" s="105" t="s">
        <v>3093</v>
      </c>
      <c r="H678" s="45" t="str">
        <f t="shared" si="30"/>
        <v>Andrea – Funarić – OK Vihor – Ž21B</v>
      </c>
      <c r="J678" s="45" t="str">
        <f t="shared" si="31"/>
        <v>Andrea – Funarić – OK Vihor</v>
      </c>
      <c r="L678" s="45" t="str">
        <f t="shared" si="32"/>
        <v>Andrea – Funarić</v>
      </c>
      <c r="N678" s="103"/>
      <c r="O678" s="104"/>
      <c r="P678" s="105"/>
    </row>
    <row r="679" spans="2:16" x14ac:dyDescent="0.25">
      <c r="B679" s="103">
        <v>1534</v>
      </c>
      <c r="C679" s="104" t="s">
        <v>604</v>
      </c>
      <c r="D679" s="104" t="s">
        <v>4232</v>
      </c>
      <c r="E679" s="104" t="s">
        <v>425</v>
      </c>
      <c r="F679" s="105" t="s">
        <v>1908</v>
      </c>
      <c r="H679" s="45" t="str">
        <f t="shared" si="30"/>
        <v>Marko – Gamberger – OK Vihor – M45</v>
      </c>
      <c r="J679" s="45" t="str">
        <f t="shared" si="31"/>
        <v>Marko – Gamberger – OK Vihor</v>
      </c>
      <c r="L679" s="45" t="str">
        <f t="shared" si="32"/>
        <v>Marko – Gamberger</v>
      </c>
      <c r="N679" s="103"/>
      <c r="O679" s="104"/>
      <c r="P679" s="105"/>
    </row>
    <row r="680" spans="2:16" x14ac:dyDescent="0.25">
      <c r="B680" s="103">
        <v>1153</v>
      </c>
      <c r="C680" s="104" t="s">
        <v>471</v>
      </c>
      <c r="D680" s="104" t="s">
        <v>4233</v>
      </c>
      <c r="E680" s="104" t="s">
        <v>425</v>
      </c>
      <c r="F680" s="105"/>
      <c r="H680" s="45" t="str">
        <f t="shared" si="30"/>
        <v>Filip – Gašparević – OK Vihor</v>
      </c>
      <c r="J680" s="45" t="str">
        <f t="shared" si="31"/>
        <v>Filip – Gašparević – OK Vihor</v>
      </c>
      <c r="L680" s="45" t="str">
        <f t="shared" si="32"/>
        <v>Filip – Gašparević</v>
      </c>
      <c r="N680" s="103"/>
      <c r="O680" s="104"/>
      <c r="P680" s="105"/>
    </row>
    <row r="681" spans="2:16" x14ac:dyDescent="0.25">
      <c r="B681" s="103">
        <v>1209</v>
      </c>
      <c r="C681" s="104" t="s">
        <v>1866</v>
      </c>
      <c r="D681" s="104" t="s">
        <v>764</v>
      </c>
      <c r="E681" s="104" t="s">
        <v>425</v>
      </c>
      <c r="F681" s="105" t="s">
        <v>1908</v>
      </c>
      <c r="H681" s="45" t="str">
        <f t="shared" si="30"/>
        <v>Damir – Gobec – OK Vihor – M45</v>
      </c>
      <c r="J681" s="45" t="str">
        <f t="shared" si="31"/>
        <v>Damir – Gobec – OK Vihor</v>
      </c>
      <c r="L681" s="45" t="str">
        <f t="shared" si="32"/>
        <v>Damir – Gobec</v>
      </c>
      <c r="N681" s="103"/>
      <c r="O681" s="104"/>
      <c r="P681" s="105"/>
    </row>
    <row r="682" spans="2:16" x14ac:dyDescent="0.25">
      <c r="B682" s="103">
        <v>1309</v>
      </c>
      <c r="C682" s="104" t="s">
        <v>2447</v>
      </c>
      <c r="D682" s="104" t="s">
        <v>764</v>
      </c>
      <c r="E682" s="104" t="s">
        <v>425</v>
      </c>
      <c r="F682" s="105" t="s">
        <v>3442</v>
      </c>
      <c r="H682" s="45" t="str">
        <f t="shared" si="30"/>
        <v>Ivana – Gobec – OK Vihor – Ž45</v>
      </c>
      <c r="J682" s="45" t="str">
        <f t="shared" si="31"/>
        <v>Ivana – Gobec – OK Vihor</v>
      </c>
      <c r="L682" s="45" t="str">
        <f t="shared" si="32"/>
        <v>Ivana – Gobec</v>
      </c>
      <c r="N682" s="103"/>
      <c r="O682" s="104"/>
      <c r="P682" s="105"/>
    </row>
    <row r="683" spans="2:16" x14ac:dyDescent="0.25">
      <c r="B683" s="103">
        <v>1522</v>
      </c>
      <c r="C683" s="104" t="s">
        <v>765</v>
      </c>
      <c r="D683" s="104" t="s">
        <v>764</v>
      </c>
      <c r="E683" s="104" t="s">
        <v>425</v>
      </c>
      <c r="F683" s="105" t="s">
        <v>768</v>
      </c>
      <c r="H683" s="45" t="str">
        <f t="shared" si="30"/>
        <v>Jan – Gobec – OK Vihor – M20</v>
      </c>
      <c r="J683" s="45" t="str">
        <f t="shared" si="31"/>
        <v>Jan – Gobec – OK Vihor</v>
      </c>
      <c r="L683" s="45" t="str">
        <f t="shared" si="32"/>
        <v>Jan – Gobec</v>
      </c>
      <c r="N683" s="103"/>
      <c r="O683" s="104"/>
      <c r="P683" s="105"/>
    </row>
    <row r="684" spans="2:16" x14ac:dyDescent="0.25">
      <c r="B684" s="103">
        <v>1494</v>
      </c>
      <c r="C684" s="104" t="s">
        <v>589</v>
      </c>
      <c r="D684" s="104" t="s">
        <v>764</v>
      </c>
      <c r="E684" s="104" t="s">
        <v>425</v>
      </c>
      <c r="F684" s="105" t="s">
        <v>2194</v>
      </c>
      <c r="H684" s="45" t="str">
        <f t="shared" si="30"/>
        <v>Karlo – Gobec – OK Vihor – M55</v>
      </c>
      <c r="J684" s="45" t="str">
        <f t="shared" si="31"/>
        <v>Karlo – Gobec – OK Vihor</v>
      </c>
      <c r="L684" s="45" t="str">
        <f t="shared" si="32"/>
        <v>Karlo – Gobec</v>
      </c>
      <c r="N684" s="103"/>
      <c r="O684" s="104"/>
      <c r="P684" s="105"/>
    </row>
    <row r="685" spans="2:16" x14ac:dyDescent="0.25">
      <c r="B685" s="103">
        <v>1301</v>
      </c>
      <c r="C685" s="104" t="s">
        <v>2803</v>
      </c>
      <c r="D685" s="104" t="s">
        <v>764</v>
      </c>
      <c r="E685" s="104" t="s">
        <v>425</v>
      </c>
      <c r="F685" s="105" t="s">
        <v>2765</v>
      </c>
      <c r="H685" s="45" t="str">
        <f t="shared" si="30"/>
        <v>Kimi Maria – Gobec – OK Vihor – Ž16</v>
      </c>
      <c r="J685" s="45" t="str">
        <f t="shared" si="31"/>
        <v>Kimi Maria – Gobec – OK Vihor</v>
      </c>
      <c r="L685" s="45" t="str">
        <f t="shared" si="32"/>
        <v>Kimi Maria – Gobec</v>
      </c>
      <c r="N685" s="103"/>
      <c r="O685" s="104"/>
      <c r="P685" s="105"/>
    </row>
    <row r="686" spans="2:16" x14ac:dyDescent="0.25">
      <c r="B686" s="103">
        <v>1203</v>
      </c>
      <c r="C686" s="104" t="s">
        <v>3072</v>
      </c>
      <c r="D686" s="104" t="s">
        <v>764</v>
      </c>
      <c r="E686" s="104" t="s">
        <v>425</v>
      </c>
      <c r="F686" s="105" t="s">
        <v>3000</v>
      </c>
      <c r="H686" s="45" t="str">
        <f t="shared" si="30"/>
        <v>Lea Katarina – Gobec – OK Vihor – Ž21A</v>
      </c>
      <c r="J686" s="45" t="str">
        <f t="shared" si="31"/>
        <v>Lea Katarina – Gobec – OK Vihor</v>
      </c>
      <c r="L686" s="45" t="str">
        <f t="shared" si="32"/>
        <v>Lea Katarina – Gobec</v>
      </c>
      <c r="N686" s="103"/>
      <c r="O686" s="104"/>
      <c r="P686" s="105"/>
    </row>
    <row r="687" spans="2:16" x14ac:dyDescent="0.25">
      <c r="B687" s="103">
        <v>1501</v>
      </c>
      <c r="C687" s="104" t="s">
        <v>3559</v>
      </c>
      <c r="D687" s="104" t="s">
        <v>764</v>
      </c>
      <c r="E687" s="104" t="s">
        <v>425</v>
      </c>
      <c r="F687" s="105" t="s">
        <v>3703</v>
      </c>
      <c r="H687" s="45" t="str">
        <f t="shared" si="30"/>
        <v>Marija – Gobec – OK Vihor – Ž70</v>
      </c>
      <c r="J687" s="45" t="str">
        <f t="shared" si="31"/>
        <v>Marija – Gobec – OK Vihor</v>
      </c>
      <c r="L687" s="45" t="str">
        <f t="shared" si="32"/>
        <v>Marija – Gobec</v>
      </c>
      <c r="N687" s="103"/>
      <c r="O687" s="104"/>
      <c r="P687" s="105"/>
    </row>
    <row r="688" spans="2:16" x14ac:dyDescent="0.25">
      <c r="B688" s="103">
        <v>1913</v>
      </c>
      <c r="C688" s="104" t="s">
        <v>3473</v>
      </c>
      <c r="D688" s="104" t="s">
        <v>764</v>
      </c>
      <c r="E688" s="104" t="s">
        <v>425</v>
      </c>
      <c r="F688" s="105" t="s">
        <v>3442</v>
      </c>
      <c r="H688" s="45" t="str">
        <f t="shared" si="30"/>
        <v>Neda – Gobec – OK Vihor – Ž45</v>
      </c>
      <c r="J688" s="45" t="str">
        <f t="shared" si="31"/>
        <v>Neda – Gobec – OK Vihor</v>
      </c>
      <c r="L688" s="45" t="str">
        <f t="shared" si="32"/>
        <v>Neda – Gobec</v>
      </c>
      <c r="N688" s="103"/>
      <c r="O688" s="104"/>
      <c r="P688" s="105"/>
    </row>
    <row r="689" spans="2:16" x14ac:dyDescent="0.25">
      <c r="B689" s="103">
        <v>1297</v>
      </c>
      <c r="C689" s="104" t="s">
        <v>1152</v>
      </c>
      <c r="D689" s="104" t="s">
        <v>764</v>
      </c>
      <c r="E689" s="104" t="s">
        <v>425</v>
      </c>
      <c r="F689" s="105" t="s">
        <v>1129</v>
      </c>
      <c r="H689" s="45" t="str">
        <f t="shared" si="30"/>
        <v>Timo Vilim – Gobec – OK Vihor – M21B</v>
      </c>
      <c r="J689" s="45" t="str">
        <f t="shared" si="31"/>
        <v>Timo Vilim – Gobec – OK Vihor</v>
      </c>
      <c r="L689" s="45" t="str">
        <f t="shared" si="32"/>
        <v>Timo Vilim – Gobec</v>
      </c>
      <c r="N689" s="103"/>
      <c r="O689" s="104"/>
      <c r="P689" s="105"/>
    </row>
    <row r="690" spans="2:16" x14ac:dyDescent="0.25">
      <c r="B690" s="103">
        <v>1393</v>
      </c>
      <c r="C690" s="104" t="s">
        <v>1320</v>
      </c>
      <c r="D690" s="104" t="s">
        <v>764</v>
      </c>
      <c r="E690" s="104" t="s">
        <v>425</v>
      </c>
      <c r="F690" s="105" t="s">
        <v>2402</v>
      </c>
      <c r="H690" s="45" t="str">
        <f t="shared" si="30"/>
        <v>Željko – Gobec – OK Vihor – M70</v>
      </c>
      <c r="J690" s="45" t="str">
        <f t="shared" si="31"/>
        <v>Željko – Gobec – OK Vihor</v>
      </c>
      <c r="L690" s="45" t="str">
        <f t="shared" si="32"/>
        <v>Željko – Gobec</v>
      </c>
      <c r="N690" s="103"/>
      <c r="O690" s="104"/>
      <c r="P690" s="105"/>
    </row>
    <row r="691" spans="2:16" x14ac:dyDescent="0.25">
      <c r="B691" s="103">
        <v>1800</v>
      </c>
      <c r="C691" s="104" t="s">
        <v>4234</v>
      </c>
      <c r="D691" s="104" t="s">
        <v>4235</v>
      </c>
      <c r="E691" s="104" t="s">
        <v>425</v>
      </c>
      <c r="F691" s="105"/>
      <c r="H691" s="45" t="str">
        <f t="shared" si="30"/>
        <v>Adrian – Gojević – OK Vihor</v>
      </c>
      <c r="J691" s="45" t="str">
        <f t="shared" si="31"/>
        <v>Adrian – Gojević – OK Vihor</v>
      </c>
      <c r="L691" s="45" t="str">
        <f t="shared" si="32"/>
        <v>Adrian – Gojević</v>
      </c>
      <c r="N691" s="103"/>
      <c r="O691" s="104"/>
      <c r="P691" s="105"/>
    </row>
    <row r="692" spans="2:16" x14ac:dyDescent="0.25">
      <c r="B692" s="103">
        <v>1798</v>
      </c>
      <c r="C692" s="104" t="s">
        <v>2447</v>
      </c>
      <c r="D692" s="104" t="s">
        <v>4235</v>
      </c>
      <c r="E692" s="104" t="s">
        <v>425</v>
      </c>
      <c r="F692" s="105"/>
      <c r="H692" s="45" t="str">
        <f t="shared" si="30"/>
        <v>Ivana – Gojević – OK Vihor</v>
      </c>
      <c r="J692" s="45" t="str">
        <f t="shared" si="31"/>
        <v>Ivana – Gojević – OK Vihor</v>
      </c>
      <c r="L692" s="45" t="str">
        <f t="shared" si="32"/>
        <v>Ivana – Gojević</v>
      </c>
      <c r="N692" s="103"/>
      <c r="O692" s="104"/>
      <c r="P692" s="105"/>
    </row>
    <row r="693" spans="2:16" x14ac:dyDescent="0.25">
      <c r="B693" s="103">
        <v>1696</v>
      </c>
      <c r="C693" s="104" t="s">
        <v>1005</v>
      </c>
      <c r="D693" s="104" t="s">
        <v>4235</v>
      </c>
      <c r="E693" s="104" t="s">
        <v>425</v>
      </c>
      <c r="F693" s="105"/>
      <c r="H693" s="45" t="str">
        <f t="shared" si="30"/>
        <v>Josip – Gojević – OK Vihor</v>
      </c>
      <c r="J693" s="45" t="str">
        <f t="shared" si="31"/>
        <v>Josip – Gojević – OK Vihor</v>
      </c>
      <c r="L693" s="45" t="str">
        <f t="shared" si="32"/>
        <v>Josip – Gojević</v>
      </c>
      <c r="N693" s="103"/>
      <c r="O693" s="104"/>
      <c r="P693" s="105"/>
    </row>
    <row r="694" spans="2:16" x14ac:dyDescent="0.25">
      <c r="B694" s="103">
        <v>1801</v>
      </c>
      <c r="C694" s="104" t="s">
        <v>2601</v>
      </c>
      <c r="D694" s="104" t="s">
        <v>4235</v>
      </c>
      <c r="E694" s="104" t="s">
        <v>425</v>
      </c>
      <c r="F694" s="105"/>
      <c r="H694" s="45" t="str">
        <f t="shared" si="30"/>
        <v>Petra – Gojević – OK Vihor</v>
      </c>
      <c r="J694" s="45" t="str">
        <f t="shared" si="31"/>
        <v>Petra – Gojević – OK Vihor</v>
      </c>
      <c r="L694" s="45" t="str">
        <f t="shared" si="32"/>
        <v>Petra – Gojević</v>
      </c>
      <c r="N694" s="103"/>
      <c r="O694" s="104"/>
      <c r="P694" s="105"/>
    </row>
    <row r="695" spans="2:16" x14ac:dyDescent="0.25">
      <c r="B695" s="103">
        <v>1799</v>
      </c>
      <c r="C695" s="104" t="s">
        <v>4236</v>
      </c>
      <c r="D695" s="104" t="s">
        <v>4235</v>
      </c>
      <c r="E695" s="104" t="s">
        <v>425</v>
      </c>
      <c r="F695" s="105"/>
      <c r="H695" s="45" t="str">
        <f t="shared" si="30"/>
        <v>Timea – Gojević – OK Vihor</v>
      </c>
      <c r="J695" s="45" t="str">
        <f t="shared" si="31"/>
        <v>Timea – Gojević – OK Vihor</v>
      </c>
      <c r="L695" s="45" t="str">
        <f t="shared" si="32"/>
        <v>Timea – Gojević</v>
      </c>
      <c r="N695" s="103"/>
      <c r="O695" s="104"/>
      <c r="P695" s="105"/>
    </row>
    <row r="696" spans="2:16" x14ac:dyDescent="0.25">
      <c r="B696" s="103">
        <v>1387</v>
      </c>
      <c r="C696" s="104" t="s">
        <v>1954</v>
      </c>
      <c r="D696" s="104" t="s">
        <v>4237</v>
      </c>
      <c r="E696" s="104" t="s">
        <v>425</v>
      </c>
      <c r="F696" s="105" t="s">
        <v>1574</v>
      </c>
      <c r="H696" s="45" t="str">
        <f t="shared" si="30"/>
        <v>Vladimir – Grgesina – OK Vihor – M35</v>
      </c>
      <c r="J696" s="45" t="str">
        <f t="shared" si="31"/>
        <v>Vladimir – Grgesina – OK Vihor</v>
      </c>
      <c r="L696" s="45" t="str">
        <f t="shared" si="32"/>
        <v>Vladimir – Grgesina</v>
      </c>
      <c r="N696" s="103"/>
      <c r="O696" s="104"/>
      <c r="P696" s="105"/>
    </row>
    <row r="697" spans="2:16" x14ac:dyDescent="0.25">
      <c r="B697" s="103">
        <v>1812</v>
      </c>
      <c r="C697" s="104" t="s">
        <v>4238</v>
      </c>
      <c r="D697" s="104" t="s">
        <v>4239</v>
      </c>
      <c r="E697" s="104" t="s">
        <v>425</v>
      </c>
      <c r="F697" s="105"/>
      <c r="H697" s="45" t="str">
        <f t="shared" si="30"/>
        <v>Mirna – Grgurić – OK Vihor</v>
      </c>
      <c r="J697" s="45" t="str">
        <f t="shared" si="31"/>
        <v>Mirna – Grgurić – OK Vihor</v>
      </c>
      <c r="L697" s="45" t="str">
        <f t="shared" si="32"/>
        <v>Mirna – Grgurić</v>
      </c>
      <c r="N697" s="103"/>
      <c r="O697" s="104"/>
      <c r="P697" s="105"/>
    </row>
    <row r="698" spans="2:16" x14ac:dyDescent="0.25">
      <c r="B698" s="103">
        <v>1697</v>
      </c>
      <c r="C698" s="104" t="s">
        <v>1028</v>
      </c>
      <c r="D698" s="104" t="s">
        <v>4240</v>
      </c>
      <c r="E698" s="104" t="s">
        <v>425</v>
      </c>
      <c r="F698" s="105"/>
      <c r="H698" s="45" t="str">
        <f t="shared" si="30"/>
        <v>Tomislav – Grguric – OK Vihor</v>
      </c>
      <c r="J698" s="45" t="str">
        <f t="shared" si="31"/>
        <v>Tomislav – Grguric – OK Vihor</v>
      </c>
      <c r="L698" s="45" t="str">
        <f t="shared" si="32"/>
        <v>Tomislav – Grguric</v>
      </c>
      <c r="N698" s="103"/>
      <c r="O698" s="104"/>
      <c r="P698" s="105"/>
    </row>
    <row r="699" spans="2:16" x14ac:dyDescent="0.25">
      <c r="B699" s="103">
        <v>1112</v>
      </c>
      <c r="C699" s="104" t="s">
        <v>4241</v>
      </c>
      <c r="D699" s="104" t="s">
        <v>4242</v>
      </c>
      <c r="E699" s="104" t="s">
        <v>425</v>
      </c>
      <c r="F699" s="105" t="s">
        <v>1129</v>
      </c>
      <c r="H699" s="45" t="str">
        <f t="shared" si="30"/>
        <v>Alex – Gulta – OK Vihor – M21B</v>
      </c>
      <c r="J699" s="45" t="str">
        <f t="shared" si="31"/>
        <v>Alex – Gulta – OK Vihor</v>
      </c>
      <c r="L699" s="45" t="str">
        <f t="shared" si="32"/>
        <v>Alex – Gulta</v>
      </c>
      <c r="N699" s="103"/>
      <c r="O699" s="104"/>
      <c r="P699" s="105"/>
    </row>
    <row r="700" spans="2:16" x14ac:dyDescent="0.25">
      <c r="B700" s="103">
        <v>1409</v>
      </c>
      <c r="C700" s="104" t="s">
        <v>740</v>
      </c>
      <c r="D700" s="104" t="s">
        <v>4243</v>
      </c>
      <c r="E700" s="104" t="s">
        <v>425</v>
      </c>
      <c r="F700" s="105" t="s">
        <v>1908</v>
      </c>
      <c r="H700" s="45" t="str">
        <f t="shared" si="30"/>
        <v>Goran – Habjanec – OK Vihor – M45</v>
      </c>
      <c r="J700" s="45" t="str">
        <f t="shared" si="31"/>
        <v>Goran – Habjanec – OK Vihor</v>
      </c>
      <c r="L700" s="45" t="str">
        <f t="shared" si="32"/>
        <v>Goran – Habjanec</v>
      </c>
      <c r="N700" s="103"/>
      <c r="O700" s="104"/>
      <c r="P700" s="105"/>
    </row>
    <row r="701" spans="2:16" x14ac:dyDescent="0.25">
      <c r="B701" s="103">
        <v>1496</v>
      </c>
      <c r="C701" s="104" t="s">
        <v>437</v>
      </c>
      <c r="D701" s="104" t="s">
        <v>4244</v>
      </c>
      <c r="E701" s="104" t="s">
        <v>425</v>
      </c>
      <c r="F701" s="105" t="s">
        <v>1908</v>
      </c>
      <c r="H701" s="45" t="str">
        <f t="shared" si="30"/>
        <v>Ivan – Habuš – OK Vihor – M45</v>
      </c>
      <c r="J701" s="45" t="str">
        <f t="shared" si="31"/>
        <v>Ivan – Habuš – OK Vihor</v>
      </c>
      <c r="L701" s="45" t="str">
        <f t="shared" si="32"/>
        <v>Ivan – Habuš</v>
      </c>
      <c r="N701" s="103"/>
      <c r="O701" s="104"/>
      <c r="P701" s="105"/>
    </row>
    <row r="702" spans="2:16" x14ac:dyDescent="0.25">
      <c r="B702" s="103">
        <v>1024</v>
      </c>
      <c r="C702" s="104" t="s">
        <v>2524</v>
      </c>
      <c r="D702" s="104" t="s">
        <v>4245</v>
      </c>
      <c r="E702" s="104" t="s">
        <v>425</v>
      </c>
      <c r="F702" s="105"/>
      <c r="H702" s="45" t="str">
        <f t="shared" si="30"/>
        <v>Nika – Hajak – OK Vihor</v>
      </c>
      <c r="J702" s="45" t="str">
        <f t="shared" si="31"/>
        <v>Nika – Hajak – OK Vihor</v>
      </c>
      <c r="L702" s="45" t="str">
        <f t="shared" si="32"/>
        <v>Nika – Hajak</v>
      </c>
      <c r="N702" s="103"/>
      <c r="O702" s="104"/>
      <c r="P702" s="105"/>
    </row>
    <row r="703" spans="2:16" x14ac:dyDescent="0.25">
      <c r="B703" s="103">
        <v>1751</v>
      </c>
      <c r="C703" s="104" t="s">
        <v>3559</v>
      </c>
      <c r="D703" s="104" t="s">
        <v>3850</v>
      </c>
      <c r="E703" s="104" t="s">
        <v>425</v>
      </c>
      <c r="F703" s="105"/>
      <c r="H703" s="45" t="str">
        <f t="shared" si="30"/>
        <v>Marija – Herceg – OK Vihor</v>
      </c>
      <c r="J703" s="45" t="str">
        <f t="shared" si="31"/>
        <v>Marija – Herceg – OK Vihor</v>
      </c>
      <c r="L703" s="45" t="str">
        <f t="shared" si="32"/>
        <v>Marija – Herceg</v>
      </c>
      <c r="N703" s="103"/>
      <c r="O703" s="104"/>
      <c r="P703" s="105"/>
    </row>
    <row r="704" spans="2:16" x14ac:dyDescent="0.25">
      <c r="B704" s="103">
        <v>1917</v>
      </c>
      <c r="C704" s="104" t="s">
        <v>2436</v>
      </c>
      <c r="D704" s="104" t="s">
        <v>4246</v>
      </c>
      <c r="E704" s="104" t="s">
        <v>425</v>
      </c>
      <c r="F704" s="105"/>
      <c r="H704" s="45" t="str">
        <f t="shared" si="30"/>
        <v>Ana – Hiršl Barišec – OK Vihor</v>
      </c>
      <c r="J704" s="45" t="str">
        <f t="shared" si="31"/>
        <v>Ana – Hiršl Barišec – OK Vihor</v>
      </c>
      <c r="L704" s="45" t="str">
        <f t="shared" si="32"/>
        <v>Ana – Hiršl Barišec</v>
      </c>
      <c r="N704" s="103"/>
      <c r="O704" s="104"/>
      <c r="P704" s="105"/>
    </row>
    <row r="705" spans="2:16" x14ac:dyDescent="0.25">
      <c r="B705" s="103">
        <v>1146</v>
      </c>
      <c r="C705" s="104" t="s">
        <v>2510</v>
      </c>
      <c r="D705" s="104" t="s">
        <v>643</v>
      </c>
      <c r="E705" s="104" t="s">
        <v>425</v>
      </c>
      <c r="F705" s="105" t="s">
        <v>3442</v>
      </c>
      <c r="H705" s="45" t="str">
        <f t="shared" si="30"/>
        <v>Antonija – Hodak – OK Vihor – Ž45</v>
      </c>
      <c r="J705" s="45" t="str">
        <f t="shared" si="31"/>
        <v>Antonija – Hodak – OK Vihor</v>
      </c>
      <c r="L705" s="45" t="str">
        <f t="shared" si="32"/>
        <v>Antonija – Hodak</v>
      </c>
      <c r="N705" s="103"/>
      <c r="O705" s="104"/>
      <c r="P705" s="105"/>
    </row>
    <row r="706" spans="2:16" x14ac:dyDescent="0.25">
      <c r="B706" s="103">
        <v>1557</v>
      </c>
      <c r="C706" s="104" t="s">
        <v>644</v>
      </c>
      <c r="D706" s="104" t="s">
        <v>643</v>
      </c>
      <c r="E706" s="104" t="s">
        <v>425</v>
      </c>
      <c r="F706" s="105" t="s">
        <v>486</v>
      </c>
      <c r="H706" s="45" t="str">
        <f t="shared" si="30"/>
        <v>Janko – Hodak – OK Vihor – M14</v>
      </c>
      <c r="J706" s="45" t="str">
        <f t="shared" si="31"/>
        <v>Janko – Hodak – OK Vihor</v>
      </c>
      <c r="L706" s="45" t="str">
        <f t="shared" si="32"/>
        <v>Janko – Hodak</v>
      </c>
      <c r="N706" s="103"/>
      <c r="O706" s="104"/>
      <c r="P706" s="105"/>
    </row>
    <row r="707" spans="2:16" x14ac:dyDescent="0.25">
      <c r="B707" s="103">
        <v>1371</v>
      </c>
      <c r="C707" s="104" t="s">
        <v>2772</v>
      </c>
      <c r="D707" s="104" t="s">
        <v>643</v>
      </c>
      <c r="E707" s="104" t="s">
        <v>425</v>
      </c>
      <c r="F707" s="105" t="s">
        <v>2765</v>
      </c>
      <c r="H707" s="45" t="str">
        <f t="shared" si="30"/>
        <v>Mirta – Hodak – OK Vihor – Ž16</v>
      </c>
      <c r="J707" s="45" t="str">
        <f t="shared" si="31"/>
        <v>Mirta – Hodak – OK Vihor</v>
      </c>
      <c r="L707" s="45" t="str">
        <f t="shared" si="32"/>
        <v>Mirta – Hodak</v>
      </c>
      <c r="N707" s="103"/>
      <c r="O707" s="104"/>
      <c r="P707" s="105"/>
    </row>
    <row r="708" spans="2:16" x14ac:dyDescent="0.25">
      <c r="B708" s="103">
        <v>1523</v>
      </c>
      <c r="C708" s="104" t="s">
        <v>2447</v>
      </c>
      <c r="D708" s="104" t="s">
        <v>4247</v>
      </c>
      <c r="E708" s="104" t="s">
        <v>425</v>
      </c>
      <c r="F708" s="105" t="s">
        <v>3264</v>
      </c>
      <c r="H708" s="45" t="str">
        <f t="shared" si="30"/>
        <v>Ivana – Horbec – OK Vihor – Ž35</v>
      </c>
      <c r="J708" s="45" t="str">
        <f t="shared" si="31"/>
        <v>Ivana – Horbec – OK Vihor</v>
      </c>
      <c r="L708" s="45" t="str">
        <f t="shared" si="32"/>
        <v>Ivana – Horbec</v>
      </c>
      <c r="N708" s="103"/>
      <c r="O708" s="104"/>
      <c r="P708" s="105"/>
    </row>
    <row r="709" spans="2:16" x14ac:dyDescent="0.25">
      <c r="B709" s="103">
        <v>1480</v>
      </c>
      <c r="C709" s="104" t="s">
        <v>2006</v>
      </c>
      <c r="D709" s="104" t="s">
        <v>2005</v>
      </c>
      <c r="E709" s="104" t="s">
        <v>425</v>
      </c>
      <c r="F709" s="105" t="s">
        <v>1908</v>
      </c>
      <c r="H709" s="45" t="str">
        <f t="shared" si="30"/>
        <v>Zdenko – Horjan – OK Vihor – M45</v>
      </c>
      <c r="J709" s="45" t="str">
        <f t="shared" si="31"/>
        <v>Zdenko – Horjan – OK Vihor</v>
      </c>
      <c r="L709" s="45" t="str">
        <f t="shared" si="32"/>
        <v>Zdenko – Horjan</v>
      </c>
      <c r="N709" s="103"/>
      <c r="O709" s="104"/>
      <c r="P709" s="105"/>
    </row>
    <row r="710" spans="2:16" x14ac:dyDescent="0.25">
      <c r="B710" s="103">
        <v>1324</v>
      </c>
      <c r="C710" s="104" t="s">
        <v>3687</v>
      </c>
      <c r="D710" s="104" t="s">
        <v>3686</v>
      </c>
      <c r="E710" s="104" t="s">
        <v>425</v>
      </c>
      <c r="F710" s="105" t="s">
        <v>3679</v>
      </c>
      <c r="H710" s="45" t="str">
        <f t="shared" si="30"/>
        <v>Biserka – Horvat-Nikšić – OK Vihor – Ž65</v>
      </c>
      <c r="J710" s="45" t="str">
        <f t="shared" si="31"/>
        <v>Biserka – Horvat-Nikšić – OK Vihor</v>
      </c>
      <c r="L710" s="45" t="str">
        <f t="shared" si="32"/>
        <v>Biserka – Horvat-Nikšić</v>
      </c>
      <c r="N710" s="103"/>
      <c r="O710" s="104"/>
      <c r="P710" s="105"/>
    </row>
    <row r="711" spans="2:16" x14ac:dyDescent="0.25">
      <c r="B711" s="103">
        <v>1943</v>
      </c>
      <c r="C711" s="104" t="s">
        <v>3172</v>
      </c>
      <c r="D711" s="104" t="s">
        <v>880</v>
      </c>
      <c r="E711" s="104" t="s">
        <v>425</v>
      </c>
      <c r="F711" s="105" t="s">
        <v>3093</v>
      </c>
      <c r="H711" s="45" t="str">
        <f t="shared" si="30"/>
        <v>Andrea – Hribar – OK Vihor – Ž21B</v>
      </c>
      <c r="J711" s="45" t="str">
        <f t="shared" si="31"/>
        <v>Andrea – Hribar – OK Vihor</v>
      </c>
      <c r="L711" s="45" t="str">
        <f t="shared" si="32"/>
        <v>Andrea – Hribar</v>
      </c>
      <c r="N711" s="103"/>
      <c r="O711" s="104"/>
      <c r="P711" s="105"/>
    </row>
    <row r="712" spans="2:16" x14ac:dyDescent="0.25">
      <c r="B712" s="103">
        <v>1887</v>
      </c>
      <c r="C712" s="104" t="s">
        <v>635</v>
      </c>
      <c r="D712" s="104" t="s">
        <v>634</v>
      </c>
      <c r="E712" s="104" t="s">
        <v>425</v>
      </c>
      <c r="F712" s="105" t="s">
        <v>486</v>
      </c>
      <c r="H712" s="45" t="str">
        <f t="shared" si="30"/>
        <v>Tristan – Ilić – OK Vihor – M14</v>
      </c>
      <c r="J712" s="45" t="str">
        <f t="shared" si="31"/>
        <v>Tristan – Ilić – OK Vihor</v>
      </c>
      <c r="L712" s="45" t="str">
        <f t="shared" si="32"/>
        <v>Tristan – Ilić</v>
      </c>
      <c r="N712" s="103"/>
      <c r="O712" s="104"/>
      <c r="P712" s="105"/>
    </row>
    <row r="713" spans="2:16" x14ac:dyDescent="0.25">
      <c r="B713" s="103">
        <v>1802</v>
      </c>
      <c r="C713" s="104" t="s">
        <v>4248</v>
      </c>
      <c r="D713" s="104" t="s">
        <v>4249</v>
      </c>
      <c r="E713" s="104" t="s">
        <v>425</v>
      </c>
      <c r="F713" s="105"/>
      <c r="H713" s="45" t="str">
        <f t="shared" si="30"/>
        <v>Mihej – Ivančan – OK Vihor</v>
      </c>
      <c r="J713" s="45" t="str">
        <f t="shared" si="31"/>
        <v>Mihej – Ivančan – OK Vihor</v>
      </c>
      <c r="L713" s="45" t="str">
        <f t="shared" si="32"/>
        <v>Mihej – Ivančan</v>
      </c>
      <c r="N713" s="103"/>
      <c r="O713" s="104"/>
      <c r="P713" s="105"/>
    </row>
    <row r="714" spans="2:16" x14ac:dyDescent="0.25">
      <c r="B714" s="103">
        <v>1002</v>
      </c>
      <c r="C714" s="104" t="s">
        <v>4250</v>
      </c>
      <c r="D714" s="104" t="s">
        <v>4251</v>
      </c>
      <c r="E714" s="104" t="s">
        <v>425</v>
      </c>
      <c r="F714" s="105"/>
      <c r="H714" s="45" t="str">
        <f t="shared" si="30"/>
        <v>Aleks – Ivanov – OK Vihor</v>
      </c>
      <c r="J714" s="45" t="str">
        <f t="shared" si="31"/>
        <v>Aleks – Ivanov – OK Vihor</v>
      </c>
      <c r="L714" s="45" t="str">
        <f t="shared" si="32"/>
        <v>Aleks – Ivanov</v>
      </c>
      <c r="N714" s="103"/>
      <c r="O714" s="104"/>
      <c r="P714" s="105"/>
    </row>
    <row r="715" spans="2:16" x14ac:dyDescent="0.25">
      <c r="B715" s="103">
        <v>1698</v>
      </c>
      <c r="C715" s="104" t="s">
        <v>4252</v>
      </c>
      <c r="D715" s="104" t="s">
        <v>4253</v>
      </c>
      <c r="E715" s="104" t="s">
        <v>425</v>
      </c>
      <c r="F715" s="105" t="s">
        <v>1129</v>
      </c>
      <c r="H715" s="45" t="str">
        <f t="shared" ref="H715:H778" si="33">IF(C715="","",C715) &amp; IF(D715="",""," – " &amp; D715) &amp; IF(E715="",""," – " &amp; E715) &amp; IF(F715="",""," – " &amp; F715)</f>
        <v>Bernard – Ivezic – OK Vihor – M21B</v>
      </c>
      <c r="J715" s="45" t="str">
        <f t="shared" ref="J715:J778" si="34">IF(C715="","",C715) &amp; IF(D715="",""," – " &amp; D715) &amp; IF(E715="",""," – " &amp; E715)</f>
        <v>Bernard – Ivezic – OK Vihor</v>
      </c>
      <c r="L715" s="45" t="str">
        <f t="shared" ref="L715:L778" si="35">IF(C715="","",C715) &amp; IF(D715="",""," – " &amp; D715)</f>
        <v>Bernard – Ivezic</v>
      </c>
      <c r="N715" s="103"/>
      <c r="O715" s="104"/>
      <c r="P715" s="105"/>
    </row>
    <row r="716" spans="2:16" x14ac:dyDescent="0.25">
      <c r="B716" s="103">
        <v>1252</v>
      </c>
      <c r="C716" s="104" t="s">
        <v>4254</v>
      </c>
      <c r="D716" s="104" t="s">
        <v>4255</v>
      </c>
      <c r="E716" s="104" t="s">
        <v>425</v>
      </c>
      <c r="F716" s="105" t="s">
        <v>363</v>
      </c>
      <c r="H716" s="45" t="str">
        <f t="shared" si="33"/>
        <v>Viktor Ignjat – Ivezić – OK Vihor – M12</v>
      </c>
      <c r="J716" s="45" t="str">
        <f t="shared" si="34"/>
        <v>Viktor Ignjat – Ivezić – OK Vihor</v>
      </c>
      <c r="L716" s="45" t="str">
        <f t="shared" si="35"/>
        <v>Viktor Ignjat – Ivezić</v>
      </c>
      <c r="N716" s="103"/>
      <c r="O716" s="104"/>
      <c r="P716" s="105"/>
    </row>
    <row r="717" spans="2:16" x14ac:dyDescent="0.25">
      <c r="B717" s="103">
        <v>1888</v>
      </c>
      <c r="C717" s="104" t="s">
        <v>3226</v>
      </c>
      <c r="D717" s="104" t="s">
        <v>3225</v>
      </c>
      <c r="E717" s="104" t="s">
        <v>425</v>
      </c>
      <c r="F717" s="105" t="s">
        <v>3093</v>
      </c>
      <c r="H717" s="45" t="str">
        <f t="shared" si="33"/>
        <v>Luana – Ivošević – OK Vihor – Ž21B</v>
      </c>
      <c r="J717" s="45" t="str">
        <f t="shared" si="34"/>
        <v>Luana – Ivošević – OK Vihor</v>
      </c>
      <c r="L717" s="45" t="str">
        <f t="shared" si="35"/>
        <v>Luana – Ivošević</v>
      </c>
      <c r="N717" s="103"/>
      <c r="O717" s="104"/>
      <c r="P717" s="105"/>
    </row>
    <row r="718" spans="2:16" x14ac:dyDescent="0.25">
      <c r="B718" s="103">
        <v>1007</v>
      </c>
      <c r="C718" s="104" t="s">
        <v>3172</v>
      </c>
      <c r="D718" s="104" t="s">
        <v>4256</v>
      </c>
      <c r="E718" s="104" t="s">
        <v>425</v>
      </c>
      <c r="F718" s="105"/>
      <c r="H718" s="45" t="str">
        <f t="shared" si="33"/>
        <v>Andrea – Jambrosić Sakoman – OK Vihor</v>
      </c>
      <c r="J718" s="45" t="str">
        <f t="shared" si="34"/>
        <v>Andrea – Jambrosić Sakoman – OK Vihor</v>
      </c>
      <c r="L718" s="45" t="str">
        <f t="shared" si="35"/>
        <v>Andrea – Jambrosić Sakoman</v>
      </c>
      <c r="N718" s="103"/>
      <c r="O718" s="109"/>
      <c r="P718" s="105"/>
    </row>
    <row r="719" spans="2:16" x14ac:dyDescent="0.25">
      <c r="B719" s="103">
        <v>1889</v>
      </c>
      <c r="C719" s="104" t="s">
        <v>740</v>
      </c>
      <c r="D719" s="104" t="s">
        <v>739</v>
      </c>
      <c r="E719" s="104" t="s">
        <v>425</v>
      </c>
      <c r="F719" s="105" t="s">
        <v>651</v>
      </c>
      <c r="H719" s="45" t="str">
        <f t="shared" si="33"/>
        <v>Goran – Jandras – OK Vihor – M16</v>
      </c>
      <c r="J719" s="45" t="str">
        <f t="shared" si="34"/>
        <v>Goran – Jandras – OK Vihor</v>
      </c>
      <c r="L719" s="45" t="str">
        <f t="shared" si="35"/>
        <v>Goran – Jandras</v>
      </c>
      <c r="N719" s="103"/>
      <c r="O719" s="104"/>
      <c r="P719" s="105"/>
    </row>
    <row r="720" spans="2:16" x14ac:dyDescent="0.25">
      <c r="B720" s="103">
        <v>1890</v>
      </c>
      <c r="C720" s="104" t="s">
        <v>1482</v>
      </c>
      <c r="D720" s="104" t="s">
        <v>739</v>
      </c>
      <c r="E720" s="104" t="s">
        <v>425</v>
      </c>
      <c r="F720" s="105" t="s">
        <v>1129</v>
      </c>
      <c r="H720" s="45" t="str">
        <f t="shared" si="33"/>
        <v>Hrvoje – Jandras – OK Vihor – M21B</v>
      </c>
      <c r="J720" s="45" t="str">
        <f t="shared" si="34"/>
        <v>Hrvoje – Jandras – OK Vihor</v>
      </c>
      <c r="L720" s="45" t="str">
        <f t="shared" si="35"/>
        <v>Hrvoje – Jandras</v>
      </c>
      <c r="N720" s="103"/>
      <c r="O720" s="104"/>
      <c r="P720" s="105"/>
    </row>
    <row r="721" spans="2:16" x14ac:dyDescent="0.25">
      <c r="B721" s="103">
        <v>1394</v>
      </c>
      <c r="C721" s="104" t="s">
        <v>3920</v>
      </c>
      <c r="D721" s="104" t="s">
        <v>2627</v>
      </c>
      <c r="E721" s="104" t="s">
        <v>425</v>
      </c>
      <c r="F721" s="105" t="s">
        <v>2194</v>
      </c>
      <c r="H721" s="45" t="str">
        <f t="shared" si="33"/>
        <v>Dragan – Janković – OK Vihor – M55</v>
      </c>
      <c r="J721" s="45" t="str">
        <f t="shared" si="34"/>
        <v>Dragan – Janković – OK Vihor</v>
      </c>
      <c r="L721" s="45" t="str">
        <f t="shared" si="35"/>
        <v>Dragan – Janković</v>
      </c>
      <c r="N721" s="103"/>
      <c r="O721" s="104"/>
      <c r="P721" s="105"/>
    </row>
    <row r="722" spans="2:16" x14ac:dyDescent="0.25">
      <c r="B722" s="103">
        <v>1918</v>
      </c>
      <c r="C722" s="104" t="s">
        <v>4043</v>
      </c>
      <c r="D722" s="104" t="s">
        <v>4257</v>
      </c>
      <c r="E722" s="104" t="s">
        <v>425</v>
      </c>
      <c r="F722" s="105"/>
      <c r="H722" s="45" t="str">
        <f t="shared" si="33"/>
        <v>Patricija – Jedrejčić – OK Vihor</v>
      </c>
      <c r="J722" s="45" t="str">
        <f t="shared" si="34"/>
        <v>Patricija – Jedrejčić – OK Vihor</v>
      </c>
      <c r="L722" s="45" t="str">
        <f t="shared" si="35"/>
        <v>Patricija – Jedrejčić</v>
      </c>
      <c r="N722" s="103"/>
      <c r="O722" s="104"/>
      <c r="P722" s="105"/>
    </row>
    <row r="723" spans="2:16" x14ac:dyDescent="0.25">
      <c r="B723" s="103">
        <v>1415</v>
      </c>
      <c r="C723" s="104" t="s">
        <v>4258</v>
      </c>
      <c r="D723" s="104" t="s">
        <v>4259</v>
      </c>
      <c r="E723" s="104" t="s">
        <v>425</v>
      </c>
      <c r="F723" s="105" t="s">
        <v>1129</v>
      </c>
      <c r="H723" s="45" t="str">
        <f t="shared" si="33"/>
        <v>Nikica – Jokić – OK Vihor – M21B</v>
      </c>
      <c r="J723" s="45" t="str">
        <f t="shared" si="34"/>
        <v>Nikica – Jokić – OK Vihor</v>
      </c>
      <c r="L723" s="45" t="str">
        <f t="shared" si="35"/>
        <v>Nikica – Jokić</v>
      </c>
      <c r="N723" s="103"/>
      <c r="O723" s="104"/>
      <c r="P723" s="105"/>
    </row>
    <row r="724" spans="2:16" x14ac:dyDescent="0.25">
      <c r="B724" s="103">
        <v>1700</v>
      </c>
      <c r="C724" s="104" t="s">
        <v>2206</v>
      </c>
      <c r="D724" s="104" t="s">
        <v>4260</v>
      </c>
      <c r="E724" s="104" t="s">
        <v>425</v>
      </c>
      <c r="F724" s="105"/>
      <c r="H724" s="45" t="str">
        <f t="shared" si="33"/>
        <v>Darko – Josipović – OK Vihor</v>
      </c>
      <c r="J724" s="45" t="str">
        <f t="shared" si="34"/>
        <v>Darko – Josipović – OK Vihor</v>
      </c>
      <c r="L724" s="45" t="str">
        <f t="shared" si="35"/>
        <v>Darko – Josipović</v>
      </c>
      <c r="N724" s="103"/>
      <c r="O724" s="104"/>
      <c r="P724" s="105"/>
    </row>
    <row r="725" spans="2:16" x14ac:dyDescent="0.25">
      <c r="B725" s="103">
        <v>1699</v>
      </c>
      <c r="C725" s="104" t="s">
        <v>3818</v>
      </c>
      <c r="D725" s="104" t="s">
        <v>4260</v>
      </c>
      <c r="E725" s="104" t="s">
        <v>425</v>
      </c>
      <c r="F725" s="105"/>
      <c r="H725" s="45" t="str">
        <f t="shared" si="33"/>
        <v>Mirela – Josipović – OK Vihor</v>
      </c>
      <c r="J725" s="45" t="str">
        <f t="shared" si="34"/>
        <v>Mirela – Josipović – OK Vihor</v>
      </c>
      <c r="L725" s="45" t="str">
        <f t="shared" si="35"/>
        <v>Mirela – Josipović</v>
      </c>
      <c r="N725" s="103"/>
      <c r="O725" s="104"/>
      <c r="P725" s="105"/>
    </row>
    <row r="726" spans="2:16" x14ac:dyDescent="0.25">
      <c r="B726" s="103">
        <v>1440</v>
      </c>
      <c r="C726" s="104" t="s">
        <v>2703</v>
      </c>
      <c r="D726" s="104" t="s">
        <v>699</v>
      </c>
      <c r="E726" s="104" t="s">
        <v>425</v>
      </c>
      <c r="F726" s="105" t="s">
        <v>2636</v>
      </c>
      <c r="H726" s="45" t="str">
        <f t="shared" si="33"/>
        <v>Ema – Jurač – OK Vihor – Ž12</v>
      </c>
      <c r="J726" s="45" t="str">
        <f t="shared" si="34"/>
        <v>Ema – Jurač – OK Vihor</v>
      </c>
      <c r="L726" s="45" t="str">
        <f t="shared" si="35"/>
        <v>Ema – Jurač</v>
      </c>
      <c r="N726" s="103"/>
      <c r="O726" s="104"/>
      <c r="P726" s="105"/>
    </row>
    <row r="727" spans="2:16" x14ac:dyDescent="0.25">
      <c r="B727" s="103">
        <v>1550</v>
      </c>
      <c r="C727" s="104" t="s">
        <v>3059</v>
      </c>
      <c r="D727" s="104" t="s">
        <v>699</v>
      </c>
      <c r="E727" s="104" t="s">
        <v>425</v>
      </c>
      <c r="F727" s="105" t="s">
        <v>3093</v>
      </c>
      <c r="H727" s="45" t="str">
        <f t="shared" si="33"/>
        <v>Ines – Jurač – OK Vihor – Ž21B</v>
      </c>
      <c r="J727" s="45" t="str">
        <f t="shared" si="34"/>
        <v>Ines – Jurač – OK Vihor</v>
      </c>
      <c r="L727" s="45" t="str">
        <f t="shared" si="35"/>
        <v>Ines – Jurač</v>
      </c>
      <c r="N727" s="103"/>
      <c r="O727" s="104"/>
      <c r="P727" s="105"/>
    </row>
    <row r="728" spans="2:16" x14ac:dyDescent="0.25">
      <c r="B728" s="103">
        <v>1521</v>
      </c>
      <c r="C728" s="104" t="s">
        <v>604</v>
      </c>
      <c r="D728" s="104" t="s">
        <v>699</v>
      </c>
      <c r="E728" s="104" t="s">
        <v>425</v>
      </c>
      <c r="F728" s="105" t="s">
        <v>768</v>
      </c>
      <c r="H728" s="45" t="str">
        <f t="shared" si="33"/>
        <v>Marko – Jurač – OK Vihor – M20</v>
      </c>
      <c r="J728" s="45" t="str">
        <f t="shared" si="34"/>
        <v>Marko – Jurač – OK Vihor</v>
      </c>
      <c r="L728" s="45" t="str">
        <f t="shared" si="35"/>
        <v>Marko – Jurač</v>
      </c>
      <c r="N728" s="103"/>
      <c r="O728" s="104"/>
      <c r="P728" s="105"/>
    </row>
    <row r="729" spans="2:16" x14ac:dyDescent="0.25">
      <c r="B729" s="103">
        <v>1283</v>
      </c>
      <c r="C729" s="104" t="s">
        <v>452</v>
      </c>
      <c r="D729" s="104" t="s">
        <v>699</v>
      </c>
      <c r="E729" s="104" t="s">
        <v>425</v>
      </c>
      <c r="F729" s="105" t="s">
        <v>651</v>
      </c>
      <c r="H729" s="45" t="str">
        <f t="shared" si="33"/>
        <v>Petar – Jurač – OK Vihor – M16</v>
      </c>
      <c r="J729" s="45" t="str">
        <f t="shared" si="34"/>
        <v>Petar – Jurač – OK Vihor</v>
      </c>
      <c r="L729" s="45" t="str">
        <f t="shared" si="35"/>
        <v>Petar – Jurač</v>
      </c>
      <c r="N729" s="103"/>
      <c r="O729" s="104"/>
      <c r="P729" s="105"/>
    </row>
    <row r="730" spans="2:16" x14ac:dyDescent="0.25">
      <c r="B730" s="103">
        <v>1567</v>
      </c>
      <c r="C730" s="104" t="s">
        <v>1028</v>
      </c>
      <c r="D730" s="104" t="s">
        <v>699</v>
      </c>
      <c r="E730" s="104" t="s">
        <v>425</v>
      </c>
      <c r="F730" s="105" t="s">
        <v>1129</v>
      </c>
      <c r="H730" s="45" t="str">
        <f t="shared" si="33"/>
        <v>Tomislav – Jurač – OK Vihor – M21B</v>
      </c>
      <c r="J730" s="45" t="str">
        <f t="shared" si="34"/>
        <v>Tomislav – Jurač – OK Vihor</v>
      </c>
      <c r="L730" s="45" t="str">
        <f t="shared" si="35"/>
        <v>Tomislav – Jurač</v>
      </c>
      <c r="N730" s="103"/>
      <c r="O730" s="104"/>
      <c r="P730" s="105"/>
    </row>
    <row r="731" spans="2:16" x14ac:dyDescent="0.25">
      <c r="B731" s="103">
        <v>1919</v>
      </c>
      <c r="C731" s="104" t="s">
        <v>740</v>
      </c>
      <c r="D731" s="104" t="s">
        <v>1542</v>
      </c>
      <c r="E731" s="104" t="s">
        <v>425</v>
      </c>
      <c r="F731" s="105" t="s">
        <v>1129</v>
      </c>
      <c r="H731" s="45" t="str">
        <f t="shared" si="33"/>
        <v>Goran – Juratović – OK Vihor – M21B</v>
      </c>
      <c r="J731" s="45" t="str">
        <f t="shared" si="34"/>
        <v>Goran – Juratović – OK Vihor</v>
      </c>
      <c r="L731" s="45" t="str">
        <f t="shared" si="35"/>
        <v>Goran – Juratović</v>
      </c>
      <c r="N731" s="103"/>
      <c r="O731" s="104"/>
      <c r="P731" s="105"/>
    </row>
    <row r="732" spans="2:16" x14ac:dyDescent="0.25">
      <c r="B732" s="103">
        <v>1920</v>
      </c>
      <c r="C732" s="104" t="s">
        <v>508</v>
      </c>
      <c r="D732" s="104" t="s">
        <v>2523</v>
      </c>
      <c r="E732" s="104" t="s">
        <v>425</v>
      </c>
      <c r="F732" s="105" t="s">
        <v>1129</v>
      </c>
      <c r="H732" s="45" t="str">
        <f t="shared" si="33"/>
        <v>Luka – Jurić – OK Vihor – M21B</v>
      </c>
      <c r="J732" s="45" t="str">
        <f t="shared" si="34"/>
        <v>Luka – Jurić – OK Vihor</v>
      </c>
      <c r="L732" s="45" t="str">
        <f t="shared" si="35"/>
        <v>Luka – Jurić</v>
      </c>
      <c r="N732" s="103"/>
      <c r="O732" s="104"/>
      <c r="P732" s="105"/>
    </row>
    <row r="733" spans="2:16" x14ac:dyDescent="0.25">
      <c r="B733" s="103">
        <v>1891</v>
      </c>
      <c r="C733" s="104" t="s">
        <v>2622</v>
      </c>
      <c r="D733" s="104" t="s">
        <v>2523</v>
      </c>
      <c r="E733" s="104" t="s">
        <v>425</v>
      </c>
      <c r="F733" s="105" t="s">
        <v>3093</v>
      </c>
      <c r="H733" s="45" t="str">
        <f t="shared" si="33"/>
        <v>Mirjana – Jurić – OK Vihor – Ž21B</v>
      </c>
      <c r="J733" s="45" t="str">
        <f t="shared" si="34"/>
        <v>Mirjana – Jurić – OK Vihor</v>
      </c>
      <c r="L733" s="45" t="str">
        <f t="shared" si="35"/>
        <v>Mirjana – Jurić</v>
      </c>
      <c r="N733" s="103"/>
      <c r="O733" s="104"/>
      <c r="P733" s="105"/>
    </row>
    <row r="734" spans="2:16" x14ac:dyDescent="0.25">
      <c r="B734" s="103">
        <v>1892</v>
      </c>
      <c r="C734" s="104" t="s">
        <v>2524</v>
      </c>
      <c r="D734" s="104" t="s">
        <v>2523</v>
      </c>
      <c r="E734" s="104" t="s">
        <v>425</v>
      </c>
      <c r="F734" s="105" t="s">
        <v>2927</v>
      </c>
      <c r="H734" s="45" t="str">
        <f t="shared" si="33"/>
        <v>Nika – Jurić – OK Vihor – Ž20</v>
      </c>
      <c r="J734" s="45" t="str">
        <f t="shared" si="34"/>
        <v>Nika – Jurić – OK Vihor</v>
      </c>
      <c r="L734" s="45" t="str">
        <f t="shared" si="35"/>
        <v>Nika – Jurić</v>
      </c>
      <c r="N734" s="103"/>
      <c r="O734" s="104"/>
      <c r="P734" s="105"/>
    </row>
    <row r="735" spans="2:16" x14ac:dyDescent="0.25">
      <c r="B735" s="103">
        <v>1893</v>
      </c>
      <c r="C735" s="104" t="s">
        <v>2601</v>
      </c>
      <c r="D735" s="104" t="s">
        <v>2523</v>
      </c>
      <c r="E735" s="104" t="s">
        <v>425</v>
      </c>
      <c r="F735" s="105" t="s">
        <v>2731</v>
      </c>
      <c r="H735" s="45" t="str">
        <f t="shared" si="33"/>
        <v>Petra – Jurić – OK Vihor – Ž14</v>
      </c>
      <c r="J735" s="45" t="str">
        <f t="shared" si="34"/>
        <v>Petra – Jurić – OK Vihor</v>
      </c>
      <c r="L735" s="45" t="str">
        <f t="shared" si="35"/>
        <v>Petra – Jurić</v>
      </c>
      <c r="N735" s="103"/>
      <c r="O735" s="104"/>
      <c r="P735" s="105"/>
    </row>
    <row r="736" spans="2:16" x14ac:dyDescent="0.25">
      <c r="B736" s="103">
        <v>1701</v>
      </c>
      <c r="C736" s="104" t="s">
        <v>4261</v>
      </c>
      <c r="D736" s="104" t="s">
        <v>4262</v>
      </c>
      <c r="E736" s="104" t="s">
        <v>425</v>
      </c>
      <c r="F736" s="105"/>
      <c r="H736" s="45" t="str">
        <f t="shared" si="33"/>
        <v>Eugen – Jurković – OK Vihor</v>
      </c>
      <c r="J736" s="45" t="str">
        <f t="shared" si="34"/>
        <v>Eugen – Jurković – OK Vihor</v>
      </c>
      <c r="L736" s="45" t="str">
        <f t="shared" si="35"/>
        <v>Eugen – Jurković</v>
      </c>
      <c r="N736" s="103"/>
      <c r="O736" s="104"/>
      <c r="P736" s="105"/>
    </row>
    <row r="737" spans="2:16" x14ac:dyDescent="0.25">
      <c r="B737" s="103">
        <v>1026</v>
      </c>
      <c r="C737" s="104" t="s">
        <v>2892</v>
      </c>
      <c r="D737" s="104" t="s">
        <v>4263</v>
      </c>
      <c r="E737" s="104" t="s">
        <v>425</v>
      </c>
      <c r="F737" s="105"/>
      <c r="H737" s="45" t="str">
        <f t="shared" si="33"/>
        <v>Nina – Kale – OK Vihor</v>
      </c>
      <c r="J737" s="45" t="str">
        <f t="shared" si="34"/>
        <v>Nina – Kale – OK Vihor</v>
      </c>
      <c r="L737" s="45" t="str">
        <f t="shared" si="35"/>
        <v>Nina – Kale</v>
      </c>
      <c r="N737" s="103"/>
      <c r="O737" s="104"/>
      <c r="P737" s="105"/>
    </row>
    <row r="738" spans="2:16" x14ac:dyDescent="0.25">
      <c r="B738" s="103">
        <v>1702</v>
      </c>
      <c r="C738" s="104" t="s">
        <v>3772</v>
      </c>
      <c r="D738" s="104" t="s">
        <v>4264</v>
      </c>
      <c r="E738" s="104" t="s">
        <v>425</v>
      </c>
      <c r="F738" s="105"/>
      <c r="H738" s="45" t="str">
        <f t="shared" si="33"/>
        <v>Mia – Kamenjarin – OK Vihor</v>
      </c>
      <c r="J738" s="45" t="str">
        <f t="shared" si="34"/>
        <v>Mia – Kamenjarin – OK Vihor</v>
      </c>
      <c r="L738" s="45" t="str">
        <f t="shared" si="35"/>
        <v>Mia – Kamenjarin</v>
      </c>
      <c r="N738" s="103"/>
      <c r="O738" s="104"/>
      <c r="P738" s="105"/>
    </row>
    <row r="739" spans="2:16" x14ac:dyDescent="0.25">
      <c r="B739" s="103">
        <v>1426</v>
      </c>
      <c r="C739" s="104" t="s">
        <v>508</v>
      </c>
      <c r="D739" s="104" t="s">
        <v>4265</v>
      </c>
      <c r="E739" s="104" t="s">
        <v>425</v>
      </c>
      <c r="F739" s="105" t="s">
        <v>885</v>
      </c>
      <c r="H739" s="45" t="str">
        <f t="shared" si="33"/>
        <v>Luka – Karavidović – OK Vihor – M21A</v>
      </c>
      <c r="J739" s="45" t="str">
        <f t="shared" si="34"/>
        <v>Luka – Karavidović – OK Vihor</v>
      </c>
      <c r="L739" s="45" t="str">
        <f t="shared" si="35"/>
        <v>Luka – Karavidović</v>
      </c>
      <c r="N739" s="103"/>
      <c r="O739" s="104"/>
      <c r="P739" s="105"/>
    </row>
    <row r="740" spans="2:16" x14ac:dyDescent="0.25">
      <c r="B740" s="103">
        <v>1703</v>
      </c>
      <c r="C740" s="104" t="s">
        <v>3809</v>
      </c>
      <c r="D740" s="104" t="s">
        <v>4266</v>
      </c>
      <c r="E740" s="104" t="s">
        <v>425</v>
      </c>
      <c r="F740" s="105"/>
      <c r="H740" s="45" t="str">
        <f t="shared" si="33"/>
        <v>Fran – Karlović – OK Vihor</v>
      </c>
      <c r="J740" s="45" t="str">
        <f t="shared" si="34"/>
        <v>Fran – Karlović – OK Vihor</v>
      </c>
      <c r="L740" s="45" t="str">
        <f t="shared" si="35"/>
        <v>Fran – Karlović</v>
      </c>
      <c r="N740" s="103"/>
      <c r="O740" s="104"/>
      <c r="P740" s="105"/>
    </row>
    <row r="741" spans="2:16" x14ac:dyDescent="0.25">
      <c r="B741" s="103">
        <v>1510</v>
      </c>
      <c r="C741" s="104" t="s">
        <v>4267</v>
      </c>
      <c r="D741" s="104" t="s">
        <v>4268</v>
      </c>
      <c r="E741" s="104" t="s">
        <v>425</v>
      </c>
      <c r="F741" s="105"/>
      <c r="H741" s="45" t="str">
        <f t="shared" si="33"/>
        <v>Tina – Katić – OK Vihor</v>
      </c>
      <c r="J741" s="45" t="str">
        <f t="shared" si="34"/>
        <v>Tina – Katić – OK Vihor</v>
      </c>
      <c r="L741" s="45" t="str">
        <f t="shared" si="35"/>
        <v>Tina – Katić</v>
      </c>
      <c r="N741" s="103"/>
      <c r="O741" s="104"/>
      <c r="P741" s="105"/>
    </row>
    <row r="742" spans="2:16" x14ac:dyDescent="0.25">
      <c r="B742" s="103">
        <v>1894</v>
      </c>
      <c r="C742" s="104" t="s">
        <v>2594</v>
      </c>
      <c r="D742" s="104" t="s">
        <v>2593</v>
      </c>
      <c r="E742" s="104" t="s">
        <v>425</v>
      </c>
      <c r="F742" s="105" t="s">
        <v>3093</v>
      </c>
      <c r="H742" s="45" t="str">
        <f t="shared" si="33"/>
        <v>Maja – Katušić – OK Vihor – Ž21B</v>
      </c>
      <c r="J742" s="45" t="str">
        <f t="shared" si="34"/>
        <v>Maja – Katušić – OK Vihor</v>
      </c>
      <c r="L742" s="45" t="str">
        <f t="shared" si="35"/>
        <v>Maja – Katušić</v>
      </c>
      <c r="N742" s="103"/>
      <c r="O742" s="104"/>
      <c r="P742" s="105"/>
    </row>
    <row r="743" spans="2:16" x14ac:dyDescent="0.25">
      <c r="B743" s="103">
        <v>1921</v>
      </c>
      <c r="C743" s="104" t="s">
        <v>1363</v>
      </c>
      <c r="D743" s="104" t="s">
        <v>1362</v>
      </c>
      <c r="E743" s="104" t="s">
        <v>425</v>
      </c>
      <c r="F743" s="105" t="s">
        <v>1129</v>
      </c>
      <c r="H743" s="45" t="str">
        <f t="shared" si="33"/>
        <v>Domagoj – Kavečić – OK Vihor – M21B</v>
      </c>
      <c r="J743" s="45" t="str">
        <f t="shared" si="34"/>
        <v>Domagoj – Kavečić – OK Vihor</v>
      </c>
      <c r="L743" s="45" t="str">
        <f t="shared" si="35"/>
        <v>Domagoj – Kavečić</v>
      </c>
      <c r="N743" s="103"/>
      <c r="O743" s="104"/>
      <c r="P743" s="105"/>
    </row>
    <row r="744" spans="2:16" x14ac:dyDescent="0.25">
      <c r="B744" s="103">
        <v>1704</v>
      </c>
      <c r="C744" s="104" t="s">
        <v>4269</v>
      </c>
      <c r="D744" s="104" t="s">
        <v>4270</v>
      </c>
      <c r="E744" s="104" t="s">
        <v>425</v>
      </c>
      <c r="F744" s="105"/>
      <c r="H744" s="45" t="str">
        <f t="shared" si="33"/>
        <v>Bartol – Kekić – OK Vihor</v>
      </c>
      <c r="J744" s="45" t="str">
        <f t="shared" si="34"/>
        <v>Bartol – Kekić – OK Vihor</v>
      </c>
      <c r="L744" s="45" t="str">
        <f t="shared" si="35"/>
        <v>Bartol – Kekić</v>
      </c>
      <c r="N744" s="103"/>
      <c r="O744" s="104"/>
      <c r="P744" s="105"/>
    </row>
    <row r="745" spans="2:16" x14ac:dyDescent="0.25">
      <c r="B745" s="103">
        <v>1260</v>
      </c>
      <c r="C745" s="104" t="s">
        <v>2824</v>
      </c>
      <c r="D745" s="104" t="s">
        <v>4271</v>
      </c>
      <c r="E745" s="104" t="s">
        <v>425</v>
      </c>
      <c r="F745" s="105" t="s">
        <v>3264</v>
      </c>
      <c r="H745" s="45" t="str">
        <f t="shared" si="33"/>
        <v>Marta – Kiš – OK Vihor – Ž35</v>
      </c>
      <c r="J745" s="45" t="str">
        <f t="shared" si="34"/>
        <v>Marta – Kiš – OK Vihor</v>
      </c>
      <c r="L745" s="45" t="str">
        <f t="shared" si="35"/>
        <v>Marta – Kiš</v>
      </c>
      <c r="N745" s="103"/>
      <c r="O745" s="104"/>
      <c r="P745" s="105"/>
    </row>
    <row r="746" spans="2:16" x14ac:dyDescent="0.25">
      <c r="B746" s="103">
        <v>1705</v>
      </c>
      <c r="C746" s="104" t="s">
        <v>3825</v>
      </c>
      <c r="D746" s="104" t="s">
        <v>4272</v>
      </c>
      <c r="E746" s="104" t="s">
        <v>425</v>
      </c>
      <c r="F746" s="105"/>
      <c r="H746" s="45" t="str">
        <f t="shared" si="33"/>
        <v>Karla – Kiš Kamenjarin – OK Vihor</v>
      </c>
      <c r="J746" s="45" t="str">
        <f t="shared" si="34"/>
        <v>Karla – Kiš Kamenjarin – OK Vihor</v>
      </c>
      <c r="L746" s="45" t="str">
        <f t="shared" si="35"/>
        <v>Karla – Kiš Kamenjarin</v>
      </c>
      <c r="N746" s="103"/>
      <c r="O746" s="104"/>
      <c r="P746" s="105"/>
    </row>
    <row r="747" spans="2:16" x14ac:dyDescent="0.25">
      <c r="B747" s="103">
        <v>1922</v>
      </c>
      <c r="C747" s="104" t="s">
        <v>1305</v>
      </c>
      <c r="D747" s="104" t="s">
        <v>1304</v>
      </c>
      <c r="E747" s="104" t="s">
        <v>425</v>
      </c>
      <c r="F747" s="105" t="s">
        <v>1129</v>
      </c>
      <c r="H747" s="45" t="str">
        <f t="shared" si="33"/>
        <v>Tihomir – Klement – OK Vihor – M21B</v>
      </c>
      <c r="J747" s="45" t="str">
        <f t="shared" si="34"/>
        <v>Tihomir – Klement – OK Vihor</v>
      </c>
      <c r="L747" s="45" t="str">
        <f t="shared" si="35"/>
        <v>Tihomir – Klement</v>
      </c>
      <c r="N747" s="103"/>
      <c r="O747" s="104"/>
      <c r="P747" s="105"/>
    </row>
    <row r="748" spans="2:16" x14ac:dyDescent="0.25">
      <c r="B748" s="103">
        <v>1749</v>
      </c>
      <c r="C748" s="104" t="s">
        <v>3238</v>
      </c>
      <c r="D748" s="104" t="s">
        <v>4273</v>
      </c>
      <c r="E748" s="104" t="s">
        <v>425</v>
      </c>
      <c r="F748" s="105"/>
      <c r="H748" s="45" t="str">
        <f t="shared" si="33"/>
        <v>Martina – Knezović – OK Vihor</v>
      </c>
      <c r="J748" s="45" t="str">
        <f t="shared" si="34"/>
        <v>Martina – Knezović – OK Vihor</v>
      </c>
      <c r="L748" s="45" t="str">
        <f t="shared" si="35"/>
        <v>Martina – Knezović</v>
      </c>
      <c r="N748" s="103"/>
      <c r="O748" s="104"/>
      <c r="P748" s="105"/>
    </row>
    <row r="749" spans="2:16" x14ac:dyDescent="0.25">
      <c r="B749" s="103">
        <v>1124</v>
      </c>
      <c r="C749" s="104" t="s">
        <v>4274</v>
      </c>
      <c r="D749" s="104" t="s">
        <v>4275</v>
      </c>
      <c r="E749" s="104" t="s">
        <v>425</v>
      </c>
      <c r="F749" s="105" t="s">
        <v>1129</v>
      </c>
      <c r="H749" s="45" t="str">
        <f t="shared" si="33"/>
        <v>Tin – Kodba – OK Vihor – M21B</v>
      </c>
      <c r="J749" s="45" t="str">
        <f t="shared" si="34"/>
        <v>Tin – Kodba – OK Vihor</v>
      </c>
      <c r="L749" s="45" t="str">
        <f t="shared" si="35"/>
        <v>Tin – Kodba</v>
      </c>
      <c r="N749" s="103"/>
      <c r="O749" s="104"/>
      <c r="P749" s="105"/>
    </row>
    <row r="750" spans="2:16" x14ac:dyDescent="0.25">
      <c r="B750" s="103">
        <v>1263</v>
      </c>
      <c r="C750" s="104" t="s">
        <v>3802</v>
      </c>
      <c r="D750" s="104" t="s">
        <v>4275</v>
      </c>
      <c r="E750" s="104" t="s">
        <v>425</v>
      </c>
      <c r="F750" s="105" t="s">
        <v>1129</v>
      </c>
      <c r="H750" s="45" t="str">
        <f t="shared" si="33"/>
        <v>Vid – Kodba – OK Vihor – M21B</v>
      </c>
      <c r="J750" s="45" t="str">
        <f t="shared" si="34"/>
        <v>Vid – Kodba – OK Vihor</v>
      </c>
      <c r="L750" s="45" t="str">
        <f t="shared" si="35"/>
        <v>Vid – Kodba</v>
      </c>
      <c r="N750" s="103"/>
      <c r="O750" s="104"/>
      <c r="P750" s="105"/>
    </row>
    <row r="751" spans="2:16" x14ac:dyDescent="0.25">
      <c r="B751" s="103">
        <v>1707</v>
      </c>
      <c r="C751" s="104" t="s">
        <v>869</v>
      </c>
      <c r="D751" s="104" t="s">
        <v>4276</v>
      </c>
      <c r="E751" s="104" t="s">
        <v>425</v>
      </c>
      <c r="F751" s="105"/>
      <c r="H751" s="45" t="str">
        <f t="shared" si="33"/>
        <v>Antonio – Kolar – OK Vihor</v>
      </c>
      <c r="J751" s="45" t="str">
        <f t="shared" si="34"/>
        <v>Antonio – Kolar – OK Vihor</v>
      </c>
      <c r="L751" s="45" t="str">
        <f t="shared" si="35"/>
        <v>Antonio – Kolar</v>
      </c>
      <c r="N751" s="103"/>
      <c r="O751" s="104"/>
      <c r="P751" s="105"/>
    </row>
    <row r="752" spans="2:16" x14ac:dyDescent="0.25">
      <c r="B752" s="103">
        <v>1706</v>
      </c>
      <c r="C752" s="104" t="s">
        <v>3826</v>
      </c>
      <c r="D752" s="104" t="s">
        <v>4276</v>
      </c>
      <c r="E752" s="104" t="s">
        <v>425</v>
      </c>
      <c r="F752" s="105"/>
      <c r="H752" s="45" t="str">
        <f t="shared" si="33"/>
        <v>Roko – Kolar – OK Vihor</v>
      </c>
      <c r="J752" s="45" t="str">
        <f t="shared" si="34"/>
        <v>Roko – Kolar – OK Vihor</v>
      </c>
      <c r="L752" s="45" t="str">
        <f t="shared" si="35"/>
        <v>Roko – Kolar</v>
      </c>
      <c r="N752" s="103"/>
      <c r="O752" s="104"/>
      <c r="P752" s="105"/>
    </row>
    <row r="753" spans="2:16" x14ac:dyDescent="0.25">
      <c r="B753" s="103">
        <v>1070</v>
      </c>
      <c r="C753" s="104" t="s">
        <v>3521</v>
      </c>
      <c r="D753" s="104" t="s">
        <v>819</v>
      </c>
      <c r="E753" s="104" t="s">
        <v>425</v>
      </c>
      <c r="F753" s="105" t="s">
        <v>3442</v>
      </c>
      <c r="H753" s="45" t="str">
        <f t="shared" si="33"/>
        <v>Nataša – Kolarek – OK Vihor – Ž45</v>
      </c>
      <c r="J753" s="45" t="str">
        <f t="shared" si="34"/>
        <v>Nataša – Kolarek – OK Vihor</v>
      </c>
      <c r="L753" s="45" t="str">
        <f t="shared" si="35"/>
        <v>Nataša – Kolarek</v>
      </c>
      <c r="N753" s="103"/>
      <c r="O753" s="104"/>
      <c r="P753" s="105"/>
    </row>
    <row r="754" spans="2:16" x14ac:dyDescent="0.25">
      <c r="B754" s="103">
        <v>1477</v>
      </c>
      <c r="C754" s="104" t="s">
        <v>2524</v>
      </c>
      <c r="D754" s="104" t="s">
        <v>819</v>
      </c>
      <c r="E754" s="104" t="s">
        <v>425</v>
      </c>
      <c r="F754" s="105" t="s">
        <v>2927</v>
      </c>
      <c r="H754" s="45" t="str">
        <f t="shared" si="33"/>
        <v>Nika – Kolarek – OK Vihor – Ž20</v>
      </c>
      <c r="J754" s="45" t="str">
        <f t="shared" si="34"/>
        <v>Nika – Kolarek – OK Vihor</v>
      </c>
      <c r="L754" s="45" t="str">
        <f t="shared" si="35"/>
        <v>Nika – Kolarek</v>
      </c>
      <c r="N754" s="103"/>
      <c r="O754" s="104"/>
      <c r="P754" s="105"/>
    </row>
    <row r="755" spans="2:16" x14ac:dyDescent="0.25">
      <c r="B755" s="103">
        <v>1191</v>
      </c>
      <c r="C755" s="104" t="s">
        <v>820</v>
      </c>
      <c r="D755" s="104" t="s">
        <v>819</v>
      </c>
      <c r="E755" s="104" t="s">
        <v>425</v>
      </c>
      <c r="F755" s="105" t="s">
        <v>768</v>
      </c>
      <c r="H755" s="45" t="str">
        <f t="shared" si="33"/>
        <v>Noa – Kolarek – OK Vihor – M20</v>
      </c>
      <c r="J755" s="45" t="str">
        <f t="shared" si="34"/>
        <v>Noa – Kolarek – OK Vihor</v>
      </c>
      <c r="L755" s="45" t="str">
        <f t="shared" si="35"/>
        <v>Noa – Kolarek</v>
      </c>
      <c r="N755" s="103"/>
      <c r="O755" s="104"/>
      <c r="P755" s="105"/>
    </row>
    <row r="756" spans="2:16" x14ac:dyDescent="0.25">
      <c r="B756" s="103">
        <v>1524</v>
      </c>
      <c r="C756" s="104" t="s">
        <v>452</v>
      </c>
      <c r="D756" s="104" t="s">
        <v>4277</v>
      </c>
      <c r="E756" s="104" t="s">
        <v>425</v>
      </c>
      <c r="F756" s="105"/>
      <c r="H756" s="45" t="str">
        <f t="shared" si="33"/>
        <v>Petar – Korlaet – OK Vihor</v>
      </c>
      <c r="J756" s="45" t="str">
        <f t="shared" si="34"/>
        <v>Petar – Korlaet – OK Vihor</v>
      </c>
      <c r="L756" s="45" t="str">
        <f t="shared" si="35"/>
        <v>Petar – Korlaet</v>
      </c>
      <c r="N756" s="103"/>
      <c r="O756" s="104"/>
      <c r="P756" s="105"/>
    </row>
    <row r="757" spans="2:16" x14ac:dyDescent="0.25">
      <c r="B757" s="103">
        <v>1895</v>
      </c>
      <c r="C757" s="104" t="s">
        <v>2601</v>
      </c>
      <c r="D757" s="104" t="s">
        <v>1220</v>
      </c>
      <c r="E757" s="104" t="s">
        <v>425</v>
      </c>
      <c r="F757" s="105" t="s">
        <v>3093</v>
      </c>
      <c r="H757" s="45" t="str">
        <f t="shared" si="33"/>
        <v>Petra – Kos – OK Vihor – Ž21B</v>
      </c>
      <c r="J757" s="45" t="str">
        <f t="shared" si="34"/>
        <v>Petra – Kos – OK Vihor</v>
      </c>
      <c r="L757" s="45" t="str">
        <f t="shared" si="35"/>
        <v>Petra – Kos</v>
      </c>
      <c r="N757" s="103"/>
      <c r="O757" s="104"/>
      <c r="P757" s="105"/>
    </row>
    <row r="758" spans="2:16" x14ac:dyDescent="0.25">
      <c r="B758" s="103">
        <v>1930</v>
      </c>
      <c r="C758" s="104" t="s">
        <v>1221</v>
      </c>
      <c r="D758" s="104" t="s">
        <v>1220</v>
      </c>
      <c r="E758" s="104" t="s">
        <v>425</v>
      </c>
      <c r="F758" s="105" t="s">
        <v>1129</v>
      </c>
      <c r="H758" s="45" t="str">
        <f t="shared" si="33"/>
        <v>Zlatan – Kos – OK Vihor – M21B</v>
      </c>
      <c r="J758" s="45" t="str">
        <f t="shared" si="34"/>
        <v>Zlatan – Kos – OK Vihor</v>
      </c>
      <c r="L758" s="45" t="str">
        <f t="shared" si="35"/>
        <v>Zlatan – Kos</v>
      </c>
      <c r="N758" s="103"/>
      <c r="O758" s="104"/>
      <c r="P758" s="105"/>
    </row>
    <row r="759" spans="2:16" x14ac:dyDescent="0.25">
      <c r="B759" s="103">
        <v>1815</v>
      </c>
      <c r="C759" s="104" t="s">
        <v>4278</v>
      </c>
      <c r="D759" s="104" t="s">
        <v>2783</v>
      </c>
      <c r="E759" s="104" t="s">
        <v>425</v>
      </c>
      <c r="F759" s="105"/>
      <c r="H759" s="45" t="str">
        <f t="shared" si="33"/>
        <v>Nediljko – Kovač – OK Vihor</v>
      </c>
      <c r="J759" s="45" t="str">
        <f t="shared" si="34"/>
        <v>Nediljko – Kovač – OK Vihor</v>
      </c>
      <c r="L759" s="45" t="str">
        <f t="shared" si="35"/>
        <v>Nediljko – Kovač</v>
      </c>
      <c r="N759" s="103"/>
      <c r="O759" s="104"/>
      <c r="P759" s="105"/>
    </row>
    <row r="760" spans="2:16" x14ac:dyDescent="0.25">
      <c r="B760" s="103">
        <v>1405</v>
      </c>
      <c r="C760" s="104" t="s">
        <v>2436</v>
      </c>
      <c r="D760" s="104" t="s">
        <v>3771</v>
      </c>
      <c r="E760" s="104" t="s">
        <v>425</v>
      </c>
      <c r="F760" s="105" t="s">
        <v>3093</v>
      </c>
      <c r="H760" s="45" t="str">
        <f t="shared" si="33"/>
        <v>Ana – Kovačić – OK Vihor – Ž21B</v>
      </c>
      <c r="J760" s="45" t="str">
        <f t="shared" si="34"/>
        <v>Ana – Kovačić – OK Vihor</v>
      </c>
      <c r="L760" s="45" t="str">
        <f t="shared" si="35"/>
        <v>Ana – Kovačić</v>
      </c>
      <c r="N760" s="103"/>
      <c r="O760" s="104"/>
      <c r="P760" s="105"/>
    </row>
    <row r="761" spans="2:16" x14ac:dyDescent="0.25">
      <c r="B761" s="103">
        <v>1423</v>
      </c>
      <c r="C761" s="104" t="s">
        <v>3751</v>
      </c>
      <c r="D761" s="104" t="s">
        <v>4279</v>
      </c>
      <c r="E761" s="104" t="s">
        <v>425</v>
      </c>
      <c r="F761" s="105" t="s">
        <v>1129</v>
      </c>
      <c r="H761" s="45" t="str">
        <f t="shared" si="33"/>
        <v>Eduard – Kožul – OK Vihor – M21B</v>
      </c>
      <c r="J761" s="45" t="str">
        <f t="shared" si="34"/>
        <v>Eduard – Kožul – OK Vihor</v>
      </c>
      <c r="L761" s="45" t="str">
        <f t="shared" si="35"/>
        <v>Eduard – Kožul</v>
      </c>
      <c r="N761" s="103"/>
      <c r="O761" s="104"/>
      <c r="P761" s="105"/>
    </row>
    <row r="762" spans="2:16" x14ac:dyDescent="0.25">
      <c r="B762" s="103">
        <v>1182</v>
      </c>
      <c r="C762" s="104" t="s">
        <v>2436</v>
      </c>
      <c r="D762" s="104" t="s">
        <v>4280</v>
      </c>
      <c r="E762" s="104" t="s">
        <v>425</v>
      </c>
      <c r="F762" s="105" t="s">
        <v>2731</v>
      </c>
      <c r="H762" s="45" t="str">
        <f t="shared" si="33"/>
        <v>Ana – Krajnović – OK Vihor – Ž14</v>
      </c>
      <c r="J762" s="45" t="str">
        <f t="shared" si="34"/>
        <v>Ana – Krajnović – OK Vihor</v>
      </c>
      <c r="L762" s="45" t="str">
        <f t="shared" si="35"/>
        <v>Ana – Krajnović</v>
      </c>
      <c r="N762" s="103"/>
      <c r="O762" s="104"/>
      <c r="P762" s="105"/>
    </row>
    <row r="763" spans="2:16" x14ac:dyDescent="0.25">
      <c r="B763" s="103">
        <v>1295</v>
      </c>
      <c r="C763" s="104" t="s">
        <v>2020</v>
      </c>
      <c r="D763" s="104" t="s">
        <v>4280</v>
      </c>
      <c r="E763" s="104" t="s">
        <v>425</v>
      </c>
      <c r="F763" s="105" t="s">
        <v>1908</v>
      </c>
      <c r="H763" s="45" t="str">
        <f t="shared" si="33"/>
        <v>Ivo – Krajnović – OK Vihor – M45</v>
      </c>
      <c r="J763" s="45" t="str">
        <f t="shared" si="34"/>
        <v>Ivo – Krajnović – OK Vihor</v>
      </c>
      <c r="L763" s="45" t="str">
        <f t="shared" si="35"/>
        <v>Ivo – Krajnović</v>
      </c>
      <c r="N763" s="103"/>
      <c r="O763" s="104"/>
      <c r="P763" s="105"/>
    </row>
    <row r="764" spans="2:16" x14ac:dyDescent="0.25">
      <c r="B764" s="103">
        <v>1497</v>
      </c>
      <c r="C764" s="104" t="s">
        <v>508</v>
      </c>
      <c r="D764" s="104" t="s">
        <v>4280</v>
      </c>
      <c r="E764" s="104" t="s">
        <v>425</v>
      </c>
      <c r="F764" s="105" t="s">
        <v>768</v>
      </c>
      <c r="H764" s="45" t="str">
        <f t="shared" si="33"/>
        <v>Luka – Krajnović – OK Vihor – M20</v>
      </c>
      <c r="J764" s="45" t="str">
        <f t="shared" si="34"/>
        <v>Luka – Krajnović – OK Vihor</v>
      </c>
      <c r="L764" s="45" t="str">
        <f t="shared" si="35"/>
        <v>Luka – Krajnović</v>
      </c>
      <c r="N764" s="103"/>
      <c r="O764" s="104"/>
      <c r="P764" s="105"/>
    </row>
    <row r="765" spans="2:16" x14ac:dyDescent="0.25">
      <c r="B765" s="103">
        <v>1495</v>
      </c>
      <c r="C765" s="104" t="s">
        <v>1762</v>
      </c>
      <c r="D765" s="104" t="s">
        <v>4034</v>
      </c>
      <c r="E765" s="104" t="s">
        <v>425</v>
      </c>
      <c r="F765" s="105" t="s">
        <v>885</v>
      </c>
      <c r="H765" s="45" t="str">
        <f t="shared" si="33"/>
        <v>Miroslav – Kralj – OK Vihor – M21A</v>
      </c>
      <c r="J765" s="45" t="str">
        <f t="shared" si="34"/>
        <v>Miroslav – Kralj – OK Vihor</v>
      </c>
      <c r="L765" s="45" t="str">
        <f t="shared" si="35"/>
        <v>Miroslav – Kralj</v>
      </c>
      <c r="N765" s="103"/>
      <c r="O765" s="104"/>
      <c r="P765" s="105"/>
    </row>
    <row r="766" spans="2:16" x14ac:dyDescent="0.25">
      <c r="B766" s="103">
        <v>1896</v>
      </c>
      <c r="C766" s="104" t="s">
        <v>3233</v>
      </c>
      <c r="D766" s="104" t="s">
        <v>3232</v>
      </c>
      <c r="E766" s="104" t="s">
        <v>425</v>
      </c>
      <c r="F766" s="105" t="s">
        <v>3093</v>
      </c>
      <c r="H766" s="45" t="str">
        <f t="shared" si="33"/>
        <v>Nikolina – Kranjec – OK Vihor – Ž21B</v>
      </c>
      <c r="J766" s="45" t="str">
        <f t="shared" si="34"/>
        <v>Nikolina – Kranjec – OK Vihor</v>
      </c>
      <c r="L766" s="45" t="str">
        <f t="shared" si="35"/>
        <v>Nikolina – Kranjec</v>
      </c>
      <c r="N766" s="103"/>
      <c r="O766" s="104"/>
      <c r="P766" s="105"/>
    </row>
    <row r="767" spans="2:16" x14ac:dyDescent="0.25">
      <c r="B767" s="103">
        <v>1010</v>
      </c>
      <c r="C767" s="104" t="s">
        <v>4193</v>
      </c>
      <c r="D767" s="104" t="s">
        <v>4281</v>
      </c>
      <c r="E767" s="104" t="s">
        <v>425</v>
      </c>
      <c r="F767" s="105"/>
      <c r="H767" s="45" t="str">
        <f t="shared" si="33"/>
        <v>Anita – Kristian – OK Vihor</v>
      </c>
      <c r="J767" s="45" t="str">
        <f t="shared" si="34"/>
        <v>Anita – Kristian – OK Vihor</v>
      </c>
      <c r="L767" s="45" t="str">
        <f t="shared" si="35"/>
        <v>Anita – Kristian</v>
      </c>
      <c r="N767" s="103"/>
      <c r="O767" s="104"/>
      <c r="P767" s="105"/>
    </row>
    <row r="768" spans="2:16" x14ac:dyDescent="0.25">
      <c r="B768" s="103">
        <v>1386</v>
      </c>
      <c r="C768" s="104" t="s">
        <v>4282</v>
      </c>
      <c r="D768" s="104" t="s">
        <v>4283</v>
      </c>
      <c r="E768" s="104" t="s">
        <v>425</v>
      </c>
      <c r="F768" s="105" t="s">
        <v>1908</v>
      </c>
      <c r="H768" s="45" t="str">
        <f t="shared" si="33"/>
        <v>Edo – Krš – OK Vihor – M45</v>
      </c>
      <c r="J768" s="45" t="str">
        <f t="shared" si="34"/>
        <v>Edo – Krš – OK Vihor</v>
      </c>
      <c r="L768" s="45" t="str">
        <f t="shared" si="35"/>
        <v>Edo – Krš</v>
      </c>
      <c r="N768" s="103"/>
      <c r="O768" s="104"/>
      <c r="P768" s="105"/>
    </row>
    <row r="769" spans="2:16" x14ac:dyDescent="0.25">
      <c r="B769" s="103">
        <v>1216</v>
      </c>
      <c r="C769" s="104" t="s">
        <v>3599</v>
      </c>
      <c r="D769" s="104" t="s">
        <v>4283</v>
      </c>
      <c r="E769" s="104" t="s">
        <v>425</v>
      </c>
      <c r="F769" s="105" t="s">
        <v>3264</v>
      </c>
      <c r="H769" s="45" t="str">
        <f t="shared" si="33"/>
        <v>Sanja – Krš – OK Vihor – Ž35</v>
      </c>
      <c r="J769" s="45" t="str">
        <f t="shared" si="34"/>
        <v>Sanja – Krš – OK Vihor</v>
      </c>
      <c r="L769" s="45" t="str">
        <f t="shared" si="35"/>
        <v>Sanja – Krš</v>
      </c>
      <c r="N769" s="103"/>
      <c r="O769" s="104"/>
      <c r="P769" s="105"/>
    </row>
    <row r="770" spans="2:16" x14ac:dyDescent="0.25">
      <c r="B770" s="103">
        <v>1489</v>
      </c>
      <c r="C770" s="104" t="s">
        <v>919</v>
      </c>
      <c r="D770" s="104" t="s">
        <v>1165</v>
      </c>
      <c r="E770" s="104" t="s">
        <v>425</v>
      </c>
      <c r="F770" s="105" t="s">
        <v>1129</v>
      </c>
      <c r="H770" s="45" t="str">
        <f t="shared" si="33"/>
        <v>Matija – Kučinac – OK Vihor – M21B</v>
      </c>
      <c r="J770" s="45" t="str">
        <f t="shared" si="34"/>
        <v>Matija – Kučinac – OK Vihor</v>
      </c>
      <c r="L770" s="45" t="str">
        <f t="shared" si="35"/>
        <v>Matija – Kučinac</v>
      </c>
      <c r="N770" s="103"/>
      <c r="O770" s="104"/>
      <c r="P770" s="105"/>
    </row>
    <row r="771" spans="2:16" x14ac:dyDescent="0.25">
      <c r="B771" s="103">
        <v>1544</v>
      </c>
      <c r="C771" s="104" t="s">
        <v>3627</v>
      </c>
      <c r="D771" s="104" t="s">
        <v>1165</v>
      </c>
      <c r="E771" s="104" t="s">
        <v>425</v>
      </c>
      <c r="F771" s="105" t="s">
        <v>3618</v>
      </c>
      <c r="H771" s="45" t="str">
        <f t="shared" si="33"/>
        <v>Teodora – Kučinac – OK Vihor – Ž55</v>
      </c>
      <c r="J771" s="45" t="str">
        <f t="shared" si="34"/>
        <v>Teodora – Kučinac – OK Vihor</v>
      </c>
      <c r="L771" s="45" t="str">
        <f t="shared" si="35"/>
        <v>Teodora – Kučinac</v>
      </c>
      <c r="N771" s="103"/>
      <c r="O771" s="104"/>
      <c r="P771" s="105"/>
    </row>
    <row r="772" spans="2:16" x14ac:dyDescent="0.25">
      <c r="B772" s="103">
        <v>1069</v>
      </c>
      <c r="C772" s="104" t="s">
        <v>2141</v>
      </c>
      <c r="D772" s="104" t="s">
        <v>792</v>
      </c>
      <c r="E772" s="104" t="s">
        <v>425</v>
      </c>
      <c r="F772" s="105" t="s">
        <v>1908</v>
      </c>
      <c r="H772" s="45" t="str">
        <f t="shared" si="33"/>
        <v>Boris – Kukec – OK Vihor – M45</v>
      </c>
      <c r="J772" s="45" t="str">
        <f t="shared" si="34"/>
        <v>Boris – Kukec – OK Vihor</v>
      </c>
      <c r="L772" s="45" t="str">
        <f t="shared" si="35"/>
        <v>Boris – Kukec</v>
      </c>
      <c r="N772" s="103"/>
      <c r="O772" s="104"/>
      <c r="P772" s="105"/>
    </row>
    <row r="773" spans="2:16" x14ac:dyDescent="0.25">
      <c r="B773" s="103">
        <v>1105</v>
      </c>
      <c r="C773" s="104" t="s">
        <v>793</v>
      </c>
      <c r="D773" s="104" t="s">
        <v>792</v>
      </c>
      <c r="E773" s="104" t="s">
        <v>425</v>
      </c>
      <c r="F773" s="105" t="s">
        <v>768</v>
      </c>
      <c r="H773" s="45" t="str">
        <f t="shared" si="33"/>
        <v>Jura – Kukec – OK Vihor – M20</v>
      </c>
      <c r="J773" s="45" t="str">
        <f t="shared" si="34"/>
        <v>Jura – Kukec – OK Vihor</v>
      </c>
      <c r="L773" s="45" t="str">
        <f t="shared" si="35"/>
        <v>Jura – Kukec</v>
      </c>
      <c r="N773" s="103"/>
      <c r="O773" s="104"/>
      <c r="P773" s="105"/>
    </row>
    <row r="774" spans="2:16" x14ac:dyDescent="0.25">
      <c r="B774" s="103">
        <v>1397</v>
      </c>
      <c r="C774" s="104" t="s">
        <v>4284</v>
      </c>
      <c r="D774" s="104" t="s">
        <v>792</v>
      </c>
      <c r="E774" s="104" t="s">
        <v>425</v>
      </c>
      <c r="F774" s="105" t="s">
        <v>3442</v>
      </c>
      <c r="H774" s="45" t="str">
        <f t="shared" si="33"/>
        <v>Karolina – Kukec – OK Vihor – Ž45</v>
      </c>
      <c r="J774" s="45" t="str">
        <f t="shared" si="34"/>
        <v>Karolina – Kukec – OK Vihor</v>
      </c>
      <c r="L774" s="45" t="str">
        <f t="shared" si="35"/>
        <v>Karolina – Kukec</v>
      </c>
      <c r="N774" s="103"/>
      <c r="O774" s="104"/>
      <c r="P774" s="105"/>
    </row>
    <row r="775" spans="2:16" x14ac:dyDescent="0.25">
      <c r="B775" s="103">
        <v>1512</v>
      </c>
      <c r="C775" s="104" t="s">
        <v>2824</v>
      </c>
      <c r="D775" s="104" t="s">
        <v>792</v>
      </c>
      <c r="E775" s="104" t="s">
        <v>425</v>
      </c>
      <c r="F775" s="105" t="s">
        <v>2927</v>
      </c>
      <c r="H775" s="45" t="str">
        <f t="shared" si="33"/>
        <v>Marta – Kukec – OK Vihor – Ž20</v>
      </c>
      <c r="J775" s="45" t="str">
        <f t="shared" si="34"/>
        <v>Marta – Kukec – OK Vihor</v>
      </c>
      <c r="L775" s="45" t="str">
        <f t="shared" si="35"/>
        <v>Marta – Kukec</v>
      </c>
      <c r="N775" s="103"/>
      <c r="O775" s="104"/>
      <c r="P775" s="105"/>
    </row>
    <row r="776" spans="2:16" x14ac:dyDescent="0.25">
      <c r="B776" s="103">
        <v>1708</v>
      </c>
      <c r="C776" s="104" t="s">
        <v>4285</v>
      </c>
      <c r="D776" s="104" t="s">
        <v>4286</v>
      </c>
      <c r="E776" s="104" t="s">
        <v>425</v>
      </c>
      <c r="F776" s="105"/>
      <c r="H776" s="45" t="str">
        <f t="shared" si="33"/>
        <v>Matea – Kulušić – OK Vihor</v>
      </c>
      <c r="J776" s="45" t="str">
        <f t="shared" si="34"/>
        <v>Matea – Kulušić – OK Vihor</v>
      </c>
      <c r="L776" s="45" t="str">
        <f t="shared" si="35"/>
        <v>Matea – Kulušić</v>
      </c>
      <c r="N776" s="103"/>
      <c r="O776" s="104"/>
      <c r="P776" s="105"/>
    </row>
    <row r="777" spans="2:16" x14ac:dyDescent="0.25">
      <c r="B777" s="103">
        <v>1375</v>
      </c>
      <c r="C777" s="104" t="s">
        <v>2594</v>
      </c>
      <c r="D777" s="104" t="s">
        <v>3421</v>
      </c>
      <c r="E777" s="104" t="s">
        <v>425</v>
      </c>
      <c r="F777" s="105" t="s">
        <v>3264</v>
      </c>
      <c r="H777" s="45" t="str">
        <f t="shared" si="33"/>
        <v>Maja – Kušt – OK Vihor – Ž35</v>
      </c>
      <c r="J777" s="45" t="str">
        <f t="shared" si="34"/>
        <v>Maja – Kušt – OK Vihor</v>
      </c>
      <c r="L777" s="45" t="str">
        <f t="shared" si="35"/>
        <v>Maja – Kušt</v>
      </c>
      <c r="N777" s="103"/>
      <c r="O777" s="104"/>
      <c r="P777" s="105"/>
    </row>
    <row r="778" spans="2:16" x14ac:dyDescent="0.25">
      <c r="B778" s="103">
        <v>1029</v>
      </c>
      <c r="C778" s="104" t="s">
        <v>2601</v>
      </c>
      <c r="D778" s="104" t="s">
        <v>4287</v>
      </c>
      <c r="E778" s="104" t="s">
        <v>425</v>
      </c>
      <c r="F778" s="105"/>
      <c r="H778" s="45" t="str">
        <f t="shared" si="33"/>
        <v>Petra – Laškarin – OK Vihor</v>
      </c>
      <c r="J778" s="45" t="str">
        <f t="shared" si="34"/>
        <v>Petra – Laškarin – OK Vihor</v>
      </c>
      <c r="L778" s="45" t="str">
        <f t="shared" si="35"/>
        <v>Petra – Laškarin</v>
      </c>
      <c r="N778" s="103"/>
      <c r="O778" s="104"/>
      <c r="P778" s="105"/>
    </row>
    <row r="779" spans="2:16" x14ac:dyDescent="0.25">
      <c r="B779" s="103">
        <v>1076</v>
      </c>
      <c r="C779" s="104" t="s">
        <v>4288</v>
      </c>
      <c r="D779" s="104" t="s">
        <v>4289</v>
      </c>
      <c r="E779" s="104" t="s">
        <v>425</v>
      </c>
      <c r="F779" s="105" t="s">
        <v>3442</v>
      </c>
      <c r="H779" s="45" t="str">
        <f t="shared" ref="H779:H842" si="36">IF(C779="","",C779) &amp; IF(D779="",""," – " &amp; D779) &amp; IF(E779="",""," – " &amp; E779) &amp; IF(F779="",""," – " &amp; F779)</f>
        <v>Nevena – Letica – OK Vihor – Ž45</v>
      </c>
      <c r="J779" s="45" t="str">
        <f t="shared" ref="J779:J842" si="37">IF(C779="","",C779) &amp; IF(D779="",""," – " &amp; D779) &amp; IF(E779="",""," – " &amp; E779)</f>
        <v>Nevena – Letica – OK Vihor</v>
      </c>
      <c r="L779" s="45" t="str">
        <f t="shared" ref="L779:L842" si="38">IF(C779="","",C779) &amp; IF(D779="",""," – " &amp; D779)</f>
        <v>Nevena – Letica</v>
      </c>
      <c r="N779" s="103"/>
      <c r="O779" s="104"/>
      <c r="P779" s="105"/>
    </row>
    <row r="780" spans="2:16" x14ac:dyDescent="0.25">
      <c r="B780" s="103">
        <v>1013</v>
      </c>
      <c r="C780" s="104" t="s">
        <v>1363</v>
      </c>
      <c r="D780" s="104" t="s">
        <v>4290</v>
      </c>
      <c r="E780" s="104" t="s">
        <v>425</v>
      </c>
      <c r="F780" s="105"/>
      <c r="H780" s="45" t="str">
        <f t="shared" si="36"/>
        <v>Domagoj – Levanić – OK Vihor</v>
      </c>
      <c r="J780" s="45" t="str">
        <f t="shared" si="37"/>
        <v>Domagoj – Levanić – OK Vihor</v>
      </c>
      <c r="L780" s="45" t="str">
        <f t="shared" si="38"/>
        <v>Domagoj – Levanić</v>
      </c>
      <c r="N780" s="103"/>
      <c r="O780" s="104"/>
      <c r="P780" s="105"/>
    </row>
    <row r="781" spans="2:16" x14ac:dyDescent="0.25">
      <c r="B781" s="103">
        <v>1034</v>
      </c>
      <c r="C781" s="104" t="s">
        <v>1028</v>
      </c>
      <c r="D781" s="104" t="s">
        <v>4291</v>
      </c>
      <c r="E781" s="104" t="s">
        <v>425</v>
      </c>
      <c r="F781" s="105"/>
      <c r="H781" s="45" t="str">
        <f t="shared" si="36"/>
        <v>Tomislav – Lopandić – OK Vihor</v>
      </c>
      <c r="J781" s="45" t="str">
        <f t="shared" si="37"/>
        <v>Tomislav – Lopandić – OK Vihor</v>
      </c>
      <c r="L781" s="45" t="str">
        <f t="shared" si="38"/>
        <v>Tomislav – Lopandić</v>
      </c>
      <c r="N781" s="103"/>
      <c r="O781" s="104"/>
      <c r="P781" s="105"/>
    </row>
    <row r="782" spans="2:16" x14ac:dyDescent="0.25">
      <c r="B782" s="103">
        <v>1080</v>
      </c>
      <c r="C782" s="104" t="s">
        <v>4292</v>
      </c>
      <c r="D782" s="104" t="s">
        <v>4293</v>
      </c>
      <c r="E782" s="104" t="s">
        <v>425</v>
      </c>
      <c r="F782" s="105" t="s">
        <v>3442</v>
      </c>
      <c r="H782" s="45" t="str">
        <f t="shared" si="36"/>
        <v>Darinka – Lovrec – OK Vihor – Ž45</v>
      </c>
      <c r="J782" s="45" t="str">
        <f t="shared" si="37"/>
        <v>Darinka – Lovrec – OK Vihor</v>
      </c>
      <c r="L782" s="45" t="str">
        <f t="shared" si="38"/>
        <v>Darinka – Lovrec</v>
      </c>
      <c r="N782" s="103"/>
      <c r="O782" s="104"/>
      <c r="P782" s="105"/>
    </row>
    <row r="783" spans="2:16" x14ac:dyDescent="0.25">
      <c r="B783" s="103">
        <v>1360</v>
      </c>
      <c r="C783" s="104" t="s">
        <v>2484</v>
      </c>
      <c r="D783" s="104" t="s">
        <v>4293</v>
      </c>
      <c r="E783" s="104" t="s">
        <v>425</v>
      </c>
      <c r="F783" s="105" t="s">
        <v>3000</v>
      </c>
      <c r="H783" s="45" t="str">
        <f t="shared" si="36"/>
        <v>Iva – Lovrec – OK Vihor – Ž21A</v>
      </c>
      <c r="J783" s="45" t="str">
        <f t="shared" si="37"/>
        <v>Iva – Lovrec – OK Vihor</v>
      </c>
      <c r="L783" s="45" t="str">
        <f t="shared" si="38"/>
        <v>Iva – Lovrec</v>
      </c>
      <c r="N783" s="103"/>
      <c r="O783" s="104"/>
      <c r="P783" s="105"/>
    </row>
    <row r="784" spans="2:16" x14ac:dyDescent="0.25">
      <c r="B784" s="103">
        <v>1532</v>
      </c>
      <c r="C784" s="104" t="s">
        <v>3772</v>
      </c>
      <c r="D784" s="104" t="s">
        <v>4293</v>
      </c>
      <c r="E784" s="104" t="s">
        <v>425</v>
      </c>
      <c r="F784" s="105" t="s">
        <v>3093</v>
      </c>
      <c r="H784" s="45" t="str">
        <f t="shared" si="36"/>
        <v>Mia – Lovrec – OK Vihor – Ž21B</v>
      </c>
      <c r="J784" s="45" t="str">
        <f t="shared" si="37"/>
        <v>Mia – Lovrec – OK Vihor</v>
      </c>
      <c r="L784" s="45" t="str">
        <f t="shared" si="38"/>
        <v>Mia – Lovrec</v>
      </c>
      <c r="N784" s="103"/>
      <c r="O784" s="104"/>
      <c r="P784" s="105"/>
    </row>
    <row r="785" spans="2:16" x14ac:dyDescent="0.25">
      <c r="B785" s="103">
        <v>1482</v>
      </c>
      <c r="C785" s="104" t="s">
        <v>2304</v>
      </c>
      <c r="D785" s="104" t="s">
        <v>4293</v>
      </c>
      <c r="E785" s="104" t="s">
        <v>425</v>
      </c>
      <c r="F785" s="105" t="s">
        <v>2194</v>
      </c>
      <c r="H785" s="45" t="str">
        <f t="shared" si="36"/>
        <v>Nenad – Lovrec – OK Vihor – M55</v>
      </c>
      <c r="J785" s="45" t="str">
        <f t="shared" si="37"/>
        <v>Nenad – Lovrec – OK Vihor</v>
      </c>
      <c r="L785" s="45" t="str">
        <f t="shared" si="38"/>
        <v>Nenad – Lovrec</v>
      </c>
      <c r="N785" s="103"/>
      <c r="O785" s="104"/>
      <c r="P785" s="105"/>
    </row>
    <row r="786" spans="2:16" x14ac:dyDescent="0.25">
      <c r="B786" s="103">
        <v>1897</v>
      </c>
      <c r="C786" s="104" t="s">
        <v>1453</v>
      </c>
      <c r="D786" s="104" t="s">
        <v>1452</v>
      </c>
      <c r="E786" s="104" t="s">
        <v>425</v>
      </c>
      <c r="F786" s="105" t="s">
        <v>1129</v>
      </c>
      <c r="H786" s="45" t="str">
        <f t="shared" si="36"/>
        <v>Franjo – Lozančić – OK Vihor – M21B</v>
      </c>
      <c r="J786" s="45" t="str">
        <f t="shared" si="37"/>
        <v>Franjo – Lozančić – OK Vihor</v>
      </c>
      <c r="L786" s="45" t="str">
        <f t="shared" si="38"/>
        <v>Franjo – Lozančić</v>
      </c>
      <c r="N786" s="103"/>
      <c r="O786" s="104"/>
      <c r="P786" s="105"/>
    </row>
    <row r="787" spans="2:16" x14ac:dyDescent="0.25">
      <c r="B787" s="103">
        <v>1898</v>
      </c>
      <c r="C787" s="104" t="s">
        <v>1496</v>
      </c>
      <c r="D787" s="104" t="s">
        <v>1495</v>
      </c>
      <c r="E787" s="104" t="s">
        <v>425</v>
      </c>
      <c r="F787" s="105" t="s">
        <v>1129</v>
      </c>
      <c r="H787" s="45" t="str">
        <f t="shared" si="36"/>
        <v>Nikola – Lucić – OK Vihor – M21B</v>
      </c>
      <c r="J787" s="45" t="str">
        <f t="shared" si="37"/>
        <v>Nikola – Lucić – OK Vihor</v>
      </c>
      <c r="L787" s="45" t="str">
        <f t="shared" si="38"/>
        <v>Nikola – Lucić</v>
      </c>
      <c r="N787" s="103"/>
      <c r="O787" s="104"/>
      <c r="P787" s="105"/>
    </row>
    <row r="788" spans="2:16" x14ac:dyDescent="0.25">
      <c r="B788" s="103">
        <v>1899</v>
      </c>
      <c r="C788" s="104" t="s">
        <v>437</v>
      </c>
      <c r="D788" s="104" t="s">
        <v>2614</v>
      </c>
      <c r="E788" s="104" t="s">
        <v>425</v>
      </c>
      <c r="F788" s="105" t="s">
        <v>1129</v>
      </c>
      <c r="H788" s="45" t="str">
        <f t="shared" si="36"/>
        <v>Ivan – Majnarić – OK Vihor – M21B</v>
      </c>
      <c r="J788" s="45" t="str">
        <f t="shared" si="37"/>
        <v>Ivan – Majnarić – OK Vihor</v>
      </c>
      <c r="L788" s="45" t="str">
        <f t="shared" si="38"/>
        <v>Ivan – Majnarić</v>
      </c>
      <c r="N788" s="103"/>
      <c r="O788" s="104"/>
      <c r="P788" s="105"/>
    </row>
    <row r="789" spans="2:16" x14ac:dyDescent="0.25">
      <c r="B789" s="103">
        <v>1390</v>
      </c>
      <c r="C789" s="104" t="s">
        <v>3981</v>
      </c>
      <c r="D789" s="104" t="s">
        <v>4294</v>
      </c>
      <c r="E789" s="104" t="s">
        <v>425</v>
      </c>
      <c r="F789" s="105" t="s">
        <v>3093</v>
      </c>
      <c r="H789" s="45" t="str">
        <f t="shared" si="36"/>
        <v>Lorena – Malec – OK Vihor – Ž21B</v>
      </c>
      <c r="J789" s="45" t="str">
        <f t="shared" si="37"/>
        <v>Lorena – Malec – OK Vihor</v>
      </c>
      <c r="L789" s="45" t="str">
        <f t="shared" si="38"/>
        <v>Lorena – Malec</v>
      </c>
      <c r="N789" s="103"/>
      <c r="O789" s="104"/>
      <c r="P789" s="105"/>
    </row>
    <row r="790" spans="2:16" x14ac:dyDescent="0.25">
      <c r="B790" s="103">
        <v>1900</v>
      </c>
      <c r="C790" s="104" t="s">
        <v>1335</v>
      </c>
      <c r="D790" s="104" t="s">
        <v>1233</v>
      </c>
      <c r="E790" s="104" t="s">
        <v>425</v>
      </c>
      <c r="F790" s="105" t="s">
        <v>1129</v>
      </c>
      <c r="H790" s="45" t="str">
        <f t="shared" si="36"/>
        <v>Dario – Malović – OK Vihor – M21B</v>
      </c>
      <c r="J790" s="45" t="str">
        <f t="shared" si="37"/>
        <v>Dario – Malović – OK Vihor</v>
      </c>
      <c r="L790" s="45" t="str">
        <f t="shared" si="38"/>
        <v>Dario – Malović</v>
      </c>
      <c r="N790" s="103"/>
      <c r="O790" s="104"/>
      <c r="P790" s="105"/>
    </row>
    <row r="791" spans="2:16" x14ac:dyDescent="0.25">
      <c r="B791" s="103">
        <v>1411</v>
      </c>
      <c r="C791" s="104" t="s">
        <v>3775</v>
      </c>
      <c r="D791" s="104" t="s">
        <v>419</v>
      </c>
      <c r="E791" s="104" t="s">
        <v>425</v>
      </c>
      <c r="F791" s="105" t="s">
        <v>363</v>
      </c>
      <c r="H791" s="45" t="str">
        <f t="shared" si="36"/>
        <v>Bruno – Mance – OK Vihor – M12</v>
      </c>
      <c r="J791" s="45" t="str">
        <f t="shared" si="37"/>
        <v>Bruno – Mance – OK Vihor</v>
      </c>
      <c r="L791" s="45" t="str">
        <f t="shared" si="38"/>
        <v>Bruno – Mance</v>
      </c>
      <c r="N791" s="103"/>
      <c r="O791" s="104"/>
      <c r="P791" s="105"/>
    </row>
    <row r="792" spans="2:16" x14ac:dyDescent="0.25">
      <c r="B792" s="103">
        <v>1353</v>
      </c>
      <c r="C792" s="104" t="s">
        <v>3059</v>
      </c>
      <c r="D792" s="104" t="s">
        <v>419</v>
      </c>
      <c r="E792" s="104" t="s">
        <v>425</v>
      </c>
      <c r="F792" s="105" t="s">
        <v>3093</v>
      </c>
      <c r="H792" s="45" t="str">
        <f t="shared" si="36"/>
        <v>Ines – Mance – OK Vihor – Ž21B</v>
      </c>
      <c r="J792" s="45" t="str">
        <f t="shared" si="37"/>
        <v>Ines – Mance – OK Vihor</v>
      </c>
      <c r="L792" s="45" t="str">
        <f t="shared" si="38"/>
        <v>Ines – Mance</v>
      </c>
      <c r="N792" s="103"/>
      <c r="O792" s="104"/>
      <c r="P792" s="105"/>
    </row>
    <row r="793" spans="2:16" x14ac:dyDescent="0.25">
      <c r="B793" s="103">
        <v>1207</v>
      </c>
      <c r="C793" s="104" t="s">
        <v>420</v>
      </c>
      <c r="D793" s="104" t="s">
        <v>419</v>
      </c>
      <c r="E793" s="104" t="s">
        <v>425</v>
      </c>
      <c r="F793" s="105" t="s">
        <v>363</v>
      </c>
      <c r="H793" s="45" t="str">
        <f t="shared" si="36"/>
        <v>Teo – Mance – OK Vihor – M12</v>
      </c>
      <c r="J793" s="45" t="str">
        <f t="shared" si="37"/>
        <v>Teo – Mance – OK Vihor</v>
      </c>
      <c r="L793" s="45" t="str">
        <f t="shared" si="38"/>
        <v>Teo – Mance</v>
      </c>
      <c r="N793" s="103"/>
      <c r="O793" s="104"/>
      <c r="P793" s="105"/>
    </row>
    <row r="794" spans="2:16" x14ac:dyDescent="0.25">
      <c r="B794" s="103">
        <v>1152</v>
      </c>
      <c r="C794" s="104" t="s">
        <v>4295</v>
      </c>
      <c r="D794" s="104" t="s">
        <v>4296</v>
      </c>
      <c r="E794" s="104" t="s">
        <v>425</v>
      </c>
      <c r="F794" s="105" t="s">
        <v>3442</v>
      </c>
      <c r="H794" s="45" t="str">
        <f t="shared" si="36"/>
        <v>Jasna – Mandac – OK Vihor – Ž45</v>
      </c>
      <c r="J794" s="45" t="str">
        <f t="shared" si="37"/>
        <v>Jasna – Mandac – OK Vihor</v>
      </c>
      <c r="L794" s="45" t="str">
        <f t="shared" si="38"/>
        <v>Jasna – Mandac</v>
      </c>
      <c r="N794" s="103"/>
      <c r="O794" s="104"/>
      <c r="P794" s="105"/>
    </row>
    <row r="795" spans="2:16" x14ac:dyDescent="0.25">
      <c r="B795" s="103">
        <v>1018</v>
      </c>
      <c r="C795" s="104" t="s">
        <v>2911</v>
      </c>
      <c r="D795" s="104" t="s">
        <v>4297</v>
      </c>
      <c r="E795" s="104" t="s">
        <v>425</v>
      </c>
      <c r="F795" s="105"/>
      <c r="H795" s="45" t="str">
        <f t="shared" si="36"/>
        <v>Jelena – Manzin Ištvanović – OK Vihor</v>
      </c>
      <c r="J795" s="45" t="str">
        <f t="shared" si="37"/>
        <v>Jelena – Manzin Ištvanović – OK Vihor</v>
      </c>
      <c r="L795" s="45" t="str">
        <f t="shared" si="38"/>
        <v>Jelena – Manzin Ištvanović</v>
      </c>
      <c r="N795" s="103"/>
      <c r="O795" s="104"/>
      <c r="P795" s="105"/>
    </row>
    <row r="796" spans="2:16" x14ac:dyDescent="0.25">
      <c r="B796" s="103">
        <v>1410</v>
      </c>
      <c r="C796" s="104" t="s">
        <v>2881</v>
      </c>
      <c r="D796" s="104" t="s">
        <v>2082</v>
      </c>
      <c r="E796" s="104" t="s">
        <v>425</v>
      </c>
      <c r="F796" s="105" t="s">
        <v>2765</v>
      </c>
      <c r="H796" s="45" t="str">
        <f t="shared" si="36"/>
        <v>Ira – Mareković – OK Vihor – Ž16</v>
      </c>
      <c r="J796" s="45" t="str">
        <f t="shared" si="37"/>
        <v>Ira – Mareković – OK Vihor</v>
      </c>
      <c r="L796" s="45" t="str">
        <f t="shared" si="38"/>
        <v>Ira – Mareković</v>
      </c>
      <c r="N796" s="103"/>
      <c r="O796" s="104"/>
      <c r="P796" s="105"/>
    </row>
    <row r="797" spans="2:16" x14ac:dyDescent="0.25">
      <c r="B797" s="103">
        <v>1183</v>
      </c>
      <c r="C797" s="104" t="s">
        <v>1290</v>
      </c>
      <c r="D797" s="104" t="s">
        <v>2082</v>
      </c>
      <c r="E797" s="104" t="s">
        <v>425</v>
      </c>
      <c r="F797" s="105" t="s">
        <v>1908</v>
      </c>
      <c r="H797" s="45" t="str">
        <f t="shared" si="36"/>
        <v>Siniša – Mareković – OK Vihor – M45</v>
      </c>
      <c r="J797" s="45" t="str">
        <f t="shared" si="37"/>
        <v>Siniša – Mareković – OK Vihor</v>
      </c>
      <c r="L797" s="45" t="str">
        <f t="shared" si="38"/>
        <v>Siniša – Mareković</v>
      </c>
      <c r="N797" s="103"/>
      <c r="O797" s="104"/>
      <c r="P797" s="105"/>
    </row>
    <row r="798" spans="2:16" x14ac:dyDescent="0.25">
      <c r="B798" s="103">
        <v>1408</v>
      </c>
      <c r="C798" s="104" t="s">
        <v>471</v>
      </c>
      <c r="D798" s="104" t="s">
        <v>4298</v>
      </c>
      <c r="E798" s="104" t="s">
        <v>425</v>
      </c>
      <c r="F798" s="105" t="s">
        <v>486</v>
      </c>
      <c r="H798" s="45" t="str">
        <f t="shared" si="36"/>
        <v>Filip – Marendić – OK Vihor – M14</v>
      </c>
      <c r="J798" s="45" t="str">
        <f t="shared" si="37"/>
        <v>Filip – Marendić – OK Vihor</v>
      </c>
      <c r="L798" s="45" t="str">
        <f t="shared" si="38"/>
        <v>Filip – Marendić</v>
      </c>
      <c r="N798" s="103"/>
      <c r="O798" s="104"/>
      <c r="P798" s="105"/>
    </row>
    <row r="799" spans="2:16" x14ac:dyDescent="0.25">
      <c r="B799" s="103">
        <v>1234</v>
      </c>
      <c r="C799" s="104" t="s">
        <v>1028</v>
      </c>
      <c r="D799" s="104" t="s">
        <v>4299</v>
      </c>
      <c r="E799" s="104" t="s">
        <v>425</v>
      </c>
      <c r="F799" s="105" t="s">
        <v>1908</v>
      </c>
      <c r="H799" s="45" t="str">
        <f t="shared" si="36"/>
        <v>Tomislav – Marjanović – OK Vihor – M45</v>
      </c>
      <c r="J799" s="45" t="str">
        <f t="shared" si="37"/>
        <v>Tomislav – Marjanović – OK Vihor</v>
      </c>
      <c r="L799" s="45" t="str">
        <f t="shared" si="38"/>
        <v>Tomislav – Marjanović</v>
      </c>
      <c r="N799" s="103"/>
      <c r="O799" s="104"/>
      <c r="P799" s="105"/>
    </row>
    <row r="800" spans="2:16" x14ac:dyDescent="0.25">
      <c r="B800" s="103">
        <v>1901</v>
      </c>
      <c r="C800" s="104" t="s">
        <v>2447</v>
      </c>
      <c r="D800" s="104" t="s">
        <v>1051</v>
      </c>
      <c r="E800" s="104" t="s">
        <v>425</v>
      </c>
      <c r="F800" s="105" t="s">
        <v>3093</v>
      </c>
      <c r="H800" s="45" t="str">
        <f t="shared" si="36"/>
        <v>Ivana – Marković – OK Vihor – Ž21B</v>
      </c>
      <c r="J800" s="45" t="str">
        <f t="shared" si="37"/>
        <v>Ivana – Marković – OK Vihor</v>
      </c>
      <c r="L800" s="45" t="str">
        <f t="shared" si="38"/>
        <v>Ivana – Marković</v>
      </c>
      <c r="N800" s="103"/>
      <c r="O800" s="104"/>
      <c r="P800" s="105"/>
    </row>
    <row r="801" spans="2:16" x14ac:dyDescent="0.25">
      <c r="B801" s="103">
        <v>1190</v>
      </c>
      <c r="C801" s="104" t="s">
        <v>2436</v>
      </c>
      <c r="D801" s="104" t="s">
        <v>3247</v>
      </c>
      <c r="E801" s="104" t="s">
        <v>425</v>
      </c>
      <c r="F801" s="105" t="s">
        <v>3093</v>
      </c>
      <c r="H801" s="45" t="str">
        <f t="shared" si="36"/>
        <v>Ana – Markulin – OK Vihor – Ž21B</v>
      </c>
      <c r="J801" s="45" t="str">
        <f t="shared" si="37"/>
        <v>Ana – Markulin – OK Vihor</v>
      </c>
      <c r="L801" s="45" t="str">
        <f t="shared" si="38"/>
        <v>Ana – Markulin</v>
      </c>
      <c r="N801" s="103"/>
      <c r="O801" s="104"/>
      <c r="P801" s="105"/>
    </row>
    <row r="802" spans="2:16" x14ac:dyDescent="0.25">
      <c r="B802" s="103">
        <v>1016</v>
      </c>
      <c r="C802" s="104" t="s">
        <v>740</v>
      </c>
      <c r="D802" s="104" t="s">
        <v>4300</v>
      </c>
      <c r="E802" s="104" t="s">
        <v>425</v>
      </c>
      <c r="F802" s="105"/>
      <c r="H802" s="45" t="str">
        <f t="shared" si="36"/>
        <v>Goran – Marović – OK Vihor</v>
      </c>
      <c r="J802" s="45" t="str">
        <f t="shared" si="37"/>
        <v>Goran – Marović – OK Vihor</v>
      </c>
      <c r="L802" s="45" t="str">
        <f t="shared" si="38"/>
        <v>Goran – Marović</v>
      </c>
      <c r="N802" s="103"/>
      <c r="O802" s="104"/>
      <c r="P802" s="105"/>
    </row>
    <row r="803" spans="2:16" x14ac:dyDescent="0.25">
      <c r="B803" s="103">
        <v>1942</v>
      </c>
      <c r="C803" s="104" t="s">
        <v>1422</v>
      </c>
      <c r="D803" s="104" t="s">
        <v>1421</v>
      </c>
      <c r="E803" s="104" t="s">
        <v>425</v>
      </c>
      <c r="F803" s="105" t="s">
        <v>1129</v>
      </c>
      <c r="H803" s="45" t="str">
        <f t="shared" si="36"/>
        <v>Dino – Martinović – OK Vihor – M21B</v>
      </c>
      <c r="J803" s="45" t="str">
        <f t="shared" si="37"/>
        <v>Dino – Martinović – OK Vihor</v>
      </c>
      <c r="L803" s="45" t="str">
        <f t="shared" si="38"/>
        <v>Dino – Martinović</v>
      </c>
      <c r="N803" s="103"/>
      <c r="O803" s="104"/>
      <c r="P803" s="105"/>
    </row>
    <row r="804" spans="2:16" x14ac:dyDescent="0.25">
      <c r="B804" s="103">
        <v>1803</v>
      </c>
      <c r="C804" s="104" t="s">
        <v>3766</v>
      </c>
      <c r="D804" s="104" t="s">
        <v>4301</v>
      </c>
      <c r="E804" s="104" t="s">
        <v>425</v>
      </c>
      <c r="F804" s="105"/>
      <c r="H804" s="45" t="str">
        <f t="shared" si="36"/>
        <v>Šimun – Matešić – OK Vihor</v>
      </c>
      <c r="J804" s="45" t="str">
        <f t="shared" si="37"/>
        <v>Šimun – Matešić – OK Vihor</v>
      </c>
      <c r="L804" s="45" t="str">
        <f t="shared" si="38"/>
        <v>Šimun – Matešić</v>
      </c>
      <c r="N804" s="103"/>
      <c r="O804" s="104"/>
      <c r="P804" s="105"/>
    </row>
    <row r="805" spans="2:16" x14ac:dyDescent="0.25">
      <c r="B805" s="103">
        <v>1271</v>
      </c>
      <c r="C805" s="104" t="s">
        <v>1005</v>
      </c>
      <c r="D805" s="104" t="s">
        <v>2313</v>
      </c>
      <c r="E805" s="104" t="s">
        <v>425</v>
      </c>
      <c r="F805" s="105" t="s">
        <v>2194</v>
      </c>
      <c r="H805" s="45" t="str">
        <f t="shared" si="36"/>
        <v>Josip – Matijašić – OK Vihor – M55</v>
      </c>
      <c r="J805" s="45" t="str">
        <f t="shared" si="37"/>
        <v>Josip – Matijašić – OK Vihor</v>
      </c>
      <c r="L805" s="45" t="str">
        <f t="shared" si="38"/>
        <v>Josip – Matijašić</v>
      </c>
      <c r="N805" s="103"/>
      <c r="O805" s="104"/>
      <c r="P805" s="105"/>
    </row>
    <row r="806" spans="2:16" x14ac:dyDescent="0.25">
      <c r="B806" s="103">
        <v>1428</v>
      </c>
      <c r="C806" s="104" t="s">
        <v>2141</v>
      </c>
      <c r="D806" s="104" t="s">
        <v>541</v>
      </c>
      <c r="E806" s="104" t="s">
        <v>425</v>
      </c>
      <c r="F806" s="105" t="s">
        <v>1908</v>
      </c>
      <c r="H806" s="45" t="str">
        <f t="shared" si="36"/>
        <v>Boris – Mazić – OK Vihor – M45</v>
      </c>
      <c r="J806" s="45" t="str">
        <f t="shared" si="37"/>
        <v>Boris – Mazić – OK Vihor</v>
      </c>
      <c r="L806" s="45" t="str">
        <f t="shared" si="38"/>
        <v>Boris – Mazić</v>
      </c>
      <c r="N806" s="103"/>
      <c r="O806" s="104"/>
      <c r="P806" s="105"/>
    </row>
    <row r="807" spans="2:16" x14ac:dyDescent="0.25">
      <c r="B807" s="103">
        <v>1251</v>
      </c>
      <c r="C807" s="104" t="s">
        <v>4302</v>
      </c>
      <c r="D807" s="104" t="s">
        <v>541</v>
      </c>
      <c r="E807" s="104" t="s">
        <v>425</v>
      </c>
      <c r="F807" s="105" t="s">
        <v>363</v>
      </c>
      <c r="H807" s="45" t="str">
        <f t="shared" si="36"/>
        <v>Lovre – Mazić – OK Vihor – M12</v>
      </c>
      <c r="J807" s="45" t="str">
        <f t="shared" si="37"/>
        <v>Lovre – Mazić – OK Vihor</v>
      </c>
      <c r="L807" s="45" t="str">
        <f t="shared" si="38"/>
        <v>Lovre – Mazić</v>
      </c>
      <c r="N807" s="103"/>
      <c r="O807" s="104"/>
      <c r="P807" s="105"/>
    </row>
    <row r="808" spans="2:16" x14ac:dyDescent="0.25">
      <c r="B808" s="103">
        <v>1057</v>
      </c>
      <c r="C808" s="104" t="s">
        <v>542</v>
      </c>
      <c r="D808" s="104" t="s">
        <v>541</v>
      </c>
      <c r="E808" s="104" t="s">
        <v>425</v>
      </c>
      <c r="F808" s="105" t="s">
        <v>486</v>
      </c>
      <c r="H808" s="45" t="str">
        <f t="shared" si="36"/>
        <v>Mikula – Mazić – OK Vihor – M14</v>
      </c>
      <c r="J808" s="45" t="str">
        <f t="shared" si="37"/>
        <v>Mikula – Mazić – OK Vihor</v>
      </c>
      <c r="L808" s="45" t="str">
        <f t="shared" si="38"/>
        <v>Mikula – Mazić</v>
      </c>
      <c r="N808" s="103"/>
      <c r="O808" s="104"/>
      <c r="P808" s="105"/>
    </row>
    <row r="809" spans="2:16" x14ac:dyDescent="0.25">
      <c r="B809" s="103">
        <v>1221</v>
      </c>
      <c r="C809" s="104" t="s">
        <v>4303</v>
      </c>
      <c r="D809" s="104" t="s">
        <v>541</v>
      </c>
      <c r="E809" s="104" t="s">
        <v>425</v>
      </c>
      <c r="F809" s="105" t="s">
        <v>363</v>
      </c>
      <c r="H809" s="45" t="str">
        <f t="shared" si="36"/>
        <v>Vjeko – Mazić – OK Vihor – M12</v>
      </c>
      <c r="J809" s="45" t="str">
        <f t="shared" si="37"/>
        <v>Vjeko – Mazić – OK Vihor</v>
      </c>
      <c r="L809" s="45" t="str">
        <f t="shared" si="38"/>
        <v>Vjeko – Mazić</v>
      </c>
      <c r="N809" s="103"/>
      <c r="O809" s="104"/>
      <c r="P809" s="105"/>
    </row>
    <row r="810" spans="2:16" x14ac:dyDescent="0.25">
      <c r="B810" s="103">
        <v>1709</v>
      </c>
      <c r="C810" s="104" t="s">
        <v>2436</v>
      </c>
      <c r="D810" s="104" t="s">
        <v>4304</v>
      </c>
      <c r="E810" s="104" t="s">
        <v>425</v>
      </c>
      <c r="F810" s="105"/>
      <c r="H810" s="45" t="str">
        <f t="shared" si="36"/>
        <v>Ana – Medved – OK Vihor</v>
      </c>
      <c r="J810" s="45" t="str">
        <f t="shared" si="37"/>
        <v>Ana – Medved – OK Vihor</v>
      </c>
      <c r="L810" s="45" t="str">
        <f t="shared" si="38"/>
        <v>Ana – Medved</v>
      </c>
      <c r="N810" s="103"/>
      <c r="O810" s="104"/>
      <c r="P810" s="105"/>
    </row>
    <row r="811" spans="2:16" x14ac:dyDescent="0.25">
      <c r="B811" s="103">
        <v>1548</v>
      </c>
      <c r="C811" s="104" t="s">
        <v>2375</v>
      </c>
      <c r="D811" s="104" t="s">
        <v>2374</v>
      </c>
      <c r="E811" s="104" t="s">
        <v>425</v>
      </c>
      <c r="F811" s="105" t="s">
        <v>2366</v>
      </c>
      <c r="H811" s="45" t="str">
        <f t="shared" si="36"/>
        <v>Ivica – Mesić – OK Vihor – M65</v>
      </c>
      <c r="J811" s="45" t="str">
        <f t="shared" si="37"/>
        <v>Ivica – Mesić – OK Vihor</v>
      </c>
      <c r="L811" s="45" t="str">
        <f t="shared" si="38"/>
        <v>Ivica – Mesić</v>
      </c>
      <c r="N811" s="103"/>
      <c r="O811" s="104"/>
      <c r="P811" s="105"/>
    </row>
    <row r="812" spans="2:16" x14ac:dyDescent="0.25">
      <c r="B812" s="103">
        <v>1136</v>
      </c>
      <c r="C812" s="104" t="s">
        <v>2611</v>
      </c>
      <c r="D812" s="104" t="s">
        <v>2374</v>
      </c>
      <c r="E812" s="104" t="s">
        <v>425</v>
      </c>
      <c r="F812" s="105" t="s">
        <v>3093</v>
      </c>
      <c r="H812" s="45" t="str">
        <f t="shared" si="36"/>
        <v>Maša – Mesić – OK Vihor – Ž21B</v>
      </c>
      <c r="J812" s="45" t="str">
        <f t="shared" si="37"/>
        <v>Maša – Mesić – OK Vihor</v>
      </c>
      <c r="L812" s="45" t="str">
        <f t="shared" si="38"/>
        <v>Maša – Mesić</v>
      </c>
      <c r="N812" s="103"/>
      <c r="O812" s="104"/>
      <c r="P812" s="105"/>
    </row>
    <row r="813" spans="2:16" x14ac:dyDescent="0.25">
      <c r="B813" s="103">
        <v>1167</v>
      </c>
      <c r="C813" s="104" t="s">
        <v>919</v>
      </c>
      <c r="D813" s="104" t="s">
        <v>2374</v>
      </c>
      <c r="E813" s="104" t="s">
        <v>425</v>
      </c>
      <c r="F813" s="105" t="s">
        <v>1129</v>
      </c>
      <c r="H813" s="45" t="str">
        <f t="shared" si="36"/>
        <v>Matija – Mesić – OK Vihor – M21B</v>
      </c>
      <c r="J813" s="45" t="str">
        <f t="shared" si="37"/>
        <v>Matija – Mesić – OK Vihor</v>
      </c>
      <c r="L813" s="45" t="str">
        <f t="shared" si="38"/>
        <v>Matija – Mesić</v>
      </c>
      <c r="N813" s="103"/>
      <c r="O813" s="104"/>
      <c r="P813" s="105"/>
    </row>
    <row r="814" spans="2:16" x14ac:dyDescent="0.25">
      <c r="B814" s="103">
        <v>1710</v>
      </c>
      <c r="C814" s="104" t="s">
        <v>1967</v>
      </c>
      <c r="D814" s="104" t="s">
        <v>2303</v>
      </c>
      <c r="E814" s="104" t="s">
        <v>425</v>
      </c>
      <c r="F814" s="105"/>
      <c r="H814" s="45" t="str">
        <f t="shared" si="36"/>
        <v>Bojan – Mihaljević – OK Vihor</v>
      </c>
      <c r="J814" s="45" t="str">
        <f t="shared" si="37"/>
        <v>Bojan – Mihaljević – OK Vihor</v>
      </c>
      <c r="L814" s="45" t="str">
        <f t="shared" si="38"/>
        <v>Bojan – Mihaljević</v>
      </c>
      <c r="N814" s="103"/>
      <c r="O814" s="104"/>
      <c r="P814" s="105"/>
    </row>
    <row r="815" spans="2:16" x14ac:dyDescent="0.25">
      <c r="B815" s="103">
        <v>1533</v>
      </c>
      <c r="C815" s="104" t="s">
        <v>2304</v>
      </c>
      <c r="D815" s="104" t="s">
        <v>2303</v>
      </c>
      <c r="E815" s="104" t="s">
        <v>425</v>
      </c>
      <c r="F815" s="105" t="s">
        <v>2194</v>
      </c>
      <c r="H815" s="45" t="str">
        <f t="shared" si="36"/>
        <v>Nenad – Mihaljević – OK Vihor – M55</v>
      </c>
      <c r="J815" s="45" t="str">
        <f t="shared" si="37"/>
        <v>Nenad – Mihaljević – OK Vihor</v>
      </c>
      <c r="L815" s="45" t="str">
        <f t="shared" si="38"/>
        <v>Nenad – Mihaljević</v>
      </c>
      <c r="N815" s="103"/>
      <c r="O815" s="104"/>
      <c r="P815" s="105"/>
    </row>
    <row r="816" spans="2:16" x14ac:dyDescent="0.25">
      <c r="B816" s="103">
        <v>1422</v>
      </c>
      <c r="C816" s="104" t="s">
        <v>1028</v>
      </c>
      <c r="D816" s="104" t="s">
        <v>4305</v>
      </c>
      <c r="E816" s="104" t="s">
        <v>425</v>
      </c>
      <c r="F816" s="105" t="s">
        <v>768</v>
      </c>
      <c r="H816" s="45" t="str">
        <f t="shared" si="36"/>
        <v>Tomislav – Mikić – OK Vihor – M20</v>
      </c>
      <c r="J816" s="45" t="str">
        <f t="shared" si="37"/>
        <v>Tomislav – Mikić – OK Vihor</v>
      </c>
      <c r="L816" s="45" t="str">
        <f t="shared" si="38"/>
        <v>Tomislav – Mikić</v>
      </c>
      <c r="N816" s="103"/>
      <c r="O816" s="104"/>
      <c r="P816" s="105"/>
    </row>
    <row r="817" spans="2:16" x14ac:dyDescent="0.25">
      <c r="B817" s="103">
        <v>1460</v>
      </c>
      <c r="C817" s="104" t="s">
        <v>3230</v>
      </c>
      <c r="D817" s="104" t="s">
        <v>3229</v>
      </c>
      <c r="E817" s="104" t="s">
        <v>425</v>
      </c>
      <c r="F817" s="105" t="s">
        <v>3093</v>
      </c>
      <c r="H817" s="45" t="str">
        <f t="shared" si="36"/>
        <v>Aleksandra – Miličević – OK Vihor – Ž21B</v>
      </c>
      <c r="J817" s="45" t="str">
        <f t="shared" si="37"/>
        <v>Aleksandra – Miličević – OK Vihor</v>
      </c>
      <c r="L817" s="45" t="str">
        <f t="shared" si="38"/>
        <v>Aleksandra – Miličević</v>
      </c>
      <c r="N817" s="103"/>
      <c r="O817" s="104"/>
      <c r="P817" s="105"/>
    </row>
    <row r="818" spans="2:16" x14ac:dyDescent="0.25">
      <c r="B818" s="103">
        <v>1065</v>
      </c>
      <c r="C818" s="104" t="s">
        <v>3261</v>
      </c>
      <c r="D818" s="104" t="s">
        <v>3856</v>
      </c>
      <c r="E818" s="104" t="s">
        <v>425</v>
      </c>
      <c r="F818" s="105" t="s">
        <v>3442</v>
      </c>
      <c r="H818" s="45" t="str">
        <f t="shared" si="36"/>
        <v>Željka – Miljković – OK Vihor – Ž45</v>
      </c>
      <c r="J818" s="45" t="str">
        <f t="shared" si="37"/>
        <v>Željka – Miljković – OK Vihor</v>
      </c>
      <c r="L818" s="45" t="str">
        <f t="shared" si="38"/>
        <v>Željka – Miljković</v>
      </c>
      <c r="N818" s="103"/>
      <c r="O818" s="109"/>
      <c r="P818" s="105"/>
    </row>
    <row r="819" spans="2:16" x14ac:dyDescent="0.25">
      <c r="B819" s="103">
        <v>1239</v>
      </c>
      <c r="C819" s="104" t="s">
        <v>1482</v>
      </c>
      <c r="D819" s="104" t="s">
        <v>4090</v>
      </c>
      <c r="E819" s="104" t="s">
        <v>425</v>
      </c>
      <c r="F819" s="105" t="s">
        <v>363</v>
      </c>
      <c r="H819" s="45" t="str">
        <f t="shared" si="36"/>
        <v>Hrvoje – Mirković – OK Vihor – M12</v>
      </c>
      <c r="J819" s="45" t="str">
        <f t="shared" si="37"/>
        <v>Hrvoje – Mirković – OK Vihor</v>
      </c>
      <c r="L819" s="45" t="str">
        <f t="shared" si="38"/>
        <v>Hrvoje – Mirković</v>
      </c>
      <c r="N819" s="103"/>
      <c r="O819" s="104"/>
      <c r="P819" s="105"/>
    </row>
    <row r="820" spans="2:16" x14ac:dyDescent="0.25">
      <c r="B820" s="103">
        <v>1877</v>
      </c>
      <c r="C820" s="104" t="s">
        <v>2447</v>
      </c>
      <c r="D820" s="104" t="s">
        <v>4090</v>
      </c>
      <c r="E820" s="104" t="s">
        <v>425</v>
      </c>
      <c r="F820" s="105" t="s">
        <v>3093</v>
      </c>
      <c r="H820" s="45" t="str">
        <f t="shared" si="36"/>
        <v>Ivana – Mirković – OK Vihor – Ž21B</v>
      </c>
      <c r="J820" s="45" t="str">
        <f t="shared" si="37"/>
        <v>Ivana – Mirković – OK Vihor</v>
      </c>
      <c r="L820" s="45" t="str">
        <f t="shared" si="38"/>
        <v>Ivana – Mirković</v>
      </c>
      <c r="N820" s="103"/>
      <c r="O820" s="104"/>
      <c r="P820" s="105"/>
    </row>
    <row r="821" spans="2:16" x14ac:dyDescent="0.25">
      <c r="B821" s="103">
        <v>1224</v>
      </c>
      <c r="C821" s="104" t="s">
        <v>1979</v>
      </c>
      <c r="D821" s="104" t="s">
        <v>4090</v>
      </c>
      <c r="E821" s="104" t="s">
        <v>425</v>
      </c>
      <c r="F821" s="105" t="s">
        <v>1908</v>
      </c>
      <c r="H821" s="45" t="str">
        <f t="shared" si="36"/>
        <v>Marijan – Mirković – OK Vihor – M45</v>
      </c>
      <c r="J821" s="45" t="str">
        <f t="shared" si="37"/>
        <v>Marijan – Mirković – OK Vihor</v>
      </c>
      <c r="L821" s="45" t="str">
        <f t="shared" si="38"/>
        <v>Marijan – Mirković</v>
      </c>
      <c r="N821" s="103"/>
      <c r="O821" s="104"/>
      <c r="P821" s="105"/>
    </row>
    <row r="822" spans="2:16" x14ac:dyDescent="0.25">
      <c r="B822" s="103">
        <v>1876</v>
      </c>
      <c r="C822" s="104" t="s">
        <v>3782</v>
      </c>
      <c r="D822" s="104" t="s">
        <v>4090</v>
      </c>
      <c r="E822" s="104" t="s">
        <v>425</v>
      </c>
      <c r="F822" s="105" t="s">
        <v>363</v>
      </c>
      <c r="H822" s="45" t="str">
        <f t="shared" si="36"/>
        <v>Mislav – Mirković – OK Vihor – M12</v>
      </c>
      <c r="J822" s="45" t="str">
        <f t="shared" si="37"/>
        <v>Mislav – Mirković – OK Vihor</v>
      </c>
      <c r="L822" s="45" t="str">
        <f t="shared" si="38"/>
        <v>Mislav – Mirković</v>
      </c>
      <c r="N822" s="103"/>
      <c r="O822" s="104"/>
      <c r="P822" s="105"/>
    </row>
    <row r="823" spans="2:16" x14ac:dyDescent="0.25">
      <c r="B823" s="103">
        <v>1395</v>
      </c>
      <c r="C823" s="104" t="s">
        <v>3800</v>
      </c>
      <c r="D823" s="104" t="s">
        <v>4090</v>
      </c>
      <c r="E823" s="104" t="s">
        <v>425</v>
      </c>
      <c r="F823" s="105" t="s">
        <v>651</v>
      </c>
      <c r="H823" s="45" t="str">
        <f t="shared" si="36"/>
        <v>Zvonimir – Mirković – OK Vihor – M16</v>
      </c>
      <c r="J823" s="45" t="str">
        <f t="shared" si="37"/>
        <v>Zvonimir – Mirković – OK Vihor</v>
      </c>
      <c r="L823" s="45" t="str">
        <f t="shared" si="38"/>
        <v>Zvonimir – Mirković</v>
      </c>
      <c r="N823" s="103"/>
      <c r="O823" s="104"/>
      <c r="P823" s="105"/>
    </row>
    <row r="824" spans="2:16" x14ac:dyDescent="0.25">
      <c r="B824" s="103">
        <v>1902</v>
      </c>
      <c r="C824" s="104" t="s">
        <v>2611</v>
      </c>
      <c r="D824" s="104" t="s">
        <v>2610</v>
      </c>
      <c r="E824" s="104" t="s">
        <v>425</v>
      </c>
      <c r="F824" s="105" t="s">
        <v>3093</v>
      </c>
      <c r="H824" s="45" t="str">
        <f t="shared" si="36"/>
        <v>Maša – Miščević – OK Vihor – Ž21B</v>
      </c>
      <c r="J824" s="45" t="str">
        <f t="shared" si="37"/>
        <v>Maša – Miščević – OK Vihor</v>
      </c>
      <c r="L824" s="45" t="str">
        <f t="shared" si="38"/>
        <v>Maša – Miščević</v>
      </c>
      <c r="N824" s="103"/>
      <c r="O824" s="104"/>
      <c r="P824" s="105"/>
    </row>
    <row r="825" spans="2:16" x14ac:dyDescent="0.25">
      <c r="B825" s="103">
        <v>1328</v>
      </c>
      <c r="C825" s="104" t="s">
        <v>4306</v>
      </c>
      <c r="D825" s="104" t="s">
        <v>4019</v>
      </c>
      <c r="E825" s="104" t="s">
        <v>425</v>
      </c>
      <c r="F825" s="105" t="s">
        <v>1129</v>
      </c>
      <c r="H825" s="45" t="str">
        <f t="shared" si="36"/>
        <v>Gordan – Mlinarić – OK Vihor – M21B</v>
      </c>
      <c r="J825" s="45" t="str">
        <f t="shared" si="37"/>
        <v>Gordan – Mlinarić – OK Vihor</v>
      </c>
      <c r="L825" s="45" t="str">
        <f t="shared" si="38"/>
        <v>Gordan – Mlinarić</v>
      </c>
      <c r="N825" s="103"/>
      <c r="O825" s="104"/>
      <c r="P825" s="105"/>
    </row>
    <row r="826" spans="2:16" x14ac:dyDescent="0.25">
      <c r="B826" s="103">
        <v>1804</v>
      </c>
      <c r="C826" s="104" t="s">
        <v>4307</v>
      </c>
      <c r="D826" s="104" t="s">
        <v>4308</v>
      </c>
      <c r="E826" s="104" t="s">
        <v>425</v>
      </c>
      <c r="F826" s="105"/>
      <c r="H826" s="45" t="str">
        <f t="shared" si="36"/>
        <v>Lucas – Nežić – OK Vihor</v>
      </c>
      <c r="J826" s="45" t="str">
        <f t="shared" si="37"/>
        <v>Lucas – Nežić – OK Vihor</v>
      </c>
      <c r="L826" s="45" t="str">
        <f t="shared" si="38"/>
        <v>Lucas – Nežić</v>
      </c>
      <c r="N826" s="103"/>
      <c r="O826" s="104"/>
      <c r="P826" s="105"/>
    </row>
    <row r="827" spans="2:16" x14ac:dyDescent="0.25">
      <c r="B827" s="103">
        <v>1445</v>
      </c>
      <c r="C827" s="104" t="s">
        <v>3449</v>
      </c>
      <c r="D827" s="104" t="s">
        <v>572</v>
      </c>
      <c r="E827" s="104" t="s">
        <v>425</v>
      </c>
      <c r="F827" s="105" t="s">
        <v>3442</v>
      </c>
      <c r="H827" s="45" t="str">
        <f t="shared" si="36"/>
        <v>Bojana – Nikolić – OK Vihor – Ž45</v>
      </c>
      <c r="J827" s="45" t="str">
        <f t="shared" si="37"/>
        <v>Bojana – Nikolić – OK Vihor</v>
      </c>
      <c r="L827" s="45" t="str">
        <f t="shared" si="38"/>
        <v>Bojana – Nikolić</v>
      </c>
      <c r="N827" s="103"/>
      <c r="O827" s="104"/>
      <c r="P827" s="105"/>
    </row>
    <row r="828" spans="2:16" x14ac:dyDescent="0.25">
      <c r="B828" s="103">
        <v>1041</v>
      </c>
      <c r="C828" s="104" t="s">
        <v>2824</v>
      </c>
      <c r="D828" s="104" t="s">
        <v>572</v>
      </c>
      <c r="E828" s="104" t="s">
        <v>425</v>
      </c>
      <c r="F828" s="105" t="s">
        <v>2765</v>
      </c>
      <c r="H828" s="45" t="str">
        <f t="shared" si="36"/>
        <v>Marta – Nikolić – OK Vihor – Ž16</v>
      </c>
      <c r="J828" s="45" t="str">
        <f t="shared" si="37"/>
        <v>Marta – Nikolić – OK Vihor</v>
      </c>
      <c r="L828" s="45" t="str">
        <f t="shared" si="38"/>
        <v>Marta – Nikolić</v>
      </c>
      <c r="N828" s="103"/>
      <c r="O828" s="104"/>
      <c r="P828" s="105"/>
    </row>
    <row r="829" spans="2:16" x14ac:dyDescent="0.25">
      <c r="B829" s="103">
        <v>1054</v>
      </c>
      <c r="C829" s="104" t="s">
        <v>573</v>
      </c>
      <c r="D829" s="104" t="s">
        <v>572</v>
      </c>
      <c r="E829" s="104" t="s">
        <v>425</v>
      </c>
      <c r="F829" s="105" t="s">
        <v>486</v>
      </c>
      <c r="H829" s="45" t="str">
        <f t="shared" si="36"/>
        <v>Matko – Nikolić – OK Vihor – M14</v>
      </c>
      <c r="J829" s="45" t="str">
        <f t="shared" si="37"/>
        <v>Matko – Nikolić – OK Vihor</v>
      </c>
      <c r="L829" s="45" t="str">
        <f t="shared" si="38"/>
        <v>Matko – Nikolić</v>
      </c>
      <c r="N829" s="103"/>
      <c r="O829" s="104"/>
      <c r="P829" s="105"/>
    </row>
    <row r="830" spans="2:16" x14ac:dyDescent="0.25">
      <c r="B830" s="103">
        <v>1923</v>
      </c>
      <c r="C830" s="104" t="s">
        <v>1523</v>
      </c>
      <c r="D830" s="104" t="s">
        <v>4309</v>
      </c>
      <c r="E830" s="104" t="s">
        <v>425</v>
      </c>
      <c r="F830" s="105"/>
      <c r="H830" s="45" t="str">
        <f t="shared" si="36"/>
        <v>Mladen – Nikšić – OK Vihor</v>
      </c>
      <c r="J830" s="45" t="str">
        <f t="shared" si="37"/>
        <v>Mladen – Nikšić – OK Vihor</v>
      </c>
      <c r="L830" s="45" t="str">
        <f t="shared" si="38"/>
        <v>Mladen – Nikšić</v>
      </c>
      <c r="N830" s="103"/>
      <c r="O830" s="104"/>
      <c r="P830" s="105"/>
    </row>
    <row r="831" spans="2:16" x14ac:dyDescent="0.25">
      <c r="B831" s="103">
        <v>1017</v>
      </c>
      <c r="C831" s="104" t="s">
        <v>740</v>
      </c>
      <c r="D831" s="104" t="s">
        <v>4020</v>
      </c>
      <c r="E831" s="104" t="s">
        <v>425</v>
      </c>
      <c r="F831" s="105"/>
      <c r="H831" s="45" t="str">
        <f t="shared" si="36"/>
        <v>Goran – Novak – OK Vihor</v>
      </c>
      <c r="J831" s="45" t="str">
        <f t="shared" si="37"/>
        <v>Goran – Novak – OK Vihor</v>
      </c>
      <c r="L831" s="45" t="str">
        <f t="shared" si="38"/>
        <v>Goran – Novak</v>
      </c>
      <c r="N831" s="103"/>
      <c r="O831" s="104"/>
      <c r="P831" s="105"/>
    </row>
    <row r="832" spans="2:16" x14ac:dyDescent="0.25">
      <c r="B832" s="103">
        <v>1468</v>
      </c>
      <c r="C832" s="104" t="s">
        <v>1125</v>
      </c>
      <c r="D832" s="104" t="s">
        <v>1882</v>
      </c>
      <c r="E832" s="104" t="s">
        <v>425</v>
      </c>
      <c r="F832" s="105"/>
      <c r="H832" s="45" t="str">
        <f t="shared" si="36"/>
        <v>Ivor – Novosel – OK Vihor</v>
      </c>
      <c r="J832" s="45" t="str">
        <f t="shared" si="37"/>
        <v>Ivor – Novosel – OK Vihor</v>
      </c>
      <c r="L832" s="45" t="str">
        <f t="shared" si="38"/>
        <v>Ivor – Novosel</v>
      </c>
      <c r="N832" s="103"/>
      <c r="O832" s="104"/>
      <c r="P832" s="105"/>
    </row>
    <row r="833" spans="2:16" x14ac:dyDescent="0.25">
      <c r="B833" s="103">
        <v>1714</v>
      </c>
      <c r="C833" s="104" t="s">
        <v>4310</v>
      </c>
      <c r="D833" s="104" t="s">
        <v>4311</v>
      </c>
      <c r="E833" s="104" t="s">
        <v>425</v>
      </c>
      <c r="F833" s="105"/>
      <c r="H833" s="45" t="str">
        <f t="shared" si="36"/>
        <v>Danijel – Odak – OK Vihor</v>
      </c>
      <c r="J833" s="45" t="str">
        <f t="shared" si="37"/>
        <v>Danijel – Odak – OK Vihor</v>
      </c>
      <c r="L833" s="45" t="str">
        <f t="shared" si="38"/>
        <v>Danijel – Odak</v>
      </c>
      <c r="N833" s="103"/>
      <c r="O833" s="104"/>
      <c r="P833" s="105"/>
    </row>
    <row r="834" spans="2:16" x14ac:dyDescent="0.25">
      <c r="B834" s="103">
        <v>1712</v>
      </c>
      <c r="C834" s="104" t="s">
        <v>475</v>
      </c>
      <c r="D834" s="104" t="s">
        <v>4311</v>
      </c>
      <c r="E834" s="104" t="s">
        <v>425</v>
      </c>
      <c r="F834" s="105"/>
      <c r="H834" s="45" t="str">
        <f t="shared" si="36"/>
        <v>Jakov – Odak – OK Vihor</v>
      </c>
      <c r="J834" s="45" t="str">
        <f t="shared" si="37"/>
        <v>Jakov – Odak – OK Vihor</v>
      </c>
      <c r="L834" s="45" t="str">
        <f t="shared" si="38"/>
        <v>Jakov – Odak</v>
      </c>
      <c r="N834" s="103"/>
      <c r="O834" s="104"/>
      <c r="P834" s="105"/>
    </row>
    <row r="835" spans="2:16" x14ac:dyDescent="0.25">
      <c r="B835" s="103">
        <v>1711</v>
      </c>
      <c r="C835" s="104" t="s">
        <v>3521</v>
      </c>
      <c r="D835" s="104" t="s">
        <v>4311</v>
      </c>
      <c r="E835" s="104" t="s">
        <v>425</v>
      </c>
      <c r="F835" s="105"/>
      <c r="H835" s="45" t="str">
        <f t="shared" si="36"/>
        <v>Nataša – Odak – OK Vihor</v>
      </c>
      <c r="J835" s="45" t="str">
        <f t="shared" si="37"/>
        <v>Nataša – Odak – OK Vihor</v>
      </c>
      <c r="L835" s="45" t="str">
        <f t="shared" si="38"/>
        <v>Nataša – Odak</v>
      </c>
      <c r="N835" s="103"/>
      <c r="O835" s="104"/>
      <c r="P835" s="105"/>
    </row>
    <row r="836" spans="2:16" x14ac:dyDescent="0.25">
      <c r="B836" s="103">
        <v>1713</v>
      </c>
      <c r="C836" s="104" t="s">
        <v>4040</v>
      </c>
      <c r="D836" s="104" t="s">
        <v>4311</v>
      </c>
      <c r="E836" s="104" t="s">
        <v>425</v>
      </c>
      <c r="F836" s="105"/>
      <c r="H836" s="45" t="str">
        <f t="shared" si="36"/>
        <v>Toni – Odak – OK Vihor</v>
      </c>
      <c r="J836" s="45" t="str">
        <f t="shared" si="37"/>
        <v>Toni – Odak – OK Vihor</v>
      </c>
      <c r="L836" s="45" t="str">
        <f t="shared" si="38"/>
        <v>Toni – Odak</v>
      </c>
      <c r="N836" s="103"/>
      <c r="O836" s="104"/>
      <c r="P836" s="105"/>
    </row>
    <row r="837" spans="2:16" x14ac:dyDescent="0.25">
      <c r="B837" s="103">
        <v>1022</v>
      </c>
      <c r="C837" s="104" t="s">
        <v>4312</v>
      </c>
      <c r="D837" s="104" t="s">
        <v>4313</v>
      </c>
      <c r="E837" s="104" t="s">
        <v>425</v>
      </c>
      <c r="F837" s="105"/>
      <c r="H837" s="45" t="str">
        <f t="shared" si="36"/>
        <v>Max – Omerzu – OK Vihor</v>
      </c>
      <c r="J837" s="45" t="str">
        <f t="shared" si="37"/>
        <v>Max – Omerzu – OK Vihor</v>
      </c>
      <c r="L837" s="45" t="str">
        <f t="shared" si="38"/>
        <v>Max – Omerzu</v>
      </c>
      <c r="N837" s="103"/>
      <c r="O837" s="104"/>
      <c r="P837" s="105"/>
    </row>
    <row r="838" spans="2:16" x14ac:dyDescent="0.25">
      <c r="B838" s="103">
        <v>1446</v>
      </c>
      <c r="C838" s="104" t="s">
        <v>4314</v>
      </c>
      <c r="D838" s="104" t="s">
        <v>4315</v>
      </c>
      <c r="E838" s="104" t="s">
        <v>425</v>
      </c>
      <c r="F838" s="105" t="s">
        <v>1129</v>
      </c>
      <c r="H838" s="45" t="str">
        <f t="shared" si="36"/>
        <v>Boško – Opalić – OK Vihor – M21B</v>
      </c>
      <c r="J838" s="45" t="str">
        <f t="shared" si="37"/>
        <v>Boško – Opalić – OK Vihor</v>
      </c>
      <c r="L838" s="45" t="str">
        <f t="shared" si="38"/>
        <v>Boško – Opalić</v>
      </c>
      <c r="N838" s="103"/>
      <c r="O838" s="104"/>
      <c r="P838" s="105"/>
    </row>
    <row r="839" spans="2:16" x14ac:dyDescent="0.25">
      <c r="B839" s="103">
        <v>1924</v>
      </c>
      <c r="C839" s="104" t="s">
        <v>3243</v>
      </c>
      <c r="D839" s="104" t="s">
        <v>3242</v>
      </c>
      <c r="E839" s="104" t="s">
        <v>425</v>
      </c>
      <c r="F839" s="105" t="s">
        <v>3093</v>
      </c>
      <c r="H839" s="45" t="str">
        <f t="shared" si="36"/>
        <v>Ljiljana – Oršulić – OK Vihor – Ž21B</v>
      </c>
      <c r="J839" s="45" t="str">
        <f t="shared" si="37"/>
        <v>Ljiljana – Oršulić – OK Vihor</v>
      </c>
      <c r="L839" s="45" t="str">
        <f t="shared" si="38"/>
        <v>Ljiljana – Oršulić</v>
      </c>
      <c r="N839" s="103"/>
      <c r="O839" s="104"/>
      <c r="P839" s="105"/>
    </row>
    <row r="840" spans="2:16" x14ac:dyDescent="0.25">
      <c r="B840" s="103">
        <v>1168</v>
      </c>
      <c r="C840" s="104" t="s">
        <v>3059</v>
      </c>
      <c r="D840" s="104" t="s">
        <v>4316</v>
      </c>
      <c r="E840" s="104" t="s">
        <v>425</v>
      </c>
      <c r="F840" s="105" t="s">
        <v>2636</v>
      </c>
      <c r="H840" s="45" t="str">
        <f t="shared" si="36"/>
        <v>Ines – Ostajmer – OK Vihor – Ž12</v>
      </c>
      <c r="J840" s="45" t="str">
        <f t="shared" si="37"/>
        <v>Ines – Ostajmer – OK Vihor</v>
      </c>
      <c r="L840" s="45" t="str">
        <f t="shared" si="38"/>
        <v>Ines – Ostajmer</v>
      </c>
      <c r="N840" s="103"/>
      <c r="O840" s="104"/>
      <c r="P840" s="105"/>
    </row>
    <row r="841" spans="2:16" x14ac:dyDescent="0.25">
      <c r="B841" s="103">
        <v>1716</v>
      </c>
      <c r="C841" s="104" t="s">
        <v>2424</v>
      </c>
      <c r="D841" s="104" t="s">
        <v>4317</v>
      </c>
      <c r="E841" s="104" t="s">
        <v>425</v>
      </c>
      <c r="F841" s="105"/>
      <c r="H841" s="45" t="str">
        <f t="shared" si="36"/>
        <v>Barbara – Pajk – OK Vihor</v>
      </c>
      <c r="J841" s="45" t="str">
        <f t="shared" si="37"/>
        <v>Barbara – Pajk – OK Vihor</v>
      </c>
      <c r="L841" s="45" t="str">
        <f t="shared" si="38"/>
        <v>Barbara – Pajk</v>
      </c>
      <c r="N841" s="103"/>
      <c r="O841" s="104"/>
      <c r="P841" s="105"/>
    </row>
    <row r="842" spans="2:16" x14ac:dyDescent="0.25">
      <c r="B842" s="103">
        <v>1715</v>
      </c>
      <c r="C842" s="104" t="s">
        <v>4318</v>
      </c>
      <c r="D842" s="104" t="s">
        <v>4317</v>
      </c>
      <c r="E842" s="104" t="s">
        <v>425</v>
      </c>
      <c r="F842" s="105"/>
      <c r="H842" s="45" t="str">
        <f t="shared" si="36"/>
        <v>Leonard – Pajk – OK Vihor</v>
      </c>
      <c r="J842" s="45" t="str">
        <f t="shared" si="37"/>
        <v>Leonard – Pajk – OK Vihor</v>
      </c>
      <c r="L842" s="45" t="str">
        <f t="shared" si="38"/>
        <v>Leonard – Pajk</v>
      </c>
      <c r="N842" s="103"/>
      <c r="O842" s="104"/>
      <c r="P842" s="105"/>
    </row>
    <row r="843" spans="2:16" x14ac:dyDescent="0.25">
      <c r="B843" s="103">
        <v>1038</v>
      </c>
      <c r="C843" s="104" t="s">
        <v>1509</v>
      </c>
      <c r="D843" s="104" t="s">
        <v>3101</v>
      </c>
      <c r="E843" s="104" t="s">
        <v>425</v>
      </c>
      <c r="F843" s="105"/>
      <c r="H843" s="45" t="str">
        <f t="shared" ref="H843:H906" si="39">IF(C843="","",C843) &amp; IF(D843="",""," – " &amp; D843) &amp; IF(E843="",""," – " &amp; E843) &amp; IF(F843="",""," – " &amp; F843)</f>
        <v>Zoran – Pajnić – OK Vihor</v>
      </c>
      <c r="J843" s="45" t="str">
        <f t="shared" ref="J843:J906" si="40">IF(C843="","",C843) &amp; IF(D843="",""," – " &amp; D843) &amp; IF(E843="",""," – " &amp; E843)</f>
        <v>Zoran – Pajnić – OK Vihor</v>
      </c>
      <c r="L843" s="45" t="str">
        <f t="shared" ref="L843:L906" si="41">IF(C843="","",C843) &amp; IF(D843="",""," – " &amp; D843)</f>
        <v>Zoran – Pajnić</v>
      </c>
      <c r="N843" s="103"/>
      <c r="O843" s="104"/>
      <c r="P843" s="105"/>
    </row>
    <row r="844" spans="2:16" x14ac:dyDescent="0.25">
      <c r="B844" s="103">
        <v>1925</v>
      </c>
      <c r="C844" s="104" t="s">
        <v>2069</v>
      </c>
      <c r="D844" s="104" t="s">
        <v>2068</v>
      </c>
      <c r="E844" s="104" t="s">
        <v>425</v>
      </c>
      <c r="F844" s="105" t="s">
        <v>1908</v>
      </c>
      <c r="H844" s="45" t="str">
        <f t="shared" si="39"/>
        <v>Alen – Paliska – OK Vihor – M45</v>
      </c>
      <c r="J844" s="45" t="str">
        <f t="shared" si="40"/>
        <v>Alen – Paliska – OK Vihor</v>
      </c>
      <c r="L844" s="45" t="str">
        <f t="shared" si="41"/>
        <v>Alen – Paliska</v>
      </c>
      <c r="N844" s="103"/>
      <c r="O844" s="104"/>
      <c r="P844" s="105"/>
    </row>
    <row r="845" spans="2:16" x14ac:dyDescent="0.25">
      <c r="B845" s="103">
        <v>1805</v>
      </c>
      <c r="C845" s="104" t="s">
        <v>437</v>
      </c>
      <c r="D845" s="104" t="s">
        <v>4319</v>
      </c>
      <c r="E845" s="104" t="s">
        <v>425</v>
      </c>
      <c r="F845" s="105"/>
      <c r="H845" s="45" t="str">
        <f t="shared" si="39"/>
        <v>Ivan – Papak – OK Vihor</v>
      </c>
      <c r="J845" s="45" t="str">
        <f t="shared" si="40"/>
        <v>Ivan – Papak – OK Vihor</v>
      </c>
      <c r="L845" s="45" t="str">
        <f t="shared" si="41"/>
        <v>Ivan – Papak</v>
      </c>
      <c r="N845" s="103"/>
      <c r="O845" s="104"/>
      <c r="P845" s="105"/>
    </row>
    <row r="846" spans="2:16" x14ac:dyDescent="0.25">
      <c r="B846" s="103">
        <v>1189</v>
      </c>
      <c r="C846" s="104" t="s">
        <v>3129</v>
      </c>
      <c r="D846" s="104" t="s">
        <v>2386</v>
      </c>
      <c r="E846" s="104" t="s">
        <v>425</v>
      </c>
      <c r="F846" s="105" t="s">
        <v>3093</v>
      </c>
      <c r="H846" s="45" t="str">
        <f t="shared" si="39"/>
        <v>Ana-Marija – Pavić – OK Vihor – Ž21B</v>
      </c>
      <c r="J846" s="45" t="str">
        <f t="shared" si="40"/>
        <v>Ana-Marija – Pavić – OK Vihor</v>
      </c>
      <c r="L846" s="45" t="str">
        <f t="shared" si="41"/>
        <v>Ana-Marija – Pavić</v>
      </c>
      <c r="N846" s="103"/>
      <c r="O846" s="104"/>
      <c r="P846" s="105"/>
    </row>
    <row r="847" spans="2:16" x14ac:dyDescent="0.25">
      <c r="B847" s="103">
        <v>1813</v>
      </c>
      <c r="C847" s="104" t="s">
        <v>4320</v>
      </c>
      <c r="D847" s="104" t="s">
        <v>2386</v>
      </c>
      <c r="E847" s="104" t="s">
        <v>425</v>
      </c>
      <c r="F847" s="105"/>
      <c r="H847" s="45" t="str">
        <f t="shared" si="39"/>
        <v>Margareta – Pavić – OK Vihor</v>
      </c>
      <c r="J847" s="45" t="str">
        <f t="shared" si="40"/>
        <v>Margareta – Pavić – OK Vihor</v>
      </c>
      <c r="L847" s="45" t="str">
        <f t="shared" si="41"/>
        <v>Margareta – Pavić</v>
      </c>
      <c r="N847" s="103"/>
      <c r="O847" s="104"/>
      <c r="P847" s="105"/>
    </row>
    <row r="848" spans="2:16" x14ac:dyDescent="0.25">
      <c r="B848" s="103">
        <v>1530</v>
      </c>
      <c r="C848" s="104" t="s">
        <v>2741</v>
      </c>
      <c r="D848" s="104" t="s">
        <v>2386</v>
      </c>
      <c r="E848" s="104" t="s">
        <v>425</v>
      </c>
      <c r="F848" s="105" t="s">
        <v>2731</v>
      </c>
      <c r="H848" s="45" t="str">
        <f t="shared" si="39"/>
        <v>Monika – Pavić – OK Vihor – Ž14</v>
      </c>
      <c r="J848" s="45" t="str">
        <f t="shared" si="40"/>
        <v>Monika – Pavić – OK Vihor</v>
      </c>
      <c r="L848" s="45" t="str">
        <f t="shared" si="41"/>
        <v>Monika – Pavić</v>
      </c>
      <c r="N848" s="103"/>
      <c r="O848" s="104"/>
      <c r="P848" s="105"/>
    </row>
    <row r="849" spans="2:16" x14ac:dyDescent="0.25">
      <c r="B849" s="103">
        <v>1145</v>
      </c>
      <c r="C849" s="104" t="s">
        <v>1028</v>
      </c>
      <c r="D849" s="104" t="s">
        <v>2386</v>
      </c>
      <c r="E849" s="104" t="s">
        <v>425</v>
      </c>
      <c r="F849" s="105" t="s">
        <v>2366</v>
      </c>
      <c r="H849" s="45" t="str">
        <f t="shared" si="39"/>
        <v>Tomislav – Pavić – OK Vihor – M65</v>
      </c>
      <c r="J849" s="45" t="str">
        <f t="shared" si="40"/>
        <v>Tomislav – Pavić – OK Vihor</v>
      </c>
      <c r="L849" s="45" t="str">
        <f t="shared" si="41"/>
        <v>Tomislav – Pavić</v>
      </c>
      <c r="N849" s="103"/>
      <c r="O849" s="104"/>
      <c r="P849" s="105"/>
    </row>
    <row r="850" spans="2:16" x14ac:dyDescent="0.25">
      <c r="B850" s="103">
        <v>1118</v>
      </c>
      <c r="C850" s="104" t="s">
        <v>4321</v>
      </c>
      <c r="D850" s="104" t="s">
        <v>2386</v>
      </c>
      <c r="E850" s="104" t="s">
        <v>425</v>
      </c>
      <c r="F850" s="105" t="s">
        <v>651</v>
      </c>
      <c r="H850" s="45" t="str">
        <f t="shared" si="39"/>
        <v>Viktor – Pavić – OK Vihor – M16</v>
      </c>
      <c r="J850" s="45" t="str">
        <f t="shared" si="40"/>
        <v>Viktor – Pavić – OK Vihor</v>
      </c>
      <c r="L850" s="45" t="str">
        <f t="shared" si="41"/>
        <v>Viktor – Pavić</v>
      </c>
      <c r="N850" s="103"/>
      <c r="O850" s="104"/>
      <c r="P850" s="105"/>
    </row>
    <row r="851" spans="2:16" x14ac:dyDescent="0.25">
      <c r="B851" s="103">
        <v>1717</v>
      </c>
      <c r="C851" s="104" t="s">
        <v>2436</v>
      </c>
      <c r="D851" s="104" t="s">
        <v>4322</v>
      </c>
      <c r="E851" s="104" t="s">
        <v>425</v>
      </c>
      <c r="F851" s="105"/>
      <c r="H851" s="45" t="str">
        <f t="shared" si="39"/>
        <v>Ana – Pavin – OK Vihor</v>
      </c>
      <c r="J851" s="45" t="str">
        <f t="shared" si="40"/>
        <v>Ana – Pavin – OK Vihor</v>
      </c>
      <c r="L851" s="45" t="str">
        <f t="shared" si="41"/>
        <v>Ana – Pavin</v>
      </c>
      <c r="N851" s="103"/>
      <c r="O851" s="104"/>
      <c r="P851" s="105"/>
    </row>
    <row r="852" spans="2:16" x14ac:dyDescent="0.25">
      <c r="B852" s="103">
        <v>1391</v>
      </c>
      <c r="C852" s="104" t="s">
        <v>4323</v>
      </c>
      <c r="D852" s="104" t="s">
        <v>2119</v>
      </c>
      <c r="E852" s="104" t="s">
        <v>425</v>
      </c>
      <c r="F852" s="105" t="s">
        <v>3442</v>
      </c>
      <c r="H852" s="45" t="str">
        <f t="shared" si="39"/>
        <v>Daliborka – Pavlin – OK Vihor – Ž45</v>
      </c>
      <c r="J852" s="45" t="str">
        <f t="shared" si="40"/>
        <v>Daliborka – Pavlin – OK Vihor</v>
      </c>
      <c r="L852" s="45" t="str">
        <f t="shared" si="41"/>
        <v>Daliborka – Pavlin</v>
      </c>
      <c r="N852" s="103"/>
      <c r="O852" s="104"/>
      <c r="P852" s="105"/>
    </row>
    <row r="853" spans="2:16" x14ac:dyDescent="0.25">
      <c r="B853" s="103">
        <v>1237</v>
      </c>
      <c r="C853" s="104" t="s">
        <v>1363</v>
      </c>
      <c r="D853" s="104" t="s">
        <v>2119</v>
      </c>
      <c r="E853" s="104" t="s">
        <v>425</v>
      </c>
      <c r="F853" s="105" t="s">
        <v>1908</v>
      </c>
      <c r="H853" s="45" t="str">
        <f t="shared" si="39"/>
        <v>Domagoj – Pavlin – OK Vihor – M45</v>
      </c>
      <c r="J853" s="45" t="str">
        <f t="shared" si="40"/>
        <v>Domagoj – Pavlin – OK Vihor</v>
      </c>
      <c r="L853" s="45" t="str">
        <f t="shared" si="41"/>
        <v>Domagoj – Pavlin</v>
      </c>
      <c r="N853" s="103"/>
      <c r="O853" s="104"/>
      <c r="P853" s="105"/>
    </row>
    <row r="854" spans="2:16" x14ac:dyDescent="0.25">
      <c r="B854" s="103">
        <v>1431</v>
      </c>
      <c r="C854" s="104" t="s">
        <v>2949</v>
      </c>
      <c r="D854" s="104" t="s">
        <v>2119</v>
      </c>
      <c r="E854" s="104" t="s">
        <v>425</v>
      </c>
      <c r="F854" s="105" t="s">
        <v>2927</v>
      </c>
      <c r="H854" s="45" t="str">
        <f t="shared" si="39"/>
        <v>Paula – Pavlin – OK Vihor – Ž20</v>
      </c>
      <c r="J854" s="45" t="str">
        <f t="shared" si="40"/>
        <v>Paula – Pavlin – OK Vihor</v>
      </c>
      <c r="L854" s="45" t="str">
        <f t="shared" si="41"/>
        <v>Paula – Pavlin</v>
      </c>
      <c r="N854" s="103"/>
      <c r="O854" s="104"/>
      <c r="P854" s="105"/>
    </row>
    <row r="855" spans="2:16" x14ac:dyDescent="0.25">
      <c r="B855" s="103">
        <v>1718</v>
      </c>
      <c r="C855" s="104" t="s">
        <v>3764</v>
      </c>
      <c r="D855" s="104" t="s">
        <v>4324</v>
      </c>
      <c r="E855" s="104" t="s">
        <v>425</v>
      </c>
      <c r="F855" s="105"/>
      <c r="H855" s="45" t="str">
        <f t="shared" si="39"/>
        <v>Leon – Pavliša – OK Vihor</v>
      </c>
      <c r="J855" s="45" t="str">
        <f t="shared" si="40"/>
        <v>Leon – Pavliša – OK Vihor</v>
      </c>
      <c r="L855" s="45" t="str">
        <f t="shared" si="41"/>
        <v>Leon – Pavliša</v>
      </c>
      <c r="N855" s="103"/>
      <c r="O855" s="104"/>
      <c r="P855" s="105"/>
    </row>
    <row r="856" spans="2:16" x14ac:dyDescent="0.25">
      <c r="B856" s="103">
        <v>1340</v>
      </c>
      <c r="C856" s="104" t="s">
        <v>3599</v>
      </c>
      <c r="D856" s="104" t="s">
        <v>4325</v>
      </c>
      <c r="E856" s="104" t="s">
        <v>425</v>
      </c>
      <c r="F856" s="105" t="s">
        <v>3442</v>
      </c>
      <c r="H856" s="45" t="str">
        <f t="shared" si="39"/>
        <v>Sanja – Penc – OK Vihor – Ž45</v>
      </c>
      <c r="J856" s="45" t="str">
        <f t="shared" si="40"/>
        <v>Sanja – Penc – OK Vihor</v>
      </c>
      <c r="L856" s="45" t="str">
        <f t="shared" si="41"/>
        <v>Sanja – Penc</v>
      </c>
      <c r="N856" s="103"/>
      <c r="O856" s="104"/>
      <c r="P856" s="105"/>
    </row>
    <row r="857" spans="2:16" x14ac:dyDescent="0.25">
      <c r="B857" s="103">
        <v>1248</v>
      </c>
      <c r="C857" s="104" t="s">
        <v>4326</v>
      </c>
      <c r="D857" s="104" t="s">
        <v>2046</v>
      </c>
      <c r="E857" s="104" t="s">
        <v>425</v>
      </c>
      <c r="F857" s="105" t="s">
        <v>3093</v>
      </c>
      <c r="H857" s="45" t="str">
        <f t="shared" si="39"/>
        <v>Jelka – Penić – OK Vihor – Ž21B</v>
      </c>
      <c r="J857" s="45" t="str">
        <f t="shared" si="40"/>
        <v>Jelka – Penić – OK Vihor</v>
      </c>
      <c r="L857" s="45" t="str">
        <f t="shared" si="41"/>
        <v>Jelka – Penić</v>
      </c>
      <c r="N857" s="103"/>
      <c r="O857" s="104"/>
      <c r="P857" s="105"/>
    </row>
    <row r="858" spans="2:16" x14ac:dyDescent="0.25">
      <c r="B858" s="103">
        <v>1277</v>
      </c>
      <c r="C858" s="104" t="s">
        <v>4327</v>
      </c>
      <c r="D858" s="104" t="s">
        <v>2046</v>
      </c>
      <c r="E858" s="104" t="s">
        <v>425</v>
      </c>
      <c r="F858" s="105" t="s">
        <v>1129</v>
      </c>
      <c r="H858" s="45" t="str">
        <f t="shared" si="39"/>
        <v>Jerko – Penić – OK Vihor – M21B</v>
      </c>
      <c r="J858" s="45" t="str">
        <f t="shared" si="40"/>
        <v>Jerko – Penić – OK Vihor</v>
      </c>
      <c r="L858" s="45" t="str">
        <f t="shared" si="41"/>
        <v>Jerko – Penić</v>
      </c>
      <c r="N858" s="103"/>
      <c r="O858" s="104"/>
      <c r="P858" s="105"/>
    </row>
    <row r="859" spans="2:16" x14ac:dyDescent="0.25">
      <c r="B859" s="103">
        <v>1030</v>
      </c>
      <c r="C859" s="104" t="s">
        <v>4046</v>
      </c>
      <c r="D859" s="104" t="s">
        <v>4328</v>
      </c>
      <c r="E859" s="104" t="s">
        <v>425</v>
      </c>
      <c r="F859" s="105"/>
      <c r="H859" s="45" t="str">
        <f t="shared" si="39"/>
        <v>Silvija – Perak – OK Vihor</v>
      </c>
      <c r="J859" s="45" t="str">
        <f t="shared" si="40"/>
        <v>Silvija – Perak – OK Vihor</v>
      </c>
      <c r="L859" s="45" t="str">
        <f t="shared" si="41"/>
        <v>Silvija – Perak</v>
      </c>
      <c r="N859" s="103"/>
      <c r="O859" s="104"/>
      <c r="P859" s="105"/>
    </row>
    <row r="860" spans="2:16" x14ac:dyDescent="0.25">
      <c r="B860" s="103">
        <v>1361</v>
      </c>
      <c r="C860" s="104" t="s">
        <v>4329</v>
      </c>
      <c r="D860" s="104" t="s">
        <v>3752</v>
      </c>
      <c r="E860" s="104" t="s">
        <v>425</v>
      </c>
      <c r="F860" s="105" t="s">
        <v>3093</v>
      </c>
      <c r="H860" s="45" t="str">
        <f t="shared" si="39"/>
        <v>Mihaela Marija – Perković – OK Vihor – Ž21B</v>
      </c>
      <c r="J860" s="45" t="str">
        <f t="shared" si="40"/>
        <v>Mihaela Marija – Perković – OK Vihor</v>
      </c>
      <c r="L860" s="45" t="str">
        <f t="shared" si="41"/>
        <v>Mihaela Marija – Perković</v>
      </c>
      <c r="N860" s="103"/>
      <c r="O860" s="104"/>
      <c r="P860" s="105"/>
    </row>
    <row r="861" spans="2:16" x14ac:dyDescent="0.25">
      <c r="B861" s="103">
        <v>1359</v>
      </c>
      <c r="C861" s="104" t="s">
        <v>1139</v>
      </c>
      <c r="D861" s="104" t="s">
        <v>1138</v>
      </c>
      <c r="E861" s="104" t="s">
        <v>425</v>
      </c>
      <c r="F861" s="105" t="s">
        <v>1129</v>
      </c>
      <c r="H861" s="45" t="str">
        <f t="shared" si="39"/>
        <v>Danko – Pleše – OK Vihor – M21B</v>
      </c>
      <c r="J861" s="45" t="str">
        <f t="shared" si="40"/>
        <v>Danko – Pleše – OK Vihor</v>
      </c>
      <c r="L861" s="45" t="str">
        <f t="shared" si="41"/>
        <v>Danko – Pleše</v>
      </c>
      <c r="N861" s="103"/>
      <c r="O861" s="104"/>
      <c r="P861" s="105"/>
    </row>
    <row r="862" spans="2:16" x14ac:dyDescent="0.25">
      <c r="B862" s="103">
        <v>1433</v>
      </c>
      <c r="C862" s="104" t="s">
        <v>3979</v>
      </c>
      <c r="D862" s="104" t="s">
        <v>4330</v>
      </c>
      <c r="E862" s="104" t="s">
        <v>425</v>
      </c>
      <c r="F862" s="105" t="s">
        <v>1129</v>
      </c>
      <c r="H862" s="45" t="str">
        <f t="shared" si="39"/>
        <v>Alan – Požgaj – OK Vihor – M21B</v>
      </c>
      <c r="J862" s="45" t="str">
        <f t="shared" si="40"/>
        <v>Alan – Požgaj – OK Vihor</v>
      </c>
      <c r="L862" s="45" t="str">
        <f t="shared" si="41"/>
        <v>Alan – Požgaj</v>
      </c>
      <c r="N862" s="103"/>
      <c r="O862" s="104"/>
      <c r="P862" s="105"/>
    </row>
    <row r="863" spans="2:16" x14ac:dyDescent="0.25">
      <c r="B863" s="103">
        <v>1389</v>
      </c>
      <c r="C863" s="104" t="s">
        <v>3762</v>
      </c>
      <c r="D863" s="104" t="s">
        <v>4330</v>
      </c>
      <c r="E863" s="104" t="s">
        <v>425</v>
      </c>
      <c r="F863" s="105"/>
      <c r="H863" s="45" t="str">
        <f t="shared" si="39"/>
        <v>Irena – Požgaj – OK Vihor</v>
      </c>
      <c r="J863" s="45" t="str">
        <f t="shared" si="40"/>
        <v>Irena – Požgaj – OK Vihor</v>
      </c>
      <c r="L863" s="45" t="str">
        <f t="shared" si="41"/>
        <v>Irena – Požgaj</v>
      </c>
      <c r="N863" s="103"/>
      <c r="O863" s="104"/>
      <c r="P863" s="105"/>
    </row>
    <row r="864" spans="2:16" x14ac:dyDescent="0.25">
      <c r="B864" s="103">
        <v>1172</v>
      </c>
      <c r="C864" s="104" t="s">
        <v>589</v>
      </c>
      <c r="D864" s="104" t="s">
        <v>4330</v>
      </c>
      <c r="E864" s="104" t="s">
        <v>425</v>
      </c>
      <c r="F864" s="105" t="s">
        <v>768</v>
      </c>
      <c r="H864" s="45" t="str">
        <f t="shared" si="39"/>
        <v>Karlo – Požgaj – OK Vihor – M20</v>
      </c>
      <c r="J864" s="45" t="str">
        <f t="shared" si="40"/>
        <v>Karlo – Požgaj – OK Vihor</v>
      </c>
      <c r="L864" s="45" t="str">
        <f t="shared" si="41"/>
        <v>Karlo – Požgaj</v>
      </c>
      <c r="N864" s="103"/>
      <c r="O864" s="104"/>
      <c r="P864" s="105"/>
    </row>
    <row r="865" spans="2:16" x14ac:dyDescent="0.25">
      <c r="B865" s="103">
        <v>1185</v>
      </c>
      <c r="C865" s="104" t="s">
        <v>4318</v>
      </c>
      <c r="D865" s="104" t="s">
        <v>4330</v>
      </c>
      <c r="E865" s="104" t="s">
        <v>425</v>
      </c>
      <c r="F865" s="105"/>
      <c r="H865" s="45" t="str">
        <f t="shared" si="39"/>
        <v>Leonard – Požgaj – OK Vihor</v>
      </c>
      <c r="J865" s="45" t="str">
        <f t="shared" si="40"/>
        <v>Leonard – Požgaj – OK Vihor</v>
      </c>
      <c r="L865" s="45" t="str">
        <f t="shared" si="41"/>
        <v>Leonard – Požgaj</v>
      </c>
      <c r="N865" s="103"/>
      <c r="O865" s="104"/>
      <c r="P865" s="105"/>
    </row>
    <row r="866" spans="2:16" x14ac:dyDescent="0.25">
      <c r="B866" s="103">
        <v>1213</v>
      </c>
      <c r="C866" s="104" t="s">
        <v>508</v>
      </c>
      <c r="D866" s="104" t="s">
        <v>4330</v>
      </c>
      <c r="E866" s="104" t="s">
        <v>425</v>
      </c>
      <c r="F866" s="105" t="s">
        <v>363</v>
      </c>
      <c r="H866" s="45" t="str">
        <f t="shared" si="39"/>
        <v>Luka – Požgaj – OK Vihor – M12</v>
      </c>
      <c r="J866" s="45" t="str">
        <f t="shared" si="40"/>
        <v>Luka – Požgaj – OK Vihor</v>
      </c>
      <c r="L866" s="45" t="str">
        <f t="shared" si="41"/>
        <v>Luka – Požgaj</v>
      </c>
      <c r="N866" s="103"/>
      <c r="O866" s="104"/>
      <c r="P866" s="105"/>
    </row>
    <row r="867" spans="2:16" x14ac:dyDescent="0.25">
      <c r="B867" s="103">
        <v>1926</v>
      </c>
      <c r="C867" s="104" t="s">
        <v>1523</v>
      </c>
      <c r="D867" s="104" t="s">
        <v>1522</v>
      </c>
      <c r="E867" s="104" t="s">
        <v>425</v>
      </c>
      <c r="F867" s="105" t="s">
        <v>1129</v>
      </c>
      <c r="H867" s="45" t="str">
        <f t="shared" si="39"/>
        <v>Mladen – Prekrat – OK Vihor – M21B</v>
      </c>
      <c r="J867" s="45" t="str">
        <f t="shared" si="40"/>
        <v>Mladen – Prekrat – OK Vihor</v>
      </c>
      <c r="L867" s="45" t="str">
        <f t="shared" si="41"/>
        <v>Mladen – Prekrat</v>
      </c>
      <c r="N867" s="103"/>
      <c r="O867" s="104"/>
      <c r="P867" s="105"/>
    </row>
    <row r="868" spans="2:16" x14ac:dyDescent="0.25">
      <c r="B868" s="103">
        <v>1508</v>
      </c>
      <c r="C868" s="104" t="s">
        <v>2949</v>
      </c>
      <c r="D868" s="104" t="s">
        <v>4331</v>
      </c>
      <c r="E868" s="104" t="s">
        <v>425</v>
      </c>
      <c r="F868" s="105" t="s">
        <v>3000</v>
      </c>
      <c r="H868" s="45" t="str">
        <f t="shared" si="39"/>
        <v>Paula – Prpić – OK Vihor – Ž21A</v>
      </c>
      <c r="J868" s="45" t="str">
        <f t="shared" si="40"/>
        <v>Paula – Prpić – OK Vihor</v>
      </c>
      <c r="L868" s="45" t="str">
        <f t="shared" si="41"/>
        <v>Paula – Prpić</v>
      </c>
      <c r="N868" s="103"/>
      <c r="O868" s="104"/>
      <c r="P868" s="105"/>
    </row>
    <row r="869" spans="2:16" x14ac:dyDescent="0.25">
      <c r="B869" s="103">
        <v>1502</v>
      </c>
      <c r="C869" s="104" t="s">
        <v>4332</v>
      </c>
      <c r="D869" s="104" t="s">
        <v>4333</v>
      </c>
      <c r="E869" s="104" t="s">
        <v>425</v>
      </c>
      <c r="F869" s="105" t="s">
        <v>3093</v>
      </c>
      <c r="H869" s="45" t="str">
        <f t="shared" si="39"/>
        <v>Vedrana – Radić – OK Vihor – Ž21B</v>
      </c>
      <c r="J869" s="45" t="str">
        <f t="shared" si="40"/>
        <v>Vedrana – Radić – OK Vihor</v>
      </c>
      <c r="L869" s="45" t="str">
        <f t="shared" si="41"/>
        <v>Vedrana – Radić</v>
      </c>
      <c r="N869" s="103"/>
      <c r="O869" s="104"/>
      <c r="P869" s="105"/>
    </row>
    <row r="870" spans="2:16" x14ac:dyDescent="0.25">
      <c r="B870" s="103">
        <v>1421</v>
      </c>
      <c r="C870" s="104" t="s">
        <v>4334</v>
      </c>
      <c r="D870" s="104" t="s">
        <v>4335</v>
      </c>
      <c r="E870" s="104" t="s">
        <v>425</v>
      </c>
      <c r="F870" s="105" t="s">
        <v>3093</v>
      </c>
      <c r="H870" s="45" t="str">
        <f t="shared" si="39"/>
        <v>Marijeta – Radman – OK Vihor – Ž21B</v>
      </c>
      <c r="J870" s="45" t="str">
        <f t="shared" si="40"/>
        <v>Marijeta – Radman – OK Vihor</v>
      </c>
      <c r="L870" s="45" t="str">
        <f t="shared" si="41"/>
        <v>Marijeta – Radman</v>
      </c>
      <c r="N870" s="103"/>
      <c r="O870" s="104"/>
      <c r="P870" s="105"/>
    </row>
    <row r="871" spans="2:16" x14ac:dyDescent="0.25">
      <c r="B871" s="103">
        <v>1074</v>
      </c>
      <c r="C871" s="104" t="s">
        <v>4193</v>
      </c>
      <c r="D871" s="104" t="s">
        <v>4336</v>
      </c>
      <c r="E871" s="104" t="s">
        <v>425</v>
      </c>
      <c r="F871" s="105" t="s">
        <v>3442</v>
      </c>
      <c r="H871" s="45" t="str">
        <f t="shared" si="39"/>
        <v>Anita – Radoš – OK Vihor – Ž45</v>
      </c>
      <c r="J871" s="45" t="str">
        <f t="shared" si="40"/>
        <v>Anita – Radoš – OK Vihor</v>
      </c>
      <c r="L871" s="45" t="str">
        <f t="shared" si="41"/>
        <v>Anita – Radoš</v>
      </c>
      <c r="N871" s="103"/>
      <c r="O871" s="104"/>
      <c r="P871" s="105"/>
    </row>
    <row r="872" spans="2:16" x14ac:dyDescent="0.25">
      <c r="B872" s="103">
        <v>1066</v>
      </c>
      <c r="C872" s="104" t="s">
        <v>1546</v>
      </c>
      <c r="D872" s="104" t="s">
        <v>4336</v>
      </c>
      <c r="E872" s="104" t="s">
        <v>425</v>
      </c>
      <c r="F872" s="105" t="s">
        <v>363</v>
      </c>
      <c r="H872" s="45" t="str">
        <f t="shared" si="39"/>
        <v>Ante – Radoš – OK Vihor – M12</v>
      </c>
      <c r="J872" s="45" t="str">
        <f t="shared" si="40"/>
        <v>Ante – Radoš – OK Vihor</v>
      </c>
      <c r="L872" s="45" t="str">
        <f t="shared" si="41"/>
        <v>Ante – Radoš</v>
      </c>
      <c r="N872" s="103"/>
      <c r="O872" s="104"/>
      <c r="P872" s="105"/>
    </row>
    <row r="873" spans="2:16" x14ac:dyDescent="0.25">
      <c r="B873" s="103">
        <v>1547</v>
      </c>
      <c r="C873" s="104" t="s">
        <v>2447</v>
      </c>
      <c r="D873" s="104" t="s">
        <v>4336</v>
      </c>
      <c r="E873" s="104" t="s">
        <v>425</v>
      </c>
      <c r="F873" s="105" t="s">
        <v>2765</v>
      </c>
      <c r="H873" s="45" t="str">
        <f t="shared" si="39"/>
        <v>Ivana – Radoš – OK Vihor – Ž16</v>
      </c>
      <c r="J873" s="45" t="str">
        <f t="shared" si="40"/>
        <v>Ivana – Radoš – OK Vihor</v>
      </c>
      <c r="L873" s="45" t="str">
        <f t="shared" si="41"/>
        <v>Ivana – Radoš</v>
      </c>
      <c r="N873" s="103"/>
      <c r="O873" s="104"/>
      <c r="P873" s="105"/>
    </row>
    <row r="874" spans="2:16" x14ac:dyDescent="0.25">
      <c r="B874" s="103">
        <v>1745</v>
      </c>
      <c r="C874" s="104" t="s">
        <v>1453</v>
      </c>
      <c r="D874" s="104" t="s">
        <v>4337</v>
      </c>
      <c r="E874" s="104" t="s">
        <v>425</v>
      </c>
      <c r="F874" s="105"/>
      <c r="H874" s="45" t="str">
        <f t="shared" si="39"/>
        <v>Franjo – Radošević – OK Vihor</v>
      </c>
      <c r="J874" s="45" t="str">
        <f t="shared" si="40"/>
        <v>Franjo – Radošević – OK Vihor</v>
      </c>
      <c r="L874" s="45" t="str">
        <f t="shared" si="41"/>
        <v>Franjo – Radošević</v>
      </c>
      <c r="N874" s="103"/>
      <c r="O874" s="104"/>
      <c r="P874" s="105"/>
    </row>
    <row r="875" spans="2:16" x14ac:dyDescent="0.25">
      <c r="B875" s="103">
        <v>1177</v>
      </c>
      <c r="C875" s="104" t="s">
        <v>3918</v>
      </c>
      <c r="D875" s="104" t="s">
        <v>4338</v>
      </c>
      <c r="E875" s="104" t="s">
        <v>425</v>
      </c>
      <c r="F875" s="105" t="s">
        <v>3442</v>
      </c>
      <c r="H875" s="45" t="str">
        <f t="shared" si="39"/>
        <v>Tamara – Radulić Butorac – OK Vihor – Ž45</v>
      </c>
      <c r="J875" s="45" t="str">
        <f t="shared" si="40"/>
        <v>Tamara – Radulić Butorac – OK Vihor</v>
      </c>
      <c r="L875" s="45" t="str">
        <f t="shared" si="41"/>
        <v>Tamara – Radulić Butorac</v>
      </c>
      <c r="N875" s="103"/>
      <c r="O875" s="104"/>
      <c r="P875" s="105"/>
    </row>
    <row r="876" spans="2:16" x14ac:dyDescent="0.25">
      <c r="B876" s="103">
        <v>1332</v>
      </c>
      <c r="C876" s="104" t="s">
        <v>4339</v>
      </c>
      <c r="D876" s="104" t="s">
        <v>4340</v>
      </c>
      <c r="E876" s="104" t="s">
        <v>425</v>
      </c>
      <c r="F876" s="105" t="s">
        <v>3618</v>
      </c>
      <c r="H876" s="45" t="str">
        <f t="shared" si="39"/>
        <v>Žana – Rajić – OK Vihor – Ž55</v>
      </c>
      <c r="J876" s="45" t="str">
        <f t="shared" si="40"/>
        <v>Žana – Rajić – OK Vihor</v>
      </c>
      <c r="L876" s="45" t="str">
        <f t="shared" si="41"/>
        <v>Žana – Rajić</v>
      </c>
      <c r="N876" s="103"/>
      <c r="O876" s="104"/>
      <c r="P876" s="105"/>
    </row>
    <row r="877" spans="2:16" x14ac:dyDescent="0.25">
      <c r="B877" s="103">
        <v>1374</v>
      </c>
      <c r="C877" s="104" t="s">
        <v>1728</v>
      </c>
      <c r="D877" s="104" t="s">
        <v>462</v>
      </c>
      <c r="E877" s="104" t="s">
        <v>425</v>
      </c>
      <c r="F877" s="105" t="s">
        <v>1574</v>
      </c>
      <c r="H877" s="45" t="str">
        <f t="shared" si="39"/>
        <v>Duje – Rako – OK Vihor – M35</v>
      </c>
      <c r="J877" s="45" t="str">
        <f t="shared" si="40"/>
        <v>Duje – Rako – OK Vihor</v>
      </c>
      <c r="L877" s="45" t="str">
        <f t="shared" si="41"/>
        <v>Duje – Rako</v>
      </c>
      <c r="N877" s="103"/>
      <c r="O877" s="104"/>
      <c r="P877" s="105"/>
    </row>
    <row r="878" spans="2:16" x14ac:dyDescent="0.25">
      <c r="B878" s="103">
        <v>1098</v>
      </c>
      <c r="C878" s="104" t="s">
        <v>463</v>
      </c>
      <c r="D878" s="104" t="s">
        <v>462</v>
      </c>
      <c r="E878" s="104" t="s">
        <v>425</v>
      </c>
      <c r="F878" s="105" t="s">
        <v>363</v>
      </c>
      <c r="H878" s="45" t="str">
        <f t="shared" si="39"/>
        <v>Jure – Rako – OK Vihor – M12</v>
      </c>
      <c r="J878" s="45" t="str">
        <f t="shared" si="40"/>
        <v>Jure – Rako – OK Vihor</v>
      </c>
      <c r="L878" s="45" t="str">
        <f t="shared" si="41"/>
        <v>Jure – Rako</v>
      </c>
      <c r="N878" s="103"/>
      <c r="O878" s="104"/>
      <c r="P878" s="105"/>
    </row>
    <row r="879" spans="2:16" x14ac:dyDescent="0.25">
      <c r="B879" s="103">
        <v>1047</v>
      </c>
      <c r="C879" s="104" t="s">
        <v>2729</v>
      </c>
      <c r="D879" s="104" t="s">
        <v>462</v>
      </c>
      <c r="E879" s="104" t="s">
        <v>425</v>
      </c>
      <c r="F879" s="105" t="s">
        <v>2731</v>
      </c>
      <c r="H879" s="45" t="str">
        <f t="shared" si="39"/>
        <v>Paola – Rako – OK Vihor – Ž14</v>
      </c>
      <c r="J879" s="45" t="str">
        <f t="shared" si="40"/>
        <v>Paola – Rako – OK Vihor</v>
      </c>
      <c r="L879" s="45" t="str">
        <f t="shared" si="41"/>
        <v>Paola – Rako</v>
      </c>
      <c r="N879" s="103"/>
      <c r="O879" s="104"/>
      <c r="P879" s="105"/>
    </row>
    <row r="880" spans="2:16" x14ac:dyDescent="0.25">
      <c r="B880" s="103">
        <v>1322</v>
      </c>
      <c r="C880" s="104" t="s">
        <v>3327</v>
      </c>
      <c r="D880" s="104" t="s">
        <v>462</v>
      </c>
      <c r="E880" s="104" t="s">
        <v>425</v>
      </c>
      <c r="F880" s="105" t="s">
        <v>3264</v>
      </c>
      <c r="H880" s="45" t="str">
        <f t="shared" si="39"/>
        <v>Sabina – Rako – OK Vihor – Ž35</v>
      </c>
      <c r="J880" s="45" t="str">
        <f t="shared" si="40"/>
        <v>Sabina – Rako – OK Vihor</v>
      </c>
      <c r="L880" s="45" t="str">
        <f t="shared" si="41"/>
        <v>Sabina – Rako</v>
      </c>
      <c r="N880" s="103"/>
      <c r="O880" s="104"/>
      <c r="P880" s="105"/>
    </row>
    <row r="881" spans="2:16" x14ac:dyDescent="0.25">
      <c r="B881" s="103">
        <v>1242</v>
      </c>
      <c r="C881" s="104" t="s">
        <v>508</v>
      </c>
      <c r="D881" s="104" t="s">
        <v>4341</v>
      </c>
      <c r="E881" s="104" t="s">
        <v>425</v>
      </c>
      <c r="F881" s="105"/>
      <c r="H881" s="45" t="str">
        <f t="shared" si="39"/>
        <v>Luka – Relić – OK Vihor</v>
      </c>
      <c r="J881" s="45" t="str">
        <f t="shared" si="40"/>
        <v>Luka – Relić – OK Vihor</v>
      </c>
      <c r="L881" s="45" t="str">
        <f t="shared" si="41"/>
        <v>Luka – Relić</v>
      </c>
      <c r="N881" s="103"/>
      <c r="O881" s="104"/>
      <c r="P881" s="105"/>
    </row>
    <row r="882" spans="2:16" x14ac:dyDescent="0.25">
      <c r="B882" s="103">
        <v>1903</v>
      </c>
      <c r="C882" s="104" t="s">
        <v>1943</v>
      </c>
      <c r="D882" s="104" t="s">
        <v>4342</v>
      </c>
      <c r="E882" s="104" t="s">
        <v>425</v>
      </c>
      <c r="F882" s="105" t="s">
        <v>1129</v>
      </c>
      <c r="H882" s="45" t="str">
        <f t="shared" si="39"/>
        <v>Robert – Rigo – OK Vihor – M21B</v>
      </c>
      <c r="J882" s="45" t="str">
        <f t="shared" si="40"/>
        <v>Robert – Rigo – OK Vihor</v>
      </c>
      <c r="L882" s="45" t="str">
        <f t="shared" si="41"/>
        <v>Robert – Rigo</v>
      </c>
      <c r="N882" s="103"/>
      <c r="O882" s="104"/>
      <c r="P882" s="105"/>
    </row>
    <row r="883" spans="2:16" x14ac:dyDescent="0.25">
      <c r="B883" s="103">
        <v>1068</v>
      </c>
      <c r="C883" s="104" t="s">
        <v>387</v>
      </c>
      <c r="D883" s="104" t="s">
        <v>4343</v>
      </c>
      <c r="E883" s="104" t="s">
        <v>425</v>
      </c>
      <c r="F883" s="105"/>
      <c r="H883" s="45" t="str">
        <f t="shared" si="39"/>
        <v>Marin – Rogulj – OK Vihor</v>
      </c>
      <c r="J883" s="45" t="str">
        <f t="shared" si="40"/>
        <v>Marin – Rogulj – OK Vihor</v>
      </c>
      <c r="L883" s="45" t="str">
        <f t="shared" si="41"/>
        <v>Marin – Rogulj</v>
      </c>
      <c r="N883" s="103"/>
      <c r="O883" s="104"/>
      <c r="P883" s="105"/>
    </row>
    <row r="884" spans="2:16" x14ac:dyDescent="0.25">
      <c r="B884" s="103">
        <v>1156</v>
      </c>
      <c r="C884" s="104" t="s">
        <v>3817</v>
      </c>
      <c r="D884" s="104" t="s">
        <v>4343</v>
      </c>
      <c r="E884" s="104" t="s">
        <v>425</v>
      </c>
      <c r="F884" s="105" t="s">
        <v>2636</v>
      </c>
      <c r="H884" s="45" t="str">
        <f t="shared" si="39"/>
        <v>Tonka – Rogulj – OK Vihor – Ž12</v>
      </c>
      <c r="J884" s="45" t="str">
        <f t="shared" si="40"/>
        <v>Tonka – Rogulj – OK Vihor</v>
      </c>
      <c r="L884" s="45" t="str">
        <f t="shared" si="41"/>
        <v>Tonka – Rogulj</v>
      </c>
      <c r="N884" s="103"/>
      <c r="O884" s="104"/>
      <c r="P884" s="105"/>
    </row>
    <row r="885" spans="2:16" x14ac:dyDescent="0.25">
      <c r="B885" s="103">
        <v>1218</v>
      </c>
      <c r="C885" s="104" t="s">
        <v>2436</v>
      </c>
      <c r="D885" s="104" t="s">
        <v>4344</v>
      </c>
      <c r="E885" s="104" t="s">
        <v>425</v>
      </c>
      <c r="F885" s="105" t="s">
        <v>3264</v>
      </c>
      <c r="H885" s="45" t="str">
        <f t="shared" si="39"/>
        <v>Ana – Rumiha – OK Vihor – Ž35</v>
      </c>
      <c r="J885" s="45" t="str">
        <f t="shared" si="40"/>
        <v>Ana – Rumiha – OK Vihor</v>
      </c>
      <c r="L885" s="45" t="str">
        <f t="shared" si="41"/>
        <v>Ana – Rumiha</v>
      </c>
      <c r="N885" s="103"/>
      <c r="O885" s="104"/>
      <c r="P885" s="105"/>
    </row>
    <row r="886" spans="2:16" x14ac:dyDescent="0.25">
      <c r="B886" s="103">
        <v>1719</v>
      </c>
      <c r="C886" s="104" t="s">
        <v>3238</v>
      </c>
      <c r="D886" s="104" t="s">
        <v>4345</v>
      </c>
      <c r="E886" s="104" t="s">
        <v>425</v>
      </c>
      <c r="F886" s="105"/>
      <c r="H886" s="45" t="str">
        <f t="shared" si="39"/>
        <v>Martina – Ružić – OK Vihor</v>
      </c>
      <c r="J886" s="45" t="str">
        <f t="shared" si="40"/>
        <v>Martina – Ružić – OK Vihor</v>
      </c>
      <c r="L886" s="45" t="str">
        <f t="shared" si="41"/>
        <v>Martina – Ružić</v>
      </c>
      <c r="N886" s="103"/>
      <c r="O886" s="104"/>
      <c r="P886" s="105"/>
    </row>
    <row r="887" spans="2:16" x14ac:dyDescent="0.25">
      <c r="B887" s="103">
        <v>1722</v>
      </c>
      <c r="C887" s="104" t="s">
        <v>4346</v>
      </c>
      <c r="D887" s="104" t="s">
        <v>4345</v>
      </c>
      <c r="E887" s="104" t="s">
        <v>425</v>
      </c>
      <c r="F887" s="105"/>
      <c r="H887" s="45" t="str">
        <f t="shared" si="39"/>
        <v>Rok – Ružić – OK Vihor</v>
      </c>
      <c r="J887" s="45" t="str">
        <f t="shared" si="40"/>
        <v>Rok – Ružić – OK Vihor</v>
      </c>
      <c r="L887" s="45" t="str">
        <f t="shared" si="41"/>
        <v>Rok – Ružić</v>
      </c>
      <c r="N887" s="103"/>
      <c r="O887" s="104"/>
      <c r="P887" s="105"/>
    </row>
    <row r="888" spans="2:16" x14ac:dyDescent="0.25">
      <c r="B888" s="103">
        <v>1721</v>
      </c>
      <c r="C888" s="104" t="s">
        <v>3817</v>
      </c>
      <c r="D888" s="104" t="s">
        <v>4345</v>
      </c>
      <c r="E888" s="104" t="s">
        <v>425</v>
      </c>
      <c r="F888" s="105"/>
      <c r="H888" s="45" t="str">
        <f t="shared" si="39"/>
        <v>Tonka – Ružić – OK Vihor</v>
      </c>
      <c r="J888" s="45" t="str">
        <f t="shared" si="40"/>
        <v>Tonka – Ružić – OK Vihor</v>
      </c>
      <c r="L888" s="45" t="str">
        <f t="shared" si="41"/>
        <v>Tonka – Ružić</v>
      </c>
      <c r="N888" s="103"/>
      <c r="O888" s="104"/>
      <c r="P888" s="105"/>
    </row>
    <row r="889" spans="2:16" x14ac:dyDescent="0.25">
      <c r="B889" s="103">
        <v>1720</v>
      </c>
      <c r="C889" s="104" t="s">
        <v>1509</v>
      </c>
      <c r="D889" s="104" t="s">
        <v>4345</v>
      </c>
      <c r="E889" s="104" t="s">
        <v>425</v>
      </c>
      <c r="F889" s="105"/>
      <c r="H889" s="45" t="str">
        <f t="shared" si="39"/>
        <v>Zoran – Ružić – OK Vihor</v>
      </c>
      <c r="J889" s="45" t="str">
        <f t="shared" si="40"/>
        <v>Zoran – Ružić – OK Vihor</v>
      </c>
      <c r="L889" s="45" t="str">
        <f t="shared" si="41"/>
        <v>Zoran – Ružić</v>
      </c>
      <c r="N889" s="103"/>
      <c r="O889" s="104"/>
      <c r="P889" s="105"/>
    </row>
    <row r="890" spans="2:16" x14ac:dyDescent="0.25">
      <c r="B890" s="103">
        <v>1020</v>
      </c>
      <c r="C890" s="104" t="s">
        <v>4347</v>
      </c>
      <c r="D890" s="104" t="s">
        <v>4348</v>
      </c>
      <c r="E890" s="104" t="s">
        <v>425</v>
      </c>
      <c r="F890" s="105"/>
      <c r="H890" s="45" t="str">
        <f t="shared" si="39"/>
        <v>Jorge – Salgado – OK Vihor</v>
      </c>
      <c r="J890" s="45" t="str">
        <f t="shared" si="40"/>
        <v>Jorge – Salgado – OK Vihor</v>
      </c>
      <c r="L890" s="45" t="str">
        <f t="shared" si="41"/>
        <v>Jorge – Salgado</v>
      </c>
      <c r="N890" s="103"/>
      <c r="O890" s="104"/>
      <c r="P890" s="105"/>
    </row>
    <row r="891" spans="2:16" x14ac:dyDescent="0.25">
      <c r="B891" s="103">
        <v>1102</v>
      </c>
      <c r="C891" s="104" t="s">
        <v>437</v>
      </c>
      <c r="D891" s="104" t="s">
        <v>4349</v>
      </c>
      <c r="E891" s="104" t="s">
        <v>425</v>
      </c>
      <c r="F891" s="105"/>
      <c r="H891" s="45" t="str">
        <f t="shared" si="39"/>
        <v>Ivan – Salgado Vinter – OK Vihor</v>
      </c>
      <c r="J891" s="45" t="str">
        <f t="shared" si="40"/>
        <v>Ivan – Salgado Vinter – OK Vihor</v>
      </c>
      <c r="L891" s="45" t="str">
        <f t="shared" si="41"/>
        <v>Ivan – Salgado Vinter</v>
      </c>
      <c r="N891" s="103"/>
      <c r="O891" s="104"/>
      <c r="P891" s="105"/>
    </row>
    <row r="892" spans="2:16" x14ac:dyDescent="0.25">
      <c r="B892" s="103">
        <v>1103</v>
      </c>
      <c r="C892" s="104" t="s">
        <v>404</v>
      </c>
      <c r="D892" s="104" t="s">
        <v>4349</v>
      </c>
      <c r="E892" s="104" t="s">
        <v>425</v>
      </c>
      <c r="F892" s="105"/>
      <c r="H892" s="45" t="str">
        <f t="shared" si="39"/>
        <v>Mario – Salgado Vinter – OK Vihor</v>
      </c>
      <c r="J892" s="45" t="str">
        <f t="shared" si="40"/>
        <v>Mario – Salgado Vinter – OK Vihor</v>
      </c>
      <c r="L892" s="45" t="str">
        <f t="shared" si="41"/>
        <v>Mario – Salgado Vinter</v>
      </c>
      <c r="N892" s="103"/>
      <c r="O892" s="104"/>
      <c r="P892" s="105"/>
    </row>
    <row r="893" spans="2:16" x14ac:dyDescent="0.25">
      <c r="B893" s="103">
        <v>1317</v>
      </c>
      <c r="C893" s="104" t="s">
        <v>4036</v>
      </c>
      <c r="D893" s="104" t="s">
        <v>4350</v>
      </c>
      <c r="E893" s="104" t="s">
        <v>425</v>
      </c>
      <c r="F893" s="105"/>
      <c r="H893" s="45" t="str">
        <f t="shared" si="39"/>
        <v>Niko – Savović – OK Vihor</v>
      </c>
      <c r="J893" s="45" t="str">
        <f t="shared" si="40"/>
        <v>Niko – Savović – OK Vihor</v>
      </c>
      <c r="L893" s="45" t="str">
        <f t="shared" si="41"/>
        <v>Niko – Savović</v>
      </c>
      <c r="N893" s="103"/>
      <c r="O893" s="104"/>
      <c r="P893" s="105"/>
    </row>
    <row r="894" spans="2:16" x14ac:dyDescent="0.25">
      <c r="B894" s="103">
        <v>1001</v>
      </c>
      <c r="C894" s="104" t="s">
        <v>4351</v>
      </c>
      <c r="D894" s="104" t="s">
        <v>4352</v>
      </c>
      <c r="E894" s="104" t="s">
        <v>425</v>
      </c>
      <c r="F894" s="105"/>
      <c r="H894" s="45" t="str">
        <f t="shared" si="39"/>
        <v>Alberto – Selandari – OK Vihor</v>
      </c>
      <c r="J894" s="45" t="str">
        <f t="shared" si="40"/>
        <v>Alberto – Selandari – OK Vihor</v>
      </c>
      <c r="L894" s="45" t="str">
        <f t="shared" si="41"/>
        <v>Alberto – Selandari</v>
      </c>
      <c r="N894" s="103"/>
      <c r="O894" s="104"/>
      <c r="P894" s="105"/>
    </row>
    <row r="895" spans="2:16" x14ac:dyDescent="0.25">
      <c r="B895" s="103">
        <v>1273</v>
      </c>
      <c r="C895" s="104" t="s">
        <v>4193</v>
      </c>
      <c r="D895" s="104" t="s">
        <v>4353</v>
      </c>
      <c r="E895" s="104" t="s">
        <v>425</v>
      </c>
      <c r="F895" s="105" t="s">
        <v>3093</v>
      </c>
      <c r="H895" s="45" t="str">
        <f t="shared" si="39"/>
        <v>Anita – Sem – OK Vihor – Ž21B</v>
      </c>
      <c r="J895" s="45" t="str">
        <f t="shared" si="40"/>
        <v>Anita – Sem – OK Vihor</v>
      </c>
      <c r="L895" s="45" t="str">
        <f t="shared" si="41"/>
        <v>Anita – Sem</v>
      </c>
      <c r="N895" s="103"/>
      <c r="O895" s="104"/>
      <c r="P895" s="105"/>
    </row>
    <row r="896" spans="2:16" x14ac:dyDescent="0.25">
      <c r="B896" s="103">
        <v>1927</v>
      </c>
      <c r="C896" s="104" t="s">
        <v>740</v>
      </c>
      <c r="D896" s="104" t="s">
        <v>4354</v>
      </c>
      <c r="E896" s="104" t="s">
        <v>425</v>
      </c>
      <c r="F896" s="105"/>
      <c r="H896" s="45" t="str">
        <f t="shared" si="39"/>
        <v>Goran – Šepić – OK Vihor</v>
      </c>
      <c r="J896" s="45" t="str">
        <f t="shared" si="40"/>
        <v>Goran – Šepić – OK Vihor</v>
      </c>
      <c r="L896" s="45" t="str">
        <f t="shared" si="41"/>
        <v>Goran – Šepić</v>
      </c>
      <c r="N896" s="103"/>
      <c r="O896" s="104"/>
      <c r="P896" s="105"/>
    </row>
    <row r="897" spans="2:16" x14ac:dyDescent="0.25">
      <c r="B897" s="103">
        <v>1287</v>
      </c>
      <c r="C897" s="104" t="s">
        <v>2447</v>
      </c>
      <c r="D897" s="104" t="s">
        <v>4355</v>
      </c>
      <c r="E897" s="104" t="s">
        <v>425</v>
      </c>
      <c r="F897" s="105" t="s">
        <v>3093</v>
      </c>
      <c r="H897" s="45" t="str">
        <f t="shared" si="39"/>
        <v>Ivana – Šestan Krajnović – OK Vihor – Ž21B</v>
      </c>
      <c r="J897" s="45" t="str">
        <f t="shared" si="40"/>
        <v>Ivana – Šestan Krajnović – OK Vihor</v>
      </c>
      <c r="L897" s="45" t="str">
        <f t="shared" si="41"/>
        <v>Ivana – Šestan Krajnović</v>
      </c>
      <c r="N897" s="103"/>
      <c r="O897" s="104"/>
      <c r="P897" s="105"/>
    </row>
    <row r="898" spans="2:16" x14ac:dyDescent="0.25">
      <c r="B898" s="103">
        <v>1012</v>
      </c>
      <c r="C898" s="104" t="s">
        <v>4356</v>
      </c>
      <c r="D898" s="104" t="s">
        <v>4357</v>
      </c>
      <c r="E898" s="104" t="s">
        <v>425</v>
      </c>
      <c r="F898" s="105"/>
      <c r="H898" s="45" t="str">
        <f t="shared" si="39"/>
        <v>Dejan – Šimičević – OK Vihor</v>
      </c>
      <c r="J898" s="45" t="str">
        <f t="shared" si="40"/>
        <v>Dejan – Šimičević – OK Vihor</v>
      </c>
      <c r="L898" s="45" t="str">
        <f t="shared" si="41"/>
        <v>Dejan – Šimičević</v>
      </c>
      <c r="N898" s="103"/>
      <c r="O898" s="104"/>
      <c r="P898" s="105"/>
    </row>
    <row r="899" spans="2:16" x14ac:dyDescent="0.25">
      <c r="B899" s="103">
        <v>1457</v>
      </c>
      <c r="C899" s="104" t="s">
        <v>3559</v>
      </c>
      <c r="D899" s="104" t="s">
        <v>4358</v>
      </c>
      <c r="E899" s="104" t="s">
        <v>425</v>
      </c>
      <c r="F899" s="105" t="s">
        <v>3618</v>
      </c>
      <c r="H899" s="45" t="str">
        <f t="shared" si="39"/>
        <v>Marija – Sirovec – OK Vihor – Ž55</v>
      </c>
      <c r="J899" s="45" t="str">
        <f t="shared" si="40"/>
        <v>Marija – Sirovec – OK Vihor</v>
      </c>
      <c r="L899" s="45" t="str">
        <f t="shared" si="41"/>
        <v>Marija – Sirovec</v>
      </c>
      <c r="N899" s="103"/>
      <c r="O899" s="104"/>
      <c r="P899" s="105"/>
    </row>
    <row r="900" spans="2:16" x14ac:dyDescent="0.25">
      <c r="B900" s="103">
        <v>1298</v>
      </c>
      <c r="C900" s="104" t="s">
        <v>4359</v>
      </c>
      <c r="D900" s="104" t="s">
        <v>4358</v>
      </c>
      <c r="E900" s="104" t="s">
        <v>425</v>
      </c>
      <c r="F900" s="105" t="s">
        <v>3093</v>
      </c>
      <c r="H900" s="45" t="str">
        <f t="shared" si="39"/>
        <v>Tara – Sirovec – OK Vihor – Ž21B</v>
      </c>
      <c r="J900" s="45" t="str">
        <f t="shared" si="40"/>
        <v>Tara – Sirovec – OK Vihor</v>
      </c>
      <c r="L900" s="45" t="str">
        <f t="shared" si="41"/>
        <v>Tara – Sirovec</v>
      </c>
      <c r="N900" s="103"/>
      <c r="O900" s="104"/>
      <c r="P900" s="105"/>
    </row>
    <row r="901" spans="2:16" x14ac:dyDescent="0.25">
      <c r="B901" s="103">
        <v>1058</v>
      </c>
      <c r="C901" s="104" t="s">
        <v>4148</v>
      </c>
      <c r="D901" s="104" t="s">
        <v>4358</v>
      </c>
      <c r="E901" s="104" t="s">
        <v>425</v>
      </c>
      <c r="F901" s="105" t="s">
        <v>2194</v>
      </c>
      <c r="H901" s="45" t="str">
        <f t="shared" si="39"/>
        <v>Zlatko – Sirovec – OK Vihor – M55</v>
      </c>
      <c r="J901" s="45" t="str">
        <f t="shared" si="40"/>
        <v>Zlatko – Sirovec – OK Vihor</v>
      </c>
      <c r="L901" s="45" t="str">
        <f t="shared" si="41"/>
        <v>Zlatko – Sirovec</v>
      </c>
      <c r="N901" s="103"/>
      <c r="O901" s="104"/>
      <c r="P901" s="105"/>
    </row>
    <row r="902" spans="2:16" x14ac:dyDescent="0.25">
      <c r="B902" s="103">
        <v>1904</v>
      </c>
      <c r="C902" s="104" t="s">
        <v>4360</v>
      </c>
      <c r="D902" s="104" t="s">
        <v>4361</v>
      </c>
      <c r="E902" s="104" t="s">
        <v>425</v>
      </c>
      <c r="F902" s="105" t="s">
        <v>1129</v>
      </c>
      <c r="H902" s="45" t="str">
        <f t="shared" si="39"/>
        <v>Donateo – Sitarić-Knezić – OK Vihor – M21B</v>
      </c>
      <c r="J902" s="45" t="str">
        <f t="shared" si="40"/>
        <v>Donateo – Sitarić-Knezić – OK Vihor</v>
      </c>
      <c r="L902" s="45" t="str">
        <f t="shared" si="41"/>
        <v>Donateo – Sitarić-Knezić</v>
      </c>
      <c r="N902" s="103"/>
      <c r="O902" s="104"/>
      <c r="P902" s="105"/>
    </row>
    <row r="903" spans="2:16" x14ac:dyDescent="0.25">
      <c r="B903" s="103">
        <v>1492</v>
      </c>
      <c r="C903" s="104" t="s">
        <v>1262</v>
      </c>
      <c r="D903" s="104" t="s">
        <v>4362</v>
      </c>
      <c r="E903" s="104" t="s">
        <v>425</v>
      </c>
      <c r="F903" s="105" t="s">
        <v>1908</v>
      </c>
      <c r="H903" s="45" t="str">
        <f t="shared" si="39"/>
        <v>Kristijan – Šivak – OK Vihor – M45</v>
      </c>
      <c r="J903" s="45" t="str">
        <f t="shared" si="40"/>
        <v>Kristijan – Šivak – OK Vihor</v>
      </c>
      <c r="L903" s="45" t="str">
        <f t="shared" si="41"/>
        <v>Kristijan – Šivak</v>
      </c>
      <c r="N903" s="103"/>
      <c r="O903" s="104"/>
      <c r="P903" s="105"/>
    </row>
    <row r="904" spans="2:16" x14ac:dyDescent="0.25">
      <c r="B904" s="103">
        <v>1723</v>
      </c>
      <c r="C904" s="104" t="s">
        <v>4363</v>
      </c>
      <c r="D904" s="104" t="s">
        <v>4364</v>
      </c>
      <c r="E904" s="104" t="s">
        <v>425</v>
      </c>
      <c r="F904" s="105"/>
      <c r="H904" s="45" t="str">
        <f t="shared" si="39"/>
        <v>Paul – Skobe – OK Vihor</v>
      </c>
      <c r="J904" s="45" t="str">
        <f t="shared" si="40"/>
        <v>Paul – Skobe – OK Vihor</v>
      </c>
      <c r="L904" s="45" t="str">
        <f t="shared" si="41"/>
        <v>Paul – Skobe</v>
      </c>
      <c r="N904" s="103"/>
      <c r="O904" s="104"/>
      <c r="P904" s="105"/>
    </row>
    <row r="905" spans="2:16" x14ac:dyDescent="0.25">
      <c r="B905" s="103">
        <v>1807</v>
      </c>
      <c r="C905" s="104" t="s">
        <v>4365</v>
      </c>
      <c r="D905" s="104" t="s">
        <v>4364</v>
      </c>
      <c r="E905" s="104" t="s">
        <v>425</v>
      </c>
      <c r="F905" s="105"/>
      <c r="H905" s="45" t="str">
        <f t="shared" si="39"/>
        <v>Tymothy – Skobe – OK Vihor</v>
      </c>
      <c r="J905" s="45" t="str">
        <f t="shared" si="40"/>
        <v>Tymothy – Skobe – OK Vihor</v>
      </c>
      <c r="L905" s="45" t="str">
        <f t="shared" si="41"/>
        <v>Tymothy – Skobe</v>
      </c>
      <c r="N905" s="103"/>
      <c r="O905" s="104"/>
      <c r="P905" s="105"/>
    </row>
    <row r="906" spans="2:16" x14ac:dyDescent="0.25">
      <c r="B906" s="103">
        <v>1806</v>
      </c>
      <c r="C906" s="104" t="s">
        <v>4366</v>
      </c>
      <c r="D906" s="104" t="s">
        <v>4364</v>
      </c>
      <c r="E906" s="104" t="s">
        <v>425</v>
      </c>
      <c r="F906" s="105"/>
      <c r="H906" s="45" t="str">
        <f t="shared" si="39"/>
        <v>Valentina – Skobe – OK Vihor</v>
      </c>
      <c r="J906" s="45" t="str">
        <f t="shared" si="40"/>
        <v>Valentina – Skobe – OK Vihor</v>
      </c>
      <c r="L906" s="45" t="str">
        <f t="shared" si="41"/>
        <v>Valentina – Skobe</v>
      </c>
      <c r="N906" s="103"/>
      <c r="O906" s="104"/>
      <c r="P906" s="105"/>
    </row>
    <row r="907" spans="2:16" x14ac:dyDescent="0.25">
      <c r="B907" s="103">
        <v>1028</v>
      </c>
      <c r="C907" s="104" t="s">
        <v>2498</v>
      </c>
      <c r="D907" s="104" t="s">
        <v>2497</v>
      </c>
      <c r="E907" s="104" t="s">
        <v>425</v>
      </c>
      <c r="F907" s="105" t="s">
        <v>363</v>
      </c>
      <c r="H907" s="45" t="str">
        <f t="shared" ref="H907:H970" si="42">IF(C907="","",C907) &amp; IF(D907="",""," – " &amp; D907) &amp; IF(E907="",""," – " &amp; E907) &amp; IF(F907="",""," – " &amp; F907)</f>
        <v>Oliver – Skočić – OK Vihor – M12</v>
      </c>
      <c r="J907" s="45" t="str">
        <f t="shared" ref="J907:J970" si="43">IF(C907="","",C907) &amp; IF(D907="",""," – " &amp; D907) &amp; IF(E907="",""," – " &amp; E907)</f>
        <v>Oliver – Skočić – OK Vihor</v>
      </c>
      <c r="L907" s="45" t="str">
        <f t="shared" ref="L907:L970" si="44">IF(C907="","",C907) &amp; IF(D907="",""," – " &amp; D907)</f>
        <v>Oliver – Skočić</v>
      </c>
      <c r="N907" s="103"/>
      <c r="O907" s="104"/>
      <c r="P907" s="105"/>
    </row>
    <row r="908" spans="2:16" x14ac:dyDescent="0.25">
      <c r="B908" s="103">
        <v>1049</v>
      </c>
      <c r="C908" s="104" t="s">
        <v>2911</v>
      </c>
      <c r="D908" s="104" t="s">
        <v>4367</v>
      </c>
      <c r="E908" s="104" t="s">
        <v>425</v>
      </c>
      <c r="F908" s="105"/>
      <c r="H908" s="45" t="str">
        <f t="shared" si="42"/>
        <v>Jelena – Slijepčević – OK Vihor</v>
      </c>
      <c r="J908" s="45" t="str">
        <f t="shared" si="43"/>
        <v>Jelena – Slijepčević – OK Vihor</v>
      </c>
      <c r="L908" s="45" t="str">
        <f t="shared" si="44"/>
        <v>Jelena – Slijepčević</v>
      </c>
      <c r="N908" s="103"/>
      <c r="O908" s="104"/>
      <c r="P908" s="105"/>
    </row>
    <row r="909" spans="2:16" x14ac:dyDescent="0.25">
      <c r="B909" s="103">
        <v>1503</v>
      </c>
      <c r="C909" s="104" t="s">
        <v>4368</v>
      </c>
      <c r="D909" s="104" t="s">
        <v>4369</v>
      </c>
      <c r="E909" s="104" t="s">
        <v>425</v>
      </c>
      <c r="F909" s="105" t="s">
        <v>651</v>
      </c>
      <c r="H909" s="45" t="str">
        <f t="shared" si="42"/>
        <v>Mika – Smital – OK Vihor – M16</v>
      </c>
      <c r="J909" s="45" t="str">
        <f t="shared" si="43"/>
        <v>Mika – Smital – OK Vihor</v>
      </c>
      <c r="L909" s="45" t="str">
        <f t="shared" si="44"/>
        <v>Mika – Smital</v>
      </c>
      <c r="N909" s="103"/>
      <c r="O909" s="104"/>
      <c r="P909" s="105"/>
    </row>
    <row r="910" spans="2:16" x14ac:dyDescent="0.25">
      <c r="B910" s="103">
        <v>1104</v>
      </c>
      <c r="C910" s="104" t="s">
        <v>4370</v>
      </c>
      <c r="D910" s="104" t="s">
        <v>4369</v>
      </c>
      <c r="E910" s="104" t="s">
        <v>425</v>
      </c>
      <c r="F910" s="105"/>
      <c r="H910" s="45" t="str">
        <f t="shared" si="42"/>
        <v>Tomo – Smital – OK Vihor</v>
      </c>
      <c r="J910" s="45" t="str">
        <f t="shared" si="43"/>
        <v>Tomo – Smital – OK Vihor</v>
      </c>
      <c r="L910" s="45" t="str">
        <f t="shared" si="44"/>
        <v>Tomo – Smital</v>
      </c>
      <c r="N910" s="103"/>
      <c r="O910" s="104"/>
      <c r="P910" s="105"/>
    </row>
    <row r="911" spans="2:16" x14ac:dyDescent="0.25">
      <c r="B911" s="103">
        <v>1945</v>
      </c>
      <c r="C911" s="104" t="s">
        <v>4267</v>
      </c>
      <c r="D911" s="104" t="s">
        <v>3944</v>
      </c>
      <c r="E911" s="104" t="s">
        <v>425</v>
      </c>
      <c r="F911" s="105" t="s">
        <v>3093</v>
      </c>
      <c r="H911" s="45" t="str">
        <f t="shared" si="42"/>
        <v>Tina – Šojat – OK Vihor – Ž21B</v>
      </c>
      <c r="J911" s="45" t="str">
        <f t="shared" si="43"/>
        <v>Tina – Šojat – OK Vihor</v>
      </c>
      <c r="L911" s="45" t="str">
        <f t="shared" si="44"/>
        <v>Tina – Šojat</v>
      </c>
      <c r="N911" s="103"/>
      <c r="O911" s="104"/>
      <c r="P911" s="105"/>
    </row>
    <row r="912" spans="2:16" x14ac:dyDescent="0.25">
      <c r="B912" s="103">
        <v>1027</v>
      </c>
      <c r="C912" s="104" t="s">
        <v>4371</v>
      </c>
      <c r="D912" s="104" t="s">
        <v>2255</v>
      </c>
      <c r="E912" s="104" t="s">
        <v>425</v>
      </c>
      <c r="F912" s="105"/>
      <c r="H912" s="45" t="str">
        <f t="shared" si="42"/>
        <v>Nives – Špoljar – OK Vihor</v>
      </c>
      <c r="J912" s="45" t="str">
        <f t="shared" si="43"/>
        <v>Nives – Špoljar – OK Vihor</v>
      </c>
      <c r="L912" s="45" t="str">
        <f t="shared" si="44"/>
        <v>Nives – Špoljar</v>
      </c>
      <c r="N912" s="103"/>
      <c r="O912" s="104"/>
      <c r="P912" s="105"/>
    </row>
    <row r="913" spans="2:16" x14ac:dyDescent="0.25">
      <c r="B913" s="103">
        <v>1086</v>
      </c>
      <c r="C913" s="104" t="s">
        <v>4285</v>
      </c>
      <c r="D913" s="104" t="s">
        <v>4372</v>
      </c>
      <c r="E913" s="104" t="s">
        <v>425</v>
      </c>
      <c r="F913" s="105" t="s">
        <v>3264</v>
      </c>
      <c r="H913" s="45" t="str">
        <f t="shared" si="42"/>
        <v>Matea – Sršen – OK Vihor – Ž35</v>
      </c>
      <c r="J913" s="45" t="str">
        <f t="shared" si="43"/>
        <v>Matea – Sršen – OK Vihor</v>
      </c>
      <c r="L913" s="45" t="str">
        <f t="shared" si="44"/>
        <v>Matea – Sršen</v>
      </c>
      <c r="N913" s="103"/>
      <c r="O913" s="104"/>
      <c r="P913" s="105"/>
    </row>
    <row r="914" spans="2:16" x14ac:dyDescent="0.25">
      <c r="B914" s="103">
        <v>1187</v>
      </c>
      <c r="C914" s="104" t="s">
        <v>4373</v>
      </c>
      <c r="D914" s="104" t="s">
        <v>4374</v>
      </c>
      <c r="E914" s="104" t="s">
        <v>425</v>
      </c>
      <c r="F914" s="105" t="s">
        <v>2927</v>
      </c>
      <c r="H914" s="45" t="str">
        <f t="shared" si="42"/>
        <v>Kira – Sršen Delgado – OK Vihor – Ž20</v>
      </c>
      <c r="J914" s="45" t="str">
        <f t="shared" si="43"/>
        <v>Kira – Sršen Delgado – OK Vihor</v>
      </c>
      <c r="L914" s="45" t="str">
        <f t="shared" si="44"/>
        <v>Kira – Sršen Delgado</v>
      </c>
      <c r="N914" s="103"/>
      <c r="O914" s="104"/>
      <c r="P914" s="105"/>
    </row>
    <row r="915" spans="2:16" x14ac:dyDescent="0.25">
      <c r="B915" s="103">
        <v>1229</v>
      </c>
      <c r="C915" s="104" t="s">
        <v>4375</v>
      </c>
      <c r="D915" s="104" t="s">
        <v>4374</v>
      </c>
      <c r="E915" s="104" t="s">
        <v>425</v>
      </c>
      <c r="F915" s="105" t="s">
        <v>2765</v>
      </c>
      <c r="H915" s="45" t="str">
        <f t="shared" si="42"/>
        <v>Leire – Sršen Delgado – OK Vihor – Ž16</v>
      </c>
      <c r="J915" s="45" t="str">
        <f t="shared" si="43"/>
        <v>Leire – Sršen Delgado – OK Vihor</v>
      </c>
      <c r="L915" s="45" t="str">
        <f t="shared" si="44"/>
        <v>Leire – Sršen Delgado</v>
      </c>
      <c r="N915" s="103"/>
      <c r="O915" s="104"/>
      <c r="P915" s="105"/>
    </row>
    <row r="916" spans="2:16" x14ac:dyDescent="0.25">
      <c r="B916" s="103">
        <v>1536</v>
      </c>
      <c r="C916" s="104" t="s">
        <v>4154</v>
      </c>
      <c r="D916" s="104" t="s">
        <v>4376</v>
      </c>
      <c r="E916" s="104" t="s">
        <v>425</v>
      </c>
      <c r="F916" s="105" t="s">
        <v>1129</v>
      </c>
      <c r="H916" s="45" t="str">
        <f t="shared" si="42"/>
        <v>Nino – Stančić Vidrač – OK Vihor – M21B</v>
      </c>
      <c r="J916" s="45" t="str">
        <f t="shared" si="43"/>
        <v>Nino – Stančić Vidrač – OK Vihor</v>
      </c>
      <c r="L916" s="45" t="str">
        <f t="shared" si="44"/>
        <v>Nino – Stančić Vidrač</v>
      </c>
      <c r="N916" s="103"/>
      <c r="O916" s="104"/>
      <c r="P916" s="105"/>
    </row>
    <row r="917" spans="2:16" x14ac:dyDescent="0.25">
      <c r="B917" s="103">
        <v>1008</v>
      </c>
      <c r="C917" s="104" t="s">
        <v>4377</v>
      </c>
      <c r="D917" s="104" t="s">
        <v>4378</v>
      </c>
      <c r="E917" s="104" t="s">
        <v>425</v>
      </c>
      <c r="F917" s="105"/>
      <c r="H917" s="45" t="str">
        <f t="shared" si="42"/>
        <v>Anđelka – Stih – OK Vihor</v>
      </c>
      <c r="J917" s="45" t="str">
        <f t="shared" si="43"/>
        <v>Anđelka – Stih – OK Vihor</v>
      </c>
      <c r="L917" s="45" t="str">
        <f t="shared" si="44"/>
        <v>Anđelka – Stih</v>
      </c>
      <c r="N917" s="103"/>
      <c r="O917" s="104"/>
      <c r="P917" s="105"/>
    </row>
    <row r="918" spans="2:16" x14ac:dyDescent="0.25">
      <c r="B918" s="103">
        <v>1036</v>
      </c>
      <c r="C918" s="104" t="s">
        <v>4379</v>
      </c>
      <c r="D918" s="104" t="s">
        <v>4380</v>
      </c>
      <c r="E918" s="104" t="s">
        <v>425</v>
      </c>
      <c r="F918" s="105"/>
      <c r="H918" s="45" t="str">
        <f t="shared" si="42"/>
        <v>Valentino – Stipčević – OK Vihor</v>
      </c>
      <c r="J918" s="45" t="str">
        <f t="shared" si="43"/>
        <v>Valentino – Stipčević – OK Vihor</v>
      </c>
      <c r="L918" s="45" t="str">
        <f t="shared" si="44"/>
        <v>Valentino – Stipčević</v>
      </c>
      <c r="N918" s="103"/>
      <c r="O918" s="109"/>
      <c r="P918" s="105"/>
    </row>
    <row r="919" spans="2:16" x14ac:dyDescent="0.25">
      <c r="B919" s="103">
        <v>1905</v>
      </c>
      <c r="C919" s="104" t="s">
        <v>2484</v>
      </c>
      <c r="D919" s="104" t="s">
        <v>1566</v>
      </c>
      <c r="E919" s="104" t="s">
        <v>425</v>
      </c>
      <c r="F919" s="105" t="s">
        <v>3093</v>
      </c>
      <c r="H919" s="45" t="str">
        <f t="shared" si="42"/>
        <v>Iva – Stipeljković – OK Vihor – Ž21B</v>
      </c>
      <c r="J919" s="45" t="str">
        <f t="shared" si="43"/>
        <v>Iva – Stipeljković – OK Vihor</v>
      </c>
      <c r="L919" s="45" t="str">
        <f t="shared" si="44"/>
        <v>Iva – Stipeljković</v>
      </c>
      <c r="N919" s="103"/>
      <c r="O919" s="104"/>
      <c r="P919" s="105"/>
    </row>
    <row r="920" spans="2:16" x14ac:dyDescent="0.25">
      <c r="B920" s="103">
        <v>1906</v>
      </c>
      <c r="C920" s="104" t="s">
        <v>1005</v>
      </c>
      <c r="D920" s="104" t="s">
        <v>1566</v>
      </c>
      <c r="E920" s="104" t="s">
        <v>425</v>
      </c>
      <c r="F920" s="105" t="s">
        <v>1129</v>
      </c>
      <c r="H920" s="45" t="str">
        <f t="shared" si="42"/>
        <v>Josip – Stipeljković – OK Vihor – M21B</v>
      </c>
      <c r="J920" s="45" t="str">
        <f t="shared" si="43"/>
        <v>Josip – Stipeljković – OK Vihor</v>
      </c>
      <c r="L920" s="45" t="str">
        <f t="shared" si="44"/>
        <v>Josip – Stipeljković</v>
      </c>
      <c r="N920" s="103"/>
      <c r="O920" s="104"/>
      <c r="P920" s="105"/>
    </row>
    <row r="921" spans="2:16" x14ac:dyDescent="0.25">
      <c r="B921" s="103">
        <v>1326</v>
      </c>
      <c r="C921" s="104" t="s">
        <v>3361</v>
      </c>
      <c r="D921" s="104" t="s">
        <v>3360</v>
      </c>
      <c r="E921" s="104" t="s">
        <v>425</v>
      </c>
      <c r="F921" s="105" t="s">
        <v>3264</v>
      </c>
      <c r="H921" s="45" t="str">
        <f t="shared" si="42"/>
        <v>Bernardica – Stipić – OK Vihor – Ž35</v>
      </c>
      <c r="J921" s="45" t="str">
        <f t="shared" si="43"/>
        <v>Bernardica – Stipić – OK Vihor</v>
      </c>
      <c r="L921" s="45" t="str">
        <f t="shared" si="44"/>
        <v>Bernardica – Stipić</v>
      </c>
      <c r="N921" s="103"/>
      <c r="O921" s="104"/>
      <c r="P921" s="105"/>
    </row>
    <row r="922" spans="2:16" x14ac:dyDescent="0.25">
      <c r="B922" s="103">
        <v>1262</v>
      </c>
      <c r="C922" s="104" t="s">
        <v>3347</v>
      </c>
      <c r="D922" s="104" t="s">
        <v>3346</v>
      </c>
      <c r="E922" s="104" t="s">
        <v>425</v>
      </c>
      <c r="F922" s="105" t="s">
        <v>3264</v>
      </c>
      <c r="H922" s="45" t="str">
        <f t="shared" si="42"/>
        <v>Vlatka – Stupalo – OK Vihor – Ž35</v>
      </c>
      <c r="J922" s="45" t="str">
        <f t="shared" si="43"/>
        <v>Vlatka – Stupalo – OK Vihor</v>
      </c>
      <c r="L922" s="45" t="str">
        <f t="shared" si="44"/>
        <v>Vlatka – Stupalo</v>
      </c>
      <c r="N922" s="103"/>
      <c r="O922" s="104"/>
      <c r="P922" s="105"/>
    </row>
    <row r="923" spans="2:16" x14ac:dyDescent="0.25">
      <c r="B923" s="103">
        <v>1304</v>
      </c>
      <c r="C923" s="104" t="s">
        <v>508</v>
      </c>
      <c r="D923" s="104" t="s">
        <v>619</v>
      </c>
      <c r="E923" s="104" t="s">
        <v>425</v>
      </c>
      <c r="F923" s="105" t="s">
        <v>486</v>
      </c>
      <c r="H923" s="45" t="str">
        <f t="shared" si="42"/>
        <v>Luka – Sučić – OK Vihor – M14</v>
      </c>
      <c r="J923" s="45" t="str">
        <f t="shared" si="43"/>
        <v>Luka – Sučić – OK Vihor</v>
      </c>
      <c r="L923" s="45" t="str">
        <f t="shared" si="44"/>
        <v>Luka – Sučić</v>
      </c>
      <c r="N923" s="103"/>
      <c r="O923" s="104"/>
      <c r="P923" s="105"/>
    </row>
    <row r="924" spans="2:16" x14ac:dyDescent="0.25">
      <c r="B924" s="103">
        <v>1141</v>
      </c>
      <c r="C924" s="104" t="s">
        <v>3245</v>
      </c>
      <c r="D924" s="104" t="s">
        <v>619</v>
      </c>
      <c r="E924" s="104" t="s">
        <v>425</v>
      </c>
      <c r="F924" s="105" t="s">
        <v>3093</v>
      </c>
      <c r="H924" s="45" t="str">
        <f t="shared" si="42"/>
        <v>Melita – Sučić – OK Vihor – Ž21B</v>
      </c>
      <c r="J924" s="45" t="str">
        <f t="shared" si="43"/>
        <v>Melita – Sučić – OK Vihor</v>
      </c>
      <c r="L924" s="45" t="str">
        <f t="shared" si="44"/>
        <v>Melita – Sučić</v>
      </c>
      <c r="N924" s="103"/>
      <c r="O924" s="104"/>
      <c r="P924" s="105"/>
    </row>
    <row r="925" spans="2:16" x14ac:dyDescent="0.25">
      <c r="B925" s="103">
        <v>1031</v>
      </c>
      <c r="C925" s="104" t="s">
        <v>4118</v>
      </c>
      <c r="D925" s="104" t="s">
        <v>619</v>
      </c>
      <c r="E925" s="104" t="s">
        <v>425</v>
      </c>
      <c r="F925" s="105"/>
      <c r="H925" s="45" t="str">
        <f t="shared" si="42"/>
        <v>Stjepan – Sučić – OK Vihor</v>
      </c>
      <c r="J925" s="45" t="str">
        <f t="shared" si="43"/>
        <v>Stjepan – Sučić – OK Vihor</v>
      </c>
      <c r="L925" s="45" t="str">
        <f t="shared" si="44"/>
        <v>Stjepan – Sučić</v>
      </c>
      <c r="N925" s="103"/>
      <c r="O925" s="104"/>
      <c r="P925" s="105"/>
    </row>
    <row r="926" spans="2:16" x14ac:dyDescent="0.25">
      <c r="B926" s="103">
        <v>1366</v>
      </c>
      <c r="C926" s="104" t="s">
        <v>1550</v>
      </c>
      <c r="D926" s="104" t="s">
        <v>619</v>
      </c>
      <c r="E926" s="104" t="s">
        <v>425</v>
      </c>
      <c r="F926" s="105" t="s">
        <v>1129</v>
      </c>
      <c r="H926" s="45" t="str">
        <f t="shared" si="42"/>
        <v>Valter – Sučić – OK Vihor – M21B</v>
      </c>
      <c r="J926" s="45" t="str">
        <f t="shared" si="43"/>
        <v>Valter – Sučić – OK Vihor</v>
      </c>
      <c r="L926" s="45" t="str">
        <f t="shared" si="44"/>
        <v>Valter – Sučić</v>
      </c>
      <c r="N926" s="103"/>
      <c r="O926" s="104"/>
      <c r="P926" s="105"/>
    </row>
    <row r="927" spans="2:16" x14ac:dyDescent="0.25">
      <c r="B927" s="103">
        <v>1148</v>
      </c>
      <c r="C927" s="104" t="s">
        <v>2484</v>
      </c>
      <c r="D927" s="104" t="s">
        <v>3400</v>
      </c>
      <c r="E927" s="104" t="s">
        <v>425</v>
      </c>
      <c r="F927" s="105" t="s">
        <v>3264</v>
      </c>
      <c r="H927" s="45" t="str">
        <f t="shared" si="42"/>
        <v>Iva – Tatić – OK Vihor – Ž35</v>
      </c>
      <c r="J927" s="45" t="str">
        <f t="shared" si="43"/>
        <v>Iva – Tatić – OK Vihor</v>
      </c>
      <c r="L927" s="45" t="str">
        <f t="shared" si="44"/>
        <v>Iva – Tatić</v>
      </c>
      <c r="N927" s="103"/>
      <c r="O927" s="104"/>
      <c r="P927" s="105"/>
    </row>
    <row r="928" spans="2:16" x14ac:dyDescent="0.25">
      <c r="B928" s="103">
        <v>1291</v>
      </c>
      <c r="C928" s="104" t="s">
        <v>2646</v>
      </c>
      <c r="D928" s="104" t="s">
        <v>1378</v>
      </c>
      <c r="E928" s="104" t="s">
        <v>425</v>
      </c>
      <c r="F928" s="105" t="s">
        <v>3000</v>
      </c>
      <c r="H928" s="45" t="str">
        <f t="shared" si="42"/>
        <v>Dora – Težak – OK Vihor – Ž21A</v>
      </c>
      <c r="J928" s="45" t="str">
        <f t="shared" si="43"/>
        <v>Dora – Težak – OK Vihor</v>
      </c>
      <c r="L928" s="45" t="str">
        <f t="shared" si="44"/>
        <v>Dora – Težak</v>
      </c>
      <c r="N928" s="103"/>
      <c r="O928" s="104"/>
      <c r="P928" s="105"/>
    </row>
    <row r="929" spans="2:16" x14ac:dyDescent="0.25">
      <c r="B929" s="103">
        <v>1436</v>
      </c>
      <c r="C929" s="104" t="s">
        <v>2447</v>
      </c>
      <c r="D929" s="104" t="s">
        <v>1378</v>
      </c>
      <c r="E929" s="104" t="s">
        <v>425</v>
      </c>
      <c r="F929" s="105" t="s">
        <v>3442</v>
      </c>
      <c r="H929" s="45" t="str">
        <f t="shared" si="42"/>
        <v>Ivana – Težak – OK Vihor – Ž45</v>
      </c>
      <c r="J929" s="45" t="str">
        <f t="shared" si="43"/>
        <v>Ivana – Težak – OK Vihor</v>
      </c>
      <c r="L929" s="45" t="str">
        <f t="shared" si="44"/>
        <v>Ivana – Težak</v>
      </c>
      <c r="N929" s="103"/>
      <c r="O929" s="104"/>
      <c r="P929" s="105"/>
    </row>
    <row r="930" spans="2:16" x14ac:dyDescent="0.25">
      <c r="B930" s="103">
        <v>1114</v>
      </c>
      <c r="C930" s="104" t="s">
        <v>589</v>
      </c>
      <c r="D930" s="104" t="s">
        <v>1378</v>
      </c>
      <c r="E930" s="104" t="s">
        <v>425</v>
      </c>
      <c r="F930" s="105" t="s">
        <v>1129</v>
      </c>
      <c r="H930" s="45" t="str">
        <f t="shared" si="42"/>
        <v>Karlo – Težak – OK Vihor – M21B</v>
      </c>
      <c r="J930" s="45" t="str">
        <f t="shared" si="43"/>
        <v>Karlo – Težak – OK Vihor</v>
      </c>
      <c r="L930" s="45" t="str">
        <f t="shared" si="44"/>
        <v>Karlo – Težak</v>
      </c>
      <c r="N930" s="103"/>
      <c r="O930" s="104"/>
      <c r="P930" s="105"/>
    </row>
    <row r="931" spans="2:16" x14ac:dyDescent="0.25">
      <c r="B931" s="103">
        <v>1329</v>
      </c>
      <c r="C931" s="104" t="s">
        <v>4208</v>
      </c>
      <c r="D931" s="104" t="s">
        <v>1378</v>
      </c>
      <c r="E931" s="104" t="s">
        <v>425</v>
      </c>
      <c r="F931" s="105" t="s">
        <v>2765</v>
      </c>
      <c r="H931" s="45" t="str">
        <f t="shared" si="42"/>
        <v>Magdalena – Težak – OK Vihor – Ž16</v>
      </c>
      <c r="J931" s="45" t="str">
        <f t="shared" si="43"/>
        <v>Magdalena – Težak – OK Vihor</v>
      </c>
      <c r="L931" s="45" t="str">
        <f t="shared" si="44"/>
        <v>Magdalena – Težak</v>
      </c>
      <c r="N931" s="103"/>
      <c r="O931" s="104"/>
      <c r="P931" s="105"/>
    </row>
    <row r="932" spans="2:16" x14ac:dyDescent="0.25">
      <c r="B932" s="103">
        <v>1280</v>
      </c>
      <c r="C932" s="104" t="s">
        <v>1943</v>
      </c>
      <c r="D932" s="104" t="s">
        <v>1378</v>
      </c>
      <c r="E932" s="104" t="s">
        <v>425</v>
      </c>
      <c r="F932" s="105" t="s">
        <v>1908</v>
      </c>
      <c r="H932" s="45" t="str">
        <f t="shared" si="42"/>
        <v>Robert – Težak – OK Vihor – M45</v>
      </c>
      <c r="J932" s="45" t="str">
        <f t="shared" si="43"/>
        <v>Robert – Težak – OK Vihor</v>
      </c>
      <c r="L932" s="45" t="str">
        <f t="shared" si="44"/>
        <v>Robert – Težak</v>
      </c>
      <c r="N932" s="103"/>
      <c r="O932" s="104"/>
      <c r="P932" s="105"/>
    </row>
    <row r="933" spans="2:16" x14ac:dyDescent="0.25">
      <c r="B933" s="103">
        <v>1928</v>
      </c>
      <c r="C933" s="104" t="s">
        <v>3252</v>
      </c>
      <c r="D933" s="104" t="s">
        <v>3251</v>
      </c>
      <c r="E933" s="104" t="s">
        <v>425</v>
      </c>
      <c r="F933" s="105" t="s">
        <v>3093</v>
      </c>
      <c r="H933" s="45" t="str">
        <f t="shared" si="42"/>
        <v>Marina – Tomac-Rojčević – OK Vihor – Ž21B</v>
      </c>
      <c r="J933" s="45" t="str">
        <f t="shared" si="43"/>
        <v>Marina – Tomac-Rojčević – OK Vihor</v>
      </c>
      <c r="L933" s="45" t="str">
        <f t="shared" si="44"/>
        <v>Marina – Tomac-Rojčević</v>
      </c>
      <c r="N933" s="103"/>
      <c r="O933" s="104"/>
      <c r="P933" s="105"/>
    </row>
    <row r="934" spans="2:16" x14ac:dyDescent="0.25">
      <c r="B934" s="103">
        <v>1929</v>
      </c>
      <c r="C934" s="104" t="s">
        <v>1467</v>
      </c>
      <c r="D934" s="104" t="s">
        <v>1466</v>
      </c>
      <c r="E934" s="104" t="s">
        <v>425</v>
      </c>
      <c r="F934" s="105" t="s">
        <v>1129</v>
      </c>
      <c r="H934" s="45" t="str">
        <f t="shared" si="42"/>
        <v>Emil – Trčak – OK Vihor – M21B</v>
      </c>
      <c r="J934" s="45" t="str">
        <f t="shared" si="43"/>
        <v>Emil – Trčak – OK Vihor</v>
      </c>
      <c r="L934" s="45" t="str">
        <f t="shared" si="44"/>
        <v>Emil – Trčak</v>
      </c>
      <c r="N934" s="103"/>
      <c r="O934" s="104"/>
      <c r="P934" s="105"/>
    </row>
    <row r="935" spans="2:16" x14ac:dyDescent="0.25">
      <c r="B935" s="103">
        <v>1100</v>
      </c>
      <c r="C935" s="104" t="s">
        <v>3238</v>
      </c>
      <c r="D935" s="104" t="s">
        <v>4381</v>
      </c>
      <c r="E935" s="104" t="s">
        <v>425</v>
      </c>
      <c r="F935" s="105" t="s">
        <v>3093</v>
      </c>
      <c r="H935" s="45" t="str">
        <f t="shared" si="42"/>
        <v>Martina – Triplat Horvat – OK Vihor – Ž21B</v>
      </c>
      <c r="J935" s="45" t="str">
        <f t="shared" si="43"/>
        <v>Martina – Triplat Horvat – OK Vihor</v>
      </c>
      <c r="L935" s="45" t="str">
        <f t="shared" si="44"/>
        <v>Martina – Triplat Horvat</v>
      </c>
      <c r="N935" s="103"/>
      <c r="O935" s="104"/>
      <c r="P935" s="105"/>
    </row>
    <row r="936" spans="2:16" x14ac:dyDescent="0.25">
      <c r="B936" s="103">
        <v>1336</v>
      </c>
      <c r="C936" s="104" t="s">
        <v>1979</v>
      </c>
      <c r="D936" s="104" t="s">
        <v>2399</v>
      </c>
      <c r="E936" s="104" t="s">
        <v>425</v>
      </c>
      <c r="F936" s="105" t="s">
        <v>885</v>
      </c>
      <c r="H936" s="45" t="str">
        <f t="shared" si="42"/>
        <v>Marijan – Turkalj – OK Vihor – M21A</v>
      </c>
      <c r="J936" s="45" t="str">
        <f t="shared" si="43"/>
        <v>Marijan – Turkalj – OK Vihor</v>
      </c>
      <c r="L936" s="45" t="str">
        <f t="shared" si="44"/>
        <v>Marijan – Turkalj</v>
      </c>
      <c r="N936" s="103"/>
      <c r="O936" s="104"/>
      <c r="P936" s="105"/>
    </row>
    <row r="937" spans="2:16" x14ac:dyDescent="0.25">
      <c r="B937" s="103">
        <v>1486</v>
      </c>
      <c r="C937" s="104" t="s">
        <v>4382</v>
      </c>
      <c r="D937" s="104" t="s">
        <v>4383</v>
      </c>
      <c r="E937" s="104" t="s">
        <v>425</v>
      </c>
      <c r="F937" s="105" t="s">
        <v>1908</v>
      </c>
      <c r="H937" s="45" t="str">
        <f t="shared" si="42"/>
        <v>Krešimir – Tušek – OK Vihor – M45</v>
      </c>
      <c r="J937" s="45" t="str">
        <f t="shared" si="43"/>
        <v>Krešimir – Tušek – OK Vihor</v>
      </c>
      <c r="L937" s="45" t="str">
        <f t="shared" si="44"/>
        <v>Krešimir – Tušek</v>
      </c>
      <c r="N937" s="103"/>
      <c r="O937" s="104"/>
      <c r="P937" s="105"/>
    </row>
    <row r="938" spans="2:16" x14ac:dyDescent="0.25">
      <c r="B938" s="103">
        <v>1447</v>
      </c>
      <c r="C938" s="104" t="s">
        <v>962</v>
      </c>
      <c r="D938" s="104" t="s">
        <v>4384</v>
      </c>
      <c r="E938" s="104" t="s">
        <v>425</v>
      </c>
      <c r="F938" s="105" t="s">
        <v>1908</v>
      </c>
      <c r="H938" s="45" t="str">
        <f t="shared" si="42"/>
        <v>Dražen – Tutić – OK Vihor – M45</v>
      </c>
      <c r="J938" s="45" t="str">
        <f t="shared" si="43"/>
        <v>Dražen – Tutić – OK Vihor</v>
      </c>
      <c r="L938" s="45" t="str">
        <f t="shared" si="44"/>
        <v>Dražen – Tutić</v>
      </c>
      <c r="N938" s="103"/>
      <c r="O938" s="104"/>
      <c r="P938" s="105"/>
    </row>
    <row r="939" spans="2:16" x14ac:dyDescent="0.25">
      <c r="B939" s="103">
        <v>1042</v>
      </c>
      <c r="C939" s="104" t="s">
        <v>2703</v>
      </c>
      <c r="D939" s="104" t="s">
        <v>4384</v>
      </c>
      <c r="E939" s="104" t="s">
        <v>425</v>
      </c>
      <c r="F939" s="105" t="s">
        <v>2731</v>
      </c>
      <c r="H939" s="45" t="str">
        <f t="shared" si="42"/>
        <v>Ema – Tutić – OK Vihor – Ž14</v>
      </c>
      <c r="J939" s="45" t="str">
        <f t="shared" si="43"/>
        <v>Ema – Tutić – OK Vihor</v>
      </c>
      <c r="L939" s="45" t="str">
        <f t="shared" si="44"/>
        <v>Ema – Tutić</v>
      </c>
      <c r="N939" s="103"/>
      <c r="O939" s="104"/>
      <c r="P939" s="105"/>
    </row>
    <row r="940" spans="2:16" x14ac:dyDescent="0.25">
      <c r="B940" s="103">
        <v>1154</v>
      </c>
      <c r="C940" s="104" t="s">
        <v>3238</v>
      </c>
      <c r="D940" s="104" t="s">
        <v>4384</v>
      </c>
      <c r="E940" s="104" t="s">
        <v>425</v>
      </c>
      <c r="F940" s="105"/>
      <c r="H940" s="45" t="str">
        <f t="shared" si="42"/>
        <v>Martina – Tutić – OK Vihor</v>
      </c>
      <c r="J940" s="45" t="str">
        <f t="shared" si="43"/>
        <v>Martina – Tutić – OK Vihor</v>
      </c>
      <c r="L940" s="45" t="str">
        <f t="shared" si="44"/>
        <v>Martina – Tutić</v>
      </c>
      <c r="N940" s="103"/>
      <c r="O940" s="104"/>
      <c r="P940" s="105"/>
    </row>
    <row r="941" spans="2:16" x14ac:dyDescent="0.25">
      <c r="B941" s="103">
        <v>1455</v>
      </c>
      <c r="C941" s="104" t="s">
        <v>420</v>
      </c>
      <c r="D941" s="104" t="s">
        <v>4384</v>
      </c>
      <c r="E941" s="104" t="s">
        <v>425</v>
      </c>
      <c r="F941" s="105" t="s">
        <v>1129</v>
      </c>
      <c r="H941" s="45" t="str">
        <f t="shared" si="42"/>
        <v>Teo – Tutić – OK Vihor – M21B</v>
      </c>
      <c r="J941" s="45" t="str">
        <f t="shared" si="43"/>
        <v>Teo – Tutić – OK Vihor</v>
      </c>
      <c r="L941" s="45" t="str">
        <f t="shared" si="44"/>
        <v>Teo – Tutić</v>
      </c>
      <c r="N941" s="103"/>
      <c r="O941" s="104"/>
      <c r="P941" s="105"/>
    </row>
    <row r="942" spans="2:16" x14ac:dyDescent="0.25">
      <c r="B942" s="103">
        <v>1724</v>
      </c>
      <c r="C942" s="104" t="s">
        <v>4385</v>
      </c>
      <c r="D942" s="104" t="s">
        <v>4386</v>
      </c>
      <c r="E942" s="104" t="s">
        <v>425</v>
      </c>
      <c r="F942" s="105"/>
      <c r="H942" s="45" t="str">
        <f t="shared" si="42"/>
        <v>Roberta – Valai – OK Vihor</v>
      </c>
      <c r="J942" s="45" t="str">
        <f t="shared" si="43"/>
        <v>Roberta – Valai – OK Vihor</v>
      </c>
      <c r="L942" s="45" t="str">
        <f t="shared" si="44"/>
        <v>Roberta – Valai</v>
      </c>
      <c r="N942" s="103"/>
      <c r="O942" s="104"/>
      <c r="P942" s="105"/>
    </row>
    <row r="943" spans="2:16" x14ac:dyDescent="0.25">
      <c r="B943" s="103">
        <v>1909</v>
      </c>
      <c r="C943" s="104" t="s">
        <v>2646</v>
      </c>
      <c r="D943" s="104" t="s">
        <v>1319</v>
      </c>
      <c r="E943" s="104" t="s">
        <v>425</v>
      </c>
      <c r="F943" s="105" t="s">
        <v>2765</v>
      </c>
      <c r="H943" s="45" t="str">
        <f t="shared" si="42"/>
        <v>Dora – Valjak – OK Vihor – Ž16</v>
      </c>
      <c r="J943" s="45" t="str">
        <f t="shared" si="43"/>
        <v>Dora – Valjak – OK Vihor</v>
      </c>
      <c r="L943" s="45" t="str">
        <f t="shared" si="44"/>
        <v>Dora – Valjak</v>
      </c>
      <c r="N943" s="103"/>
      <c r="O943" s="104"/>
      <c r="P943" s="105"/>
    </row>
    <row r="944" spans="2:16" x14ac:dyDescent="0.25">
      <c r="B944" s="103">
        <v>1908</v>
      </c>
      <c r="C944" s="104" t="s">
        <v>471</v>
      </c>
      <c r="D944" s="104" t="s">
        <v>1319</v>
      </c>
      <c r="E944" s="104" t="s">
        <v>425</v>
      </c>
      <c r="F944" s="105" t="s">
        <v>768</v>
      </c>
      <c r="H944" s="45" t="str">
        <f t="shared" si="42"/>
        <v>Filip – Valjak – OK Vihor – M20</v>
      </c>
      <c r="J944" s="45" t="str">
        <f t="shared" si="43"/>
        <v>Filip – Valjak – OK Vihor</v>
      </c>
      <c r="L944" s="45" t="str">
        <f t="shared" si="44"/>
        <v>Filip – Valjak</v>
      </c>
      <c r="N944" s="103"/>
      <c r="O944" s="104"/>
      <c r="P944" s="105"/>
    </row>
    <row r="945" spans="2:16" x14ac:dyDescent="0.25">
      <c r="B945" s="103">
        <v>1907</v>
      </c>
      <c r="C945" s="104" t="s">
        <v>1320</v>
      </c>
      <c r="D945" s="104" t="s">
        <v>1319</v>
      </c>
      <c r="E945" s="104" t="s">
        <v>425</v>
      </c>
      <c r="F945" s="105" t="s">
        <v>1129</v>
      </c>
      <c r="H945" s="45" t="str">
        <f t="shared" si="42"/>
        <v>Željko – Valjak – OK Vihor – M21B</v>
      </c>
      <c r="J945" s="45" t="str">
        <f t="shared" si="43"/>
        <v>Željko – Valjak – OK Vihor</v>
      </c>
      <c r="L945" s="45" t="str">
        <f t="shared" si="44"/>
        <v>Željko – Valjak</v>
      </c>
      <c r="N945" s="103"/>
      <c r="O945" s="104"/>
      <c r="P945" s="105"/>
    </row>
    <row r="946" spans="2:16" x14ac:dyDescent="0.25">
      <c r="B946" s="103">
        <v>1529</v>
      </c>
      <c r="C946" s="104" t="s">
        <v>2447</v>
      </c>
      <c r="D946" s="104" t="s">
        <v>4387</v>
      </c>
      <c r="E946" s="104" t="s">
        <v>425</v>
      </c>
      <c r="F946" s="105" t="s">
        <v>3442</v>
      </c>
      <c r="H946" s="45" t="str">
        <f t="shared" si="42"/>
        <v>Ivana – Varga Horjan – OK Vihor – Ž45</v>
      </c>
      <c r="J946" s="45" t="str">
        <f t="shared" si="43"/>
        <v>Ivana – Varga Horjan – OK Vihor</v>
      </c>
      <c r="L946" s="45" t="str">
        <f t="shared" si="44"/>
        <v>Ivana – Varga Horjan</v>
      </c>
      <c r="N946" s="103"/>
      <c r="O946" s="104"/>
      <c r="P946" s="105"/>
    </row>
    <row r="947" spans="2:16" x14ac:dyDescent="0.25">
      <c r="B947" s="103">
        <v>1289</v>
      </c>
      <c r="C947" s="104" t="s">
        <v>1028</v>
      </c>
      <c r="D947" s="104" t="s">
        <v>1027</v>
      </c>
      <c r="E947" s="104" t="s">
        <v>425</v>
      </c>
      <c r="F947" s="105" t="s">
        <v>885</v>
      </c>
      <c r="H947" s="45" t="str">
        <f t="shared" si="42"/>
        <v>Tomislav – Varnica – OK Vihor – M21A</v>
      </c>
      <c r="J947" s="45" t="str">
        <f t="shared" si="43"/>
        <v>Tomislav – Varnica – OK Vihor</v>
      </c>
      <c r="L947" s="45" t="str">
        <f t="shared" si="44"/>
        <v>Tomislav – Varnica</v>
      </c>
      <c r="N947" s="103"/>
      <c r="O947" s="104"/>
      <c r="P947" s="105"/>
    </row>
    <row r="948" spans="2:16" x14ac:dyDescent="0.25">
      <c r="B948" s="103">
        <v>1725</v>
      </c>
      <c r="C948" s="104" t="s">
        <v>4388</v>
      </c>
      <c r="D948" s="104" t="s">
        <v>4028</v>
      </c>
      <c r="E948" s="104" t="s">
        <v>425</v>
      </c>
      <c r="F948" s="105"/>
      <c r="H948" s="45" t="str">
        <f t="shared" si="42"/>
        <v>Romana – Večerić – OK Vihor</v>
      </c>
      <c r="J948" s="45" t="str">
        <f t="shared" si="43"/>
        <v>Romana – Večerić – OK Vihor</v>
      </c>
      <c r="L948" s="45" t="str">
        <f t="shared" si="44"/>
        <v>Romana – Večerić</v>
      </c>
      <c r="N948" s="103"/>
      <c r="O948" s="104"/>
      <c r="P948" s="105"/>
    </row>
    <row r="949" spans="2:16" x14ac:dyDescent="0.25">
      <c r="B949" s="103">
        <v>1910</v>
      </c>
      <c r="C949" s="104" t="s">
        <v>3261</v>
      </c>
      <c r="D949" s="104" t="s">
        <v>4389</v>
      </c>
      <c r="E949" s="104" t="s">
        <v>425</v>
      </c>
      <c r="F949" s="105" t="s">
        <v>3093</v>
      </c>
      <c r="H949" s="45" t="str">
        <f t="shared" si="42"/>
        <v>Željka – Vilagoš – OK Vihor – Ž21B</v>
      </c>
      <c r="J949" s="45" t="str">
        <f t="shared" si="43"/>
        <v>Željka – Vilagoš – OK Vihor</v>
      </c>
      <c r="L949" s="45" t="str">
        <f t="shared" si="44"/>
        <v>Željka – Vilagoš</v>
      </c>
      <c r="N949" s="103"/>
      <c r="O949" s="104"/>
      <c r="P949" s="105"/>
    </row>
    <row r="950" spans="2:16" x14ac:dyDescent="0.25">
      <c r="B950" s="103">
        <v>1240</v>
      </c>
      <c r="C950" s="104" t="s">
        <v>4005</v>
      </c>
      <c r="D950" s="104" t="s">
        <v>4390</v>
      </c>
      <c r="E950" s="104" t="s">
        <v>425</v>
      </c>
      <c r="F950" s="105" t="s">
        <v>3442</v>
      </c>
      <c r="H950" s="45" t="str">
        <f t="shared" si="42"/>
        <v>Jasminka – Vlahović – OK Vihor – Ž45</v>
      </c>
      <c r="J950" s="45" t="str">
        <f t="shared" si="43"/>
        <v>Jasminka – Vlahović – OK Vihor</v>
      </c>
      <c r="L950" s="45" t="str">
        <f t="shared" si="44"/>
        <v>Jasminka – Vlahović</v>
      </c>
      <c r="N950" s="103"/>
      <c r="O950" s="104"/>
      <c r="P950" s="105"/>
    </row>
    <row r="951" spans="2:16" x14ac:dyDescent="0.25">
      <c r="B951" s="103">
        <v>1956</v>
      </c>
      <c r="C951" s="104" t="s">
        <v>2069</v>
      </c>
      <c r="D951" s="104" t="s">
        <v>4391</v>
      </c>
      <c r="E951" s="104" t="s">
        <v>425</v>
      </c>
      <c r="F951" s="105"/>
      <c r="H951" s="45" t="str">
        <f t="shared" si="42"/>
        <v>Alen – Vodopijevec – OK Vihor</v>
      </c>
      <c r="J951" s="45" t="str">
        <f t="shared" si="43"/>
        <v>Alen – Vodopijevec – OK Vihor</v>
      </c>
      <c r="L951" s="45" t="str">
        <f t="shared" si="44"/>
        <v>Alen – Vodopijevec</v>
      </c>
      <c r="N951" s="103"/>
      <c r="O951" s="104"/>
      <c r="P951" s="105"/>
    </row>
    <row r="952" spans="2:16" x14ac:dyDescent="0.25">
      <c r="B952" s="103">
        <v>1552</v>
      </c>
      <c r="C952" s="104" t="s">
        <v>2949</v>
      </c>
      <c r="D952" s="104" t="s">
        <v>3838</v>
      </c>
      <c r="E952" s="104" t="s">
        <v>425</v>
      </c>
      <c r="F952" s="105" t="s">
        <v>3442</v>
      </c>
      <c r="H952" s="45" t="str">
        <f t="shared" si="42"/>
        <v>Paula – Vrdoljak – OK Vihor – Ž45</v>
      </c>
      <c r="J952" s="45" t="str">
        <f t="shared" si="43"/>
        <v>Paula – Vrdoljak – OK Vihor</v>
      </c>
      <c r="L952" s="45" t="str">
        <f t="shared" si="44"/>
        <v>Paula – Vrdoljak</v>
      </c>
      <c r="N952" s="103"/>
      <c r="O952" s="104"/>
      <c r="P952" s="105"/>
    </row>
    <row r="953" spans="2:16" x14ac:dyDescent="0.25">
      <c r="B953" s="103">
        <v>1448</v>
      </c>
      <c r="C953" s="104" t="s">
        <v>1028</v>
      </c>
      <c r="D953" s="104" t="s">
        <v>1744</v>
      </c>
      <c r="E953" s="104" t="s">
        <v>425</v>
      </c>
      <c r="F953" s="105" t="s">
        <v>1574</v>
      </c>
      <c r="H953" s="45" t="str">
        <f t="shared" si="42"/>
        <v>Tomislav – Vuk – OK Vihor – M35</v>
      </c>
      <c r="J953" s="45" t="str">
        <f t="shared" si="43"/>
        <v>Tomislav – Vuk – OK Vihor</v>
      </c>
      <c r="L953" s="45" t="str">
        <f t="shared" si="44"/>
        <v>Tomislav – Vuk</v>
      </c>
      <c r="N953" s="103"/>
      <c r="O953" s="104"/>
      <c r="P953" s="105"/>
    </row>
    <row r="954" spans="2:16" x14ac:dyDescent="0.25">
      <c r="B954" s="103">
        <v>1911</v>
      </c>
      <c r="C954" s="104" t="s">
        <v>753</v>
      </c>
      <c r="D954" s="104" t="s">
        <v>752</v>
      </c>
      <c r="E954" s="104" t="s">
        <v>425</v>
      </c>
      <c r="F954" s="105" t="s">
        <v>651</v>
      </c>
      <c r="H954" s="45" t="str">
        <f t="shared" si="42"/>
        <v>Kaan – Yelen – OK Vihor – M16</v>
      </c>
      <c r="J954" s="45" t="str">
        <f t="shared" si="43"/>
        <v>Kaan – Yelen – OK Vihor</v>
      </c>
      <c r="L954" s="45" t="str">
        <f t="shared" si="44"/>
        <v>Kaan – Yelen</v>
      </c>
      <c r="N954" s="103"/>
      <c r="O954" s="104"/>
      <c r="P954" s="105"/>
    </row>
    <row r="955" spans="2:16" x14ac:dyDescent="0.25">
      <c r="B955" s="103">
        <v>1726</v>
      </c>
      <c r="C955" s="104" t="s">
        <v>604</v>
      </c>
      <c r="D955" s="104" t="s">
        <v>4392</v>
      </c>
      <c r="E955" s="104" t="s">
        <v>425</v>
      </c>
      <c r="F955" s="105"/>
      <c r="H955" s="45" t="str">
        <f t="shared" si="42"/>
        <v>Marko – Žabčić – OK Vihor</v>
      </c>
      <c r="J955" s="45" t="str">
        <f t="shared" si="43"/>
        <v>Marko – Žabčić – OK Vihor</v>
      </c>
      <c r="L955" s="45" t="str">
        <f t="shared" si="44"/>
        <v>Marko – Žabčić</v>
      </c>
      <c r="N955" s="103"/>
      <c r="O955" s="104"/>
      <c r="P955" s="105"/>
    </row>
    <row r="956" spans="2:16" x14ac:dyDescent="0.25">
      <c r="B956" s="103">
        <v>1004</v>
      </c>
      <c r="C956" s="104" t="s">
        <v>3230</v>
      </c>
      <c r="D956" s="104" t="s">
        <v>4393</v>
      </c>
      <c r="E956" s="104" t="s">
        <v>425</v>
      </c>
      <c r="F956" s="105"/>
      <c r="H956" s="45" t="str">
        <f t="shared" si="42"/>
        <v>Aleksandra – Žagar – OK Vihor</v>
      </c>
      <c r="J956" s="45" t="str">
        <f t="shared" si="43"/>
        <v>Aleksandra – Žagar – OK Vihor</v>
      </c>
      <c r="L956" s="45" t="str">
        <f t="shared" si="44"/>
        <v>Aleksandra – Žagar</v>
      </c>
      <c r="N956" s="103"/>
      <c r="O956" s="104"/>
      <c r="P956" s="105"/>
    </row>
    <row r="957" spans="2:16" x14ac:dyDescent="0.25">
      <c r="B957" s="103">
        <v>1011</v>
      </c>
      <c r="C957" s="104" t="s">
        <v>1866</v>
      </c>
      <c r="D957" s="104" t="s">
        <v>4393</v>
      </c>
      <c r="E957" s="104" t="s">
        <v>425</v>
      </c>
      <c r="F957" s="105"/>
      <c r="H957" s="45" t="str">
        <f t="shared" si="42"/>
        <v>Damir – Žagar – OK Vihor</v>
      </c>
      <c r="J957" s="45" t="str">
        <f t="shared" si="43"/>
        <v>Damir – Žagar – OK Vihor</v>
      </c>
      <c r="L957" s="45" t="str">
        <f t="shared" si="44"/>
        <v>Damir – Žagar</v>
      </c>
      <c r="N957" s="103"/>
      <c r="O957" s="104"/>
      <c r="P957" s="105"/>
    </row>
    <row r="958" spans="2:16" x14ac:dyDescent="0.25">
      <c r="B958" s="103">
        <v>1912</v>
      </c>
      <c r="C958" s="104" t="s">
        <v>3023</v>
      </c>
      <c r="D958" s="104" t="s">
        <v>3212</v>
      </c>
      <c r="E958" s="104" t="s">
        <v>425</v>
      </c>
      <c r="F958" s="105" t="s">
        <v>3093</v>
      </c>
      <c r="H958" s="45" t="str">
        <f t="shared" si="42"/>
        <v>Olga – Zaitseva – OK Vihor – Ž21B</v>
      </c>
      <c r="J958" s="45" t="str">
        <f t="shared" si="43"/>
        <v>Olga – Zaitseva – OK Vihor</v>
      </c>
      <c r="L958" s="45" t="str">
        <f t="shared" si="44"/>
        <v>Olga – Zaitseva</v>
      </c>
      <c r="N958" s="103"/>
      <c r="O958" s="104"/>
      <c r="P958" s="105"/>
    </row>
    <row r="959" spans="2:16" x14ac:dyDescent="0.25">
      <c r="B959" s="103">
        <v>1037</v>
      </c>
      <c r="C959" s="104" t="s">
        <v>4150</v>
      </c>
      <c r="D959" s="104" t="s">
        <v>4394</v>
      </c>
      <c r="E959" s="104" t="s">
        <v>425</v>
      </c>
      <c r="F959" s="105"/>
      <c r="H959" s="45" t="str">
        <f t="shared" si="42"/>
        <v>Vesna – Žarak – OK Vihor</v>
      </c>
      <c r="J959" s="45" t="str">
        <f t="shared" si="43"/>
        <v>Vesna – Žarak – OK Vihor</v>
      </c>
      <c r="L959" s="45" t="str">
        <f t="shared" si="44"/>
        <v>Vesna – Žarak</v>
      </c>
      <c r="N959" s="103"/>
      <c r="O959" s="104"/>
      <c r="P959" s="105"/>
    </row>
    <row r="960" spans="2:16" x14ac:dyDescent="0.25">
      <c r="B960" s="103">
        <v>1454</v>
      </c>
      <c r="C960" s="104" t="s">
        <v>4082</v>
      </c>
      <c r="D960" s="104" t="s">
        <v>4395</v>
      </c>
      <c r="E960" s="104" t="s">
        <v>425</v>
      </c>
      <c r="F960" s="105" t="s">
        <v>3442</v>
      </c>
      <c r="H960" s="45" t="str">
        <f t="shared" si="42"/>
        <v>Kristina – Zubin – OK Vihor – Ž45</v>
      </c>
      <c r="J960" s="45" t="str">
        <f t="shared" si="43"/>
        <v>Kristina – Zubin – OK Vihor</v>
      </c>
      <c r="L960" s="45" t="str">
        <f t="shared" si="44"/>
        <v>Kristina – Zubin</v>
      </c>
      <c r="N960" s="103"/>
      <c r="O960" s="104"/>
      <c r="P960" s="105"/>
    </row>
    <row r="961" spans="2:16" x14ac:dyDescent="0.25">
      <c r="B961" s="103">
        <v>1808</v>
      </c>
      <c r="C961" s="104" t="s">
        <v>437</v>
      </c>
      <c r="D961" s="104" t="s">
        <v>4396</v>
      </c>
      <c r="E961" s="104" t="s">
        <v>425</v>
      </c>
      <c r="F961" s="105"/>
      <c r="H961" s="45" t="str">
        <f t="shared" si="42"/>
        <v>Ivan – Žufić – OK Vihor</v>
      </c>
      <c r="J961" s="45" t="str">
        <f t="shared" si="43"/>
        <v>Ivan – Žufić – OK Vihor</v>
      </c>
      <c r="L961" s="45" t="str">
        <f t="shared" si="44"/>
        <v>Ivan – Žufić</v>
      </c>
      <c r="N961" s="103"/>
      <c r="O961" s="104"/>
      <c r="P961" s="105"/>
    </row>
    <row r="962" spans="2:16" x14ac:dyDescent="0.25">
      <c r="B962" s="103">
        <v>1412</v>
      </c>
      <c r="C962" s="104" t="s">
        <v>2484</v>
      </c>
      <c r="D962" s="104" t="s">
        <v>4397</v>
      </c>
      <c r="E962" s="104" t="s">
        <v>425</v>
      </c>
      <c r="F962" s="105" t="s">
        <v>3093</v>
      </c>
      <c r="H962" s="45" t="str">
        <f t="shared" si="42"/>
        <v>Iva – Žulić – OK Vihor – Ž21B</v>
      </c>
      <c r="J962" s="45" t="str">
        <f t="shared" si="43"/>
        <v>Iva – Žulić – OK Vihor</v>
      </c>
      <c r="L962" s="45" t="str">
        <f t="shared" si="44"/>
        <v>Iva – Žulić</v>
      </c>
      <c r="N962" s="103"/>
      <c r="O962" s="104"/>
      <c r="P962" s="105"/>
    </row>
    <row r="963" spans="2:16" x14ac:dyDescent="0.25">
      <c r="B963" s="103"/>
      <c r="C963" s="104"/>
      <c r="D963" s="104"/>
      <c r="E963" s="104"/>
      <c r="F963" s="105"/>
      <c r="H963" s="45" t="str">
        <f t="shared" si="42"/>
        <v/>
      </c>
      <c r="J963" s="45" t="str">
        <f t="shared" si="43"/>
        <v/>
      </c>
      <c r="L963" s="45" t="str">
        <f t="shared" si="44"/>
        <v/>
      </c>
      <c r="N963" s="103"/>
      <c r="O963" s="104"/>
      <c r="P963" s="105"/>
    </row>
    <row r="964" spans="2:16" x14ac:dyDescent="0.25">
      <c r="B964" s="103"/>
      <c r="C964" s="104"/>
      <c r="D964" s="104"/>
      <c r="E964" s="104"/>
      <c r="F964" s="105"/>
      <c r="H964" s="45" t="str">
        <f t="shared" si="42"/>
        <v/>
      </c>
      <c r="J964" s="45" t="str">
        <f t="shared" si="43"/>
        <v/>
      </c>
      <c r="L964" s="45" t="str">
        <f t="shared" si="44"/>
        <v/>
      </c>
      <c r="N964" s="103"/>
      <c r="O964" s="104"/>
      <c r="P964" s="105"/>
    </row>
    <row r="965" spans="2:16" x14ac:dyDescent="0.25">
      <c r="B965" s="103"/>
      <c r="C965" s="104"/>
      <c r="D965" s="104"/>
      <c r="E965" s="104"/>
      <c r="F965" s="105"/>
      <c r="H965" s="45" t="str">
        <f t="shared" si="42"/>
        <v/>
      </c>
      <c r="J965" s="45" t="str">
        <f t="shared" si="43"/>
        <v/>
      </c>
      <c r="L965" s="45" t="str">
        <f t="shared" si="44"/>
        <v/>
      </c>
      <c r="N965" s="103"/>
      <c r="O965" s="104"/>
      <c r="P965" s="105"/>
    </row>
    <row r="966" spans="2:16" x14ac:dyDescent="0.25">
      <c r="B966" s="103"/>
      <c r="C966" s="104"/>
      <c r="D966" s="104"/>
      <c r="E966" s="104"/>
      <c r="F966" s="105"/>
      <c r="H966" s="45" t="str">
        <f t="shared" si="42"/>
        <v/>
      </c>
      <c r="J966" s="45" t="str">
        <f t="shared" si="43"/>
        <v/>
      </c>
      <c r="L966" s="45" t="str">
        <f t="shared" si="44"/>
        <v/>
      </c>
      <c r="N966" s="103"/>
      <c r="O966" s="104"/>
      <c r="P966" s="105"/>
    </row>
    <row r="967" spans="2:16" x14ac:dyDescent="0.25">
      <c r="B967" s="103"/>
      <c r="C967" s="104"/>
      <c r="D967" s="104"/>
      <c r="E967" s="104"/>
      <c r="F967" s="105"/>
      <c r="H967" s="45" t="str">
        <f t="shared" si="42"/>
        <v/>
      </c>
      <c r="J967" s="45" t="str">
        <f t="shared" si="43"/>
        <v/>
      </c>
      <c r="L967" s="45" t="str">
        <f t="shared" si="44"/>
        <v/>
      </c>
      <c r="N967" s="103"/>
      <c r="O967" s="104"/>
      <c r="P967" s="105"/>
    </row>
    <row r="968" spans="2:16" x14ac:dyDescent="0.25">
      <c r="B968" s="103"/>
      <c r="C968" s="104"/>
      <c r="D968" s="104"/>
      <c r="E968" s="104"/>
      <c r="F968" s="105"/>
      <c r="H968" s="45" t="str">
        <f t="shared" si="42"/>
        <v/>
      </c>
      <c r="J968" s="45" t="str">
        <f t="shared" si="43"/>
        <v/>
      </c>
      <c r="L968" s="45" t="str">
        <f t="shared" si="44"/>
        <v/>
      </c>
      <c r="N968" s="103"/>
      <c r="O968" s="104"/>
      <c r="P968" s="105"/>
    </row>
    <row r="969" spans="2:16" x14ac:dyDescent="0.25">
      <c r="B969" s="103"/>
      <c r="C969" s="104"/>
      <c r="D969" s="104"/>
      <c r="E969" s="104"/>
      <c r="F969" s="105"/>
      <c r="H969" s="45" t="str">
        <f t="shared" si="42"/>
        <v/>
      </c>
      <c r="J969" s="45" t="str">
        <f t="shared" si="43"/>
        <v/>
      </c>
      <c r="L969" s="45" t="str">
        <f t="shared" si="44"/>
        <v/>
      </c>
      <c r="N969" s="103"/>
      <c r="O969" s="104"/>
      <c r="P969" s="105"/>
    </row>
    <row r="970" spans="2:16" x14ac:dyDescent="0.25">
      <c r="B970" s="103"/>
      <c r="C970" s="104"/>
      <c r="D970" s="104"/>
      <c r="E970" s="104"/>
      <c r="F970" s="105"/>
      <c r="H970" s="45" t="str">
        <f t="shared" si="42"/>
        <v/>
      </c>
      <c r="J970" s="45" t="str">
        <f t="shared" si="43"/>
        <v/>
      </c>
      <c r="L970" s="45" t="str">
        <f t="shared" si="44"/>
        <v/>
      </c>
      <c r="N970" s="103"/>
      <c r="O970" s="104"/>
      <c r="P970" s="105"/>
    </row>
    <row r="971" spans="2:16" x14ac:dyDescent="0.25">
      <c r="B971" s="103"/>
      <c r="C971" s="104"/>
      <c r="D971" s="104"/>
      <c r="E971" s="104"/>
      <c r="F971" s="105"/>
      <c r="H971" s="45" t="str">
        <f t="shared" ref="H971:H1034" si="45">IF(C971="","",C971) &amp; IF(D971="",""," – " &amp; D971) &amp; IF(E971="",""," – " &amp; E971) &amp; IF(F971="",""," – " &amp; F971)</f>
        <v/>
      </c>
      <c r="J971" s="45" t="str">
        <f t="shared" ref="J971:J1034" si="46">IF(C971="","",C971) &amp; IF(D971="",""," – " &amp; D971) &amp; IF(E971="",""," – " &amp; E971)</f>
        <v/>
      </c>
      <c r="L971" s="45" t="str">
        <f t="shared" ref="L971:L1034" si="47">IF(C971="","",C971) &amp; IF(D971="",""," – " &amp; D971)</f>
        <v/>
      </c>
      <c r="N971" s="103"/>
      <c r="O971" s="104"/>
      <c r="P971" s="105"/>
    </row>
    <row r="972" spans="2:16" x14ac:dyDescent="0.25">
      <c r="B972" s="103"/>
      <c r="C972" s="104"/>
      <c r="D972" s="104"/>
      <c r="E972" s="104"/>
      <c r="F972" s="105"/>
      <c r="H972" s="45" t="str">
        <f t="shared" si="45"/>
        <v/>
      </c>
      <c r="J972" s="45" t="str">
        <f t="shared" si="46"/>
        <v/>
      </c>
      <c r="L972" s="45" t="str">
        <f t="shared" si="47"/>
        <v/>
      </c>
      <c r="N972" s="103"/>
      <c r="O972" s="104"/>
      <c r="P972" s="105"/>
    </row>
    <row r="973" spans="2:16" x14ac:dyDescent="0.25">
      <c r="B973" s="103"/>
      <c r="C973" s="104"/>
      <c r="D973" s="104"/>
      <c r="E973" s="104"/>
      <c r="F973" s="105"/>
      <c r="H973" s="45" t="str">
        <f t="shared" si="45"/>
        <v/>
      </c>
      <c r="J973" s="45" t="str">
        <f t="shared" si="46"/>
        <v/>
      </c>
      <c r="L973" s="45" t="str">
        <f t="shared" si="47"/>
        <v/>
      </c>
      <c r="N973" s="103"/>
      <c r="O973" s="104"/>
      <c r="P973" s="105"/>
    </row>
    <row r="974" spans="2:16" x14ac:dyDescent="0.25">
      <c r="B974" s="103"/>
      <c r="C974" s="104"/>
      <c r="D974" s="104"/>
      <c r="E974" s="104"/>
      <c r="F974" s="105"/>
      <c r="H974" s="45" t="str">
        <f t="shared" si="45"/>
        <v/>
      </c>
      <c r="J974" s="45" t="str">
        <f t="shared" si="46"/>
        <v/>
      </c>
      <c r="L974" s="45" t="str">
        <f t="shared" si="47"/>
        <v/>
      </c>
      <c r="N974" s="103"/>
      <c r="O974" s="104"/>
      <c r="P974" s="105"/>
    </row>
    <row r="975" spans="2:16" x14ac:dyDescent="0.25">
      <c r="B975" s="103"/>
      <c r="C975" s="104"/>
      <c r="D975" s="104"/>
      <c r="E975" s="104"/>
      <c r="F975" s="105"/>
      <c r="H975" s="45" t="str">
        <f t="shared" si="45"/>
        <v/>
      </c>
      <c r="J975" s="45" t="str">
        <f t="shared" si="46"/>
        <v/>
      </c>
      <c r="L975" s="45" t="str">
        <f t="shared" si="47"/>
        <v/>
      </c>
      <c r="N975" s="103"/>
      <c r="O975" s="104"/>
      <c r="P975" s="105"/>
    </row>
    <row r="976" spans="2:16" x14ac:dyDescent="0.25">
      <c r="B976" s="103"/>
      <c r="C976" s="104"/>
      <c r="D976" s="104"/>
      <c r="E976" s="104"/>
      <c r="F976" s="105"/>
      <c r="H976" s="45" t="str">
        <f t="shared" si="45"/>
        <v/>
      </c>
      <c r="J976" s="45" t="str">
        <f t="shared" si="46"/>
        <v/>
      </c>
      <c r="L976" s="45" t="str">
        <f t="shared" si="47"/>
        <v/>
      </c>
      <c r="N976" s="103"/>
      <c r="O976" s="104"/>
      <c r="P976" s="105"/>
    </row>
    <row r="977" spans="2:16" x14ac:dyDescent="0.25">
      <c r="B977" s="103"/>
      <c r="C977" s="104"/>
      <c r="D977" s="104"/>
      <c r="E977" s="104"/>
      <c r="F977" s="105"/>
      <c r="H977" s="45" t="str">
        <f t="shared" si="45"/>
        <v/>
      </c>
      <c r="J977" s="45" t="str">
        <f t="shared" si="46"/>
        <v/>
      </c>
      <c r="L977" s="45" t="str">
        <f t="shared" si="47"/>
        <v/>
      </c>
      <c r="N977" s="103"/>
      <c r="O977" s="104"/>
      <c r="P977" s="105"/>
    </row>
    <row r="978" spans="2:16" x14ac:dyDescent="0.25">
      <c r="B978" s="103"/>
      <c r="C978" s="104"/>
      <c r="D978" s="104"/>
      <c r="E978" s="104"/>
      <c r="F978" s="105"/>
      <c r="H978" s="45" t="str">
        <f t="shared" si="45"/>
        <v/>
      </c>
      <c r="J978" s="45" t="str">
        <f t="shared" si="46"/>
        <v/>
      </c>
      <c r="L978" s="45" t="str">
        <f t="shared" si="47"/>
        <v/>
      </c>
      <c r="N978" s="103"/>
      <c r="O978" s="104"/>
      <c r="P978" s="105"/>
    </row>
    <row r="979" spans="2:16" x14ac:dyDescent="0.25">
      <c r="B979" s="103"/>
      <c r="C979" s="104"/>
      <c r="D979" s="104"/>
      <c r="E979" s="104"/>
      <c r="F979" s="105"/>
      <c r="H979" s="45" t="str">
        <f t="shared" si="45"/>
        <v/>
      </c>
      <c r="J979" s="45" t="str">
        <f t="shared" si="46"/>
        <v/>
      </c>
      <c r="L979" s="45" t="str">
        <f t="shared" si="47"/>
        <v/>
      </c>
      <c r="N979" s="103"/>
      <c r="O979" s="104"/>
      <c r="P979" s="105"/>
    </row>
    <row r="980" spans="2:16" x14ac:dyDescent="0.25">
      <c r="B980" s="103"/>
      <c r="C980" s="104"/>
      <c r="D980" s="104"/>
      <c r="E980" s="104"/>
      <c r="F980" s="105"/>
      <c r="H980" s="45" t="str">
        <f t="shared" si="45"/>
        <v/>
      </c>
      <c r="J980" s="45" t="str">
        <f t="shared" si="46"/>
        <v/>
      </c>
      <c r="L980" s="45" t="str">
        <f t="shared" si="47"/>
        <v/>
      </c>
      <c r="N980" s="103"/>
      <c r="O980" s="104"/>
      <c r="P980" s="105"/>
    </row>
    <row r="981" spans="2:16" x14ac:dyDescent="0.25">
      <c r="B981" s="103"/>
      <c r="C981" s="104"/>
      <c r="D981" s="104"/>
      <c r="E981" s="104"/>
      <c r="F981" s="105"/>
      <c r="H981" s="45" t="str">
        <f t="shared" si="45"/>
        <v/>
      </c>
      <c r="J981" s="45" t="str">
        <f t="shared" si="46"/>
        <v/>
      </c>
      <c r="L981" s="45" t="str">
        <f t="shared" si="47"/>
        <v/>
      </c>
      <c r="N981" s="103"/>
      <c r="O981" s="104"/>
      <c r="P981" s="105"/>
    </row>
    <row r="982" spans="2:16" x14ac:dyDescent="0.25">
      <c r="B982" s="103"/>
      <c r="C982" s="104"/>
      <c r="D982" s="104"/>
      <c r="E982" s="104"/>
      <c r="F982" s="105"/>
      <c r="H982" s="45" t="str">
        <f t="shared" si="45"/>
        <v/>
      </c>
      <c r="J982" s="45" t="str">
        <f t="shared" si="46"/>
        <v/>
      </c>
      <c r="L982" s="45" t="str">
        <f t="shared" si="47"/>
        <v/>
      </c>
      <c r="N982" s="103"/>
      <c r="O982" s="104"/>
      <c r="P982" s="105"/>
    </row>
    <row r="983" spans="2:16" x14ac:dyDescent="0.25">
      <c r="B983" s="103"/>
      <c r="C983" s="104"/>
      <c r="D983" s="104"/>
      <c r="E983" s="104"/>
      <c r="F983" s="105"/>
      <c r="H983" s="45" t="str">
        <f t="shared" si="45"/>
        <v/>
      </c>
      <c r="J983" s="45" t="str">
        <f t="shared" si="46"/>
        <v/>
      </c>
      <c r="L983" s="45" t="str">
        <f t="shared" si="47"/>
        <v/>
      </c>
      <c r="N983" s="103"/>
      <c r="O983" s="104"/>
      <c r="P983" s="105"/>
    </row>
    <row r="984" spans="2:16" x14ac:dyDescent="0.25">
      <c r="B984" s="103"/>
      <c r="C984" s="104"/>
      <c r="D984" s="104"/>
      <c r="E984" s="104"/>
      <c r="F984" s="105"/>
      <c r="H984" s="45" t="str">
        <f t="shared" si="45"/>
        <v/>
      </c>
      <c r="J984" s="45" t="str">
        <f t="shared" si="46"/>
        <v/>
      </c>
      <c r="L984" s="45" t="str">
        <f t="shared" si="47"/>
        <v/>
      </c>
      <c r="N984" s="103"/>
      <c r="O984" s="104"/>
      <c r="P984" s="105"/>
    </row>
    <row r="985" spans="2:16" x14ac:dyDescent="0.25">
      <c r="B985" s="103"/>
      <c r="C985" s="104"/>
      <c r="D985" s="104"/>
      <c r="E985" s="104"/>
      <c r="F985" s="105"/>
      <c r="H985" s="45" t="str">
        <f t="shared" si="45"/>
        <v/>
      </c>
      <c r="J985" s="45" t="str">
        <f t="shared" si="46"/>
        <v/>
      </c>
      <c r="L985" s="45" t="str">
        <f t="shared" si="47"/>
        <v/>
      </c>
      <c r="N985" s="103"/>
      <c r="O985" s="104"/>
      <c r="P985" s="105"/>
    </row>
    <row r="986" spans="2:16" x14ac:dyDescent="0.25">
      <c r="B986" s="103"/>
      <c r="C986" s="104"/>
      <c r="D986" s="104"/>
      <c r="E986" s="104"/>
      <c r="F986" s="105"/>
      <c r="H986" s="45" t="str">
        <f t="shared" si="45"/>
        <v/>
      </c>
      <c r="J986" s="45" t="str">
        <f t="shared" si="46"/>
        <v/>
      </c>
      <c r="L986" s="45" t="str">
        <f t="shared" si="47"/>
        <v/>
      </c>
      <c r="N986" s="103"/>
      <c r="O986" s="104"/>
      <c r="P986" s="105"/>
    </row>
    <row r="987" spans="2:16" x14ac:dyDescent="0.25">
      <c r="B987" s="103"/>
      <c r="C987" s="104"/>
      <c r="D987" s="104"/>
      <c r="E987" s="104"/>
      <c r="F987" s="105"/>
      <c r="H987" s="45" t="str">
        <f t="shared" si="45"/>
        <v/>
      </c>
      <c r="J987" s="45" t="str">
        <f t="shared" si="46"/>
        <v/>
      </c>
      <c r="L987" s="45" t="str">
        <f t="shared" si="47"/>
        <v/>
      </c>
      <c r="N987" s="103"/>
      <c r="O987" s="104"/>
      <c r="P987" s="105"/>
    </row>
    <row r="988" spans="2:16" x14ac:dyDescent="0.25">
      <c r="B988" s="103"/>
      <c r="C988" s="104"/>
      <c r="D988" s="104"/>
      <c r="E988" s="104"/>
      <c r="F988" s="105"/>
      <c r="H988" s="45" t="str">
        <f t="shared" si="45"/>
        <v/>
      </c>
      <c r="J988" s="45" t="str">
        <f t="shared" si="46"/>
        <v/>
      </c>
      <c r="L988" s="45" t="str">
        <f t="shared" si="47"/>
        <v/>
      </c>
      <c r="N988" s="103"/>
      <c r="O988" s="104"/>
      <c r="P988" s="105"/>
    </row>
    <row r="989" spans="2:16" x14ac:dyDescent="0.25">
      <c r="B989" s="103"/>
      <c r="C989" s="104"/>
      <c r="D989" s="104"/>
      <c r="E989" s="104"/>
      <c r="F989" s="105"/>
      <c r="H989" s="45" t="str">
        <f t="shared" si="45"/>
        <v/>
      </c>
      <c r="J989" s="45" t="str">
        <f t="shared" si="46"/>
        <v/>
      </c>
      <c r="L989" s="45" t="str">
        <f t="shared" si="47"/>
        <v/>
      </c>
      <c r="N989" s="103"/>
      <c r="O989" s="104"/>
      <c r="P989" s="105"/>
    </row>
    <row r="990" spans="2:16" x14ac:dyDescent="0.25">
      <c r="B990" s="103"/>
      <c r="C990" s="104"/>
      <c r="D990" s="104"/>
      <c r="E990" s="104"/>
      <c r="F990" s="105"/>
      <c r="H990" s="45" t="str">
        <f t="shared" si="45"/>
        <v/>
      </c>
      <c r="J990" s="45" t="str">
        <f t="shared" si="46"/>
        <v/>
      </c>
      <c r="L990" s="45" t="str">
        <f t="shared" si="47"/>
        <v/>
      </c>
      <c r="N990" s="103"/>
      <c r="O990" s="104"/>
      <c r="P990" s="105"/>
    </row>
    <row r="991" spans="2:16" x14ac:dyDescent="0.25">
      <c r="B991" s="103"/>
      <c r="C991" s="104"/>
      <c r="D991" s="104"/>
      <c r="E991" s="104"/>
      <c r="F991" s="105"/>
      <c r="H991" s="45" t="str">
        <f t="shared" si="45"/>
        <v/>
      </c>
      <c r="J991" s="45" t="str">
        <f t="shared" si="46"/>
        <v/>
      </c>
      <c r="L991" s="45" t="str">
        <f t="shared" si="47"/>
        <v/>
      </c>
      <c r="N991" s="103"/>
      <c r="O991" s="104"/>
      <c r="P991" s="105"/>
    </row>
    <row r="992" spans="2:16" x14ac:dyDescent="0.25">
      <c r="B992" s="103"/>
      <c r="C992" s="104"/>
      <c r="D992" s="104"/>
      <c r="E992" s="104"/>
      <c r="F992" s="105"/>
      <c r="H992" s="45" t="str">
        <f t="shared" si="45"/>
        <v/>
      </c>
      <c r="J992" s="45" t="str">
        <f t="shared" si="46"/>
        <v/>
      </c>
      <c r="L992" s="45" t="str">
        <f t="shared" si="47"/>
        <v/>
      </c>
      <c r="N992" s="103"/>
      <c r="O992" s="104"/>
      <c r="P992" s="105"/>
    </row>
    <row r="993" spans="2:16" x14ac:dyDescent="0.25">
      <c r="B993" s="103"/>
      <c r="C993" s="104"/>
      <c r="D993" s="104"/>
      <c r="E993" s="104"/>
      <c r="F993" s="105"/>
      <c r="H993" s="45" t="str">
        <f t="shared" si="45"/>
        <v/>
      </c>
      <c r="J993" s="45" t="str">
        <f t="shared" si="46"/>
        <v/>
      </c>
      <c r="L993" s="45" t="str">
        <f t="shared" si="47"/>
        <v/>
      </c>
      <c r="N993" s="103"/>
      <c r="O993" s="104"/>
      <c r="P993" s="105"/>
    </row>
    <row r="994" spans="2:16" x14ac:dyDescent="0.25">
      <c r="B994" s="103"/>
      <c r="C994" s="104"/>
      <c r="D994" s="104"/>
      <c r="E994" s="104"/>
      <c r="F994" s="105"/>
      <c r="H994" s="45" t="str">
        <f t="shared" si="45"/>
        <v/>
      </c>
      <c r="J994" s="45" t="str">
        <f t="shared" si="46"/>
        <v/>
      </c>
      <c r="L994" s="45" t="str">
        <f t="shared" si="47"/>
        <v/>
      </c>
      <c r="N994" s="103"/>
      <c r="O994" s="104"/>
      <c r="P994" s="105"/>
    </row>
    <row r="995" spans="2:16" x14ac:dyDescent="0.25">
      <c r="B995" s="103"/>
      <c r="C995" s="104"/>
      <c r="D995" s="104"/>
      <c r="E995" s="104"/>
      <c r="F995" s="105"/>
      <c r="H995" s="45" t="str">
        <f t="shared" si="45"/>
        <v/>
      </c>
      <c r="J995" s="45" t="str">
        <f t="shared" si="46"/>
        <v/>
      </c>
      <c r="L995" s="45" t="str">
        <f t="shared" si="47"/>
        <v/>
      </c>
      <c r="N995" s="103"/>
      <c r="O995" s="104"/>
      <c r="P995" s="105"/>
    </row>
    <row r="996" spans="2:16" x14ac:dyDescent="0.25">
      <c r="B996" s="103"/>
      <c r="C996" s="104"/>
      <c r="D996" s="104"/>
      <c r="E996" s="104"/>
      <c r="F996" s="105"/>
      <c r="H996" s="45" t="str">
        <f t="shared" si="45"/>
        <v/>
      </c>
      <c r="J996" s="45" t="str">
        <f t="shared" si="46"/>
        <v/>
      </c>
      <c r="L996" s="45" t="str">
        <f t="shared" si="47"/>
        <v/>
      </c>
      <c r="N996" s="103"/>
      <c r="O996" s="104"/>
      <c r="P996" s="105"/>
    </row>
    <row r="997" spans="2:16" x14ac:dyDescent="0.25">
      <c r="B997" s="103"/>
      <c r="C997" s="104"/>
      <c r="D997" s="104"/>
      <c r="E997" s="104"/>
      <c r="F997" s="105"/>
      <c r="H997" s="45" t="str">
        <f t="shared" si="45"/>
        <v/>
      </c>
      <c r="J997" s="45" t="str">
        <f t="shared" si="46"/>
        <v/>
      </c>
      <c r="L997" s="45" t="str">
        <f t="shared" si="47"/>
        <v/>
      </c>
      <c r="N997" s="103"/>
      <c r="O997" s="104"/>
      <c r="P997" s="105"/>
    </row>
    <row r="998" spans="2:16" x14ac:dyDescent="0.25">
      <c r="B998" s="103"/>
      <c r="C998" s="104"/>
      <c r="D998" s="104"/>
      <c r="E998" s="104"/>
      <c r="F998" s="105"/>
      <c r="H998" s="45" t="str">
        <f t="shared" si="45"/>
        <v/>
      </c>
      <c r="J998" s="45" t="str">
        <f t="shared" si="46"/>
        <v/>
      </c>
      <c r="L998" s="45" t="str">
        <f t="shared" si="47"/>
        <v/>
      </c>
      <c r="N998" s="103"/>
      <c r="O998" s="104"/>
      <c r="P998" s="105"/>
    </row>
    <row r="999" spans="2:16" x14ac:dyDescent="0.25">
      <c r="B999" s="103"/>
      <c r="C999" s="104"/>
      <c r="D999" s="104"/>
      <c r="E999" s="104"/>
      <c r="F999" s="105"/>
      <c r="H999" s="45" t="str">
        <f t="shared" si="45"/>
        <v/>
      </c>
      <c r="J999" s="45" t="str">
        <f t="shared" si="46"/>
        <v/>
      </c>
      <c r="L999" s="45" t="str">
        <f t="shared" si="47"/>
        <v/>
      </c>
      <c r="N999" s="103"/>
      <c r="O999" s="104"/>
      <c r="P999" s="105"/>
    </row>
    <row r="1000" spans="2:16" x14ac:dyDescent="0.25">
      <c r="B1000" s="103"/>
      <c r="C1000" s="104"/>
      <c r="D1000" s="104"/>
      <c r="E1000" s="104"/>
      <c r="F1000" s="105"/>
      <c r="H1000" s="45" t="str">
        <f t="shared" si="45"/>
        <v/>
      </c>
      <c r="J1000" s="45" t="str">
        <f t="shared" si="46"/>
        <v/>
      </c>
      <c r="L1000" s="45" t="str">
        <f t="shared" si="47"/>
        <v/>
      </c>
      <c r="N1000" s="103"/>
      <c r="O1000" s="104"/>
      <c r="P1000" s="105"/>
    </row>
    <row r="1001" spans="2:16" x14ac:dyDescent="0.25">
      <c r="B1001" s="103"/>
      <c r="C1001" s="104"/>
      <c r="D1001" s="104"/>
      <c r="E1001" s="104"/>
      <c r="F1001" s="105"/>
      <c r="H1001" s="45" t="str">
        <f t="shared" si="45"/>
        <v/>
      </c>
      <c r="J1001" s="45" t="str">
        <f t="shared" si="46"/>
        <v/>
      </c>
      <c r="L1001" s="45" t="str">
        <f t="shared" si="47"/>
        <v/>
      </c>
      <c r="N1001" s="103"/>
      <c r="O1001" s="104"/>
      <c r="P1001" s="105"/>
    </row>
    <row r="1002" spans="2:16" x14ac:dyDescent="0.25">
      <c r="B1002" s="103"/>
      <c r="C1002" s="104"/>
      <c r="D1002" s="104"/>
      <c r="E1002" s="104"/>
      <c r="F1002" s="105"/>
      <c r="H1002" s="45" t="str">
        <f t="shared" si="45"/>
        <v/>
      </c>
      <c r="J1002" s="45" t="str">
        <f t="shared" si="46"/>
        <v/>
      </c>
      <c r="L1002" s="45" t="str">
        <f t="shared" si="47"/>
        <v/>
      </c>
      <c r="N1002" s="103"/>
      <c r="O1002" s="104"/>
      <c r="P1002" s="105"/>
    </row>
    <row r="1003" spans="2:16" x14ac:dyDescent="0.25">
      <c r="B1003" s="103"/>
      <c r="C1003" s="104"/>
      <c r="D1003" s="104"/>
      <c r="E1003" s="104"/>
      <c r="F1003" s="105"/>
      <c r="H1003" s="45" t="str">
        <f t="shared" si="45"/>
        <v/>
      </c>
      <c r="J1003" s="45" t="str">
        <f t="shared" si="46"/>
        <v/>
      </c>
      <c r="L1003" s="45" t="str">
        <f t="shared" si="47"/>
        <v/>
      </c>
      <c r="N1003" s="103"/>
      <c r="O1003" s="104"/>
      <c r="P1003" s="105"/>
    </row>
    <row r="1004" spans="2:16" x14ac:dyDescent="0.25">
      <c r="B1004" s="103"/>
      <c r="C1004" s="104"/>
      <c r="D1004" s="104"/>
      <c r="E1004" s="104"/>
      <c r="F1004" s="105"/>
      <c r="H1004" s="45" t="str">
        <f t="shared" si="45"/>
        <v/>
      </c>
      <c r="J1004" s="45" t="str">
        <f t="shared" si="46"/>
        <v/>
      </c>
      <c r="L1004" s="45" t="str">
        <f t="shared" si="47"/>
        <v/>
      </c>
      <c r="N1004" s="103"/>
      <c r="O1004" s="104"/>
      <c r="P1004" s="105"/>
    </row>
    <row r="1005" spans="2:16" x14ac:dyDescent="0.25">
      <c r="B1005" s="103"/>
      <c r="C1005" s="104"/>
      <c r="D1005" s="104"/>
      <c r="E1005" s="104"/>
      <c r="F1005" s="105"/>
      <c r="H1005" s="45" t="str">
        <f t="shared" si="45"/>
        <v/>
      </c>
      <c r="J1005" s="45" t="str">
        <f t="shared" si="46"/>
        <v/>
      </c>
      <c r="L1005" s="45" t="str">
        <f t="shared" si="47"/>
        <v/>
      </c>
      <c r="N1005" s="103"/>
      <c r="O1005" s="104"/>
      <c r="P1005" s="105"/>
    </row>
    <row r="1006" spans="2:16" x14ac:dyDescent="0.25">
      <c r="B1006" s="103"/>
      <c r="C1006" s="104"/>
      <c r="D1006" s="104"/>
      <c r="E1006" s="104"/>
      <c r="F1006" s="105"/>
      <c r="H1006" s="45" t="str">
        <f t="shared" si="45"/>
        <v/>
      </c>
      <c r="J1006" s="45" t="str">
        <f t="shared" si="46"/>
        <v/>
      </c>
      <c r="L1006" s="45" t="str">
        <f t="shared" si="47"/>
        <v/>
      </c>
      <c r="N1006" s="103"/>
      <c r="O1006" s="104"/>
      <c r="P1006" s="105"/>
    </row>
    <row r="1007" spans="2:16" x14ac:dyDescent="0.25">
      <c r="B1007" s="103"/>
      <c r="C1007" s="104"/>
      <c r="D1007" s="104"/>
      <c r="E1007" s="104"/>
      <c r="F1007" s="105"/>
      <c r="H1007" s="45" t="str">
        <f t="shared" si="45"/>
        <v/>
      </c>
      <c r="J1007" s="45" t="str">
        <f t="shared" si="46"/>
        <v/>
      </c>
      <c r="L1007" s="45" t="str">
        <f t="shared" si="47"/>
        <v/>
      </c>
      <c r="N1007" s="103"/>
      <c r="O1007" s="104"/>
      <c r="P1007" s="105"/>
    </row>
    <row r="1008" spans="2:16" x14ac:dyDescent="0.25">
      <c r="B1008" s="103"/>
      <c r="C1008" s="104"/>
      <c r="D1008" s="104"/>
      <c r="E1008" s="104"/>
      <c r="F1008" s="105"/>
      <c r="H1008" s="45" t="str">
        <f t="shared" si="45"/>
        <v/>
      </c>
      <c r="J1008" s="45" t="str">
        <f t="shared" si="46"/>
        <v/>
      </c>
      <c r="L1008" s="45" t="str">
        <f t="shared" si="47"/>
        <v/>
      </c>
      <c r="N1008" s="103"/>
      <c r="O1008" s="104"/>
      <c r="P1008" s="105"/>
    </row>
    <row r="1009" spans="2:16" x14ac:dyDescent="0.25">
      <c r="B1009" s="103"/>
      <c r="C1009" s="104"/>
      <c r="D1009" s="104"/>
      <c r="E1009" s="104"/>
      <c r="F1009" s="105"/>
      <c r="H1009" s="45" t="str">
        <f t="shared" si="45"/>
        <v/>
      </c>
      <c r="J1009" s="45" t="str">
        <f t="shared" si="46"/>
        <v/>
      </c>
      <c r="L1009" s="45" t="str">
        <f t="shared" si="47"/>
        <v/>
      </c>
      <c r="N1009" s="103"/>
      <c r="O1009" s="104"/>
      <c r="P1009" s="105"/>
    </row>
    <row r="1010" spans="2:16" x14ac:dyDescent="0.25">
      <c r="B1010" s="103"/>
      <c r="C1010" s="104"/>
      <c r="D1010" s="104"/>
      <c r="E1010" s="104"/>
      <c r="F1010" s="105"/>
      <c r="H1010" s="45" t="str">
        <f t="shared" si="45"/>
        <v/>
      </c>
      <c r="J1010" s="45" t="str">
        <f t="shared" si="46"/>
        <v/>
      </c>
      <c r="L1010" s="45" t="str">
        <f t="shared" si="47"/>
        <v/>
      </c>
      <c r="N1010" s="103"/>
      <c r="O1010" s="104"/>
      <c r="P1010" s="105"/>
    </row>
    <row r="1011" spans="2:16" x14ac:dyDescent="0.25">
      <c r="B1011" s="103"/>
      <c r="C1011" s="104"/>
      <c r="D1011" s="104"/>
      <c r="E1011" s="104"/>
      <c r="F1011" s="105"/>
      <c r="H1011" s="45" t="str">
        <f t="shared" si="45"/>
        <v/>
      </c>
      <c r="J1011" s="45" t="str">
        <f t="shared" si="46"/>
        <v/>
      </c>
      <c r="L1011" s="45" t="str">
        <f t="shared" si="47"/>
        <v/>
      </c>
      <c r="N1011" s="103"/>
      <c r="O1011" s="104"/>
      <c r="P1011" s="105"/>
    </row>
    <row r="1012" spans="2:16" x14ac:dyDescent="0.25">
      <c r="B1012" s="103"/>
      <c r="C1012" s="104"/>
      <c r="D1012" s="104"/>
      <c r="E1012" s="104"/>
      <c r="F1012" s="105"/>
      <c r="H1012" s="45" t="str">
        <f t="shared" si="45"/>
        <v/>
      </c>
      <c r="J1012" s="45" t="str">
        <f t="shared" si="46"/>
        <v/>
      </c>
      <c r="L1012" s="45" t="str">
        <f t="shared" si="47"/>
        <v/>
      </c>
      <c r="N1012" s="103"/>
      <c r="O1012" s="104"/>
      <c r="P1012" s="105"/>
    </row>
    <row r="1013" spans="2:16" x14ac:dyDescent="0.25">
      <c r="B1013" s="103"/>
      <c r="C1013" s="104"/>
      <c r="D1013" s="104"/>
      <c r="E1013" s="104"/>
      <c r="F1013" s="105"/>
      <c r="H1013" s="45" t="str">
        <f t="shared" si="45"/>
        <v/>
      </c>
      <c r="J1013" s="45" t="str">
        <f t="shared" si="46"/>
        <v/>
      </c>
      <c r="L1013" s="45" t="str">
        <f t="shared" si="47"/>
        <v/>
      </c>
      <c r="N1013" s="103"/>
      <c r="O1013" s="104"/>
      <c r="P1013" s="105"/>
    </row>
    <row r="1014" spans="2:16" x14ac:dyDescent="0.25">
      <c r="B1014" s="103"/>
      <c r="C1014" s="104"/>
      <c r="D1014" s="104"/>
      <c r="E1014" s="104"/>
      <c r="F1014" s="105"/>
      <c r="H1014" s="45" t="str">
        <f t="shared" si="45"/>
        <v/>
      </c>
      <c r="J1014" s="45" t="str">
        <f t="shared" si="46"/>
        <v/>
      </c>
      <c r="L1014" s="45" t="str">
        <f t="shared" si="47"/>
        <v/>
      </c>
      <c r="N1014" s="103"/>
      <c r="O1014" s="104"/>
      <c r="P1014" s="105"/>
    </row>
    <row r="1015" spans="2:16" x14ac:dyDescent="0.25">
      <c r="B1015" s="103"/>
      <c r="C1015" s="104"/>
      <c r="D1015" s="104"/>
      <c r="E1015" s="104"/>
      <c r="F1015" s="105"/>
      <c r="H1015" s="45" t="str">
        <f t="shared" si="45"/>
        <v/>
      </c>
      <c r="J1015" s="45" t="str">
        <f t="shared" si="46"/>
        <v/>
      </c>
      <c r="L1015" s="45" t="str">
        <f t="shared" si="47"/>
        <v/>
      </c>
      <c r="N1015" s="103"/>
      <c r="O1015" s="104"/>
      <c r="P1015" s="105"/>
    </row>
    <row r="1016" spans="2:16" x14ac:dyDescent="0.25">
      <c r="B1016" s="103"/>
      <c r="C1016" s="104"/>
      <c r="D1016" s="104"/>
      <c r="E1016" s="104"/>
      <c r="F1016" s="105"/>
      <c r="H1016" s="45" t="str">
        <f t="shared" si="45"/>
        <v/>
      </c>
      <c r="J1016" s="45" t="str">
        <f t="shared" si="46"/>
        <v/>
      </c>
      <c r="L1016" s="45" t="str">
        <f t="shared" si="47"/>
        <v/>
      </c>
      <c r="N1016" s="103"/>
      <c r="O1016" s="104"/>
      <c r="P1016" s="105"/>
    </row>
    <row r="1017" spans="2:16" x14ac:dyDescent="0.25">
      <c r="B1017" s="103"/>
      <c r="C1017" s="104"/>
      <c r="D1017" s="104"/>
      <c r="E1017" s="104"/>
      <c r="F1017" s="105"/>
      <c r="H1017" s="45" t="str">
        <f t="shared" si="45"/>
        <v/>
      </c>
      <c r="J1017" s="45" t="str">
        <f t="shared" si="46"/>
        <v/>
      </c>
      <c r="L1017" s="45" t="str">
        <f t="shared" si="47"/>
        <v/>
      </c>
      <c r="N1017" s="103"/>
      <c r="O1017" s="104"/>
      <c r="P1017" s="105"/>
    </row>
    <row r="1018" spans="2:16" x14ac:dyDescent="0.25">
      <c r="B1018" s="103"/>
      <c r="C1018" s="104"/>
      <c r="D1018" s="104"/>
      <c r="E1018" s="104"/>
      <c r="F1018" s="105"/>
      <c r="H1018" s="45" t="str">
        <f t="shared" si="45"/>
        <v/>
      </c>
      <c r="J1018" s="45" t="str">
        <f t="shared" si="46"/>
        <v/>
      </c>
      <c r="L1018" s="45" t="str">
        <f t="shared" si="47"/>
        <v/>
      </c>
      <c r="N1018" s="103"/>
      <c r="O1018" s="109"/>
      <c r="P1018" s="105"/>
    </row>
    <row r="1019" spans="2:16" x14ac:dyDescent="0.25">
      <c r="B1019" s="103"/>
      <c r="C1019" s="104"/>
      <c r="D1019" s="104"/>
      <c r="E1019" s="104"/>
      <c r="F1019" s="105"/>
      <c r="H1019" s="45" t="str">
        <f t="shared" si="45"/>
        <v/>
      </c>
      <c r="J1019" s="45" t="str">
        <f t="shared" si="46"/>
        <v/>
      </c>
      <c r="L1019" s="45" t="str">
        <f t="shared" si="47"/>
        <v/>
      </c>
      <c r="N1019" s="103"/>
      <c r="O1019" s="104"/>
      <c r="P1019" s="105"/>
    </row>
    <row r="1020" spans="2:16" x14ac:dyDescent="0.25">
      <c r="B1020" s="103"/>
      <c r="C1020" s="104"/>
      <c r="D1020" s="104"/>
      <c r="E1020" s="104"/>
      <c r="F1020" s="105"/>
      <c r="H1020" s="45" t="str">
        <f t="shared" si="45"/>
        <v/>
      </c>
      <c r="J1020" s="45" t="str">
        <f t="shared" si="46"/>
        <v/>
      </c>
      <c r="L1020" s="45" t="str">
        <f t="shared" si="47"/>
        <v/>
      </c>
      <c r="N1020" s="103"/>
      <c r="O1020" s="104"/>
      <c r="P1020" s="105"/>
    </row>
    <row r="1021" spans="2:16" x14ac:dyDescent="0.25">
      <c r="B1021" s="103"/>
      <c r="C1021" s="104"/>
      <c r="D1021" s="104"/>
      <c r="E1021" s="104"/>
      <c r="F1021" s="105"/>
      <c r="H1021" s="45" t="str">
        <f t="shared" si="45"/>
        <v/>
      </c>
      <c r="J1021" s="45" t="str">
        <f t="shared" si="46"/>
        <v/>
      </c>
      <c r="L1021" s="45" t="str">
        <f t="shared" si="47"/>
        <v/>
      </c>
      <c r="N1021" s="103"/>
      <c r="O1021" s="104"/>
      <c r="P1021" s="105"/>
    </row>
    <row r="1022" spans="2:16" x14ac:dyDescent="0.25">
      <c r="B1022" s="103"/>
      <c r="C1022" s="104"/>
      <c r="D1022" s="104"/>
      <c r="E1022" s="104"/>
      <c r="F1022" s="105"/>
      <c r="H1022" s="45" t="str">
        <f t="shared" si="45"/>
        <v/>
      </c>
      <c r="J1022" s="45" t="str">
        <f t="shared" si="46"/>
        <v/>
      </c>
      <c r="L1022" s="45" t="str">
        <f t="shared" si="47"/>
        <v/>
      </c>
      <c r="N1022" s="103"/>
      <c r="O1022" s="104"/>
      <c r="P1022" s="105"/>
    </row>
    <row r="1023" spans="2:16" x14ac:dyDescent="0.25">
      <c r="B1023" s="103"/>
      <c r="C1023" s="104"/>
      <c r="D1023" s="104"/>
      <c r="E1023" s="104"/>
      <c r="F1023" s="105"/>
      <c r="H1023" s="45" t="str">
        <f t="shared" si="45"/>
        <v/>
      </c>
      <c r="J1023" s="45" t="str">
        <f t="shared" si="46"/>
        <v/>
      </c>
      <c r="L1023" s="45" t="str">
        <f t="shared" si="47"/>
        <v/>
      </c>
      <c r="N1023" s="103"/>
      <c r="O1023" s="104"/>
      <c r="P1023" s="105"/>
    </row>
    <row r="1024" spans="2:16" x14ac:dyDescent="0.25">
      <c r="B1024" s="103"/>
      <c r="C1024" s="104"/>
      <c r="D1024" s="104"/>
      <c r="E1024" s="104"/>
      <c r="F1024" s="105"/>
      <c r="H1024" s="45" t="str">
        <f t="shared" si="45"/>
        <v/>
      </c>
      <c r="J1024" s="45" t="str">
        <f t="shared" si="46"/>
        <v/>
      </c>
      <c r="L1024" s="45" t="str">
        <f t="shared" si="47"/>
        <v/>
      </c>
      <c r="N1024" s="103"/>
      <c r="O1024" s="104"/>
      <c r="P1024" s="105"/>
    </row>
    <row r="1025" spans="2:16" x14ac:dyDescent="0.25">
      <c r="B1025" s="103"/>
      <c r="C1025" s="104"/>
      <c r="D1025" s="104"/>
      <c r="E1025" s="104"/>
      <c r="F1025" s="105"/>
      <c r="H1025" s="45" t="str">
        <f t="shared" si="45"/>
        <v/>
      </c>
      <c r="J1025" s="45" t="str">
        <f t="shared" si="46"/>
        <v/>
      </c>
      <c r="L1025" s="45" t="str">
        <f t="shared" si="47"/>
        <v/>
      </c>
      <c r="N1025" s="103"/>
      <c r="O1025" s="104"/>
      <c r="P1025" s="105"/>
    </row>
    <row r="1026" spans="2:16" x14ac:dyDescent="0.25">
      <c r="B1026" s="103"/>
      <c r="C1026" s="104"/>
      <c r="D1026" s="104"/>
      <c r="E1026" s="104"/>
      <c r="F1026" s="105"/>
      <c r="H1026" s="45" t="str">
        <f t="shared" si="45"/>
        <v/>
      </c>
      <c r="J1026" s="45" t="str">
        <f t="shared" si="46"/>
        <v/>
      </c>
      <c r="L1026" s="45" t="str">
        <f t="shared" si="47"/>
        <v/>
      </c>
      <c r="N1026" s="103"/>
      <c r="O1026" s="104"/>
      <c r="P1026" s="105"/>
    </row>
    <row r="1027" spans="2:16" x14ac:dyDescent="0.25">
      <c r="B1027" s="103"/>
      <c r="C1027" s="104"/>
      <c r="D1027" s="104"/>
      <c r="E1027" s="104"/>
      <c r="F1027" s="105"/>
      <c r="H1027" s="45" t="str">
        <f t="shared" si="45"/>
        <v/>
      </c>
      <c r="J1027" s="45" t="str">
        <f t="shared" si="46"/>
        <v/>
      </c>
      <c r="L1027" s="45" t="str">
        <f t="shared" si="47"/>
        <v/>
      </c>
      <c r="N1027" s="103"/>
      <c r="O1027" s="104"/>
      <c r="P1027" s="105"/>
    </row>
    <row r="1028" spans="2:16" x14ac:dyDescent="0.25">
      <c r="B1028" s="103"/>
      <c r="C1028" s="104"/>
      <c r="D1028" s="104"/>
      <c r="E1028" s="104"/>
      <c r="F1028" s="105"/>
      <c r="H1028" s="45" t="str">
        <f t="shared" si="45"/>
        <v/>
      </c>
      <c r="J1028" s="45" t="str">
        <f t="shared" si="46"/>
        <v/>
      </c>
      <c r="L1028" s="45" t="str">
        <f t="shared" si="47"/>
        <v/>
      </c>
      <c r="N1028" s="103"/>
      <c r="O1028" s="104"/>
      <c r="P1028" s="105"/>
    </row>
    <row r="1029" spans="2:16" x14ac:dyDescent="0.25">
      <c r="B1029" s="103"/>
      <c r="C1029" s="104"/>
      <c r="D1029" s="104"/>
      <c r="E1029" s="104"/>
      <c r="F1029" s="105"/>
      <c r="H1029" s="45" t="str">
        <f t="shared" si="45"/>
        <v/>
      </c>
      <c r="J1029" s="45" t="str">
        <f t="shared" si="46"/>
        <v/>
      </c>
      <c r="L1029" s="45" t="str">
        <f t="shared" si="47"/>
        <v/>
      </c>
      <c r="N1029" s="103"/>
      <c r="O1029" s="104"/>
      <c r="P1029" s="105"/>
    </row>
    <row r="1030" spans="2:16" x14ac:dyDescent="0.25">
      <c r="B1030" s="103"/>
      <c r="C1030" s="104"/>
      <c r="D1030" s="104"/>
      <c r="E1030" s="104"/>
      <c r="F1030" s="105"/>
      <c r="H1030" s="45" t="str">
        <f t="shared" si="45"/>
        <v/>
      </c>
      <c r="J1030" s="45" t="str">
        <f t="shared" si="46"/>
        <v/>
      </c>
      <c r="L1030" s="45" t="str">
        <f t="shared" si="47"/>
        <v/>
      </c>
      <c r="N1030" s="103"/>
      <c r="O1030" s="104"/>
      <c r="P1030" s="105"/>
    </row>
    <row r="1031" spans="2:16" x14ac:dyDescent="0.25">
      <c r="B1031" s="103"/>
      <c r="C1031" s="104"/>
      <c r="D1031" s="104"/>
      <c r="E1031" s="104"/>
      <c r="F1031" s="105"/>
      <c r="H1031" s="45" t="str">
        <f t="shared" si="45"/>
        <v/>
      </c>
      <c r="J1031" s="45" t="str">
        <f t="shared" si="46"/>
        <v/>
      </c>
      <c r="L1031" s="45" t="str">
        <f t="shared" si="47"/>
        <v/>
      </c>
      <c r="N1031" s="103"/>
      <c r="O1031" s="104"/>
      <c r="P1031" s="105"/>
    </row>
    <row r="1032" spans="2:16" x14ac:dyDescent="0.25">
      <c r="B1032" s="103"/>
      <c r="C1032" s="104"/>
      <c r="D1032" s="104"/>
      <c r="E1032" s="104"/>
      <c r="F1032" s="105"/>
      <c r="H1032" s="45" t="str">
        <f t="shared" si="45"/>
        <v/>
      </c>
      <c r="J1032" s="45" t="str">
        <f t="shared" si="46"/>
        <v/>
      </c>
      <c r="L1032" s="45" t="str">
        <f t="shared" si="47"/>
        <v/>
      </c>
      <c r="N1032" s="103"/>
      <c r="O1032" s="104"/>
      <c r="P1032" s="105"/>
    </row>
    <row r="1033" spans="2:16" x14ac:dyDescent="0.25">
      <c r="B1033" s="103"/>
      <c r="C1033" s="104"/>
      <c r="D1033" s="104"/>
      <c r="E1033" s="104"/>
      <c r="F1033" s="105"/>
      <c r="H1033" s="45" t="str">
        <f t="shared" si="45"/>
        <v/>
      </c>
      <c r="J1033" s="45" t="str">
        <f t="shared" si="46"/>
        <v/>
      </c>
      <c r="L1033" s="45" t="str">
        <f t="shared" si="47"/>
        <v/>
      </c>
      <c r="N1033" s="103"/>
      <c r="O1033" s="104"/>
      <c r="P1033" s="105"/>
    </row>
    <row r="1034" spans="2:16" x14ac:dyDescent="0.25">
      <c r="B1034" s="103"/>
      <c r="C1034" s="104"/>
      <c r="D1034" s="104"/>
      <c r="E1034" s="104"/>
      <c r="F1034" s="105"/>
      <c r="H1034" s="45" t="str">
        <f t="shared" si="45"/>
        <v/>
      </c>
      <c r="J1034" s="45" t="str">
        <f t="shared" si="46"/>
        <v/>
      </c>
      <c r="L1034" s="45" t="str">
        <f t="shared" si="47"/>
        <v/>
      </c>
      <c r="N1034" s="103"/>
      <c r="O1034" s="104"/>
      <c r="P1034" s="105"/>
    </row>
    <row r="1035" spans="2:16" x14ac:dyDescent="0.25">
      <c r="B1035" s="103"/>
      <c r="C1035" s="104"/>
      <c r="D1035" s="104"/>
      <c r="E1035" s="104"/>
      <c r="F1035" s="105"/>
      <c r="H1035" s="45" t="str">
        <f t="shared" ref="H1035:H1098" si="48">IF(C1035="","",C1035) &amp; IF(D1035="",""," – " &amp; D1035) &amp; IF(E1035="",""," – " &amp; E1035) &amp; IF(F1035="",""," – " &amp; F1035)</f>
        <v/>
      </c>
      <c r="J1035" s="45" t="str">
        <f t="shared" ref="J1035:J1098" si="49">IF(C1035="","",C1035) &amp; IF(D1035="",""," – " &amp; D1035) &amp; IF(E1035="",""," – " &amp; E1035)</f>
        <v/>
      </c>
      <c r="L1035" s="45" t="str">
        <f t="shared" ref="L1035:L1098" si="50">IF(C1035="","",C1035) &amp; IF(D1035="",""," – " &amp; D1035)</f>
        <v/>
      </c>
      <c r="N1035" s="103"/>
      <c r="O1035" s="104"/>
      <c r="P1035" s="105"/>
    </row>
    <row r="1036" spans="2:16" x14ac:dyDescent="0.25">
      <c r="B1036" s="103"/>
      <c r="C1036" s="104"/>
      <c r="D1036" s="104"/>
      <c r="E1036" s="104"/>
      <c r="F1036" s="105"/>
      <c r="H1036" s="45" t="str">
        <f t="shared" si="48"/>
        <v/>
      </c>
      <c r="J1036" s="45" t="str">
        <f t="shared" si="49"/>
        <v/>
      </c>
      <c r="L1036" s="45" t="str">
        <f t="shared" si="50"/>
        <v/>
      </c>
      <c r="N1036" s="103"/>
      <c r="O1036" s="104"/>
      <c r="P1036" s="105"/>
    </row>
    <row r="1037" spans="2:16" x14ac:dyDescent="0.25">
      <c r="B1037" s="103"/>
      <c r="C1037" s="104"/>
      <c r="D1037" s="104"/>
      <c r="E1037" s="104"/>
      <c r="F1037" s="105"/>
      <c r="H1037" s="45" t="str">
        <f t="shared" si="48"/>
        <v/>
      </c>
      <c r="J1037" s="45" t="str">
        <f t="shared" si="49"/>
        <v/>
      </c>
      <c r="L1037" s="45" t="str">
        <f t="shared" si="50"/>
        <v/>
      </c>
      <c r="N1037" s="103"/>
      <c r="O1037" s="104"/>
      <c r="P1037" s="105"/>
    </row>
    <row r="1038" spans="2:16" x14ac:dyDescent="0.25">
      <c r="B1038" s="103"/>
      <c r="C1038" s="104"/>
      <c r="D1038" s="104"/>
      <c r="E1038" s="104"/>
      <c r="F1038" s="105"/>
      <c r="H1038" s="45" t="str">
        <f t="shared" si="48"/>
        <v/>
      </c>
      <c r="J1038" s="45" t="str">
        <f t="shared" si="49"/>
        <v/>
      </c>
      <c r="L1038" s="45" t="str">
        <f t="shared" si="50"/>
        <v/>
      </c>
      <c r="N1038" s="103"/>
      <c r="O1038" s="104"/>
      <c r="P1038" s="105"/>
    </row>
    <row r="1039" spans="2:16" x14ac:dyDescent="0.25">
      <c r="B1039" s="103"/>
      <c r="C1039" s="104"/>
      <c r="D1039" s="104"/>
      <c r="E1039" s="104"/>
      <c r="F1039" s="105"/>
      <c r="H1039" s="45" t="str">
        <f t="shared" si="48"/>
        <v/>
      </c>
      <c r="J1039" s="45" t="str">
        <f t="shared" si="49"/>
        <v/>
      </c>
      <c r="L1039" s="45" t="str">
        <f t="shared" si="50"/>
        <v/>
      </c>
      <c r="N1039" s="103"/>
      <c r="O1039" s="104"/>
      <c r="P1039" s="105"/>
    </row>
    <row r="1040" spans="2:16" x14ac:dyDescent="0.25">
      <c r="B1040" s="103"/>
      <c r="C1040" s="104"/>
      <c r="D1040" s="104"/>
      <c r="E1040" s="104"/>
      <c r="F1040" s="105"/>
      <c r="H1040" s="45" t="str">
        <f t="shared" si="48"/>
        <v/>
      </c>
      <c r="J1040" s="45" t="str">
        <f t="shared" si="49"/>
        <v/>
      </c>
      <c r="L1040" s="45" t="str">
        <f t="shared" si="50"/>
        <v/>
      </c>
      <c r="N1040" s="103"/>
      <c r="O1040" s="104"/>
      <c r="P1040" s="105"/>
    </row>
    <row r="1041" spans="2:16" x14ac:dyDescent="0.25">
      <c r="B1041" s="103"/>
      <c r="C1041" s="104"/>
      <c r="D1041" s="104"/>
      <c r="E1041" s="104"/>
      <c r="F1041" s="105"/>
      <c r="H1041" s="45" t="str">
        <f t="shared" si="48"/>
        <v/>
      </c>
      <c r="J1041" s="45" t="str">
        <f t="shared" si="49"/>
        <v/>
      </c>
      <c r="L1041" s="45" t="str">
        <f t="shared" si="50"/>
        <v/>
      </c>
      <c r="N1041" s="103"/>
      <c r="O1041" s="104"/>
      <c r="P1041" s="105"/>
    </row>
    <row r="1042" spans="2:16" x14ac:dyDescent="0.25">
      <c r="B1042" s="103"/>
      <c r="C1042" s="104"/>
      <c r="D1042" s="104"/>
      <c r="E1042" s="104"/>
      <c r="F1042" s="105"/>
      <c r="H1042" s="45" t="str">
        <f t="shared" si="48"/>
        <v/>
      </c>
      <c r="J1042" s="45" t="str">
        <f t="shared" si="49"/>
        <v/>
      </c>
      <c r="L1042" s="45" t="str">
        <f t="shared" si="50"/>
        <v/>
      </c>
      <c r="N1042" s="103"/>
      <c r="O1042" s="104"/>
      <c r="P1042" s="105"/>
    </row>
    <row r="1043" spans="2:16" x14ac:dyDescent="0.25">
      <c r="B1043" s="103"/>
      <c r="C1043" s="104"/>
      <c r="D1043" s="104"/>
      <c r="E1043" s="104"/>
      <c r="F1043" s="105"/>
      <c r="H1043" s="45" t="str">
        <f t="shared" si="48"/>
        <v/>
      </c>
      <c r="J1043" s="45" t="str">
        <f t="shared" si="49"/>
        <v/>
      </c>
      <c r="L1043" s="45" t="str">
        <f t="shared" si="50"/>
        <v/>
      </c>
      <c r="N1043" s="103"/>
      <c r="O1043" s="104"/>
      <c r="P1043" s="105"/>
    </row>
    <row r="1044" spans="2:16" x14ac:dyDescent="0.25">
      <c r="B1044" s="103"/>
      <c r="C1044" s="104"/>
      <c r="D1044" s="104"/>
      <c r="E1044" s="104"/>
      <c r="F1044" s="105"/>
      <c r="H1044" s="45" t="str">
        <f t="shared" si="48"/>
        <v/>
      </c>
      <c r="J1044" s="45" t="str">
        <f t="shared" si="49"/>
        <v/>
      </c>
      <c r="L1044" s="45" t="str">
        <f t="shared" si="50"/>
        <v/>
      </c>
      <c r="N1044" s="103"/>
      <c r="O1044" s="104"/>
      <c r="P1044" s="105"/>
    </row>
    <row r="1045" spans="2:16" x14ac:dyDescent="0.25">
      <c r="B1045" s="103"/>
      <c r="C1045" s="104"/>
      <c r="D1045" s="104"/>
      <c r="E1045" s="104"/>
      <c r="F1045" s="105"/>
      <c r="H1045" s="45" t="str">
        <f t="shared" si="48"/>
        <v/>
      </c>
      <c r="J1045" s="45" t="str">
        <f t="shared" si="49"/>
        <v/>
      </c>
      <c r="L1045" s="45" t="str">
        <f t="shared" si="50"/>
        <v/>
      </c>
      <c r="N1045" s="103"/>
      <c r="O1045" s="104"/>
      <c r="P1045" s="105"/>
    </row>
    <row r="1046" spans="2:16" x14ac:dyDescent="0.25">
      <c r="B1046" s="103"/>
      <c r="C1046" s="104"/>
      <c r="D1046" s="104"/>
      <c r="E1046" s="104"/>
      <c r="F1046" s="105"/>
      <c r="H1046" s="45" t="str">
        <f t="shared" si="48"/>
        <v/>
      </c>
      <c r="J1046" s="45" t="str">
        <f t="shared" si="49"/>
        <v/>
      </c>
      <c r="L1046" s="45" t="str">
        <f t="shared" si="50"/>
        <v/>
      </c>
      <c r="N1046" s="103"/>
      <c r="O1046" s="104"/>
      <c r="P1046" s="105"/>
    </row>
    <row r="1047" spans="2:16" x14ac:dyDescent="0.25">
      <c r="B1047" s="103"/>
      <c r="C1047" s="104"/>
      <c r="D1047" s="104"/>
      <c r="E1047" s="104"/>
      <c r="F1047" s="105"/>
      <c r="H1047" s="45" t="str">
        <f t="shared" si="48"/>
        <v/>
      </c>
      <c r="J1047" s="45" t="str">
        <f t="shared" si="49"/>
        <v/>
      </c>
      <c r="L1047" s="45" t="str">
        <f t="shared" si="50"/>
        <v/>
      </c>
      <c r="N1047" s="103"/>
      <c r="O1047" s="104"/>
      <c r="P1047" s="105"/>
    </row>
    <row r="1048" spans="2:16" x14ac:dyDescent="0.25">
      <c r="B1048" s="103"/>
      <c r="C1048" s="104"/>
      <c r="D1048" s="104"/>
      <c r="E1048" s="104"/>
      <c r="F1048" s="105"/>
      <c r="H1048" s="45" t="str">
        <f t="shared" si="48"/>
        <v/>
      </c>
      <c r="J1048" s="45" t="str">
        <f t="shared" si="49"/>
        <v/>
      </c>
      <c r="L1048" s="45" t="str">
        <f t="shared" si="50"/>
        <v/>
      </c>
      <c r="N1048" s="103"/>
      <c r="O1048" s="104"/>
      <c r="P1048" s="105"/>
    </row>
    <row r="1049" spans="2:16" x14ac:dyDescent="0.25">
      <c r="B1049" s="103"/>
      <c r="C1049" s="104"/>
      <c r="D1049" s="104"/>
      <c r="E1049" s="104"/>
      <c r="F1049" s="105"/>
      <c r="H1049" s="45" t="str">
        <f t="shared" si="48"/>
        <v/>
      </c>
      <c r="J1049" s="45" t="str">
        <f t="shared" si="49"/>
        <v/>
      </c>
      <c r="L1049" s="45" t="str">
        <f t="shared" si="50"/>
        <v/>
      </c>
      <c r="N1049" s="103"/>
      <c r="O1049" s="104"/>
      <c r="P1049" s="105"/>
    </row>
    <row r="1050" spans="2:16" x14ac:dyDescent="0.25">
      <c r="B1050" s="103"/>
      <c r="C1050" s="104"/>
      <c r="D1050" s="104"/>
      <c r="E1050" s="104"/>
      <c r="F1050" s="105"/>
      <c r="H1050" s="45" t="str">
        <f t="shared" si="48"/>
        <v/>
      </c>
      <c r="J1050" s="45" t="str">
        <f t="shared" si="49"/>
        <v/>
      </c>
      <c r="L1050" s="45" t="str">
        <f t="shared" si="50"/>
        <v/>
      </c>
      <c r="N1050" s="103"/>
      <c r="O1050" s="104"/>
      <c r="P1050" s="105"/>
    </row>
    <row r="1051" spans="2:16" x14ac:dyDescent="0.25">
      <c r="B1051" s="103"/>
      <c r="C1051" s="104"/>
      <c r="D1051" s="104"/>
      <c r="E1051" s="104"/>
      <c r="F1051" s="105"/>
      <c r="H1051" s="45" t="str">
        <f t="shared" si="48"/>
        <v/>
      </c>
      <c r="J1051" s="45" t="str">
        <f t="shared" si="49"/>
        <v/>
      </c>
      <c r="L1051" s="45" t="str">
        <f t="shared" si="50"/>
        <v/>
      </c>
      <c r="N1051" s="103"/>
      <c r="O1051" s="104"/>
      <c r="P1051" s="105"/>
    </row>
    <row r="1052" spans="2:16" x14ac:dyDescent="0.25">
      <c r="B1052" s="103"/>
      <c r="C1052" s="104"/>
      <c r="D1052" s="104"/>
      <c r="E1052" s="104"/>
      <c r="F1052" s="105"/>
      <c r="H1052" s="45" t="str">
        <f t="shared" si="48"/>
        <v/>
      </c>
      <c r="J1052" s="45" t="str">
        <f t="shared" si="49"/>
        <v/>
      </c>
      <c r="L1052" s="45" t="str">
        <f t="shared" si="50"/>
        <v/>
      </c>
      <c r="N1052" s="103"/>
      <c r="O1052" s="104"/>
      <c r="P1052" s="105"/>
    </row>
    <row r="1053" spans="2:16" x14ac:dyDescent="0.25">
      <c r="B1053" s="103"/>
      <c r="C1053" s="104"/>
      <c r="D1053" s="104"/>
      <c r="E1053" s="104"/>
      <c r="F1053" s="105"/>
      <c r="H1053" s="45" t="str">
        <f t="shared" si="48"/>
        <v/>
      </c>
      <c r="J1053" s="45" t="str">
        <f t="shared" si="49"/>
        <v/>
      </c>
      <c r="L1053" s="45" t="str">
        <f t="shared" si="50"/>
        <v/>
      </c>
      <c r="N1053" s="103"/>
      <c r="O1053" s="104"/>
      <c r="P1053" s="105"/>
    </row>
    <row r="1054" spans="2:16" x14ac:dyDescent="0.25">
      <c r="B1054" s="103"/>
      <c r="C1054" s="104"/>
      <c r="D1054" s="104"/>
      <c r="E1054" s="104"/>
      <c r="F1054" s="105"/>
      <c r="H1054" s="45" t="str">
        <f t="shared" si="48"/>
        <v/>
      </c>
      <c r="J1054" s="45" t="str">
        <f t="shared" si="49"/>
        <v/>
      </c>
      <c r="L1054" s="45" t="str">
        <f t="shared" si="50"/>
        <v/>
      </c>
      <c r="N1054" s="103"/>
      <c r="O1054" s="104"/>
      <c r="P1054" s="105"/>
    </row>
    <row r="1055" spans="2:16" x14ac:dyDescent="0.25">
      <c r="B1055" s="103"/>
      <c r="C1055" s="104"/>
      <c r="D1055" s="104"/>
      <c r="E1055" s="104"/>
      <c r="F1055" s="105"/>
      <c r="H1055" s="45" t="str">
        <f t="shared" si="48"/>
        <v/>
      </c>
      <c r="J1055" s="45" t="str">
        <f t="shared" si="49"/>
        <v/>
      </c>
      <c r="L1055" s="45" t="str">
        <f t="shared" si="50"/>
        <v/>
      </c>
      <c r="N1055" s="103"/>
      <c r="O1055" s="104"/>
      <c r="P1055" s="105"/>
    </row>
    <row r="1056" spans="2:16" x14ac:dyDescent="0.25">
      <c r="B1056" s="103"/>
      <c r="C1056" s="104"/>
      <c r="D1056" s="104"/>
      <c r="E1056" s="104"/>
      <c r="F1056" s="105"/>
      <c r="H1056" s="45" t="str">
        <f t="shared" si="48"/>
        <v/>
      </c>
      <c r="J1056" s="45" t="str">
        <f t="shared" si="49"/>
        <v/>
      </c>
      <c r="L1056" s="45" t="str">
        <f t="shared" si="50"/>
        <v/>
      </c>
      <c r="N1056" s="103"/>
      <c r="O1056" s="104"/>
      <c r="P1056" s="105"/>
    </row>
    <row r="1057" spans="2:16" x14ac:dyDescent="0.25">
      <c r="B1057" s="103"/>
      <c r="C1057" s="104"/>
      <c r="D1057" s="104"/>
      <c r="E1057" s="104"/>
      <c r="F1057" s="105"/>
      <c r="H1057" s="45" t="str">
        <f t="shared" si="48"/>
        <v/>
      </c>
      <c r="J1057" s="45" t="str">
        <f t="shared" si="49"/>
        <v/>
      </c>
      <c r="L1057" s="45" t="str">
        <f t="shared" si="50"/>
        <v/>
      </c>
      <c r="N1057" s="103"/>
      <c r="O1057" s="104"/>
      <c r="P1057" s="105"/>
    </row>
    <row r="1058" spans="2:16" x14ac:dyDescent="0.25">
      <c r="B1058" s="103"/>
      <c r="C1058" s="104"/>
      <c r="D1058" s="104"/>
      <c r="E1058" s="104"/>
      <c r="F1058" s="105"/>
      <c r="H1058" s="45" t="str">
        <f t="shared" si="48"/>
        <v/>
      </c>
      <c r="J1058" s="45" t="str">
        <f t="shared" si="49"/>
        <v/>
      </c>
      <c r="L1058" s="45" t="str">
        <f t="shared" si="50"/>
        <v/>
      </c>
      <c r="N1058" s="103"/>
      <c r="O1058" s="104"/>
      <c r="P1058" s="105"/>
    </row>
    <row r="1059" spans="2:16" x14ac:dyDescent="0.25">
      <c r="B1059" s="103"/>
      <c r="C1059" s="104"/>
      <c r="D1059" s="104"/>
      <c r="E1059" s="104"/>
      <c r="F1059" s="105"/>
      <c r="H1059" s="45" t="str">
        <f t="shared" si="48"/>
        <v/>
      </c>
      <c r="J1059" s="45" t="str">
        <f t="shared" si="49"/>
        <v/>
      </c>
      <c r="L1059" s="45" t="str">
        <f t="shared" si="50"/>
        <v/>
      </c>
      <c r="N1059" s="103"/>
      <c r="O1059" s="104"/>
      <c r="P1059" s="105"/>
    </row>
    <row r="1060" spans="2:16" x14ac:dyDescent="0.25">
      <c r="B1060" s="103"/>
      <c r="C1060" s="104"/>
      <c r="D1060" s="104"/>
      <c r="E1060" s="104"/>
      <c r="F1060" s="105"/>
      <c r="H1060" s="45" t="str">
        <f t="shared" si="48"/>
        <v/>
      </c>
      <c r="J1060" s="45" t="str">
        <f t="shared" si="49"/>
        <v/>
      </c>
      <c r="L1060" s="45" t="str">
        <f t="shared" si="50"/>
        <v/>
      </c>
      <c r="N1060" s="103"/>
      <c r="O1060" s="104"/>
      <c r="P1060" s="105"/>
    </row>
    <row r="1061" spans="2:16" x14ac:dyDescent="0.25">
      <c r="B1061" s="103"/>
      <c r="C1061" s="104"/>
      <c r="D1061" s="104"/>
      <c r="E1061" s="104"/>
      <c r="F1061" s="105"/>
      <c r="H1061" s="45" t="str">
        <f t="shared" si="48"/>
        <v/>
      </c>
      <c r="J1061" s="45" t="str">
        <f t="shared" si="49"/>
        <v/>
      </c>
      <c r="L1061" s="45" t="str">
        <f t="shared" si="50"/>
        <v/>
      </c>
      <c r="N1061" s="103"/>
      <c r="O1061" s="104"/>
      <c r="P1061" s="105"/>
    </row>
    <row r="1062" spans="2:16" x14ac:dyDescent="0.25">
      <c r="B1062" s="103"/>
      <c r="C1062" s="104"/>
      <c r="D1062" s="104"/>
      <c r="E1062" s="104"/>
      <c r="F1062" s="105"/>
      <c r="H1062" s="45" t="str">
        <f t="shared" si="48"/>
        <v/>
      </c>
      <c r="J1062" s="45" t="str">
        <f t="shared" si="49"/>
        <v/>
      </c>
      <c r="L1062" s="45" t="str">
        <f t="shared" si="50"/>
        <v/>
      </c>
      <c r="N1062" s="103"/>
      <c r="O1062" s="104"/>
      <c r="P1062" s="105"/>
    </row>
    <row r="1063" spans="2:16" x14ac:dyDescent="0.25">
      <c r="B1063" s="103"/>
      <c r="C1063" s="104"/>
      <c r="D1063" s="104"/>
      <c r="E1063" s="104"/>
      <c r="F1063" s="105"/>
      <c r="H1063" s="45" t="str">
        <f t="shared" si="48"/>
        <v/>
      </c>
      <c r="J1063" s="45" t="str">
        <f t="shared" si="49"/>
        <v/>
      </c>
      <c r="L1063" s="45" t="str">
        <f t="shared" si="50"/>
        <v/>
      </c>
      <c r="N1063" s="103"/>
      <c r="O1063" s="104"/>
      <c r="P1063" s="105"/>
    </row>
    <row r="1064" spans="2:16" x14ac:dyDescent="0.25">
      <c r="B1064" s="103"/>
      <c r="C1064" s="104"/>
      <c r="D1064" s="104"/>
      <c r="E1064" s="104"/>
      <c r="F1064" s="105"/>
      <c r="H1064" s="45" t="str">
        <f t="shared" si="48"/>
        <v/>
      </c>
      <c r="J1064" s="45" t="str">
        <f t="shared" si="49"/>
        <v/>
      </c>
      <c r="L1064" s="45" t="str">
        <f t="shared" si="50"/>
        <v/>
      </c>
      <c r="N1064" s="103"/>
      <c r="O1064" s="104"/>
      <c r="P1064" s="105"/>
    </row>
    <row r="1065" spans="2:16" x14ac:dyDescent="0.25">
      <c r="B1065" s="103"/>
      <c r="C1065" s="104"/>
      <c r="D1065" s="104"/>
      <c r="E1065" s="104"/>
      <c r="F1065" s="105"/>
      <c r="H1065" s="45" t="str">
        <f t="shared" si="48"/>
        <v/>
      </c>
      <c r="J1065" s="45" t="str">
        <f t="shared" si="49"/>
        <v/>
      </c>
      <c r="L1065" s="45" t="str">
        <f t="shared" si="50"/>
        <v/>
      </c>
      <c r="N1065" s="103"/>
      <c r="O1065" s="104"/>
      <c r="P1065" s="105"/>
    </row>
    <row r="1066" spans="2:16" x14ac:dyDescent="0.25">
      <c r="B1066" s="103"/>
      <c r="C1066" s="104"/>
      <c r="D1066" s="104"/>
      <c r="E1066" s="104"/>
      <c r="F1066" s="105"/>
      <c r="H1066" s="45" t="str">
        <f t="shared" si="48"/>
        <v/>
      </c>
      <c r="J1066" s="45" t="str">
        <f t="shared" si="49"/>
        <v/>
      </c>
      <c r="L1066" s="45" t="str">
        <f t="shared" si="50"/>
        <v/>
      </c>
      <c r="N1066" s="103"/>
      <c r="O1066" s="104"/>
      <c r="P1066" s="105"/>
    </row>
    <row r="1067" spans="2:16" x14ac:dyDescent="0.25">
      <c r="B1067" s="103"/>
      <c r="C1067" s="104"/>
      <c r="D1067" s="104"/>
      <c r="E1067" s="104"/>
      <c r="F1067" s="105"/>
      <c r="H1067" s="45" t="str">
        <f t="shared" si="48"/>
        <v/>
      </c>
      <c r="J1067" s="45" t="str">
        <f t="shared" si="49"/>
        <v/>
      </c>
      <c r="L1067" s="45" t="str">
        <f t="shared" si="50"/>
        <v/>
      </c>
      <c r="N1067" s="103"/>
      <c r="O1067" s="104"/>
      <c r="P1067" s="105"/>
    </row>
    <row r="1068" spans="2:16" x14ac:dyDescent="0.25">
      <c r="B1068" s="103"/>
      <c r="C1068" s="104"/>
      <c r="D1068" s="104"/>
      <c r="E1068" s="104"/>
      <c r="F1068" s="105"/>
      <c r="H1068" s="45" t="str">
        <f t="shared" si="48"/>
        <v/>
      </c>
      <c r="J1068" s="45" t="str">
        <f t="shared" si="49"/>
        <v/>
      </c>
      <c r="L1068" s="45" t="str">
        <f t="shared" si="50"/>
        <v/>
      </c>
      <c r="N1068" s="103"/>
      <c r="O1068" s="104"/>
      <c r="P1068" s="105"/>
    </row>
    <row r="1069" spans="2:16" x14ac:dyDescent="0.25">
      <c r="B1069" s="103"/>
      <c r="C1069" s="104"/>
      <c r="D1069" s="104"/>
      <c r="E1069" s="104"/>
      <c r="F1069" s="105"/>
      <c r="H1069" s="45" t="str">
        <f t="shared" si="48"/>
        <v/>
      </c>
      <c r="J1069" s="45" t="str">
        <f t="shared" si="49"/>
        <v/>
      </c>
      <c r="L1069" s="45" t="str">
        <f t="shared" si="50"/>
        <v/>
      </c>
      <c r="N1069" s="103"/>
      <c r="O1069" s="104"/>
      <c r="P1069" s="105"/>
    </row>
    <row r="1070" spans="2:16" x14ac:dyDescent="0.25">
      <c r="B1070" s="103"/>
      <c r="C1070" s="104"/>
      <c r="D1070" s="104"/>
      <c r="E1070" s="104"/>
      <c r="F1070" s="105"/>
      <c r="H1070" s="45" t="str">
        <f t="shared" si="48"/>
        <v/>
      </c>
      <c r="J1070" s="45" t="str">
        <f t="shared" si="49"/>
        <v/>
      </c>
      <c r="L1070" s="45" t="str">
        <f t="shared" si="50"/>
        <v/>
      </c>
      <c r="N1070" s="103"/>
      <c r="O1070" s="104"/>
      <c r="P1070" s="105"/>
    </row>
    <row r="1071" spans="2:16" x14ac:dyDescent="0.25">
      <c r="B1071" s="103"/>
      <c r="C1071" s="104"/>
      <c r="D1071" s="104"/>
      <c r="E1071" s="104"/>
      <c r="F1071" s="105"/>
      <c r="H1071" s="45" t="str">
        <f t="shared" si="48"/>
        <v/>
      </c>
      <c r="J1071" s="45" t="str">
        <f t="shared" si="49"/>
        <v/>
      </c>
      <c r="L1071" s="45" t="str">
        <f t="shared" si="50"/>
        <v/>
      </c>
      <c r="N1071" s="103"/>
      <c r="O1071" s="104"/>
      <c r="P1071" s="105"/>
    </row>
    <row r="1072" spans="2:16" x14ac:dyDescent="0.25">
      <c r="B1072" s="103"/>
      <c r="C1072" s="104"/>
      <c r="D1072" s="104"/>
      <c r="E1072" s="104"/>
      <c r="F1072" s="105"/>
      <c r="H1072" s="45" t="str">
        <f t="shared" si="48"/>
        <v/>
      </c>
      <c r="J1072" s="45" t="str">
        <f t="shared" si="49"/>
        <v/>
      </c>
      <c r="L1072" s="45" t="str">
        <f t="shared" si="50"/>
        <v/>
      </c>
      <c r="N1072" s="103"/>
      <c r="O1072" s="104"/>
      <c r="P1072" s="105"/>
    </row>
    <row r="1073" spans="2:16" x14ac:dyDescent="0.25">
      <c r="B1073" s="103"/>
      <c r="C1073" s="104"/>
      <c r="D1073" s="104"/>
      <c r="E1073" s="104"/>
      <c r="F1073" s="105"/>
      <c r="H1073" s="45" t="str">
        <f t="shared" si="48"/>
        <v/>
      </c>
      <c r="J1073" s="45" t="str">
        <f t="shared" si="49"/>
        <v/>
      </c>
      <c r="L1073" s="45" t="str">
        <f t="shared" si="50"/>
        <v/>
      </c>
      <c r="N1073" s="103"/>
      <c r="O1073" s="104"/>
      <c r="P1073" s="105"/>
    </row>
    <row r="1074" spans="2:16" x14ac:dyDescent="0.25">
      <c r="B1074" s="103"/>
      <c r="C1074" s="104"/>
      <c r="D1074" s="104"/>
      <c r="E1074" s="104"/>
      <c r="F1074" s="105"/>
      <c r="H1074" s="45" t="str">
        <f t="shared" si="48"/>
        <v/>
      </c>
      <c r="J1074" s="45" t="str">
        <f t="shared" si="49"/>
        <v/>
      </c>
      <c r="L1074" s="45" t="str">
        <f t="shared" si="50"/>
        <v/>
      </c>
      <c r="N1074" s="103"/>
      <c r="O1074" s="104"/>
      <c r="P1074" s="105"/>
    </row>
    <row r="1075" spans="2:16" x14ac:dyDescent="0.25">
      <c r="B1075" s="103"/>
      <c r="C1075" s="104"/>
      <c r="D1075" s="104"/>
      <c r="E1075" s="104"/>
      <c r="F1075" s="105"/>
      <c r="H1075" s="45" t="str">
        <f t="shared" si="48"/>
        <v/>
      </c>
      <c r="J1075" s="45" t="str">
        <f t="shared" si="49"/>
        <v/>
      </c>
      <c r="L1075" s="45" t="str">
        <f t="shared" si="50"/>
        <v/>
      </c>
      <c r="N1075" s="103"/>
      <c r="O1075" s="104"/>
      <c r="P1075" s="105"/>
    </row>
    <row r="1076" spans="2:16" x14ac:dyDescent="0.25">
      <c r="B1076" s="103"/>
      <c r="C1076" s="104"/>
      <c r="D1076" s="104"/>
      <c r="E1076" s="104"/>
      <c r="F1076" s="105"/>
      <c r="H1076" s="45" t="str">
        <f t="shared" si="48"/>
        <v/>
      </c>
      <c r="J1076" s="45" t="str">
        <f t="shared" si="49"/>
        <v/>
      </c>
      <c r="L1076" s="45" t="str">
        <f t="shared" si="50"/>
        <v/>
      </c>
      <c r="N1076" s="103"/>
      <c r="O1076" s="104"/>
      <c r="P1076" s="105"/>
    </row>
    <row r="1077" spans="2:16" x14ac:dyDescent="0.25">
      <c r="B1077" s="103"/>
      <c r="C1077" s="104"/>
      <c r="D1077" s="104"/>
      <c r="E1077" s="104"/>
      <c r="F1077" s="105"/>
      <c r="H1077" s="45" t="str">
        <f t="shared" si="48"/>
        <v/>
      </c>
      <c r="J1077" s="45" t="str">
        <f t="shared" si="49"/>
        <v/>
      </c>
      <c r="L1077" s="45" t="str">
        <f t="shared" si="50"/>
        <v/>
      </c>
      <c r="N1077" s="103"/>
      <c r="O1077" s="104"/>
      <c r="P1077" s="105"/>
    </row>
    <row r="1078" spans="2:16" x14ac:dyDescent="0.25">
      <c r="B1078" s="103"/>
      <c r="C1078" s="104"/>
      <c r="D1078" s="104"/>
      <c r="E1078" s="104"/>
      <c r="F1078" s="105"/>
      <c r="H1078" s="45" t="str">
        <f t="shared" si="48"/>
        <v/>
      </c>
      <c r="J1078" s="45" t="str">
        <f t="shared" si="49"/>
        <v/>
      </c>
      <c r="L1078" s="45" t="str">
        <f t="shared" si="50"/>
        <v/>
      </c>
      <c r="N1078" s="103"/>
      <c r="O1078" s="104"/>
      <c r="P1078" s="105"/>
    </row>
    <row r="1079" spans="2:16" x14ac:dyDescent="0.25">
      <c r="B1079" s="103"/>
      <c r="C1079" s="104"/>
      <c r="D1079" s="104"/>
      <c r="E1079" s="104"/>
      <c r="F1079" s="105"/>
      <c r="H1079" s="45" t="str">
        <f t="shared" si="48"/>
        <v/>
      </c>
      <c r="J1079" s="45" t="str">
        <f t="shared" si="49"/>
        <v/>
      </c>
      <c r="L1079" s="45" t="str">
        <f t="shared" si="50"/>
        <v/>
      </c>
      <c r="N1079" s="103"/>
      <c r="O1079" s="104"/>
      <c r="P1079" s="105"/>
    </row>
    <row r="1080" spans="2:16" x14ac:dyDescent="0.25">
      <c r="B1080" s="103"/>
      <c r="C1080" s="104"/>
      <c r="D1080" s="104"/>
      <c r="E1080" s="104"/>
      <c r="F1080" s="105"/>
      <c r="H1080" s="45" t="str">
        <f t="shared" si="48"/>
        <v/>
      </c>
      <c r="J1080" s="45" t="str">
        <f t="shared" si="49"/>
        <v/>
      </c>
      <c r="L1080" s="45" t="str">
        <f t="shared" si="50"/>
        <v/>
      </c>
      <c r="N1080" s="103"/>
      <c r="O1080" s="104"/>
      <c r="P1080" s="105"/>
    </row>
    <row r="1081" spans="2:16" x14ac:dyDescent="0.25">
      <c r="B1081" s="103"/>
      <c r="C1081" s="104"/>
      <c r="D1081" s="104"/>
      <c r="E1081" s="104"/>
      <c r="F1081" s="105"/>
      <c r="H1081" s="45" t="str">
        <f t="shared" si="48"/>
        <v/>
      </c>
      <c r="J1081" s="45" t="str">
        <f t="shared" si="49"/>
        <v/>
      </c>
      <c r="L1081" s="45" t="str">
        <f t="shared" si="50"/>
        <v/>
      </c>
      <c r="N1081" s="103"/>
      <c r="O1081" s="104"/>
      <c r="P1081" s="105"/>
    </row>
    <row r="1082" spans="2:16" x14ac:dyDescent="0.25">
      <c r="B1082" s="103"/>
      <c r="C1082" s="104"/>
      <c r="D1082" s="104"/>
      <c r="E1082" s="104"/>
      <c r="F1082" s="105"/>
      <c r="H1082" s="45" t="str">
        <f t="shared" si="48"/>
        <v/>
      </c>
      <c r="J1082" s="45" t="str">
        <f t="shared" si="49"/>
        <v/>
      </c>
      <c r="L1082" s="45" t="str">
        <f t="shared" si="50"/>
        <v/>
      </c>
      <c r="N1082" s="103"/>
      <c r="O1082" s="104"/>
      <c r="P1082" s="105"/>
    </row>
    <row r="1083" spans="2:16" x14ac:dyDescent="0.25">
      <c r="B1083" s="103"/>
      <c r="C1083" s="104"/>
      <c r="D1083" s="104"/>
      <c r="E1083" s="104"/>
      <c r="F1083" s="105"/>
      <c r="H1083" s="45" t="str">
        <f t="shared" si="48"/>
        <v/>
      </c>
      <c r="J1083" s="45" t="str">
        <f t="shared" si="49"/>
        <v/>
      </c>
      <c r="L1083" s="45" t="str">
        <f t="shared" si="50"/>
        <v/>
      </c>
      <c r="N1083" s="103"/>
      <c r="O1083" s="104"/>
      <c r="P1083" s="105"/>
    </row>
    <row r="1084" spans="2:16" x14ac:dyDescent="0.25">
      <c r="B1084" s="103"/>
      <c r="C1084" s="104"/>
      <c r="D1084" s="104"/>
      <c r="E1084" s="104"/>
      <c r="F1084" s="105"/>
      <c r="H1084" s="45" t="str">
        <f t="shared" si="48"/>
        <v/>
      </c>
      <c r="J1084" s="45" t="str">
        <f t="shared" si="49"/>
        <v/>
      </c>
      <c r="L1084" s="45" t="str">
        <f t="shared" si="50"/>
        <v/>
      </c>
      <c r="N1084" s="103"/>
      <c r="O1084" s="104"/>
      <c r="P1084" s="105"/>
    </row>
    <row r="1085" spans="2:16" x14ac:dyDescent="0.25">
      <c r="B1085" s="103"/>
      <c r="C1085" s="104"/>
      <c r="D1085" s="104"/>
      <c r="E1085" s="104"/>
      <c r="F1085" s="105"/>
      <c r="H1085" s="45" t="str">
        <f t="shared" si="48"/>
        <v/>
      </c>
      <c r="J1085" s="45" t="str">
        <f t="shared" si="49"/>
        <v/>
      </c>
      <c r="L1085" s="45" t="str">
        <f t="shared" si="50"/>
        <v/>
      </c>
      <c r="N1085" s="103"/>
      <c r="O1085" s="104"/>
      <c r="P1085" s="105"/>
    </row>
    <row r="1086" spans="2:16" x14ac:dyDescent="0.25">
      <c r="B1086" s="103"/>
      <c r="C1086" s="104"/>
      <c r="D1086" s="104"/>
      <c r="E1086" s="104"/>
      <c r="F1086" s="105"/>
      <c r="H1086" s="45" t="str">
        <f t="shared" si="48"/>
        <v/>
      </c>
      <c r="J1086" s="45" t="str">
        <f t="shared" si="49"/>
        <v/>
      </c>
      <c r="L1086" s="45" t="str">
        <f t="shared" si="50"/>
        <v/>
      </c>
      <c r="N1086" s="103"/>
      <c r="O1086" s="104"/>
      <c r="P1086" s="105"/>
    </row>
    <row r="1087" spans="2:16" x14ac:dyDescent="0.25">
      <c r="B1087" s="103"/>
      <c r="C1087" s="104"/>
      <c r="D1087" s="104"/>
      <c r="E1087" s="104"/>
      <c r="F1087" s="105"/>
      <c r="H1087" s="45" t="str">
        <f t="shared" si="48"/>
        <v/>
      </c>
      <c r="J1087" s="45" t="str">
        <f t="shared" si="49"/>
        <v/>
      </c>
      <c r="L1087" s="45" t="str">
        <f t="shared" si="50"/>
        <v/>
      </c>
      <c r="N1087" s="103"/>
      <c r="O1087" s="104"/>
      <c r="P1087" s="105"/>
    </row>
    <row r="1088" spans="2:16" x14ac:dyDescent="0.25">
      <c r="B1088" s="103"/>
      <c r="C1088" s="104"/>
      <c r="D1088" s="104"/>
      <c r="E1088" s="104"/>
      <c r="F1088" s="105"/>
      <c r="H1088" s="45" t="str">
        <f t="shared" si="48"/>
        <v/>
      </c>
      <c r="J1088" s="45" t="str">
        <f t="shared" si="49"/>
        <v/>
      </c>
      <c r="L1088" s="45" t="str">
        <f t="shared" si="50"/>
        <v/>
      </c>
      <c r="N1088" s="103"/>
      <c r="O1088" s="104"/>
      <c r="P1088" s="105"/>
    </row>
    <row r="1089" spans="2:16" x14ac:dyDescent="0.25">
      <c r="B1089" s="103"/>
      <c r="C1089" s="104"/>
      <c r="D1089" s="104"/>
      <c r="E1089" s="104"/>
      <c r="F1089" s="105"/>
      <c r="H1089" s="45" t="str">
        <f t="shared" si="48"/>
        <v/>
      </c>
      <c r="J1089" s="45" t="str">
        <f t="shared" si="49"/>
        <v/>
      </c>
      <c r="L1089" s="45" t="str">
        <f t="shared" si="50"/>
        <v/>
      </c>
      <c r="N1089" s="103"/>
      <c r="O1089" s="104"/>
      <c r="P1089" s="105"/>
    </row>
    <row r="1090" spans="2:16" x14ac:dyDescent="0.25">
      <c r="B1090" s="103"/>
      <c r="C1090" s="104"/>
      <c r="D1090" s="104"/>
      <c r="E1090" s="104"/>
      <c r="F1090" s="105"/>
      <c r="H1090" s="45" t="str">
        <f t="shared" si="48"/>
        <v/>
      </c>
      <c r="J1090" s="45" t="str">
        <f t="shared" si="49"/>
        <v/>
      </c>
      <c r="L1090" s="45" t="str">
        <f t="shared" si="50"/>
        <v/>
      </c>
      <c r="N1090" s="103"/>
      <c r="O1090" s="104"/>
      <c r="P1090" s="105"/>
    </row>
    <row r="1091" spans="2:16" x14ac:dyDescent="0.25">
      <c r="B1091" s="103"/>
      <c r="C1091" s="104"/>
      <c r="D1091" s="104"/>
      <c r="E1091" s="104"/>
      <c r="F1091" s="105"/>
      <c r="H1091" s="45" t="str">
        <f t="shared" si="48"/>
        <v/>
      </c>
      <c r="J1091" s="45" t="str">
        <f t="shared" si="49"/>
        <v/>
      </c>
      <c r="L1091" s="45" t="str">
        <f t="shared" si="50"/>
        <v/>
      </c>
      <c r="N1091" s="103"/>
      <c r="O1091" s="104"/>
      <c r="P1091" s="105"/>
    </row>
    <row r="1092" spans="2:16" x14ac:dyDescent="0.25">
      <c r="B1092" s="103"/>
      <c r="C1092" s="104"/>
      <c r="D1092" s="104"/>
      <c r="E1092" s="104"/>
      <c r="F1092" s="105"/>
      <c r="H1092" s="45" t="str">
        <f t="shared" si="48"/>
        <v/>
      </c>
      <c r="J1092" s="45" t="str">
        <f t="shared" si="49"/>
        <v/>
      </c>
      <c r="L1092" s="45" t="str">
        <f t="shared" si="50"/>
        <v/>
      </c>
      <c r="N1092" s="103"/>
      <c r="O1092" s="104"/>
      <c r="P1092" s="105"/>
    </row>
    <row r="1093" spans="2:16" x14ac:dyDescent="0.25">
      <c r="B1093" s="103"/>
      <c r="C1093" s="104"/>
      <c r="D1093" s="104"/>
      <c r="E1093" s="104"/>
      <c r="F1093" s="105"/>
      <c r="H1093" s="45" t="str">
        <f t="shared" si="48"/>
        <v/>
      </c>
      <c r="J1093" s="45" t="str">
        <f t="shared" si="49"/>
        <v/>
      </c>
      <c r="L1093" s="45" t="str">
        <f t="shared" si="50"/>
        <v/>
      </c>
      <c r="N1093" s="103"/>
      <c r="O1093" s="104"/>
      <c r="P1093" s="105"/>
    </row>
    <row r="1094" spans="2:16" x14ac:dyDescent="0.25">
      <c r="B1094" s="103"/>
      <c r="C1094" s="104"/>
      <c r="D1094" s="104"/>
      <c r="E1094" s="104"/>
      <c r="F1094" s="105"/>
      <c r="H1094" s="45" t="str">
        <f t="shared" si="48"/>
        <v/>
      </c>
      <c r="J1094" s="45" t="str">
        <f t="shared" si="49"/>
        <v/>
      </c>
      <c r="L1094" s="45" t="str">
        <f t="shared" si="50"/>
        <v/>
      </c>
      <c r="N1094" s="103"/>
      <c r="O1094" s="104"/>
      <c r="P1094" s="105"/>
    </row>
    <row r="1095" spans="2:16" x14ac:dyDescent="0.25">
      <c r="B1095" s="103"/>
      <c r="C1095" s="104"/>
      <c r="D1095" s="104"/>
      <c r="E1095" s="104"/>
      <c r="F1095" s="105"/>
      <c r="H1095" s="45" t="str">
        <f t="shared" si="48"/>
        <v/>
      </c>
      <c r="J1095" s="45" t="str">
        <f t="shared" si="49"/>
        <v/>
      </c>
      <c r="L1095" s="45" t="str">
        <f t="shared" si="50"/>
        <v/>
      </c>
      <c r="N1095" s="103"/>
      <c r="O1095" s="104"/>
      <c r="P1095" s="105"/>
    </row>
    <row r="1096" spans="2:16" x14ac:dyDescent="0.25">
      <c r="B1096" s="103"/>
      <c r="C1096" s="104"/>
      <c r="D1096" s="104"/>
      <c r="E1096" s="104"/>
      <c r="F1096" s="105"/>
      <c r="H1096" s="45" t="str">
        <f t="shared" si="48"/>
        <v/>
      </c>
      <c r="J1096" s="45" t="str">
        <f t="shared" si="49"/>
        <v/>
      </c>
      <c r="L1096" s="45" t="str">
        <f t="shared" si="50"/>
        <v/>
      </c>
      <c r="N1096" s="103"/>
      <c r="O1096" s="104"/>
      <c r="P1096" s="105"/>
    </row>
    <row r="1097" spans="2:16" x14ac:dyDescent="0.25">
      <c r="B1097" s="103"/>
      <c r="C1097" s="104"/>
      <c r="D1097" s="104"/>
      <c r="E1097" s="104"/>
      <c r="F1097" s="105"/>
      <c r="H1097" s="45" t="str">
        <f t="shared" si="48"/>
        <v/>
      </c>
      <c r="J1097" s="45" t="str">
        <f t="shared" si="49"/>
        <v/>
      </c>
      <c r="L1097" s="45" t="str">
        <f t="shared" si="50"/>
        <v/>
      </c>
      <c r="N1097" s="103"/>
      <c r="O1097" s="104"/>
      <c r="P1097" s="105"/>
    </row>
    <row r="1098" spans="2:16" x14ac:dyDescent="0.25">
      <c r="B1098" s="103"/>
      <c r="C1098" s="104"/>
      <c r="D1098" s="104"/>
      <c r="E1098" s="104"/>
      <c r="F1098" s="105"/>
      <c r="H1098" s="45" t="str">
        <f t="shared" si="48"/>
        <v/>
      </c>
      <c r="J1098" s="45" t="str">
        <f t="shared" si="49"/>
        <v/>
      </c>
      <c r="L1098" s="45" t="str">
        <f t="shared" si="50"/>
        <v/>
      </c>
      <c r="N1098" s="103"/>
      <c r="O1098" s="104"/>
      <c r="P1098" s="105"/>
    </row>
    <row r="1099" spans="2:16" x14ac:dyDescent="0.25">
      <c r="B1099" s="103"/>
      <c r="C1099" s="104"/>
      <c r="D1099" s="104"/>
      <c r="E1099" s="104"/>
      <c r="F1099" s="105"/>
      <c r="H1099" s="45" t="str">
        <f t="shared" ref="H1099:H1162" si="51">IF(C1099="","",C1099) &amp; IF(D1099="",""," – " &amp; D1099) &amp; IF(E1099="",""," – " &amp; E1099) &amp; IF(F1099="",""," – " &amp; F1099)</f>
        <v/>
      </c>
      <c r="J1099" s="45" t="str">
        <f t="shared" ref="J1099:J1162" si="52">IF(C1099="","",C1099) &amp; IF(D1099="",""," – " &amp; D1099) &amp; IF(E1099="",""," – " &amp; E1099)</f>
        <v/>
      </c>
      <c r="L1099" s="45" t="str">
        <f t="shared" ref="L1099:L1162" si="53">IF(C1099="","",C1099) &amp; IF(D1099="",""," – " &amp; D1099)</f>
        <v/>
      </c>
      <c r="N1099" s="103"/>
      <c r="O1099" s="104"/>
      <c r="P1099" s="105"/>
    </row>
    <row r="1100" spans="2:16" x14ac:dyDescent="0.25">
      <c r="B1100" s="103"/>
      <c r="C1100" s="104"/>
      <c r="D1100" s="104"/>
      <c r="E1100" s="104"/>
      <c r="F1100" s="105"/>
      <c r="H1100" s="45" t="str">
        <f t="shared" si="51"/>
        <v/>
      </c>
      <c r="J1100" s="45" t="str">
        <f t="shared" si="52"/>
        <v/>
      </c>
      <c r="L1100" s="45" t="str">
        <f t="shared" si="53"/>
        <v/>
      </c>
      <c r="N1100" s="103"/>
      <c r="O1100" s="104"/>
      <c r="P1100" s="105"/>
    </row>
    <row r="1101" spans="2:16" x14ac:dyDescent="0.25">
      <c r="B1101" s="103"/>
      <c r="C1101" s="104"/>
      <c r="D1101" s="104"/>
      <c r="E1101" s="104"/>
      <c r="F1101" s="105"/>
      <c r="H1101" s="45" t="str">
        <f t="shared" si="51"/>
        <v/>
      </c>
      <c r="J1101" s="45" t="str">
        <f t="shared" si="52"/>
        <v/>
      </c>
      <c r="L1101" s="45" t="str">
        <f t="shared" si="53"/>
        <v/>
      </c>
      <c r="N1101" s="103"/>
      <c r="O1101" s="104"/>
      <c r="P1101" s="105"/>
    </row>
    <row r="1102" spans="2:16" x14ac:dyDescent="0.25">
      <c r="B1102" s="103"/>
      <c r="C1102" s="104"/>
      <c r="D1102" s="104"/>
      <c r="E1102" s="104"/>
      <c r="F1102" s="105"/>
      <c r="H1102" s="45" t="str">
        <f t="shared" si="51"/>
        <v/>
      </c>
      <c r="J1102" s="45" t="str">
        <f t="shared" si="52"/>
        <v/>
      </c>
      <c r="L1102" s="45" t="str">
        <f t="shared" si="53"/>
        <v/>
      </c>
      <c r="N1102" s="103"/>
      <c r="O1102" s="104"/>
      <c r="P1102" s="105"/>
    </row>
    <row r="1103" spans="2:16" x14ac:dyDescent="0.25">
      <c r="B1103" s="103"/>
      <c r="C1103" s="104"/>
      <c r="D1103" s="104"/>
      <c r="E1103" s="104"/>
      <c r="F1103" s="105"/>
      <c r="H1103" s="45" t="str">
        <f t="shared" si="51"/>
        <v/>
      </c>
      <c r="J1103" s="45" t="str">
        <f t="shared" si="52"/>
        <v/>
      </c>
      <c r="L1103" s="45" t="str">
        <f t="shared" si="53"/>
        <v/>
      </c>
      <c r="N1103" s="103"/>
      <c r="O1103" s="104"/>
      <c r="P1103" s="105"/>
    </row>
    <row r="1104" spans="2:16" x14ac:dyDescent="0.25">
      <c r="B1104" s="103"/>
      <c r="C1104" s="104"/>
      <c r="D1104" s="104"/>
      <c r="E1104" s="104"/>
      <c r="F1104" s="105"/>
      <c r="H1104" s="45" t="str">
        <f t="shared" si="51"/>
        <v/>
      </c>
      <c r="J1104" s="45" t="str">
        <f t="shared" si="52"/>
        <v/>
      </c>
      <c r="L1104" s="45" t="str">
        <f t="shared" si="53"/>
        <v/>
      </c>
      <c r="N1104" s="103"/>
      <c r="O1104" s="104"/>
      <c r="P1104" s="105"/>
    </row>
    <row r="1105" spans="2:16" x14ac:dyDescent="0.25">
      <c r="B1105" s="103"/>
      <c r="C1105" s="104"/>
      <c r="D1105" s="104"/>
      <c r="E1105" s="104"/>
      <c r="F1105" s="105"/>
      <c r="H1105" s="45" t="str">
        <f t="shared" si="51"/>
        <v/>
      </c>
      <c r="J1105" s="45" t="str">
        <f t="shared" si="52"/>
        <v/>
      </c>
      <c r="L1105" s="45" t="str">
        <f t="shared" si="53"/>
        <v/>
      </c>
      <c r="N1105" s="103"/>
      <c r="O1105" s="104"/>
      <c r="P1105" s="105"/>
    </row>
    <row r="1106" spans="2:16" x14ac:dyDescent="0.25">
      <c r="B1106" s="103"/>
      <c r="C1106" s="104"/>
      <c r="D1106" s="104"/>
      <c r="E1106" s="104"/>
      <c r="F1106" s="105"/>
      <c r="H1106" s="45" t="str">
        <f t="shared" si="51"/>
        <v/>
      </c>
      <c r="J1106" s="45" t="str">
        <f t="shared" si="52"/>
        <v/>
      </c>
      <c r="L1106" s="45" t="str">
        <f t="shared" si="53"/>
        <v/>
      </c>
      <c r="N1106" s="103"/>
      <c r="O1106" s="104"/>
      <c r="P1106" s="105"/>
    </row>
    <row r="1107" spans="2:16" x14ac:dyDescent="0.25">
      <c r="B1107" s="103"/>
      <c r="C1107" s="104"/>
      <c r="D1107" s="104"/>
      <c r="E1107" s="104"/>
      <c r="F1107" s="105"/>
      <c r="H1107" s="45" t="str">
        <f t="shared" si="51"/>
        <v/>
      </c>
      <c r="J1107" s="45" t="str">
        <f t="shared" si="52"/>
        <v/>
      </c>
      <c r="L1107" s="45" t="str">
        <f t="shared" si="53"/>
        <v/>
      </c>
      <c r="N1107" s="103"/>
      <c r="O1107" s="104"/>
      <c r="P1107" s="105"/>
    </row>
    <row r="1108" spans="2:16" x14ac:dyDescent="0.25">
      <c r="B1108" s="103"/>
      <c r="C1108" s="104"/>
      <c r="D1108" s="104"/>
      <c r="E1108" s="104"/>
      <c r="F1108" s="105"/>
      <c r="H1108" s="45" t="str">
        <f t="shared" si="51"/>
        <v/>
      </c>
      <c r="J1108" s="45" t="str">
        <f t="shared" si="52"/>
        <v/>
      </c>
      <c r="L1108" s="45" t="str">
        <f t="shared" si="53"/>
        <v/>
      </c>
      <c r="N1108" s="103"/>
      <c r="O1108" s="104"/>
      <c r="P1108" s="105"/>
    </row>
    <row r="1109" spans="2:16" x14ac:dyDescent="0.25">
      <c r="B1109" s="103"/>
      <c r="C1109" s="104"/>
      <c r="D1109" s="104"/>
      <c r="E1109" s="104"/>
      <c r="F1109" s="105"/>
      <c r="H1109" s="45" t="str">
        <f t="shared" si="51"/>
        <v/>
      </c>
      <c r="J1109" s="45" t="str">
        <f t="shared" si="52"/>
        <v/>
      </c>
      <c r="L1109" s="45" t="str">
        <f t="shared" si="53"/>
        <v/>
      </c>
      <c r="N1109" s="103"/>
      <c r="O1109" s="104"/>
      <c r="P1109" s="105"/>
    </row>
    <row r="1110" spans="2:16" x14ac:dyDescent="0.25">
      <c r="B1110" s="103"/>
      <c r="C1110" s="104"/>
      <c r="D1110" s="104"/>
      <c r="E1110" s="104"/>
      <c r="F1110" s="105"/>
      <c r="H1110" s="45" t="str">
        <f t="shared" si="51"/>
        <v/>
      </c>
      <c r="J1110" s="45" t="str">
        <f t="shared" si="52"/>
        <v/>
      </c>
      <c r="L1110" s="45" t="str">
        <f t="shared" si="53"/>
        <v/>
      </c>
      <c r="N1110" s="103"/>
      <c r="O1110" s="104"/>
      <c r="P1110" s="105"/>
    </row>
    <row r="1111" spans="2:16" x14ac:dyDescent="0.25">
      <c r="B1111" s="103"/>
      <c r="C1111" s="104"/>
      <c r="D1111" s="104"/>
      <c r="E1111" s="104"/>
      <c r="F1111" s="105"/>
      <c r="H1111" s="45" t="str">
        <f t="shared" si="51"/>
        <v/>
      </c>
      <c r="J1111" s="45" t="str">
        <f t="shared" si="52"/>
        <v/>
      </c>
      <c r="L1111" s="45" t="str">
        <f t="shared" si="53"/>
        <v/>
      </c>
      <c r="N1111" s="103"/>
      <c r="O1111" s="104"/>
      <c r="P1111" s="105"/>
    </row>
    <row r="1112" spans="2:16" x14ac:dyDescent="0.25">
      <c r="B1112" s="103"/>
      <c r="C1112" s="104"/>
      <c r="D1112" s="104"/>
      <c r="E1112" s="104"/>
      <c r="F1112" s="105"/>
      <c r="H1112" s="45" t="str">
        <f t="shared" si="51"/>
        <v/>
      </c>
      <c r="J1112" s="45" t="str">
        <f t="shared" si="52"/>
        <v/>
      </c>
      <c r="L1112" s="45" t="str">
        <f t="shared" si="53"/>
        <v/>
      </c>
      <c r="N1112" s="103"/>
      <c r="O1112" s="104"/>
      <c r="P1112" s="105"/>
    </row>
    <row r="1113" spans="2:16" x14ac:dyDescent="0.25">
      <c r="B1113" s="103"/>
      <c r="C1113" s="104"/>
      <c r="D1113" s="104"/>
      <c r="E1113" s="104"/>
      <c r="F1113" s="105"/>
      <c r="H1113" s="45" t="str">
        <f t="shared" si="51"/>
        <v/>
      </c>
      <c r="J1113" s="45" t="str">
        <f t="shared" si="52"/>
        <v/>
      </c>
      <c r="L1113" s="45" t="str">
        <f t="shared" si="53"/>
        <v/>
      </c>
      <c r="N1113" s="103"/>
      <c r="O1113" s="104"/>
      <c r="P1113" s="105"/>
    </row>
    <row r="1114" spans="2:16" x14ac:dyDescent="0.25">
      <c r="B1114" s="103"/>
      <c r="C1114" s="104"/>
      <c r="D1114" s="104"/>
      <c r="E1114" s="104"/>
      <c r="F1114" s="105"/>
      <c r="H1114" s="45" t="str">
        <f t="shared" si="51"/>
        <v/>
      </c>
      <c r="J1114" s="45" t="str">
        <f t="shared" si="52"/>
        <v/>
      </c>
      <c r="L1114" s="45" t="str">
        <f t="shared" si="53"/>
        <v/>
      </c>
      <c r="N1114" s="103"/>
      <c r="O1114" s="104"/>
      <c r="P1114" s="105"/>
    </row>
    <row r="1115" spans="2:16" x14ac:dyDescent="0.25">
      <c r="B1115" s="103"/>
      <c r="C1115" s="104"/>
      <c r="D1115" s="104"/>
      <c r="E1115" s="104"/>
      <c r="F1115" s="105"/>
      <c r="H1115" s="45" t="str">
        <f t="shared" si="51"/>
        <v/>
      </c>
      <c r="J1115" s="45" t="str">
        <f t="shared" si="52"/>
        <v/>
      </c>
      <c r="L1115" s="45" t="str">
        <f t="shared" si="53"/>
        <v/>
      </c>
      <c r="N1115" s="103"/>
      <c r="O1115" s="104"/>
      <c r="P1115" s="105"/>
    </row>
    <row r="1116" spans="2:16" x14ac:dyDescent="0.25">
      <c r="B1116" s="103"/>
      <c r="C1116" s="104"/>
      <c r="D1116" s="104"/>
      <c r="E1116" s="104"/>
      <c r="F1116" s="105"/>
      <c r="H1116" s="45" t="str">
        <f t="shared" si="51"/>
        <v/>
      </c>
      <c r="J1116" s="45" t="str">
        <f t="shared" si="52"/>
        <v/>
      </c>
      <c r="L1116" s="45" t="str">
        <f t="shared" si="53"/>
        <v/>
      </c>
      <c r="N1116" s="103"/>
      <c r="O1116" s="104"/>
      <c r="P1116" s="105"/>
    </row>
    <row r="1117" spans="2:16" x14ac:dyDescent="0.25">
      <c r="B1117" s="103"/>
      <c r="C1117" s="104"/>
      <c r="D1117" s="104"/>
      <c r="E1117" s="104"/>
      <c r="F1117" s="105"/>
      <c r="H1117" s="45" t="str">
        <f t="shared" si="51"/>
        <v/>
      </c>
      <c r="J1117" s="45" t="str">
        <f t="shared" si="52"/>
        <v/>
      </c>
      <c r="L1117" s="45" t="str">
        <f t="shared" si="53"/>
        <v/>
      </c>
      <c r="N1117" s="103"/>
      <c r="O1117" s="104"/>
      <c r="P1117" s="105"/>
    </row>
    <row r="1118" spans="2:16" x14ac:dyDescent="0.25">
      <c r="B1118" s="103"/>
      <c r="C1118" s="104"/>
      <c r="D1118" s="104"/>
      <c r="E1118" s="104"/>
      <c r="F1118" s="105"/>
      <c r="H1118" s="45" t="str">
        <f t="shared" si="51"/>
        <v/>
      </c>
      <c r="J1118" s="45" t="str">
        <f t="shared" si="52"/>
        <v/>
      </c>
      <c r="L1118" s="45" t="str">
        <f t="shared" si="53"/>
        <v/>
      </c>
      <c r="N1118" s="103"/>
      <c r="O1118" s="109"/>
      <c r="P1118" s="105"/>
    </row>
    <row r="1119" spans="2:16" x14ac:dyDescent="0.25">
      <c r="B1119" s="103"/>
      <c r="C1119" s="104"/>
      <c r="D1119" s="104"/>
      <c r="E1119" s="104"/>
      <c r="F1119" s="105"/>
      <c r="H1119" s="45" t="str">
        <f t="shared" si="51"/>
        <v/>
      </c>
      <c r="J1119" s="45" t="str">
        <f t="shared" si="52"/>
        <v/>
      </c>
      <c r="L1119" s="45" t="str">
        <f t="shared" si="53"/>
        <v/>
      </c>
      <c r="N1119" s="103"/>
      <c r="O1119" s="104"/>
      <c r="P1119" s="105"/>
    </row>
    <row r="1120" spans="2:16" x14ac:dyDescent="0.25">
      <c r="B1120" s="103"/>
      <c r="C1120" s="104"/>
      <c r="D1120" s="104"/>
      <c r="E1120" s="104"/>
      <c r="F1120" s="105"/>
      <c r="H1120" s="45" t="str">
        <f t="shared" si="51"/>
        <v/>
      </c>
      <c r="J1120" s="45" t="str">
        <f t="shared" si="52"/>
        <v/>
      </c>
      <c r="L1120" s="45" t="str">
        <f t="shared" si="53"/>
        <v/>
      </c>
      <c r="N1120" s="103"/>
      <c r="O1120" s="104"/>
      <c r="P1120" s="105"/>
    </row>
    <row r="1121" spans="2:16" x14ac:dyDescent="0.25">
      <c r="B1121" s="103"/>
      <c r="C1121" s="104"/>
      <c r="D1121" s="104"/>
      <c r="E1121" s="104"/>
      <c r="F1121" s="105"/>
      <c r="H1121" s="45" t="str">
        <f t="shared" si="51"/>
        <v/>
      </c>
      <c r="J1121" s="45" t="str">
        <f t="shared" si="52"/>
        <v/>
      </c>
      <c r="L1121" s="45" t="str">
        <f t="shared" si="53"/>
        <v/>
      </c>
      <c r="N1121" s="103"/>
      <c r="O1121" s="104"/>
      <c r="P1121" s="105"/>
    </row>
    <row r="1122" spans="2:16" x14ac:dyDescent="0.25">
      <c r="B1122" s="103"/>
      <c r="C1122" s="104"/>
      <c r="D1122" s="104"/>
      <c r="E1122" s="104"/>
      <c r="F1122" s="105"/>
      <c r="H1122" s="45" t="str">
        <f t="shared" si="51"/>
        <v/>
      </c>
      <c r="J1122" s="45" t="str">
        <f t="shared" si="52"/>
        <v/>
      </c>
      <c r="L1122" s="45" t="str">
        <f t="shared" si="53"/>
        <v/>
      </c>
      <c r="N1122" s="103"/>
      <c r="O1122" s="104"/>
      <c r="P1122" s="105"/>
    </row>
    <row r="1123" spans="2:16" x14ac:dyDescent="0.25">
      <c r="B1123" s="103"/>
      <c r="C1123" s="104"/>
      <c r="D1123" s="104"/>
      <c r="E1123" s="104"/>
      <c r="F1123" s="105"/>
      <c r="H1123" s="45" t="str">
        <f t="shared" si="51"/>
        <v/>
      </c>
      <c r="J1123" s="45" t="str">
        <f t="shared" si="52"/>
        <v/>
      </c>
      <c r="L1123" s="45" t="str">
        <f t="shared" si="53"/>
        <v/>
      </c>
      <c r="N1123" s="103"/>
      <c r="O1123" s="104"/>
      <c r="P1123" s="105"/>
    </row>
    <row r="1124" spans="2:16" x14ac:dyDescent="0.25">
      <c r="B1124" s="103"/>
      <c r="C1124" s="104"/>
      <c r="D1124" s="104"/>
      <c r="E1124" s="104"/>
      <c r="F1124" s="105"/>
      <c r="H1124" s="45" t="str">
        <f t="shared" si="51"/>
        <v/>
      </c>
      <c r="J1124" s="45" t="str">
        <f t="shared" si="52"/>
        <v/>
      </c>
      <c r="L1124" s="45" t="str">
        <f t="shared" si="53"/>
        <v/>
      </c>
      <c r="N1124" s="103"/>
      <c r="O1124" s="104"/>
      <c r="P1124" s="105"/>
    </row>
    <row r="1125" spans="2:16" x14ac:dyDescent="0.25">
      <c r="B1125" s="103"/>
      <c r="C1125" s="104"/>
      <c r="D1125" s="104"/>
      <c r="E1125" s="104"/>
      <c r="F1125" s="105"/>
      <c r="H1125" s="45" t="str">
        <f t="shared" si="51"/>
        <v/>
      </c>
      <c r="J1125" s="45" t="str">
        <f t="shared" si="52"/>
        <v/>
      </c>
      <c r="L1125" s="45" t="str">
        <f t="shared" si="53"/>
        <v/>
      </c>
      <c r="N1125" s="103"/>
      <c r="O1125" s="104"/>
      <c r="P1125" s="105"/>
    </row>
    <row r="1126" spans="2:16" x14ac:dyDescent="0.25">
      <c r="B1126" s="103"/>
      <c r="C1126" s="104"/>
      <c r="D1126" s="104"/>
      <c r="E1126" s="104"/>
      <c r="F1126" s="105"/>
      <c r="H1126" s="45" t="str">
        <f t="shared" si="51"/>
        <v/>
      </c>
      <c r="J1126" s="45" t="str">
        <f t="shared" si="52"/>
        <v/>
      </c>
      <c r="L1126" s="45" t="str">
        <f t="shared" si="53"/>
        <v/>
      </c>
      <c r="N1126" s="103"/>
      <c r="O1126" s="104"/>
      <c r="P1126" s="105"/>
    </row>
    <row r="1127" spans="2:16" x14ac:dyDescent="0.25">
      <c r="B1127" s="103"/>
      <c r="C1127" s="104"/>
      <c r="D1127" s="104"/>
      <c r="E1127" s="104"/>
      <c r="F1127" s="105"/>
      <c r="H1127" s="45" t="str">
        <f t="shared" si="51"/>
        <v/>
      </c>
      <c r="J1127" s="45" t="str">
        <f t="shared" si="52"/>
        <v/>
      </c>
      <c r="L1127" s="45" t="str">
        <f t="shared" si="53"/>
        <v/>
      </c>
      <c r="N1127" s="103"/>
      <c r="O1127" s="104"/>
      <c r="P1127" s="105"/>
    </row>
    <row r="1128" spans="2:16" x14ac:dyDescent="0.25">
      <c r="B1128" s="103"/>
      <c r="C1128" s="104"/>
      <c r="D1128" s="104"/>
      <c r="E1128" s="104"/>
      <c r="F1128" s="105"/>
      <c r="H1128" s="45" t="str">
        <f t="shared" si="51"/>
        <v/>
      </c>
      <c r="J1128" s="45" t="str">
        <f t="shared" si="52"/>
        <v/>
      </c>
      <c r="L1128" s="45" t="str">
        <f t="shared" si="53"/>
        <v/>
      </c>
      <c r="N1128" s="103"/>
      <c r="O1128" s="104"/>
      <c r="P1128" s="105"/>
    </row>
    <row r="1129" spans="2:16" x14ac:dyDescent="0.25">
      <c r="B1129" s="103"/>
      <c r="C1129" s="104"/>
      <c r="D1129" s="104"/>
      <c r="E1129" s="104"/>
      <c r="F1129" s="105"/>
      <c r="H1129" s="45" t="str">
        <f t="shared" si="51"/>
        <v/>
      </c>
      <c r="J1129" s="45" t="str">
        <f t="shared" si="52"/>
        <v/>
      </c>
      <c r="L1129" s="45" t="str">
        <f t="shared" si="53"/>
        <v/>
      </c>
      <c r="N1129" s="103"/>
      <c r="O1129" s="104"/>
      <c r="P1129" s="105"/>
    </row>
    <row r="1130" spans="2:16" x14ac:dyDescent="0.25">
      <c r="B1130" s="103"/>
      <c r="C1130" s="104"/>
      <c r="D1130" s="104"/>
      <c r="E1130" s="104"/>
      <c r="F1130" s="105"/>
      <c r="H1130" s="45" t="str">
        <f t="shared" si="51"/>
        <v/>
      </c>
      <c r="J1130" s="45" t="str">
        <f t="shared" si="52"/>
        <v/>
      </c>
      <c r="L1130" s="45" t="str">
        <f t="shared" si="53"/>
        <v/>
      </c>
      <c r="N1130" s="103"/>
      <c r="O1130" s="104"/>
      <c r="P1130" s="105"/>
    </row>
    <row r="1131" spans="2:16" x14ac:dyDescent="0.25">
      <c r="B1131" s="103"/>
      <c r="C1131" s="104"/>
      <c r="D1131" s="104"/>
      <c r="E1131" s="104"/>
      <c r="F1131" s="105"/>
      <c r="H1131" s="45" t="str">
        <f t="shared" si="51"/>
        <v/>
      </c>
      <c r="J1131" s="45" t="str">
        <f t="shared" si="52"/>
        <v/>
      </c>
      <c r="L1131" s="45" t="str">
        <f t="shared" si="53"/>
        <v/>
      </c>
      <c r="N1131" s="103"/>
      <c r="O1131" s="104"/>
      <c r="P1131" s="105"/>
    </row>
    <row r="1132" spans="2:16" x14ac:dyDescent="0.25">
      <c r="B1132" s="103"/>
      <c r="C1132" s="104"/>
      <c r="D1132" s="104"/>
      <c r="E1132" s="104"/>
      <c r="F1132" s="105"/>
      <c r="H1132" s="45" t="str">
        <f t="shared" si="51"/>
        <v/>
      </c>
      <c r="J1132" s="45" t="str">
        <f t="shared" si="52"/>
        <v/>
      </c>
      <c r="L1132" s="45" t="str">
        <f t="shared" si="53"/>
        <v/>
      </c>
      <c r="N1132" s="103"/>
      <c r="O1132" s="104"/>
      <c r="P1132" s="105"/>
    </row>
    <row r="1133" spans="2:16" x14ac:dyDescent="0.25">
      <c r="B1133" s="103"/>
      <c r="C1133" s="104"/>
      <c r="D1133" s="104"/>
      <c r="E1133" s="104"/>
      <c r="F1133" s="105"/>
      <c r="H1133" s="45" t="str">
        <f t="shared" si="51"/>
        <v/>
      </c>
      <c r="J1133" s="45" t="str">
        <f t="shared" si="52"/>
        <v/>
      </c>
      <c r="L1133" s="45" t="str">
        <f t="shared" si="53"/>
        <v/>
      </c>
      <c r="N1133" s="103"/>
      <c r="O1133" s="104"/>
      <c r="P1133" s="105"/>
    </row>
    <row r="1134" spans="2:16" x14ac:dyDescent="0.25">
      <c r="B1134" s="103"/>
      <c r="C1134" s="104"/>
      <c r="D1134" s="104"/>
      <c r="E1134" s="104"/>
      <c r="F1134" s="105"/>
      <c r="H1134" s="45" t="str">
        <f t="shared" si="51"/>
        <v/>
      </c>
      <c r="J1134" s="45" t="str">
        <f t="shared" si="52"/>
        <v/>
      </c>
      <c r="L1134" s="45" t="str">
        <f t="shared" si="53"/>
        <v/>
      </c>
      <c r="N1134" s="103"/>
      <c r="O1134" s="104"/>
      <c r="P1134" s="105"/>
    </row>
    <row r="1135" spans="2:16" x14ac:dyDescent="0.25">
      <c r="B1135" s="103"/>
      <c r="C1135" s="104"/>
      <c r="D1135" s="104"/>
      <c r="E1135" s="104"/>
      <c r="F1135" s="105"/>
      <c r="H1135" s="45" t="str">
        <f t="shared" si="51"/>
        <v/>
      </c>
      <c r="J1135" s="45" t="str">
        <f t="shared" si="52"/>
        <v/>
      </c>
      <c r="L1135" s="45" t="str">
        <f t="shared" si="53"/>
        <v/>
      </c>
      <c r="N1135" s="103"/>
      <c r="O1135" s="104"/>
      <c r="P1135" s="105"/>
    </row>
    <row r="1136" spans="2:16" x14ac:dyDescent="0.25">
      <c r="B1136" s="103"/>
      <c r="C1136" s="104"/>
      <c r="D1136" s="104"/>
      <c r="E1136" s="104"/>
      <c r="F1136" s="105"/>
      <c r="H1136" s="45" t="str">
        <f t="shared" si="51"/>
        <v/>
      </c>
      <c r="J1136" s="45" t="str">
        <f t="shared" si="52"/>
        <v/>
      </c>
      <c r="L1136" s="45" t="str">
        <f t="shared" si="53"/>
        <v/>
      </c>
      <c r="N1136" s="103"/>
      <c r="O1136" s="104"/>
      <c r="P1136" s="105"/>
    </row>
    <row r="1137" spans="2:16" x14ac:dyDescent="0.25">
      <c r="B1137" s="103"/>
      <c r="C1137" s="104"/>
      <c r="D1137" s="104"/>
      <c r="E1137" s="104"/>
      <c r="F1137" s="105"/>
      <c r="H1137" s="45" t="str">
        <f t="shared" si="51"/>
        <v/>
      </c>
      <c r="J1137" s="45" t="str">
        <f t="shared" si="52"/>
        <v/>
      </c>
      <c r="L1137" s="45" t="str">
        <f t="shared" si="53"/>
        <v/>
      </c>
      <c r="N1137" s="103"/>
      <c r="O1137" s="104"/>
      <c r="P1137" s="105"/>
    </row>
    <row r="1138" spans="2:16" x14ac:dyDescent="0.25">
      <c r="B1138" s="103"/>
      <c r="C1138" s="104"/>
      <c r="D1138" s="104"/>
      <c r="E1138" s="104"/>
      <c r="F1138" s="105"/>
      <c r="H1138" s="45" t="str">
        <f t="shared" si="51"/>
        <v/>
      </c>
      <c r="J1138" s="45" t="str">
        <f t="shared" si="52"/>
        <v/>
      </c>
      <c r="L1138" s="45" t="str">
        <f t="shared" si="53"/>
        <v/>
      </c>
      <c r="N1138" s="103"/>
      <c r="O1138" s="104"/>
      <c r="P1138" s="105"/>
    </row>
    <row r="1139" spans="2:16" x14ac:dyDescent="0.25">
      <c r="B1139" s="103"/>
      <c r="C1139" s="104"/>
      <c r="D1139" s="104"/>
      <c r="E1139" s="104"/>
      <c r="F1139" s="105"/>
      <c r="H1139" s="45" t="str">
        <f t="shared" si="51"/>
        <v/>
      </c>
      <c r="J1139" s="45" t="str">
        <f t="shared" si="52"/>
        <v/>
      </c>
      <c r="L1139" s="45" t="str">
        <f t="shared" si="53"/>
        <v/>
      </c>
      <c r="N1139" s="103"/>
      <c r="O1139" s="104"/>
      <c r="P1139" s="105"/>
    </row>
    <row r="1140" spans="2:16" x14ac:dyDescent="0.25">
      <c r="B1140" s="103"/>
      <c r="C1140" s="104"/>
      <c r="D1140" s="104"/>
      <c r="E1140" s="104"/>
      <c r="F1140" s="105"/>
      <c r="H1140" s="45" t="str">
        <f t="shared" si="51"/>
        <v/>
      </c>
      <c r="J1140" s="45" t="str">
        <f t="shared" si="52"/>
        <v/>
      </c>
      <c r="L1140" s="45" t="str">
        <f t="shared" si="53"/>
        <v/>
      </c>
      <c r="N1140" s="103"/>
      <c r="O1140" s="104"/>
      <c r="P1140" s="105"/>
    </row>
    <row r="1141" spans="2:16" x14ac:dyDescent="0.25">
      <c r="B1141" s="103"/>
      <c r="C1141" s="104"/>
      <c r="D1141" s="104"/>
      <c r="E1141" s="104"/>
      <c r="F1141" s="105"/>
      <c r="H1141" s="45" t="str">
        <f t="shared" si="51"/>
        <v/>
      </c>
      <c r="J1141" s="45" t="str">
        <f t="shared" si="52"/>
        <v/>
      </c>
      <c r="L1141" s="45" t="str">
        <f t="shared" si="53"/>
        <v/>
      </c>
      <c r="N1141" s="103"/>
      <c r="O1141" s="104"/>
      <c r="P1141" s="105"/>
    </row>
    <row r="1142" spans="2:16" x14ac:dyDescent="0.25">
      <c r="B1142" s="103"/>
      <c r="C1142" s="104"/>
      <c r="D1142" s="104"/>
      <c r="E1142" s="104"/>
      <c r="F1142" s="105"/>
      <c r="H1142" s="45" t="str">
        <f t="shared" si="51"/>
        <v/>
      </c>
      <c r="J1142" s="45" t="str">
        <f t="shared" si="52"/>
        <v/>
      </c>
      <c r="L1142" s="45" t="str">
        <f t="shared" si="53"/>
        <v/>
      </c>
      <c r="N1142" s="103"/>
      <c r="O1142" s="104"/>
      <c r="P1142" s="105"/>
    </row>
    <row r="1143" spans="2:16" x14ac:dyDescent="0.25">
      <c r="B1143" s="103"/>
      <c r="C1143" s="104"/>
      <c r="D1143" s="104"/>
      <c r="E1143" s="104"/>
      <c r="F1143" s="105"/>
      <c r="H1143" s="45" t="str">
        <f t="shared" si="51"/>
        <v/>
      </c>
      <c r="J1143" s="45" t="str">
        <f t="shared" si="52"/>
        <v/>
      </c>
      <c r="L1143" s="45" t="str">
        <f t="shared" si="53"/>
        <v/>
      </c>
      <c r="N1143" s="103"/>
      <c r="O1143" s="104"/>
      <c r="P1143" s="105"/>
    </row>
    <row r="1144" spans="2:16" x14ac:dyDescent="0.25">
      <c r="B1144" s="103"/>
      <c r="C1144" s="104"/>
      <c r="D1144" s="104"/>
      <c r="E1144" s="104"/>
      <c r="F1144" s="105"/>
      <c r="H1144" s="45" t="str">
        <f t="shared" si="51"/>
        <v/>
      </c>
      <c r="J1144" s="45" t="str">
        <f t="shared" si="52"/>
        <v/>
      </c>
      <c r="L1144" s="45" t="str">
        <f t="shared" si="53"/>
        <v/>
      </c>
      <c r="N1144" s="103"/>
      <c r="O1144" s="104"/>
      <c r="P1144" s="105"/>
    </row>
    <row r="1145" spans="2:16" x14ac:dyDescent="0.25">
      <c r="B1145" s="103"/>
      <c r="C1145" s="104"/>
      <c r="D1145" s="104"/>
      <c r="E1145" s="104"/>
      <c r="F1145" s="105"/>
      <c r="H1145" s="45" t="str">
        <f t="shared" si="51"/>
        <v/>
      </c>
      <c r="J1145" s="45" t="str">
        <f t="shared" si="52"/>
        <v/>
      </c>
      <c r="L1145" s="45" t="str">
        <f t="shared" si="53"/>
        <v/>
      </c>
      <c r="N1145" s="103"/>
      <c r="O1145" s="104"/>
      <c r="P1145" s="105"/>
    </row>
    <row r="1146" spans="2:16" x14ac:dyDescent="0.25">
      <c r="B1146" s="103"/>
      <c r="C1146" s="104"/>
      <c r="D1146" s="104"/>
      <c r="E1146" s="104"/>
      <c r="F1146" s="105"/>
      <c r="H1146" s="45" t="str">
        <f t="shared" si="51"/>
        <v/>
      </c>
      <c r="J1146" s="45" t="str">
        <f t="shared" si="52"/>
        <v/>
      </c>
      <c r="L1146" s="45" t="str">
        <f t="shared" si="53"/>
        <v/>
      </c>
      <c r="N1146" s="103"/>
      <c r="O1146" s="104"/>
      <c r="P1146" s="105"/>
    </row>
    <row r="1147" spans="2:16" x14ac:dyDescent="0.25">
      <c r="B1147" s="103"/>
      <c r="C1147" s="104"/>
      <c r="D1147" s="104"/>
      <c r="E1147" s="104"/>
      <c r="F1147" s="105"/>
      <c r="H1147" s="45" t="str">
        <f t="shared" si="51"/>
        <v/>
      </c>
      <c r="J1147" s="45" t="str">
        <f t="shared" si="52"/>
        <v/>
      </c>
      <c r="L1147" s="45" t="str">
        <f t="shared" si="53"/>
        <v/>
      </c>
      <c r="N1147" s="103"/>
      <c r="O1147" s="104"/>
      <c r="P1147" s="105"/>
    </row>
    <row r="1148" spans="2:16" x14ac:dyDescent="0.25">
      <c r="B1148" s="103"/>
      <c r="C1148" s="104"/>
      <c r="D1148" s="104"/>
      <c r="E1148" s="104"/>
      <c r="F1148" s="105"/>
      <c r="H1148" s="45" t="str">
        <f t="shared" si="51"/>
        <v/>
      </c>
      <c r="J1148" s="45" t="str">
        <f t="shared" si="52"/>
        <v/>
      </c>
      <c r="L1148" s="45" t="str">
        <f t="shared" si="53"/>
        <v/>
      </c>
      <c r="N1148" s="103"/>
      <c r="O1148" s="104"/>
      <c r="P1148" s="105"/>
    </row>
    <row r="1149" spans="2:16" x14ac:dyDescent="0.25">
      <c r="B1149" s="103"/>
      <c r="C1149" s="104"/>
      <c r="D1149" s="104"/>
      <c r="E1149" s="104"/>
      <c r="F1149" s="105"/>
      <c r="H1149" s="45" t="str">
        <f t="shared" si="51"/>
        <v/>
      </c>
      <c r="J1149" s="45" t="str">
        <f t="shared" si="52"/>
        <v/>
      </c>
      <c r="L1149" s="45" t="str">
        <f t="shared" si="53"/>
        <v/>
      </c>
      <c r="N1149" s="103"/>
      <c r="O1149" s="104"/>
      <c r="P1149" s="105"/>
    </row>
    <row r="1150" spans="2:16" x14ac:dyDescent="0.25">
      <c r="B1150" s="103"/>
      <c r="C1150" s="104"/>
      <c r="D1150" s="104"/>
      <c r="E1150" s="104"/>
      <c r="F1150" s="105"/>
      <c r="H1150" s="45" t="str">
        <f t="shared" si="51"/>
        <v/>
      </c>
      <c r="J1150" s="45" t="str">
        <f t="shared" si="52"/>
        <v/>
      </c>
      <c r="L1150" s="45" t="str">
        <f t="shared" si="53"/>
        <v/>
      </c>
      <c r="N1150" s="103"/>
      <c r="O1150" s="104"/>
      <c r="P1150" s="105"/>
    </row>
    <row r="1151" spans="2:16" x14ac:dyDescent="0.25">
      <c r="B1151" s="103"/>
      <c r="C1151" s="104"/>
      <c r="D1151" s="104"/>
      <c r="E1151" s="104"/>
      <c r="F1151" s="105"/>
      <c r="H1151" s="45" t="str">
        <f t="shared" si="51"/>
        <v/>
      </c>
      <c r="J1151" s="45" t="str">
        <f t="shared" si="52"/>
        <v/>
      </c>
      <c r="L1151" s="45" t="str">
        <f t="shared" si="53"/>
        <v/>
      </c>
      <c r="N1151" s="103"/>
      <c r="O1151" s="104"/>
      <c r="P1151" s="105"/>
    </row>
    <row r="1152" spans="2:16" x14ac:dyDescent="0.25">
      <c r="B1152" s="103"/>
      <c r="C1152" s="104"/>
      <c r="D1152" s="104"/>
      <c r="E1152" s="104"/>
      <c r="F1152" s="105"/>
      <c r="H1152" s="45" t="str">
        <f t="shared" si="51"/>
        <v/>
      </c>
      <c r="J1152" s="45" t="str">
        <f t="shared" si="52"/>
        <v/>
      </c>
      <c r="L1152" s="45" t="str">
        <f t="shared" si="53"/>
        <v/>
      </c>
      <c r="N1152" s="103"/>
      <c r="O1152" s="104"/>
      <c r="P1152" s="105"/>
    </row>
    <row r="1153" spans="2:16" x14ac:dyDescent="0.25">
      <c r="B1153" s="103"/>
      <c r="C1153" s="104"/>
      <c r="D1153" s="104"/>
      <c r="E1153" s="104"/>
      <c r="F1153" s="105"/>
      <c r="H1153" s="45" t="str">
        <f t="shared" si="51"/>
        <v/>
      </c>
      <c r="J1153" s="45" t="str">
        <f t="shared" si="52"/>
        <v/>
      </c>
      <c r="L1153" s="45" t="str">
        <f t="shared" si="53"/>
        <v/>
      </c>
      <c r="N1153" s="103"/>
      <c r="O1153" s="104"/>
      <c r="P1153" s="105"/>
    </row>
    <row r="1154" spans="2:16" x14ac:dyDescent="0.25">
      <c r="B1154" s="103"/>
      <c r="C1154" s="104"/>
      <c r="D1154" s="104"/>
      <c r="E1154" s="104"/>
      <c r="F1154" s="105"/>
      <c r="H1154" s="45" t="str">
        <f t="shared" si="51"/>
        <v/>
      </c>
      <c r="J1154" s="45" t="str">
        <f t="shared" si="52"/>
        <v/>
      </c>
      <c r="L1154" s="45" t="str">
        <f t="shared" si="53"/>
        <v/>
      </c>
      <c r="N1154" s="103"/>
      <c r="O1154" s="104"/>
      <c r="P1154" s="105"/>
    </row>
    <row r="1155" spans="2:16" x14ac:dyDescent="0.25">
      <c r="B1155" s="103"/>
      <c r="C1155" s="104"/>
      <c r="D1155" s="104"/>
      <c r="E1155" s="104"/>
      <c r="F1155" s="105"/>
      <c r="H1155" s="45" t="str">
        <f t="shared" si="51"/>
        <v/>
      </c>
      <c r="J1155" s="45" t="str">
        <f t="shared" si="52"/>
        <v/>
      </c>
      <c r="L1155" s="45" t="str">
        <f t="shared" si="53"/>
        <v/>
      </c>
      <c r="N1155" s="103"/>
      <c r="O1155" s="104"/>
      <c r="P1155" s="105"/>
    </row>
    <row r="1156" spans="2:16" x14ac:dyDescent="0.25">
      <c r="B1156" s="103"/>
      <c r="C1156" s="104"/>
      <c r="D1156" s="104"/>
      <c r="E1156" s="104"/>
      <c r="F1156" s="105"/>
      <c r="H1156" s="45" t="str">
        <f t="shared" si="51"/>
        <v/>
      </c>
      <c r="J1156" s="45" t="str">
        <f t="shared" si="52"/>
        <v/>
      </c>
      <c r="L1156" s="45" t="str">
        <f t="shared" si="53"/>
        <v/>
      </c>
      <c r="N1156" s="103"/>
      <c r="O1156" s="104"/>
      <c r="P1156" s="105"/>
    </row>
    <row r="1157" spans="2:16" x14ac:dyDescent="0.25">
      <c r="B1157" s="103"/>
      <c r="C1157" s="104"/>
      <c r="D1157" s="104"/>
      <c r="E1157" s="104"/>
      <c r="F1157" s="105"/>
      <c r="H1157" s="45" t="str">
        <f t="shared" si="51"/>
        <v/>
      </c>
      <c r="J1157" s="45" t="str">
        <f t="shared" si="52"/>
        <v/>
      </c>
      <c r="L1157" s="45" t="str">
        <f t="shared" si="53"/>
        <v/>
      </c>
      <c r="N1157" s="103"/>
      <c r="O1157" s="104"/>
      <c r="P1157" s="105"/>
    </row>
    <row r="1158" spans="2:16" x14ac:dyDescent="0.25">
      <c r="B1158" s="103"/>
      <c r="C1158" s="104"/>
      <c r="D1158" s="104"/>
      <c r="E1158" s="104"/>
      <c r="F1158" s="105"/>
      <c r="H1158" s="45" t="str">
        <f t="shared" si="51"/>
        <v/>
      </c>
      <c r="J1158" s="45" t="str">
        <f t="shared" si="52"/>
        <v/>
      </c>
      <c r="L1158" s="45" t="str">
        <f t="shared" si="53"/>
        <v/>
      </c>
      <c r="N1158" s="103"/>
      <c r="O1158" s="104"/>
      <c r="P1158" s="105"/>
    </row>
    <row r="1159" spans="2:16" x14ac:dyDescent="0.25">
      <c r="B1159" s="103"/>
      <c r="C1159" s="104"/>
      <c r="D1159" s="104"/>
      <c r="E1159" s="104"/>
      <c r="F1159" s="105"/>
      <c r="H1159" s="45" t="str">
        <f t="shared" si="51"/>
        <v/>
      </c>
      <c r="J1159" s="45" t="str">
        <f t="shared" si="52"/>
        <v/>
      </c>
      <c r="L1159" s="45" t="str">
        <f t="shared" si="53"/>
        <v/>
      </c>
      <c r="N1159" s="103"/>
      <c r="O1159" s="104"/>
      <c r="P1159" s="105"/>
    </row>
    <row r="1160" spans="2:16" x14ac:dyDescent="0.25">
      <c r="B1160" s="103"/>
      <c r="C1160" s="104"/>
      <c r="D1160" s="104"/>
      <c r="E1160" s="104"/>
      <c r="F1160" s="105"/>
      <c r="H1160" s="45" t="str">
        <f t="shared" si="51"/>
        <v/>
      </c>
      <c r="J1160" s="45" t="str">
        <f t="shared" si="52"/>
        <v/>
      </c>
      <c r="L1160" s="45" t="str">
        <f t="shared" si="53"/>
        <v/>
      </c>
      <c r="N1160" s="103"/>
      <c r="O1160" s="104"/>
      <c r="P1160" s="105"/>
    </row>
    <row r="1161" spans="2:16" x14ac:dyDescent="0.25">
      <c r="B1161" s="103"/>
      <c r="C1161" s="104"/>
      <c r="D1161" s="104"/>
      <c r="E1161" s="104"/>
      <c r="F1161" s="105"/>
      <c r="H1161" s="45" t="str">
        <f t="shared" si="51"/>
        <v/>
      </c>
      <c r="J1161" s="45" t="str">
        <f t="shared" si="52"/>
        <v/>
      </c>
      <c r="L1161" s="45" t="str">
        <f t="shared" si="53"/>
        <v/>
      </c>
      <c r="N1161" s="103"/>
      <c r="O1161" s="104"/>
      <c r="P1161" s="105"/>
    </row>
    <row r="1162" spans="2:16" x14ac:dyDescent="0.25">
      <c r="B1162" s="103"/>
      <c r="C1162" s="104"/>
      <c r="D1162" s="104"/>
      <c r="E1162" s="104"/>
      <c r="F1162" s="105"/>
      <c r="H1162" s="45" t="str">
        <f t="shared" si="51"/>
        <v/>
      </c>
      <c r="J1162" s="45" t="str">
        <f t="shared" si="52"/>
        <v/>
      </c>
      <c r="L1162" s="45" t="str">
        <f t="shared" si="53"/>
        <v/>
      </c>
      <c r="N1162" s="103"/>
      <c r="O1162" s="104"/>
      <c r="P1162" s="105"/>
    </row>
    <row r="1163" spans="2:16" x14ac:dyDescent="0.25">
      <c r="B1163" s="103"/>
      <c r="C1163" s="104"/>
      <c r="D1163" s="104"/>
      <c r="E1163" s="104"/>
      <c r="F1163" s="105"/>
      <c r="H1163" s="45" t="str">
        <f t="shared" ref="H1163:H1209" si="54">IF(C1163="","",C1163) &amp; IF(D1163="",""," – " &amp; D1163) &amp; IF(E1163="",""," – " &amp; E1163) &amp; IF(F1163="",""," – " &amp; F1163)</f>
        <v/>
      </c>
      <c r="J1163" s="45" t="str">
        <f t="shared" ref="J1163:J1209" si="55">IF(C1163="","",C1163) &amp; IF(D1163="",""," – " &amp; D1163) &amp; IF(E1163="",""," – " &amp; E1163)</f>
        <v/>
      </c>
      <c r="L1163" s="45" t="str">
        <f t="shared" ref="L1163:L1209" si="56">IF(C1163="","",C1163) &amp; IF(D1163="",""," – " &amp; D1163)</f>
        <v/>
      </c>
      <c r="N1163" s="103"/>
      <c r="O1163" s="104"/>
      <c r="P1163" s="105"/>
    </row>
    <row r="1164" spans="2:16" x14ac:dyDescent="0.25">
      <c r="B1164" s="103"/>
      <c r="C1164" s="104"/>
      <c r="D1164" s="104"/>
      <c r="E1164" s="104"/>
      <c r="F1164" s="105"/>
      <c r="H1164" s="45" t="str">
        <f t="shared" si="54"/>
        <v/>
      </c>
      <c r="J1164" s="45" t="str">
        <f t="shared" si="55"/>
        <v/>
      </c>
      <c r="L1164" s="45" t="str">
        <f t="shared" si="56"/>
        <v/>
      </c>
      <c r="N1164" s="103"/>
      <c r="O1164" s="104"/>
      <c r="P1164" s="105"/>
    </row>
    <row r="1165" spans="2:16" x14ac:dyDescent="0.25">
      <c r="B1165" s="103"/>
      <c r="C1165" s="104"/>
      <c r="D1165" s="104"/>
      <c r="E1165" s="104"/>
      <c r="F1165" s="105"/>
      <c r="H1165" s="45" t="str">
        <f t="shared" si="54"/>
        <v/>
      </c>
      <c r="J1165" s="45" t="str">
        <f t="shared" si="55"/>
        <v/>
      </c>
      <c r="L1165" s="45" t="str">
        <f t="shared" si="56"/>
        <v/>
      </c>
      <c r="N1165" s="103"/>
      <c r="O1165" s="104"/>
      <c r="P1165" s="105"/>
    </row>
    <row r="1166" spans="2:16" x14ac:dyDescent="0.25">
      <c r="B1166" s="103"/>
      <c r="C1166" s="104"/>
      <c r="D1166" s="104"/>
      <c r="E1166" s="104"/>
      <c r="F1166" s="105"/>
      <c r="H1166" s="45" t="str">
        <f t="shared" si="54"/>
        <v/>
      </c>
      <c r="J1166" s="45" t="str">
        <f t="shared" si="55"/>
        <v/>
      </c>
      <c r="L1166" s="45" t="str">
        <f t="shared" si="56"/>
        <v/>
      </c>
      <c r="N1166" s="103"/>
      <c r="O1166" s="104"/>
      <c r="P1166" s="105"/>
    </row>
    <row r="1167" spans="2:16" x14ac:dyDescent="0.25">
      <c r="B1167" s="103"/>
      <c r="C1167" s="104"/>
      <c r="D1167" s="104"/>
      <c r="E1167" s="104"/>
      <c r="F1167" s="105"/>
      <c r="H1167" s="45" t="str">
        <f t="shared" si="54"/>
        <v/>
      </c>
      <c r="J1167" s="45" t="str">
        <f t="shared" si="55"/>
        <v/>
      </c>
      <c r="L1167" s="45" t="str">
        <f t="shared" si="56"/>
        <v/>
      </c>
      <c r="N1167" s="103"/>
      <c r="O1167" s="104"/>
      <c r="P1167" s="105"/>
    </row>
    <row r="1168" spans="2:16" x14ac:dyDescent="0.25">
      <c r="B1168" s="103"/>
      <c r="C1168" s="104"/>
      <c r="D1168" s="104"/>
      <c r="E1168" s="104"/>
      <c r="F1168" s="105"/>
      <c r="H1168" s="45" t="str">
        <f t="shared" si="54"/>
        <v/>
      </c>
      <c r="J1168" s="45" t="str">
        <f t="shared" si="55"/>
        <v/>
      </c>
      <c r="L1168" s="45" t="str">
        <f t="shared" si="56"/>
        <v/>
      </c>
      <c r="N1168" s="103"/>
      <c r="O1168" s="104"/>
      <c r="P1168" s="105"/>
    </row>
    <row r="1169" spans="2:16" x14ac:dyDescent="0.25">
      <c r="B1169" s="103"/>
      <c r="C1169" s="104"/>
      <c r="D1169" s="104"/>
      <c r="E1169" s="104"/>
      <c r="F1169" s="105"/>
      <c r="H1169" s="45" t="str">
        <f t="shared" si="54"/>
        <v/>
      </c>
      <c r="J1169" s="45" t="str">
        <f t="shared" si="55"/>
        <v/>
      </c>
      <c r="L1169" s="45" t="str">
        <f t="shared" si="56"/>
        <v/>
      </c>
      <c r="N1169" s="103"/>
      <c r="O1169" s="104"/>
      <c r="P1169" s="105"/>
    </row>
    <row r="1170" spans="2:16" x14ac:dyDescent="0.25">
      <c r="B1170" s="103"/>
      <c r="C1170" s="104"/>
      <c r="D1170" s="104"/>
      <c r="E1170" s="104"/>
      <c r="F1170" s="105"/>
      <c r="H1170" s="45" t="str">
        <f t="shared" si="54"/>
        <v/>
      </c>
      <c r="J1170" s="45" t="str">
        <f t="shared" si="55"/>
        <v/>
      </c>
      <c r="L1170" s="45" t="str">
        <f t="shared" si="56"/>
        <v/>
      </c>
      <c r="N1170" s="103"/>
      <c r="O1170" s="104"/>
      <c r="P1170" s="105"/>
    </row>
    <row r="1171" spans="2:16" x14ac:dyDescent="0.25">
      <c r="B1171" s="103"/>
      <c r="C1171" s="104"/>
      <c r="D1171" s="104"/>
      <c r="E1171" s="104"/>
      <c r="F1171" s="105"/>
      <c r="H1171" s="45" t="str">
        <f t="shared" si="54"/>
        <v/>
      </c>
      <c r="J1171" s="45" t="str">
        <f t="shared" si="55"/>
        <v/>
      </c>
      <c r="L1171" s="45" t="str">
        <f t="shared" si="56"/>
        <v/>
      </c>
      <c r="N1171" s="103"/>
      <c r="O1171" s="104"/>
      <c r="P1171" s="105"/>
    </row>
    <row r="1172" spans="2:16" x14ac:dyDescent="0.25">
      <c r="B1172" s="103"/>
      <c r="C1172" s="104"/>
      <c r="D1172" s="104"/>
      <c r="E1172" s="104"/>
      <c r="F1172" s="105"/>
      <c r="H1172" s="45" t="str">
        <f t="shared" si="54"/>
        <v/>
      </c>
      <c r="J1172" s="45" t="str">
        <f t="shared" si="55"/>
        <v/>
      </c>
      <c r="L1172" s="45" t="str">
        <f t="shared" si="56"/>
        <v/>
      </c>
      <c r="N1172" s="103"/>
      <c r="O1172" s="104"/>
      <c r="P1172" s="105"/>
    </row>
    <row r="1173" spans="2:16" x14ac:dyDescent="0.25">
      <c r="B1173" s="103"/>
      <c r="C1173" s="104"/>
      <c r="D1173" s="104"/>
      <c r="E1173" s="104"/>
      <c r="F1173" s="105"/>
      <c r="H1173" s="45" t="str">
        <f t="shared" si="54"/>
        <v/>
      </c>
      <c r="J1173" s="45" t="str">
        <f t="shared" si="55"/>
        <v/>
      </c>
      <c r="L1173" s="45" t="str">
        <f t="shared" si="56"/>
        <v/>
      </c>
      <c r="N1173" s="103"/>
      <c r="O1173" s="104"/>
      <c r="P1173" s="105"/>
    </row>
    <row r="1174" spans="2:16" x14ac:dyDescent="0.25">
      <c r="B1174" s="103"/>
      <c r="C1174" s="104"/>
      <c r="D1174" s="104"/>
      <c r="E1174" s="104"/>
      <c r="F1174" s="105"/>
      <c r="H1174" s="45" t="str">
        <f t="shared" si="54"/>
        <v/>
      </c>
      <c r="J1174" s="45" t="str">
        <f t="shared" si="55"/>
        <v/>
      </c>
      <c r="L1174" s="45" t="str">
        <f t="shared" si="56"/>
        <v/>
      </c>
      <c r="N1174" s="103"/>
      <c r="O1174" s="104"/>
      <c r="P1174" s="105"/>
    </row>
    <row r="1175" spans="2:16" x14ac:dyDescent="0.25">
      <c r="B1175" s="103"/>
      <c r="C1175" s="104"/>
      <c r="D1175" s="104"/>
      <c r="E1175" s="104"/>
      <c r="F1175" s="105"/>
      <c r="H1175" s="45" t="str">
        <f t="shared" si="54"/>
        <v/>
      </c>
      <c r="J1175" s="45" t="str">
        <f t="shared" si="55"/>
        <v/>
      </c>
      <c r="L1175" s="45" t="str">
        <f t="shared" si="56"/>
        <v/>
      </c>
      <c r="N1175" s="103"/>
      <c r="O1175" s="104"/>
      <c r="P1175" s="105"/>
    </row>
    <row r="1176" spans="2:16" x14ac:dyDescent="0.25">
      <c r="B1176" s="103"/>
      <c r="C1176" s="104"/>
      <c r="D1176" s="104"/>
      <c r="E1176" s="104"/>
      <c r="F1176" s="105"/>
      <c r="H1176" s="45" t="str">
        <f t="shared" si="54"/>
        <v/>
      </c>
      <c r="J1176" s="45" t="str">
        <f t="shared" si="55"/>
        <v/>
      </c>
      <c r="L1176" s="45" t="str">
        <f t="shared" si="56"/>
        <v/>
      </c>
      <c r="N1176" s="103"/>
      <c r="O1176" s="104"/>
      <c r="P1176" s="105"/>
    </row>
    <row r="1177" spans="2:16" x14ac:dyDescent="0.25">
      <c r="B1177" s="103"/>
      <c r="C1177" s="104"/>
      <c r="D1177" s="104"/>
      <c r="E1177" s="104"/>
      <c r="F1177" s="105"/>
      <c r="H1177" s="45" t="str">
        <f t="shared" si="54"/>
        <v/>
      </c>
      <c r="J1177" s="45" t="str">
        <f t="shared" si="55"/>
        <v/>
      </c>
      <c r="L1177" s="45" t="str">
        <f t="shared" si="56"/>
        <v/>
      </c>
      <c r="N1177" s="103"/>
      <c r="O1177" s="104"/>
      <c r="P1177" s="105"/>
    </row>
    <row r="1178" spans="2:16" x14ac:dyDescent="0.25">
      <c r="B1178" s="103"/>
      <c r="C1178" s="104"/>
      <c r="D1178" s="104"/>
      <c r="E1178" s="104"/>
      <c r="F1178" s="105"/>
      <c r="H1178" s="45" t="str">
        <f t="shared" si="54"/>
        <v/>
      </c>
      <c r="J1178" s="45" t="str">
        <f t="shared" si="55"/>
        <v/>
      </c>
      <c r="L1178" s="45" t="str">
        <f t="shared" si="56"/>
        <v/>
      </c>
      <c r="N1178" s="103"/>
      <c r="O1178" s="104"/>
      <c r="P1178" s="105"/>
    </row>
    <row r="1179" spans="2:16" x14ac:dyDescent="0.25">
      <c r="B1179" s="103"/>
      <c r="C1179" s="104"/>
      <c r="D1179" s="104"/>
      <c r="E1179" s="104"/>
      <c r="F1179" s="105"/>
      <c r="H1179" s="45" t="str">
        <f t="shared" si="54"/>
        <v/>
      </c>
      <c r="J1179" s="45" t="str">
        <f t="shared" si="55"/>
        <v/>
      </c>
      <c r="L1179" s="45" t="str">
        <f t="shared" si="56"/>
        <v/>
      </c>
      <c r="N1179" s="103"/>
      <c r="O1179" s="104"/>
      <c r="P1179" s="105"/>
    </row>
    <row r="1180" spans="2:16" x14ac:dyDescent="0.25">
      <c r="B1180" s="103"/>
      <c r="C1180" s="104"/>
      <c r="D1180" s="104"/>
      <c r="E1180" s="104"/>
      <c r="F1180" s="105"/>
      <c r="H1180" s="45" t="str">
        <f t="shared" si="54"/>
        <v/>
      </c>
      <c r="J1180" s="45" t="str">
        <f t="shared" si="55"/>
        <v/>
      </c>
      <c r="L1180" s="45" t="str">
        <f t="shared" si="56"/>
        <v/>
      </c>
      <c r="N1180" s="103"/>
      <c r="O1180" s="104"/>
      <c r="P1180" s="105"/>
    </row>
    <row r="1181" spans="2:16" x14ac:dyDescent="0.25">
      <c r="B1181" s="103"/>
      <c r="C1181" s="104"/>
      <c r="D1181" s="104"/>
      <c r="E1181" s="104"/>
      <c r="F1181" s="105"/>
      <c r="H1181" s="45" t="str">
        <f t="shared" si="54"/>
        <v/>
      </c>
      <c r="J1181" s="45" t="str">
        <f t="shared" si="55"/>
        <v/>
      </c>
      <c r="L1181" s="45" t="str">
        <f t="shared" si="56"/>
        <v/>
      </c>
      <c r="N1181" s="103"/>
      <c r="O1181" s="104"/>
      <c r="P1181" s="105"/>
    </row>
    <row r="1182" spans="2:16" x14ac:dyDescent="0.25">
      <c r="B1182" s="103"/>
      <c r="C1182" s="104"/>
      <c r="D1182" s="104"/>
      <c r="E1182" s="104"/>
      <c r="F1182" s="105"/>
      <c r="H1182" s="45" t="str">
        <f t="shared" si="54"/>
        <v/>
      </c>
      <c r="J1182" s="45" t="str">
        <f t="shared" si="55"/>
        <v/>
      </c>
      <c r="L1182" s="45" t="str">
        <f t="shared" si="56"/>
        <v/>
      </c>
      <c r="N1182" s="103"/>
      <c r="O1182" s="104"/>
      <c r="P1182" s="105"/>
    </row>
    <row r="1183" spans="2:16" x14ac:dyDescent="0.25">
      <c r="B1183" s="103"/>
      <c r="C1183" s="104"/>
      <c r="D1183" s="104"/>
      <c r="E1183" s="104"/>
      <c r="F1183" s="105"/>
      <c r="H1183" s="45" t="str">
        <f t="shared" si="54"/>
        <v/>
      </c>
      <c r="J1183" s="45" t="str">
        <f t="shared" si="55"/>
        <v/>
      </c>
      <c r="L1183" s="45" t="str">
        <f t="shared" si="56"/>
        <v/>
      </c>
      <c r="N1183" s="103"/>
      <c r="O1183" s="104"/>
      <c r="P1183" s="105"/>
    </row>
    <row r="1184" spans="2:16" x14ac:dyDescent="0.25">
      <c r="B1184" s="103"/>
      <c r="C1184" s="104"/>
      <c r="D1184" s="104"/>
      <c r="E1184" s="104"/>
      <c r="F1184" s="105"/>
      <c r="H1184" s="45" t="str">
        <f t="shared" si="54"/>
        <v/>
      </c>
      <c r="J1184" s="45" t="str">
        <f t="shared" si="55"/>
        <v/>
      </c>
      <c r="L1184" s="45" t="str">
        <f t="shared" si="56"/>
        <v/>
      </c>
      <c r="N1184" s="103"/>
      <c r="O1184" s="104"/>
      <c r="P1184" s="105"/>
    </row>
    <row r="1185" spans="2:16" x14ac:dyDescent="0.25">
      <c r="B1185" s="103"/>
      <c r="C1185" s="104"/>
      <c r="D1185" s="104"/>
      <c r="E1185" s="104"/>
      <c r="F1185" s="105"/>
      <c r="H1185" s="45" t="str">
        <f t="shared" si="54"/>
        <v/>
      </c>
      <c r="J1185" s="45" t="str">
        <f t="shared" si="55"/>
        <v/>
      </c>
      <c r="L1185" s="45" t="str">
        <f t="shared" si="56"/>
        <v/>
      </c>
      <c r="N1185" s="103"/>
      <c r="O1185" s="104"/>
      <c r="P1185" s="105"/>
    </row>
    <row r="1186" spans="2:16" x14ac:dyDescent="0.25">
      <c r="B1186" s="103"/>
      <c r="C1186" s="104"/>
      <c r="D1186" s="104"/>
      <c r="E1186" s="104"/>
      <c r="F1186" s="105"/>
      <c r="H1186" s="45" t="str">
        <f t="shared" si="54"/>
        <v/>
      </c>
      <c r="J1186" s="45" t="str">
        <f t="shared" si="55"/>
        <v/>
      </c>
      <c r="L1186" s="45" t="str">
        <f t="shared" si="56"/>
        <v/>
      </c>
      <c r="N1186" s="103"/>
      <c r="O1186" s="104"/>
      <c r="P1186" s="105"/>
    </row>
    <row r="1187" spans="2:16" x14ac:dyDescent="0.25">
      <c r="B1187" s="103"/>
      <c r="C1187" s="104"/>
      <c r="D1187" s="104"/>
      <c r="E1187" s="104"/>
      <c r="F1187" s="105"/>
      <c r="H1187" s="45" t="str">
        <f t="shared" si="54"/>
        <v/>
      </c>
      <c r="J1187" s="45" t="str">
        <f t="shared" si="55"/>
        <v/>
      </c>
      <c r="L1187" s="45" t="str">
        <f t="shared" si="56"/>
        <v/>
      </c>
      <c r="N1187" s="103"/>
      <c r="O1187" s="104"/>
      <c r="P1187" s="105"/>
    </row>
    <row r="1188" spans="2:16" x14ac:dyDescent="0.25">
      <c r="B1188" s="103"/>
      <c r="C1188" s="104"/>
      <c r="D1188" s="104"/>
      <c r="E1188" s="104"/>
      <c r="F1188" s="105"/>
      <c r="H1188" s="45" t="str">
        <f t="shared" si="54"/>
        <v/>
      </c>
      <c r="J1188" s="45" t="str">
        <f t="shared" si="55"/>
        <v/>
      </c>
      <c r="L1188" s="45" t="str">
        <f t="shared" si="56"/>
        <v/>
      </c>
      <c r="N1188" s="103"/>
      <c r="O1188" s="104"/>
      <c r="P1188" s="105"/>
    </row>
    <row r="1189" spans="2:16" x14ac:dyDescent="0.25">
      <c r="B1189" s="103"/>
      <c r="C1189" s="104"/>
      <c r="D1189" s="104"/>
      <c r="E1189" s="104"/>
      <c r="F1189" s="105"/>
      <c r="H1189" s="45" t="str">
        <f t="shared" si="54"/>
        <v/>
      </c>
      <c r="J1189" s="45" t="str">
        <f t="shared" si="55"/>
        <v/>
      </c>
      <c r="L1189" s="45" t="str">
        <f t="shared" si="56"/>
        <v/>
      </c>
      <c r="N1189" s="103"/>
      <c r="O1189" s="104"/>
      <c r="P1189" s="105"/>
    </row>
    <row r="1190" spans="2:16" x14ac:dyDescent="0.25">
      <c r="B1190" s="103"/>
      <c r="C1190" s="104"/>
      <c r="D1190" s="104"/>
      <c r="E1190" s="104"/>
      <c r="F1190" s="105"/>
      <c r="H1190" s="45" t="str">
        <f t="shared" si="54"/>
        <v/>
      </c>
      <c r="J1190" s="45" t="str">
        <f t="shared" si="55"/>
        <v/>
      </c>
      <c r="L1190" s="45" t="str">
        <f t="shared" si="56"/>
        <v/>
      </c>
      <c r="N1190" s="103"/>
      <c r="O1190" s="104"/>
      <c r="P1190" s="105"/>
    </row>
    <row r="1191" spans="2:16" x14ac:dyDescent="0.25">
      <c r="B1191" s="103"/>
      <c r="C1191" s="104"/>
      <c r="D1191" s="104"/>
      <c r="E1191" s="104"/>
      <c r="F1191" s="105"/>
      <c r="H1191" s="45" t="str">
        <f t="shared" si="54"/>
        <v/>
      </c>
      <c r="J1191" s="45" t="str">
        <f t="shared" si="55"/>
        <v/>
      </c>
      <c r="L1191" s="45" t="str">
        <f t="shared" si="56"/>
        <v/>
      </c>
      <c r="N1191" s="103"/>
      <c r="O1191" s="104"/>
      <c r="P1191" s="105"/>
    </row>
    <row r="1192" spans="2:16" x14ac:dyDescent="0.25">
      <c r="B1192" s="103"/>
      <c r="C1192" s="104"/>
      <c r="D1192" s="104"/>
      <c r="E1192" s="104"/>
      <c r="F1192" s="105"/>
      <c r="H1192" s="45" t="str">
        <f t="shared" si="54"/>
        <v/>
      </c>
      <c r="J1192" s="45" t="str">
        <f t="shared" si="55"/>
        <v/>
      </c>
      <c r="L1192" s="45" t="str">
        <f t="shared" si="56"/>
        <v/>
      </c>
      <c r="N1192" s="103"/>
      <c r="O1192" s="104"/>
      <c r="P1192" s="105"/>
    </row>
    <row r="1193" spans="2:16" x14ac:dyDescent="0.25">
      <c r="B1193" s="103"/>
      <c r="C1193" s="104"/>
      <c r="D1193" s="104"/>
      <c r="E1193" s="104"/>
      <c r="F1193" s="105"/>
      <c r="H1193" s="45" t="str">
        <f t="shared" si="54"/>
        <v/>
      </c>
      <c r="J1193" s="45" t="str">
        <f t="shared" si="55"/>
        <v/>
      </c>
      <c r="L1193" s="45" t="str">
        <f t="shared" si="56"/>
        <v/>
      </c>
      <c r="N1193" s="103"/>
      <c r="O1193" s="104"/>
      <c r="P1193" s="105"/>
    </row>
    <row r="1194" spans="2:16" x14ac:dyDescent="0.25">
      <c r="B1194" s="103"/>
      <c r="C1194" s="104"/>
      <c r="D1194" s="104"/>
      <c r="E1194" s="104"/>
      <c r="F1194" s="105"/>
      <c r="H1194" s="45" t="str">
        <f t="shared" si="54"/>
        <v/>
      </c>
      <c r="J1194" s="45" t="str">
        <f t="shared" si="55"/>
        <v/>
      </c>
      <c r="L1194" s="45" t="str">
        <f t="shared" si="56"/>
        <v/>
      </c>
      <c r="N1194" s="103"/>
      <c r="O1194" s="104"/>
      <c r="P1194" s="105"/>
    </row>
    <row r="1195" spans="2:16" x14ac:dyDescent="0.25">
      <c r="B1195" s="103"/>
      <c r="C1195" s="104"/>
      <c r="D1195" s="104"/>
      <c r="E1195" s="104"/>
      <c r="F1195" s="105"/>
      <c r="H1195" s="45" t="str">
        <f t="shared" si="54"/>
        <v/>
      </c>
      <c r="J1195" s="45" t="str">
        <f t="shared" si="55"/>
        <v/>
      </c>
      <c r="L1195" s="45" t="str">
        <f t="shared" si="56"/>
        <v/>
      </c>
      <c r="N1195" s="103"/>
      <c r="O1195" s="104"/>
      <c r="P1195" s="105"/>
    </row>
    <row r="1196" spans="2:16" x14ac:dyDescent="0.25">
      <c r="B1196" s="103"/>
      <c r="C1196" s="104"/>
      <c r="D1196" s="104"/>
      <c r="E1196" s="104"/>
      <c r="F1196" s="105"/>
      <c r="H1196" s="45" t="str">
        <f t="shared" si="54"/>
        <v/>
      </c>
      <c r="J1196" s="45" t="str">
        <f t="shared" si="55"/>
        <v/>
      </c>
      <c r="L1196" s="45" t="str">
        <f t="shared" si="56"/>
        <v/>
      </c>
      <c r="N1196" s="103"/>
      <c r="O1196" s="104"/>
      <c r="P1196" s="105"/>
    </row>
    <row r="1197" spans="2:16" x14ac:dyDescent="0.25">
      <c r="B1197" s="103"/>
      <c r="C1197" s="104"/>
      <c r="D1197" s="104"/>
      <c r="E1197" s="104"/>
      <c r="F1197" s="105"/>
      <c r="H1197" s="45" t="str">
        <f t="shared" si="54"/>
        <v/>
      </c>
      <c r="J1197" s="45" t="str">
        <f t="shared" si="55"/>
        <v/>
      </c>
      <c r="L1197" s="45" t="str">
        <f t="shared" si="56"/>
        <v/>
      </c>
      <c r="N1197" s="103"/>
      <c r="O1197" s="104"/>
      <c r="P1197" s="105"/>
    </row>
    <row r="1198" spans="2:16" x14ac:dyDescent="0.25">
      <c r="B1198" s="103"/>
      <c r="C1198" s="104"/>
      <c r="D1198" s="104"/>
      <c r="E1198" s="104"/>
      <c r="F1198" s="105"/>
      <c r="H1198" s="45" t="str">
        <f t="shared" si="54"/>
        <v/>
      </c>
      <c r="J1198" s="45" t="str">
        <f t="shared" si="55"/>
        <v/>
      </c>
      <c r="L1198" s="45" t="str">
        <f t="shared" si="56"/>
        <v/>
      </c>
      <c r="N1198" s="103"/>
      <c r="O1198" s="104"/>
      <c r="P1198" s="105"/>
    </row>
    <row r="1199" spans="2:16" x14ac:dyDescent="0.25">
      <c r="B1199" s="103"/>
      <c r="C1199" s="104"/>
      <c r="D1199" s="104"/>
      <c r="E1199" s="104"/>
      <c r="F1199" s="105"/>
      <c r="H1199" s="45" t="str">
        <f t="shared" si="54"/>
        <v/>
      </c>
      <c r="J1199" s="45" t="str">
        <f t="shared" si="55"/>
        <v/>
      </c>
      <c r="L1199" s="45" t="str">
        <f t="shared" si="56"/>
        <v/>
      </c>
      <c r="N1199" s="103"/>
      <c r="O1199" s="104"/>
      <c r="P1199" s="105"/>
    </row>
    <row r="1200" spans="2:16" x14ac:dyDescent="0.25">
      <c r="B1200" s="103"/>
      <c r="C1200" s="104"/>
      <c r="D1200" s="104"/>
      <c r="E1200" s="104"/>
      <c r="F1200" s="105"/>
      <c r="H1200" s="45" t="str">
        <f t="shared" si="54"/>
        <v/>
      </c>
      <c r="J1200" s="45" t="str">
        <f t="shared" si="55"/>
        <v/>
      </c>
      <c r="L1200" s="45" t="str">
        <f t="shared" si="56"/>
        <v/>
      </c>
      <c r="N1200" s="103"/>
      <c r="O1200" s="104"/>
      <c r="P1200" s="105"/>
    </row>
    <row r="1201" spans="2:16" x14ac:dyDescent="0.25">
      <c r="B1201" s="103"/>
      <c r="C1201" s="104"/>
      <c r="D1201" s="104"/>
      <c r="E1201" s="104"/>
      <c r="F1201" s="105"/>
      <c r="H1201" s="45" t="str">
        <f t="shared" si="54"/>
        <v/>
      </c>
      <c r="J1201" s="45" t="str">
        <f t="shared" si="55"/>
        <v/>
      </c>
      <c r="L1201" s="45" t="str">
        <f t="shared" si="56"/>
        <v/>
      </c>
      <c r="N1201" s="103"/>
      <c r="O1201" s="104"/>
      <c r="P1201" s="105"/>
    </row>
    <row r="1202" spans="2:16" x14ac:dyDescent="0.25">
      <c r="B1202" s="103"/>
      <c r="C1202" s="104"/>
      <c r="D1202" s="104"/>
      <c r="E1202" s="104"/>
      <c r="F1202" s="105"/>
      <c r="H1202" s="45" t="str">
        <f t="shared" si="54"/>
        <v/>
      </c>
      <c r="J1202" s="45" t="str">
        <f t="shared" si="55"/>
        <v/>
      </c>
      <c r="L1202" s="45" t="str">
        <f t="shared" si="56"/>
        <v/>
      </c>
      <c r="N1202" s="103"/>
      <c r="O1202" s="104"/>
      <c r="P1202" s="105"/>
    </row>
    <row r="1203" spans="2:16" x14ac:dyDescent="0.25">
      <c r="B1203" s="103"/>
      <c r="C1203" s="104"/>
      <c r="D1203" s="104"/>
      <c r="E1203" s="104"/>
      <c r="F1203" s="105"/>
      <c r="H1203" s="45" t="str">
        <f t="shared" si="54"/>
        <v/>
      </c>
      <c r="J1203" s="45" t="str">
        <f t="shared" si="55"/>
        <v/>
      </c>
      <c r="L1203" s="45" t="str">
        <f t="shared" si="56"/>
        <v/>
      </c>
      <c r="N1203" s="103"/>
      <c r="O1203" s="104"/>
      <c r="P1203" s="105"/>
    </row>
    <row r="1204" spans="2:16" x14ac:dyDescent="0.25">
      <c r="B1204" s="103"/>
      <c r="C1204" s="104"/>
      <c r="D1204" s="104"/>
      <c r="E1204" s="104"/>
      <c r="F1204" s="105"/>
      <c r="H1204" s="45" t="str">
        <f t="shared" si="54"/>
        <v/>
      </c>
      <c r="J1204" s="45" t="str">
        <f t="shared" si="55"/>
        <v/>
      </c>
      <c r="L1204" s="45" t="str">
        <f t="shared" si="56"/>
        <v/>
      </c>
      <c r="N1204" s="103"/>
      <c r="O1204" s="104"/>
      <c r="P1204" s="105"/>
    </row>
    <row r="1205" spans="2:16" x14ac:dyDescent="0.25">
      <c r="B1205" s="103"/>
      <c r="C1205" s="104"/>
      <c r="D1205" s="104"/>
      <c r="E1205" s="104"/>
      <c r="F1205" s="105"/>
      <c r="H1205" s="45" t="str">
        <f t="shared" si="54"/>
        <v/>
      </c>
      <c r="J1205" s="45" t="str">
        <f t="shared" si="55"/>
        <v/>
      </c>
      <c r="L1205" s="45" t="str">
        <f t="shared" si="56"/>
        <v/>
      </c>
      <c r="N1205" s="103"/>
      <c r="O1205" s="104"/>
      <c r="P1205" s="105"/>
    </row>
    <row r="1206" spans="2:16" x14ac:dyDescent="0.25">
      <c r="B1206" s="103"/>
      <c r="C1206" s="104"/>
      <c r="D1206" s="104"/>
      <c r="E1206" s="104"/>
      <c r="F1206" s="105"/>
      <c r="H1206" s="45" t="str">
        <f t="shared" si="54"/>
        <v/>
      </c>
      <c r="J1206" s="45" t="str">
        <f t="shared" si="55"/>
        <v/>
      </c>
      <c r="L1206" s="45" t="str">
        <f t="shared" si="56"/>
        <v/>
      </c>
      <c r="N1206" s="103"/>
      <c r="O1206" s="104"/>
      <c r="P1206" s="105"/>
    </row>
    <row r="1207" spans="2:16" x14ac:dyDescent="0.25">
      <c r="B1207" s="103"/>
      <c r="C1207" s="104"/>
      <c r="D1207" s="104"/>
      <c r="E1207" s="104"/>
      <c r="F1207" s="105"/>
      <c r="H1207" s="45" t="str">
        <f t="shared" si="54"/>
        <v/>
      </c>
      <c r="J1207" s="45" t="str">
        <f t="shared" si="55"/>
        <v/>
      </c>
      <c r="L1207" s="45" t="str">
        <f t="shared" si="56"/>
        <v/>
      </c>
      <c r="N1207" s="103"/>
      <c r="O1207" s="104"/>
      <c r="P1207" s="105"/>
    </row>
    <row r="1208" spans="2:16" x14ac:dyDescent="0.25">
      <c r="B1208" s="103"/>
      <c r="C1208" s="104"/>
      <c r="D1208" s="104"/>
      <c r="E1208" s="104"/>
      <c r="F1208" s="105"/>
      <c r="H1208" s="45" t="str">
        <f t="shared" si="54"/>
        <v/>
      </c>
      <c r="J1208" s="45" t="str">
        <f t="shared" si="55"/>
        <v/>
      </c>
      <c r="L1208" s="45" t="str">
        <f t="shared" si="56"/>
        <v/>
      </c>
      <c r="N1208" s="103"/>
      <c r="O1208" s="104"/>
      <c r="P1208" s="105"/>
    </row>
    <row r="1209" spans="2:16" ht="15.75" thickBot="1" x14ac:dyDescent="0.3">
      <c r="B1209" s="106"/>
      <c r="C1209" s="107"/>
      <c r="D1209" s="107"/>
      <c r="E1209" s="107"/>
      <c r="F1209" s="108"/>
      <c r="H1209" s="46" t="str">
        <f t="shared" si="54"/>
        <v/>
      </c>
      <c r="J1209" s="46" t="str">
        <f t="shared" si="55"/>
        <v/>
      </c>
      <c r="L1209" s="46" t="str">
        <f t="shared" si="56"/>
        <v/>
      </c>
      <c r="N1209" s="106"/>
      <c r="O1209" s="107"/>
      <c r="P1209" s="108"/>
    </row>
  </sheetData>
  <mergeCells count="5">
    <mergeCell ref="B6:F6"/>
    <mergeCell ref="B4:F4"/>
    <mergeCell ref="N4:P4"/>
    <mergeCell ref="N6:P6"/>
    <mergeCell ref="B2:P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B8685A-3CA8-41DA-A5F3-6076F7F64B61}">
  <dimension ref="B1:G109"/>
  <sheetViews>
    <sheetView workbookViewId="0">
      <selection activeCell="B10" sqref="B10:C27"/>
    </sheetView>
  </sheetViews>
  <sheetFormatPr defaultRowHeight="15" x14ac:dyDescent="0.25"/>
  <cols>
    <col min="1" max="1" width="2.85546875" customWidth="1"/>
    <col min="2" max="2" width="14.28515625" customWidth="1"/>
    <col min="3" max="3" width="22.85546875" customWidth="1"/>
    <col min="4" max="4" width="2.85546875" customWidth="1"/>
    <col min="5" max="5" width="12.85546875" bestFit="1" customWidth="1"/>
    <col min="6" max="6" width="34.28515625" customWidth="1"/>
    <col min="7" max="7" width="18" bestFit="1" customWidth="1"/>
  </cols>
  <sheetData>
    <row r="1" spans="2:7" ht="15.75" thickBot="1" x14ac:dyDescent="0.3"/>
    <row r="2" spans="2:7" ht="32.25" thickBot="1" x14ac:dyDescent="0.55000000000000004">
      <c r="B2" s="309" t="s">
        <v>142</v>
      </c>
      <c r="C2" s="310"/>
      <c r="D2" s="310"/>
      <c r="E2" s="310"/>
      <c r="F2" s="310"/>
      <c r="G2" s="311"/>
    </row>
    <row r="3" spans="2:7" ht="15.75" thickBot="1" x14ac:dyDescent="0.3"/>
    <row r="4" spans="2:7" ht="21.75" thickBot="1" x14ac:dyDescent="0.4">
      <c r="B4" s="318" t="s">
        <v>49</v>
      </c>
      <c r="C4" s="319"/>
      <c r="E4" s="318" t="s">
        <v>48</v>
      </c>
      <c r="F4" s="329"/>
      <c r="G4" s="319"/>
    </row>
    <row r="5" spans="2:7" ht="15.75" thickBot="1" x14ac:dyDescent="0.3"/>
    <row r="6" spans="2:7" ht="107.25" customHeight="1" thickBot="1" x14ac:dyDescent="0.3">
      <c r="B6" s="330" t="s">
        <v>99</v>
      </c>
      <c r="C6" s="331"/>
      <c r="E6" s="326" t="s">
        <v>128</v>
      </c>
      <c r="F6" s="327"/>
      <c r="G6" s="328"/>
    </row>
    <row r="7" spans="2:7" x14ac:dyDescent="0.25">
      <c r="B7" s="6"/>
      <c r="C7" s="6"/>
    </row>
    <row r="8" spans="2:7" x14ac:dyDescent="0.25">
      <c r="B8" s="40" t="s">
        <v>100</v>
      </c>
      <c r="C8" s="40" t="s">
        <v>101</v>
      </c>
      <c r="D8" s="3"/>
      <c r="E8" s="41" t="s">
        <v>106</v>
      </c>
      <c r="F8" s="23" t="s">
        <v>114</v>
      </c>
      <c r="G8" s="24" t="s">
        <v>127</v>
      </c>
    </row>
    <row r="9" spans="2:7" ht="7.5" customHeight="1" thickBot="1" x14ac:dyDescent="0.3">
      <c r="B9" s="3"/>
      <c r="C9" s="3"/>
      <c r="D9" s="3"/>
      <c r="E9" s="3"/>
      <c r="F9" s="3"/>
      <c r="G9" s="3"/>
    </row>
    <row r="10" spans="2:7" x14ac:dyDescent="0.25">
      <c r="B10" s="100">
        <v>14</v>
      </c>
      <c r="C10" s="102" t="s">
        <v>3725</v>
      </c>
      <c r="D10" s="3"/>
      <c r="E10" s="100">
        <v>1</v>
      </c>
      <c r="F10" s="101" t="s">
        <v>360</v>
      </c>
      <c r="G10" s="102">
        <v>3</v>
      </c>
    </row>
    <row r="11" spans="2:7" x14ac:dyDescent="0.25">
      <c r="B11" s="103">
        <v>1</v>
      </c>
      <c r="C11" s="105" t="s">
        <v>1631</v>
      </c>
      <c r="D11" s="3"/>
      <c r="E11" s="103"/>
      <c r="F11" s="104"/>
      <c r="G11" s="105"/>
    </row>
    <row r="12" spans="2:7" x14ac:dyDescent="0.25">
      <c r="B12" s="103">
        <v>13</v>
      </c>
      <c r="C12" s="105" t="s">
        <v>3726</v>
      </c>
      <c r="D12" s="3"/>
      <c r="E12" s="103"/>
      <c r="F12" s="104"/>
      <c r="G12" s="105"/>
    </row>
    <row r="13" spans="2:7" x14ac:dyDescent="0.25">
      <c r="B13" s="103">
        <v>2</v>
      </c>
      <c r="C13" s="105" t="s">
        <v>478</v>
      </c>
      <c r="D13" s="3"/>
      <c r="E13" s="103"/>
      <c r="F13" s="104"/>
      <c r="G13" s="105"/>
    </row>
    <row r="14" spans="2:7" x14ac:dyDescent="0.25">
      <c r="B14" s="103">
        <v>3</v>
      </c>
      <c r="C14" s="105" t="s">
        <v>3727</v>
      </c>
      <c r="D14" s="3"/>
      <c r="E14" s="103"/>
      <c r="F14" s="104"/>
      <c r="G14" s="105"/>
    </row>
    <row r="15" spans="2:7" x14ac:dyDescent="0.25">
      <c r="B15" s="103">
        <v>4</v>
      </c>
      <c r="C15" s="105" t="s">
        <v>392</v>
      </c>
      <c r="D15" s="3"/>
      <c r="E15" s="103"/>
      <c r="F15" s="104"/>
      <c r="G15" s="105"/>
    </row>
    <row r="16" spans="2:7" x14ac:dyDescent="0.25">
      <c r="B16" s="103">
        <v>5</v>
      </c>
      <c r="C16" s="105" t="s">
        <v>529</v>
      </c>
      <c r="D16" s="3"/>
      <c r="E16" s="103"/>
      <c r="F16" s="104"/>
      <c r="G16" s="105"/>
    </row>
    <row r="17" spans="2:7" x14ac:dyDescent="0.25">
      <c r="B17" s="103">
        <v>17</v>
      </c>
      <c r="C17" s="105" t="s">
        <v>3728</v>
      </c>
      <c r="D17" s="3"/>
      <c r="E17" s="103"/>
      <c r="F17" s="104"/>
      <c r="G17" s="105"/>
    </row>
    <row r="18" spans="2:7" x14ac:dyDescent="0.25">
      <c r="B18" s="103">
        <v>6</v>
      </c>
      <c r="C18" s="105" t="s">
        <v>455</v>
      </c>
      <c r="D18" s="3"/>
      <c r="E18" s="103"/>
      <c r="F18" s="109"/>
      <c r="G18" s="105"/>
    </row>
    <row r="19" spans="2:7" x14ac:dyDescent="0.25">
      <c r="B19" s="103">
        <v>7</v>
      </c>
      <c r="C19" s="105" t="s">
        <v>3729</v>
      </c>
      <c r="D19" s="3"/>
      <c r="E19" s="103"/>
      <c r="F19" s="104"/>
      <c r="G19" s="105"/>
    </row>
    <row r="20" spans="2:7" x14ac:dyDescent="0.25">
      <c r="B20" s="103">
        <v>8</v>
      </c>
      <c r="C20" s="105" t="s">
        <v>2024</v>
      </c>
      <c r="D20" s="3"/>
      <c r="E20" s="103"/>
      <c r="F20" s="104"/>
      <c r="G20" s="105"/>
    </row>
    <row r="21" spans="2:7" x14ac:dyDescent="0.25">
      <c r="B21" s="103">
        <v>9</v>
      </c>
      <c r="C21" s="105" t="s">
        <v>1924</v>
      </c>
      <c r="D21" s="3"/>
      <c r="E21" s="103"/>
      <c r="F21" s="104"/>
      <c r="G21" s="105"/>
    </row>
    <row r="22" spans="2:7" x14ac:dyDescent="0.25">
      <c r="B22" s="103">
        <v>10</v>
      </c>
      <c r="C22" s="105" t="s">
        <v>3730</v>
      </c>
      <c r="D22" s="3"/>
      <c r="E22" s="103"/>
      <c r="F22" s="104"/>
      <c r="G22" s="105"/>
    </row>
    <row r="23" spans="2:7" x14ac:dyDescent="0.25">
      <c r="B23" s="103">
        <v>18</v>
      </c>
      <c r="C23" s="105" t="s">
        <v>3731</v>
      </c>
      <c r="D23" s="3"/>
      <c r="E23" s="103"/>
      <c r="F23" s="104"/>
      <c r="G23" s="105"/>
    </row>
    <row r="24" spans="2:7" x14ac:dyDescent="0.25">
      <c r="B24" s="103">
        <v>11</v>
      </c>
      <c r="C24" s="105" t="s">
        <v>409</v>
      </c>
      <c r="D24" s="3"/>
      <c r="E24" s="103"/>
      <c r="F24" s="104"/>
      <c r="G24" s="105"/>
    </row>
    <row r="25" spans="2:7" x14ac:dyDescent="0.25">
      <c r="B25" s="103">
        <v>12</v>
      </c>
      <c r="C25" s="105" t="s">
        <v>425</v>
      </c>
      <c r="D25" s="3"/>
      <c r="E25" s="103"/>
      <c r="F25" s="104"/>
      <c r="G25" s="105"/>
    </row>
    <row r="26" spans="2:7" x14ac:dyDescent="0.25">
      <c r="B26" s="103">
        <v>16</v>
      </c>
      <c r="C26" s="105" t="s">
        <v>3732</v>
      </c>
      <c r="D26" s="3"/>
      <c r="E26" s="103"/>
      <c r="F26" s="104"/>
      <c r="G26" s="105"/>
    </row>
    <row r="27" spans="2:7" x14ac:dyDescent="0.25">
      <c r="B27" s="103">
        <v>15</v>
      </c>
      <c r="C27" s="105" t="s">
        <v>3733</v>
      </c>
      <c r="D27" s="3"/>
      <c r="E27" s="103"/>
      <c r="F27" s="104"/>
      <c r="G27" s="105"/>
    </row>
    <row r="28" spans="2:7" x14ac:dyDescent="0.25">
      <c r="B28" s="103"/>
      <c r="C28" s="105"/>
      <c r="D28" s="3"/>
      <c r="E28" s="103"/>
      <c r="F28" s="104"/>
      <c r="G28" s="105"/>
    </row>
    <row r="29" spans="2:7" x14ac:dyDescent="0.25">
      <c r="B29" s="103"/>
      <c r="C29" s="105"/>
      <c r="D29" s="3"/>
      <c r="E29" s="103"/>
      <c r="F29" s="104"/>
      <c r="G29" s="105"/>
    </row>
    <row r="30" spans="2:7" x14ac:dyDescent="0.25">
      <c r="B30" s="103"/>
      <c r="C30" s="105"/>
      <c r="D30" s="3"/>
      <c r="E30" s="103"/>
      <c r="F30" s="104"/>
      <c r="G30" s="105"/>
    </row>
    <row r="31" spans="2:7" x14ac:dyDescent="0.25">
      <c r="B31" s="103"/>
      <c r="C31" s="105"/>
      <c r="D31" s="3"/>
      <c r="E31" s="103"/>
      <c r="F31" s="104"/>
      <c r="G31" s="105"/>
    </row>
    <row r="32" spans="2:7" x14ac:dyDescent="0.25">
      <c r="B32" s="103"/>
      <c r="C32" s="105"/>
      <c r="D32" s="3"/>
      <c r="E32" s="103"/>
      <c r="F32" s="104"/>
      <c r="G32" s="105"/>
    </row>
    <row r="33" spans="2:7" x14ac:dyDescent="0.25">
      <c r="B33" s="103"/>
      <c r="C33" s="105"/>
      <c r="D33" s="3"/>
      <c r="E33" s="103"/>
      <c r="F33" s="104"/>
      <c r="G33" s="105"/>
    </row>
    <row r="34" spans="2:7" x14ac:dyDescent="0.25">
      <c r="B34" s="103"/>
      <c r="C34" s="105"/>
      <c r="D34" s="3"/>
      <c r="E34" s="103"/>
      <c r="F34" s="104"/>
      <c r="G34" s="105"/>
    </row>
    <row r="35" spans="2:7" x14ac:dyDescent="0.25">
      <c r="B35" s="103"/>
      <c r="C35" s="105"/>
      <c r="D35" s="3"/>
      <c r="E35" s="103"/>
      <c r="F35" s="104"/>
      <c r="G35" s="105"/>
    </row>
    <row r="36" spans="2:7" x14ac:dyDescent="0.25">
      <c r="B36" s="103"/>
      <c r="C36" s="105"/>
      <c r="D36" s="3"/>
      <c r="E36" s="103"/>
      <c r="F36" s="104"/>
      <c r="G36" s="105"/>
    </row>
    <row r="37" spans="2:7" x14ac:dyDescent="0.25">
      <c r="B37" s="103"/>
      <c r="C37" s="105"/>
      <c r="D37" s="3"/>
      <c r="E37" s="103"/>
      <c r="F37" s="104"/>
      <c r="G37" s="105"/>
    </row>
    <row r="38" spans="2:7" x14ac:dyDescent="0.25">
      <c r="B38" s="103"/>
      <c r="C38" s="105"/>
      <c r="D38" s="3"/>
      <c r="E38" s="103"/>
      <c r="F38" s="104"/>
      <c r="G38" s="105"/>
    </row>
    <row r="39" spans="2:7" x14ac:dyDescent="0.25">
      <c r="B39" s="103"/>
      <c r="C39" s="105"/>
      <c r="D39" s="3"/>
      <c r="E39" s="103"/>
      <c r="F39" s="104"/>
      <c r="G39" s="105"/>
    </row>
    <row r="40" spans="2:7" x14ac:dyDescent="0.25">
      <c r="B40" s="103"/>
      <c r="C40" s="105"/>
      <c r="D40" s="3"/>
      <c r="E40" s="103"/>
      <c r="F40" s="104"/>
      <c r="G40" s="105"/>
    </row>
    <row r="41" spans="2:7" x14ac:dyDescent="0.25">
      <c r="B41" s="103"/>
      <c r="C41" s="105"/>
      <c r="D41" s="3"/>
      <c r="E41" s="103"/>
      <c r="F41" s="104"/>
      <c r="G41" s="105"/>
    </row>
    <row r="42" spans="2:7" x14ac:dyDescent="0.25">
      <c r="B42" s="103"/>
      <c r="C42" s="105"/>
      <c r="D42" s="3"/>
      <c r="E42" s="103"/>
      <c r="F42" s="104"/>
      <c r="G42" s="105"/>
    </row>
    <row r="43" spans="2:7" x14ac:dyDescent="0.25">
      <c r="B43" s="103"/>
      <c r="C43" s="105"/>
      <c r="D43" s="3"/>
      <c r="E43" s="103"/>
      <c r="F43" s="104"/>
      <c r="G43" s="105"/>
    </row>
    <row r="44" spans="2:7" x14ac:dyDescent="0.25">
      <c r="B44" s="103"/>
      <c r="C44" s="105"/>
      <c r="D44" s="3"/>
      <c r="E44" s="103"/>
      <c r="F44" s="104"/>
      <c r="G44" s="105"/>
    </row>
    <row r="45" spans="2:7" x14ac:dyDescent="0.25">
      <c r="B45" s="103"/>
      <c r="C45" s="105"/>
      <c r="D45" s="3"/>
      <c r="E45" s="103"/>
      <c r="F45" s="104"/>
      <c r="G45" s="105"/>
    </row>
    <row r="46" spans="2:7" x14ac:dyDescent="0.25">
      <c r="B46" s="103"/>
      <c r="C46" s="105"/>
      <c r="D46" s="3"/>
      <c r="E46" s="103"/>
      <c r="F46" s="104"/>
      <c r="G46" s="105"/>
    </row>
    <row r="47" spans="2:7" x14ac:dyDescent="0.25">
      <c r="B47" s="103"/>
      <c r="C47" s="105"/>
      <c r="D47" s="3"/>
      <c r="E47" s="103"/>
      <c r="F47" s="104"/>
      <c r="G47" s="105"/>
    </row>
    <row r="48" spans="2:7" x14ac:dyDescent="0.25">
      <c r="B48" s="103"/>
      <c r="C48" s="105"/>
      <c r="D48" s="3"/>
      <c r="E48" s="103"/>
      <c r="F48" s="104"/>
      <c r="G48" s="105"/>
    </row>
    <row r="49" spans="2:7" x14ac:dyDescent="0.25">
      <c r="B49" s="103"/>
      <c r="C49" s="105"/>
      <c r="D49" s="3"/>
      <c r="E49" s="103"/>
      <c r="F49" s="104"/>
      <c r="G49" s="105"/>
    </row>
    <row r="50" spans="2:7" x14ac:dyDescent="0.25">
      <c r="B50" s="103"/>
      <c r="C50" s="105"/>
      <c r="D50" s="3"/>
      <c r="E50" s="103"/>
      <c r="F50" s="104"/>
      <c r="G50" s="105"/>
    </row>
    <row r="51" spans="2:7" x14ac:dyDescent="0.25">
      <c r="B51" s="103"/>
      <c r="C51" s="105"/>
      <c r="D51" s="3"/>
      <c r="E51" s="103"/>
      <c r="F51" s="104"/>
      <c r="G51" s="105"/>
    </row>
    <row r="52" spans="2:7" x14ac:dyDescent="0.25">
      <c r="B52" s="103"/>
      <c r="C52" s="105"/>
      <c r="D52" s="3"/>
      <c r="E52" s="103"/>
      <c r="F52" s="104"/>
      <c r="G52" s="105"/>
    </row>
    <row r="53" spans="2:7" x14ac:dyDescent="0.25">
      <c r="B53" s="103"/>
      <c r="C53" s="105"/>
      <c r="D53" s="3"/>
      <c r="E53" s="103"/>
      <c r="F53" s="104"/>
      <c r="G53" s="105"/>
    </row>
    <row r="54" spans="2:7" x14ac:dyDescent="0.25">
      <c r="B54" s="103"/>
      <c r="C54" s="105"/>
      <c r="D54" s="3"/>
      <c r="E54" s="103"/>
      <c r="F54" s="104"/>
      <c r="G54" s="105"/>
    </row>
    <row r="55" spans="2:7" x14ac:dyDescent="0.25">
      <c r="B55" s="103"/>
      <c r="C55" s="105"/>
      <c r="D55" s="3"/>
      <c r="E55" s="103"/>
      <c r="F55" s="104"/>
      <c r="G55" s="105"/>
    </row>
    <row r="56" spans="2:7" x14ac:dyDescent="0.25">
      <c r="B56" s="103"/>
      <c r="C56" s="105"/>
      <c r="D56" s="3"/>
      <c r="E56" s="103"/>
      <c r="F56" s="104"/>
      <c r="G56" s="105"/>
    </row>
    <row r="57" spans="2:7" x14ac:dyDescent="0.25">
      <c r="B57" s="103"/>
      <c r="C57" s="105"/>
      <c r="D57" s="3"/>
      <c r="E57" s="103"/>
      <c r="F57" s="104"/>
      <c r="G57" s="105"/>
    </row>
    <row r="58" spans="2:7" x14ac:dyDescent="0.25">
      <c r="B58" s="103"/>
      <c r="C58" s="105"/>
      <c r="D58" s="3"/>
      <c r="E58" s="103"/>
      <c r="F58" s="104"/>
      <c r="G58" s="105"/>
    </row>
    <row r="59" spans="2:7" x14ac:dyDescent="0.25">
      <c r="B59" s="103"/>
      <c r="C59" s="105"/>
      <c r="D59" s="3"/>
      <c r="E59" s="103"/>
      <c r="F59" s="104"/>
      <c r="G59" s="105"/>
    </row>
    <row r="60" spans="2:7" x14ac:dyDescent="0.25">
      <c r="B60" s="103"/>
      <c r="C60" s="105"/>
      <c r="D60" s="3"/>
      <c r="E60" s="103"/>
      <c r="F60" s="104"/>
      <c r="G60" s="105"/>
    </row>
    <row r="61" spans="2:7" x14ac:dyDescent="0.25">
      <c r="B61" s="103"/>
      <c r="C61" s="105"/>
      <c r="D61" s="3"/>
      <c r="E61" s="103"/>
      <c r="F61" s="104"/>
      <c r="G61" s="105"/>
    </row>
    <row r="62" spans="2:7" x14ac:dyDescent="0.25">
      <c r="B62" s="103"/>
      <c r="C62" s="105"/>
      <c r="D62" s="3"/>
      <c r="E62" s="103"/>
      <c r="F62" s="104"/>
      <c r="G62" s="105"/>
    </row>
    <row r="63" spans="2:7" x14ac:dyDescent="0.25">
      <c r="B63" s="103"/>
      <c r="C63" s="105"/>
      <c r="D63" s="3"/>
      <c r="E63" s="103"/>
      <c r="F63" s="104"/>
      <c r="G63" s="105"/>
    </row>
    <row r="64" spans="2:7" x14ac:dyDescent="0.25">
      <c r="B64" s="103"/>
      <c r="C64" s="105"/>
      <c r="D64" s="3"/>
      <c r="E64" s="103"/>
      <c r="F64" s="104"/>
      <c r="G64" s="105"/>
    </row>
    <row r="65" spans="2:7" x14ac:dyDescent="0.25">
      <c r="B65" s="103"/>
      <c r="C65" s="105"/>
      <c r="D65" s="3"/>
      <c r="E65" s="103"/>
      <c r="F65" s="104"/>
      <c r="G65" s="105"/>
    </row>
    <row r="66" spans="2:7" x14ac:dyDescent="0.25">
      <c r="B66" s="103"/>
      <c r="C66" s="105"/>
      <c r="D66" s="3"/>
      <c r="E66" s="103"/>
      <c r="F66" s="104"/>
      <c r="G66" s="105"/>
    </row>
    <row r="67" spans="2:7" x14ac:dyDescent="0.25">
      <c r="B67" s="103"/>
      <c r="C67" s="105"/>
      <c r="D67" s="3"/>
      <c r="E67" s="103"/>
      <c r="F67" s="104"/>
      <c r="G67" s="105"/>
    </row>
    <row r="68" spans="2:7" x14ac:dyDescent="0.25">
      <c r="B68" s="103"/>
      <c r="C68" s="105"/>
      <c r="D68" s="3"/>
      <c r="E68" s="103"/>
      <c r="F68" s="104"/>
      <c r="G68" s="105"/>
    </row>
    <row r="69" spans="2:7" x14ac:dyDescent="0.25">
      <c r="B69" s="103"/>
      <c r="C69" s="105"/>
      <c r="D69" s="3"/>
      <c r="E69" s="103"/>
      <c r="F69" s="104"/>
      <c r="G69" s="105"/>
    </row>
    <row r="70" spans="2:7" x14ac:dyDescent="0.25">
      <c r="B70" s="103"/>
      <c r="C70" s="105"/>
      <c r="D70" s="3"/>
      <c r="E70" s="103"/>
      <c r="F70" s="104"/>
      <c r="G70" s="105"/>
    </row>
    <row r="71" spans="2:7" x14ac:dyDescent="0.25">
      <c r="B71" s="103"/>
      <c r="C71" s="105"/>
      <c r="D71" s="3"/>
      <c r="E71" s="103"/>
      <c r="F71" s="104"/>
      <c r="G71" s="105"/>
    </row>
    <row r="72" spans="2:7" x14ac:dyDescent="0.25">
      <c r="B72" s="103"/>
      <c r="C72" s="105"/>
      <c r="D72" s="3"/>
      <c r="E72" s="103"/>
      <c r="F72" s="104"/>
      <c r="G72" s="105"/>
    </row>
    <row r="73" spans="2:7" x14ac:dyDescent="0.25">
      <c r="B73" s="103"/>
      <c r="C73" s="105"/>
      <c r="D73" s="3"/>
      <c r="E73" s="103"/>
      <c r="F73" s="104"/>
      <c r="G73" s="105"/>
    </row>
    <row r="74" spans="2:7" x14ac:dyDescent="0.25">
      <c r="B74" s="103"/>
      <c r="C74" s="105"/>
      <c r="D74" s="3"/>
      <c r="E74" s="103"/>
      <c r="F74" s="104"/>
      <c r="G74" s="105"/>
    </row>
    <row r="75" spans="2:7" x14ac:dyDescent="0.25">
      <c r="B75" s="103"/>
      <c r="C75" s="105"/>
      <c r="D75" s="3"/>
      <c r="E75" s="103"/>
      <c r="F75" s="104"/>
      <c r="G75" s="105"/>
    </row>
    <row r="76" spans="2:7" x14ac:dyDescent="0.25">
      <c r="B76" s="103"/>
      <c r="C76" s="105"/>
      <c r="D76" s="3"/>
      <c r="E76" s="103"/>
      <c r="F76" s="104"/>
      <c r="G76" s="105"/>
    </row>
    <row r="77" spans="2:7" x14ac:dyDescent="0.25">
      <c r="B77" s="103"/>
      <c r="C77" s="105"/>
      <c r="D77" s="3"/>
      <c r="E77" s="103"/>
      <c r="F77" s="104"/>
      <c r="G77" s="105"/>
    </row>
    <row r="78" spans="2:7" x14ac:dyDescent="0.25">
      <c r="B78" s="103"/>
      <c r="C78" s="105"/>
      <c r="D78" s="3"/>
      <c r="E78" s="103"/>
      <c r="F78" s="104"/>
      <c r="G78" s="105"/>
    </row>
    <row r="79" spans="2:7" x14ac:dyDescent="0.25">
      <c r="B79" s="103"/>
      <c r="C79" s="105"/>
      <c r="D79" s="3"/>
      <c r="E79" s="103"/>
      <c r="F79" s="104"/>
      <c r="G79" s="105"/>
    </row>
    <row r="80" spans="2:7" x14ac:dyDescent="0.25">
      <c r="B80" s="103"/>
      <c r="C80" s="105"/>
      <c r="D80" s="3"/>
      <c r="E80" s="103"/>
      <c r="F80" s="104"/>
      <c r="G80" s="105"/>
    </row>
    <row r="81" spans="2:7" x14ac:dyDescent="0.25">
      <c r="B81" s="103"/>
      <c r="C81" s="105"/>
      <c r="D81" s="3"/>
      <c r="E81" s="103"/>
      <c r="F81" s="104"/>
      <c r="G81" s="105"/>
    </row>
    <row r="82" spans="2:7" x14ac:dyDescent="0.25">
      <c r="B82" s="103"/>
      <c r="C82" s="105"/>
      <c r="D82" s="3"/>
      <c r="E82" s="103"/>
      <c r="F82" s="104"/>
      <c r="G82" s="105"/>
    </row>
    <row r="83" spans="2:7" x14ac:dyDescent="0.25">
      <c r="B83" s="103"/>
      <c r="C83" s="105"/>
      <c r="D83" s="3"/>
      <c r="E83" s="103"/>
      <c r="F83" s="104"/>
      <c r="G83" s="105"/>
    </row>
    <row r="84" spans="2:7" x14ac:dyDescent="0.25">
      <c r="B84" s="103"/>
      <c r="C84" s="105"/>
      <c r="D84" s="3"/>
      <c r="E84" s="103"/>
      <c r="F84" s="104"/>
      <c r="G84" s="105"/>
    </row>
    <row r="85" spans="2:7" x14ac:dyDescent="0.25">
      <c r="B85" s="103"/>
      <c r="C85" s="105"/>
      <c r="D85" s="3"/>
      <c r="E85" s="103"/>
      <c r="F85" s="104"/>
      <c r="G85" s="105"/>
    </row>
    <row r="86" spans="2:7" x14ac:dyDescent="0.25">
      <c r="B86" s="103"/>
      <c r="C86" s="105"/>
      <c r="D86" s="3"/>
      <c r="E86" s="103"/>
      <c r="F86" s="104"/>
      <c r="G86" s="105"/>
    </row>
    <row r="87" spans="2:7" x14ac:dyDescent="0.25">
      <c r="B87" s="103"/>
      <c r="C87" s="105"/>
      <c r="D87" s="3"/>
      <c r="E87" s="103"/>
      <c r="F87" s="104"/>
      <c r="G87" s="105"/>
    </row>
    <row r="88" spans="2:7" x14ac:dyDescent="0.25">
      <c r="B88" s="103"/>
      <c r="C88" s="105"/>
      <c r="D88" s="3"/>
      <c r="E88" s="103"/>
      <c r="F88" s="104"/>
      <c r="G88" s="105"/>
    </row>
    <row r="89" spans="2:7" x14ac:dyDescent="0.25">
      <c r="B89" s="103"/>
      <c r="C89" s="105"/>
      <c r="D89" s="3"/>
      <c r="E89" s="103"/>
      <c r="F89" s="104"/>
      <c r="G89" s="105"/>
    </row>
    <row r="90" spans="2:7" x14ac:dyDescent="0.25">
      <c r="B90" s="103"/>
      <c r="C90" s="105"/>
      <c r="D90" s="3"/>
      <c r="E90" s="103"/>
      <c r="F90" s="104"/>
      <c r="G90" s="105"/>
    </row>
    <row r="91" spans="2:7" x14ac:dyDescent="0.25">
      <c r="B91" s="103"/>
      <c r="C91" s="105"/>
      <c r="D91" s="3"/>
      <c r="E91" s="103"/>
      <c r="F91" s="104"/>
      <c r="G91" s="105"/>
    </row>
    <row r="92" spans="2:7" x14ac:dyDescent="0.25">
      <c r="B92" s="103"/>
      <c r="C92" s="105"/>
      <c r="D92" s="3"/>
      <c r="E92" s="103"/>
      <c r="F92" s="104"/>
      <c r="G92" s="105"/>
    </row>
    <row r="93" spans="2:7" x14ac:dyDescent="0.25">
      <c r="B93" s="103"/>
      <c r="C93" s="105"/>
      <c r="D93" s="3"/>
      <c r="E93" s="103"/>
      <c r="F93" s="104"/>
      <c r="G93" s="105"/>
    </row>
    <row r="94" spans="2:7" x14ac:dyDescent="0.25">
      <c r="B94" s="103"/>
      <c r="C94" s="105"/>
      <c r="D94" s="3"/>
      <c r="E94" s="103"/>
      <c r="F94" s="104"/>
      <c r="G94" s="105"/>
    </row>
    <row r="95" spans="2:7" x14ac:dyDescent="0.25">
      <c r="B95" s="103"/>
      <c r="C95" s="105"/>
      <c r="D95" s="3"/>
      <c r="E95" s="103"/>
      <c r="F95" s="104"/>
      <c r="G95" s="105"/>
    </row>
    <row r="96" spans="2:7" x14ac:dyDescent="0.25">
      <c r="B96" s="103"/>
      <c r="C96" s="105"/>
      <c r="D96" s="3"/>
      <c r="E96" s="103"/>
      <c r="F96" s="104"/>
      <c r="G96" s="105"/>
    </row>
    <row r="97" spans="2:7" x14ac:dyDescent="0.25">
      <c r="B97" s="103"/>
      <c r="C97" s="105"/>
      <c r="D97" s="3"/>
      <c r="E97" s="103"/>
      <c r="F97" s="104"/>
      <c r="G97" s="105"/>
    </row>
    <row r="98" spans="2:7" x14ac:dyDescent="0.25">
      <c r="B98" s="103"/>
      <c r="C98" s="105"/>
      <c r="D98" s="3"/>
      <c r="E98" s="103"/>
      <c r="F98" s="104"/>
      <c r="G98" s="105"/>
    </row>
    <row r="99" spans="2:7" x14ac:dyDescent="0.25">
      <c r="B99" s="103"/>
      <c r="C99" s="105"/>
      <c r="D99" s="3"/>
      <c r="E99" s="103"/>
      <c r="F99" s="104"/>
      <c r="G99" s="105"/>
    </row>
    <row r="100" spans="2:7" x14ac:dyDescent="0.25">
      <c r="B100" s="103"/>
      <c r="C100" s="105"/>
      <c r="D100" s="3"/>
      <c r="E100" s="103"/>
      <c r="F100" s="104"/>
      <c r="G100" s="105"/>
    </row>
    <row r="101" spans="2:7" x14ac:dyDescent="0.25">
      <c r="B101" s="103"/>
      <c r="C101" s="105"/>
      <c r="D101" s="3"/>
      <c r="E101" s="103"/>
      <c r="F101" s="104"/>
      <c r="G101" s="105"/>
    </row>
    <row r="102" spans="2:7" x14ac:dyDescent="0.25">
      <c r="B102" s="103"/>
      <c r="C102" s="105"/>
      <c r="D102" s="3"/>
      <c r="E102" s="103"/>
      <c r="F102" s="104"/>
      <c r="G102" s="105"/>
    </row>
    <row r="103" spans="2:7" x14ac:dyDescent="0.25">
      <c r="B103" s="103"/>
      <c r="C103" s="105"/>
      <c r="D103" s="3"/>
      <c r="E103" s="103"/>
      <c r="F103" s="104"/>
      <c r="G103" s="105"/>
    </row>
    <row r="104" spans="2:7" x14ac:dyDescent="0.25">
      <c r="B104" s="103"/>
      <c r="C104" s="105"/>
      <c r="D104" s="3"/>
      <c r="E104" s="103"/>
      <c r="F104" s="104"/>
      <c r="G104" s="105"/>
    </row>
    <row r="105" spans="2:7" x14ac:dyDescent="0.25">
      <c r="B105" s="103"/>
      <c r="C105" s="105"/>
      <c r="D105" s="3"/>
      <c r="E105" s="103"/>
      <c r="F105" s="104"/>
      <c r="G105" s="105"/>
    </row>
    <row r="106" spans="2:7" x14ac:dyDescent="0.25">
      <c r="B106" s="103"/>
      <c r="C106" s="105"/>
      <c r="D106" s="3"/>
      <c r="E106" s="103"/>
      <c r="F106" s="104"/>
      <c r="G106" s="105"/>
    </row>
    <row r="107" spans="2:7" x14ac:dyDescent="0.25">
      <c r="B107" s="103"/>
      <c r="C107" s="105"/>
      <c r="D107" s="3"/>
      <c r="E107" s="103"/>
      <c r="F107" s="104"/>
      <c r="G107" s="105"/>
    </row>
    <row r="108" spans="2:7" x14ac:dyDescent="0.25">
      <c r="B108" s="103"/>
      <c r="C108" s="105"/>
      <c r="D108" s="3"/>
      <c r="E108" s="103"/>
      <c r="F108" s="104"/>
      <c r="G108" s="105"/>
    </row>
    <row r="109" spans="2:7" ht="15.75" thickBot="1" x14ac:dyDescent="0.3">
      <c r="B109" s="106"/>
      <c r="C109" s="108"/>
      <c r="D109" s="3"/>
      <c r="E109" s="106"/>
      <c r="F109" s="107"/>
      <c r="G109" s="108"/>
    </row>
  </sheetData>
  <sheetProtection sheet="1" objects="1" scenarios="1"/>
  <mergeCells count="5">
    <mergeCell ref="E6:G6"/>
    <mergeCell ref="E4:G4"/>
    <mergeCell ref="B2:G2"/>
    <mergeCell ref="B4:C4"/>
    <mergeCell ref="B6:C6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658FC-F0C8-4F05-93ED-AA4BF4956254}">
  <dimension ref="B1:D109"/>
  <sheetViews>
    <sheetView workbookViewId="0">
      <selection activeCell="B10" sqref="B10:D13"/>
    </sheetView>
  </sheetViews>
  <sheetFormatPr defaultRowHeight="15" x14ac:dyDescent="0.25"/>
  <cols>
    <col min="1" max="1" width="2.85546875" customWidth="1"/>
    <col min="2" max="2" width="14.28515625" customWidth="1"/>
    <col min="3" max="3" width="25.7109375" customWidth="1"/>
    <col min="4" max="4" width="17.140625" customWidth="1"/>
  </cols>
  <sheetData>
    <row r="1" spans="2:4" ht="15.75" thickBot="1" x14ac:dyDescent="0.3"/>
    <row r="2" spans="2:4" ht="32.25" thickBot="1" x14ac:dyDescent="0.55000000000000004">
      <c r="B2" s="309" t="s">
        <v>141</v>
      </c>
      <c r="C2" s="310"/>
      <c r="D2" s="311"/>
    </row>
    <row r="3" spans="2:4" ht="15.75" thickBot="1" x14ac:dyDescent="0.3"/>
    <row r="4" spans="2:4" ht="21.75" thickBot="1" x14ac:dyDescent="0.4">
      <c r="B4" s="318" t="s">
        <v>48</v>
      </c>
      <c r="C4" s="329"/>
      <c r="D4" s="319"/>
    </row>
    <row r="5" spans="2:4" ht="15.75" thickBot="1" x14ac:dyDescent="0.3"/>
    <row r="6" spans="2:4" ht="107.25" customHeight="1" thickBot="1" x14ac:dyDescent="0.3">
      <c r="B6" s="326" t="s">
        <v>116</v>
      </c>
      <c r="C6" s="327"/>
      <c r="D6" s="328"/>
    </row>
    <row r="8" spans="2:4" x14ac:dyDescent="0.25">
      <c r="B8" s="41" t="s">
        <v>117</v>
      </c>
      <c r="C8" s="23" t="s">
        <v>118</v>
      </c>
      <c r="D8" s="24" t="s">
        <v>119</v>
      </c>
    </row>
    <row r="9" spans="2:4" ht="7.5" customHeight="1" thickBot="1" x14ac:dyDescent="0.3">
      <c r="B9" s="3"/>
      <c r="C9" s="3"/>
      <c r="D9" s="3"/>
    </row>
    <row r="10" spans="2:4" x14ac:dyDescent="0.25">
      <c r="B10" s="100">
        <v>1</v>
      </c>
      <c r="C10" s="101" t="s">
        <v>3717</v>
      </c>
      <c r="D10" s="102" t="s">
        <v>3718</v>
      </c>
    </row>
    <row r="11" spans="2:4" x14ac:dyDescent="0.25">
      <c r="B11" s="103">
        <v>2</v>
      </c>
      <c r="C11" s="104" t="s">
        <v>3719</v>
      </c>
      <c r="D11" s="105" t="s">
        <v>3720</v>
      </c>
    </row>
    <row r="12" spans="2:4" x14ac:dyDescent="0.25">
      <c r="B12" s="103">
        <v>3</v>
      </c>
      <c r="C12" s="104" t="s">
        <v>3721</v>
      </c>
      <c r="D12" s="105" t="s">
        <v>3722</v>
      </c>
    </row>
    <row r="13" spans="2:4" x14ac:dyDescent="0.25">
      <c r="B13" s="103">
        <v>4</v>
      </c>
      <c r="C13" s="104" t="s">
        <v>3723</v>
      </c>
      <c r="D13" s="105" t="s">
        <v>3724</v>
      </c>
    </row>
    <row r="14" spans="2:4" x14ac:dyDescent="0.25">
      <c r="B14" s="103"/>
      <c r="C14" s="104"/>
      <c r="D14" s="105"/>
    </row>
    <row r="15" spans="2:4" x14ac:dyDescent="0.25">
      <c r="B15" s="103"/>
      <c r="C15" s="104"/>
      <c r="D15" s="105"/>
    </row>
    <row r="16" spans="2:4" x14ac:dyDescent="0.25">
      <c r="B16" s="103"/>
      <c r="C16" s="104"/>
      <c r="D16" s="105"/>
    </row>
    <row r="17" spans="2:4" x14ac:dyDescent="0.25">
      <c r="B17" s="103"/>
      <c r="C17" s="104"/>
      <c r="D17" s="105"/>
    </row>
    <row r="18" spans="2:4" x14ac:dyDescent="0.25">
      <c r="B18" s="103"/>
      <c r="C18" s="109"/>
      <c r="D18" s="105"/>
    </row>
    <row r="19" spans="2:4" x14ac:dyDescent="0.25">
      <c r="B19" s="103"/>
      <c r="C19" s="104"/>
      <c r="D19" s="105"/>
    </row>
    <row r="20" spans="2:4" x14ac:dyDescent="0.25">
      <c r="B20" s="103"/>
      <c r="C20" s="104"/>
      <c r="D20" s="105"/>
    </row>
    <row r="21" spans="2:4" x14ac:dyDescent="0.25">
      <c r="B21" s="103"/>
      <c r="C21" s="104"/>
      <c r="D21" s="105"/>
    </row>
    <row r="22" spans="2:4" x14ac:dyDescent="0.25">
      <c r="B22" s="103"/>
      <c r="C22" s="104"/>
      <c r="D22" s="105"/>
    </row>
    <row r="23" spans="2:4" x14ac:dyDescent="0.25">
      <c r="B23" s="103"/>
      <c r="C23" s="104"/>
      <c r="D23" s="105"/>
    </row>
    <row r="24" spans="2:4" x14ac:dyDescent="0.25">
      <c r="B24" s="103"/>
      <c r="C24" s="104"/>
      <c r="D24" s="105"/>
    </row>
    <row r="25" spans="2:4" x14ac:dyDescent="0.25">
      <c r="B25" s="103"/>
      <c r="C25" s="104"/>
      <c r="D25" s="105"/>
    </row>
    <row r="26" spans="2:4" x14ac:dyDescent="0.25">
      <c r="B26" s="103"/>
      <c r="C26" s="104"/>
      <c r="D26" s="105"/>
    </row>
    <row r="27" spans="2:4" x14ac:dyDescent="0.25">
      <c r="B27" s="103"/>
      <c r="C27" s="104"/>
      <c r="D27" s="105"/>
    </row>
    <row r="28" spans="2:4" x14ac:dyDescent="0.25">
      <c r="B28" s="103"/>
      <c r="C28" s="104"/>
      <c r="D28" s="105"/>
    </row>
    <row r="29" spans="2:4" x14ac:dyDescent="0.25">
      <c r="B29" s="103"/>
      <c r="C29" s="104"/>
      <c r="D29" s="105"/>
    </row>
    <row r="30" spans="2:4" x14ac:dyDescent="0.25">
      <c r="B30" s="103"/>
      <c r="C30" s="104"/>
      <c r="D30" s="105"/>
    </row>
    <row r="31" spans="2:4" x14ac:dyDescent="0.25">
      <c r="B31" s="103"/>
      <c r="C31" s="104"/>
      <c r="D31" s="105"/>
    </row>
    <row r="32" spans="2:4" x14ac:dyDescent="0.25">
      <c r="B32" s="103"/>
      <c r="C32" s="104"/>
      <c r="D32" s="105"/>
    </row>
    <row r="33" spans="2:4" x14ac:dyDescent="0.25">
      <c r="B33" s="103"/>
      <c r="C33" s="104"/>
      <c r="D33" s="105"/>
    </row>
    <row r="34" spans="2:4" x14ac:dyDescent="0.25">
      <c r="B34" s="103"/>
      <c r="C34" s="104"/>
      <c r="D34" s="105"/>
    </row>
    <row r="35" spans="2:4" x14ac:dyDescent="0.25">
      <c r="B35" s="103"/>
      <c r="C35" s="104"/>
      <c r="D35" s="105"/>
    </row>
    <row r="36" spans="2:4" x14ac:dyDescent="0.25">
      <c r="B36" s="103"/>
      <c r="C36" s="104"/>
      <c r="D36" s="105"/>
    </row>
    <row r="37" spans="2:4" x14ac:dyDescent="0.25">
      <c r="B37" s="103"/>
      <c r="C37" s="104"/>
      <c r="D37" s="105"/>
    </row>
    <row r="38" spans="2:4" x14ac:dyDescent="0.25">
      <c r="B38" s="103"/>
      <c r="C38" s="104"/>
      <c r="D38" s="105"/>
    </row>
    <row r="39" spans="2:4" x14ac:dyDescent="0.25">
      <c r="B39" s="103"/>
      <c r="C39" s="104"/>
      <c r="D39" s="105"/>
    </row>
    <row r="40" spans="2:4" x14ac:dyDescent="0.25">
      <c r="B40" s="103"/>
      <c r="C40" s="104"/>
      <c r="D40" s="105"/>
    </row>
    <row r="41" spans="2:4" x14ac:dyDescent="0.25">
      <c r="B41" s="103"/>
      <c r="C41" s="104"/>
      <c r="D41" s="105"/>
    </row>
    <row r="42" spans="2:4" x14ac:dyDescent="0.25">
      <c r="B42" s="103"/>
      <c r="C42" s="104"/>
      <c r="D42" s="105"/>
    </row>
    <row r="43" spans="2:4" x14ac:dyDescent="0.25">
      <c r="B43" s="103"/>
      <c r="C43" s="104"/>
      <c r="D43" s="105"/>
    </row>
    <row r="44" spans="2:4" x14ac:dyDescent="0.25">
      <c r="B44" s="103"/>
      <c r="C44" s="104"/>
      <c r="D44" s="105"/>
    </row>
    <row r="45" spans="2:4" x14ac:dyDescent="0.25">
      <c r="B45" s="103"/>
      <c r="C45" s="104"/>
      <c r="D45" s="105"/>
    </row>
    <row r="46" spans="2:4" x14ac:dyDescent="0.25">
      <c r="B46" s="103"/>
      <c r="C46" s="104"/>
      <c r="D46" s="105"/>
    </row>
    <row r="47" spans="2:4" x14ac:dyDescent="0.25">
      <c r="B47" s="103"/>
      <c r="C47" s="104"/>
      <c r="D47" s="105"/>
    </row>
    <row r="48" spans="2:4" x14ac:dyDescent="0.25">
      <c r="B48" s="103"/>
      <c r="C48" s="104"/>
      <c r="D48" s="105"/>
    </row>
    <row r="49" spans="2:4" x14ac:dyDescent="0.25">
      <c r="B49" s="103"/>
      <c r="C49" s="104"/>
      <c r="D49" s="105"/>
    </row>
    <row r="50" spans="2:4" x14ac:dyDescent="0.25">
      <c r="B50" s="103"/>
      <c r="C50" s="104"/>
      <c r="D50" s="105"/>
    </row>
    <row r="51" spans="2:4" x14ac:dyDescent="0.25">
      <c r="B51" s="103"/>
      <c r="C51" s="104"/>
      <c r="D51" s="105"/>
    </row>
    <row r="52" spans="2:4" x14ac:dyDescent="0.25">
      <c r="B52" s="103"/>
      <c r="C52" s="104"/>
      <c r="D52" s="105"/>
    </row>
    <row r="53" spans="2:4" x14ac:dyDescent="0.25">
      <c r="B53" s="103"/>
      <c r="C53" s="104"/>
      <c r="D53" s="105"/>
    </row>
    <row r="54" spans="2:4" x14ac:dyDescent="0.25">
      <c r="B54" s="103"/>
      <c r="C54" s="104"/>
      <c r="D54" s="105"/>
    </row>
    <row r="55" spans="2:4" x14ac:dyDescent="0.25">
      <c r="B55" s="103"/>
      <c r="C55" s="104"/>
      <c r="D55" s="105"/>
    </row>
    <row r="56" spans="2:4" x14ac:dyDescent="0.25">
      <c r="B56" s="103"/>
      <c r="C56" s="104"/>
      <c r="D56" s="105"/>
    </row>
    <row r="57" spans="2:4" x14ac:dyDescent="0.25">
      <c r="B57" s="103"/>
      <c r="C57" s="104"/>
      <c r="D57" s="105"/>
    </row>
    <row r="58" spans="2:4" x14ac:dyDescent="0.25">
      <c r="B58" s="103"/>
      <c r="C58" s="104"/>
      <c r="D58" s="105"/>
    </row>
    <row r="59" spans="2:4" x14ac:dyDescent="0.25">
      <c r="B59" s="103"/>
      <c r="C59" s="104"/>
      <c r="D59" s="105"/>
    </row>
    <row r="60" spans="2:4" x14ac:dyDescent="0.25">
      <c r="B60" s="103"/>
      <c r="C60" s="104"/>
      <c r="D60" s="105"/>
    </row>
    <row r="61" spans="2:4" x14ac:dyDescent="0.25">
      <c r="B61" s="103"/>
      <c r="C61" s="104"/>
      <c r="D61" s="105"/>
    </row>
    <row r="62" spans="2:4" x14ac:dyDescent="0.25">
      <c r="B62" s="103"/>
      <c r="C62" s="104"/>
      <c r="D62" s="105"/>
    </row>
    <row r="63" spans="2:4" x14ac:dyDescent="0.25">
      <c r="B63" s="103"/>
      <c r="C63" s="104"/>
      <c r="D63" s="105"/>
    </row>
    <row r="64" spans="2:4" x14ac:dyDescent="0.25">
      <c r="B64" s="103"/>
      <c r="C64" s="104"/>
      <c r="D64" s="105"/>
    </row>
    <row r="65" spans="2:4" x14ac:dyDescent="0.25">
      <c r="B65" s="103"/>
      <c r="C65" s="104"/>
      <c r="D65" s="105"/>
    </row>
    <row r="66" spans="2:4" x14ac:dyDescent="0.25">
      <c r="B66" s="103"/>
      <c r="C66" s="104"/>
      <c r="D66" s="105"/>
    </row>
    <row r="67" spans="2:4" x14ac:dyDescent="0.25">
      <c r="B67" s="103"/>
      <c r="C67" s="104"/>
      <c r="D67" s="105"/>
    </row>
    <row r="68" spans="2:4" x14ac:dyDescent="0.25">
      <c r="B68" s="103"/>
      <c r="C68" s="104"/>
      <c r="D68" s="105"/>
    </row>
    <row r="69" spans="2:4" x14ac:dyDescent="0.25">
      <c r="B69" s="103"/>
      <c r="C69" s="104"/>
      <c r="D69" s="105"/>
    </row>
    <row r="70" spans="2:4" x14ac:dyDescent="0.25">
      <c r="B70" s="103"/>
      <c r="C70" s="104"/>
      <c r="D70" s="105"/>
    </row>
    <row r="71" spans="2:4" x14ac:dyDescent="0.25">
      <c r="B71" s="103"/>
      <c r="C71" s="104"/>
      <c r="D71" s="105"/>
    </row>
    <row r="72" spans="2:4" x14ac:dyDescent="0.25">
      <c r="B72" s="103"/>
      <c r="C72" s="104"/>
      <c r="D72" s="105"/>
    </row>
    <row r="73" spans="2:4" x14ac:dyDescent="0.25">
      <c r="B73" s="103"/>
      <c r="C73" s="104"/>
      <c r="D73" s="105"/>
    </row>
    <row r="74" spans="2:4" x14ac:dyDescent="0.25">
      <c r="B74" s="103"/>
      <c r="C74" s="104"/>
      <c r="D74" s="105"/>
    </row>
    <row r="75" spans="2:4" x14ac:dyDescent="0.25">
      <c r="B75" s="103"/>
      <c r="C75" s="104"/>
      <c r="D75" s="105"/>
    </row>
    <row r="76" spans="2:4" x14ac:dyDescent="0.25">
      <c r="B76" s="103"/>
      <c r="C76" s="104"/>
      <c r="D76" s="105"/>
    </row>
    <row r="77" spans="2:4" x14ac:dyDescent="0.25">
      <c r="B77" s="103"/>
      <c r="C77" s="104"/>
      <c r="D77" s="105"/>
    </row>
    <row r="78" spans="2:4" x14ac:dyDescent="0.25">
      <c r="B78" s="103"/>
      <c r="C78" s="104"/>
      <c r="D78" s="105"/>
    </row>
    <row r="79" spans="2:4" x14ac:dyDescent="0.25">
      <c r="B79" s="103"/>
      <c r="C79" s="104"/>
      <c r="D79" s="105"/>
    </row>
    <row r="80" spans="2:4" x14ac:dyDescent="0.25">
      <c r="B80" s="103"/>
      <c r="C80" s="104"/>
      <c r="D80" s="105"/>
    </row>
    <row r="81" spans="2:4" x14ac:dyDescent="0.25">
      <c r="B81" s="103"/>
      <c r="C81" s="104"/>
      <c r="D81" s="105"/>
    </row>
    <row r="82" spans="2:4" x14ac:dyDescent="0.25">
      <c r="B82" s="103"/>
      <c r="C82" s="104"/>
      <c r="D82" s="105"/>
    </row>
    <row r="83" spans="2:4" x14ac:dyDescent="0.25">
      <c r="B83" s="103"/>
      <c r="C83" s="104"/>
      <c r="D83" s="105"/>
    </row>
    <row r="84" spans="2:4" x14ac:dyDescent="0.25">
      <c r="B84" s="103"/>
      <c r="C84" s="104"/>
      <c r="D84" s="105"/>
    </row>
    <row r="85" spans="2:4" x14ac:dyDescent="0.25">
      <c r="B85" s="103"/>
      <c r="C85" s="104"/>
      <c r="D85" s="105"/>
    </row>
    <row r="86" spans="2:4" x14ac:dyDescent="0.25">
      <c r="B86" s="103"/>
      <c r="C86" s="104"/>
      <c r="D86" s="105"/>
    </row>
    <row r="87" spans="2:4" x14ac:dyDescent="0.25">
      <c r="B87" s="103"/>
      <c r="C87" s="104"/>
      <c r="D87" s="105"/>
    </row>
    <row r="88" spans="2:4" x14ac:dyDescent="0.25">
      <c r="B88" s="103"/>
      <c r="C88" s="104"/>
      <c r="D88" s="105"/>
    </row>
    <row r="89" spans="2:4" x14ac:dyDescent="0.25">
      <c r="B89" s="103"/>
      <c r="C89" s="104"/>
      <c r="D89" s="105"/>
    </row>
    <row r="90" spans="2:4" x14ac:dyDescent="0.25">
      <c r="B90" s="103"/>
      <c r="C90" s="104"/>
      <c r="D90" s="105"/>
    </row>
    <row r="91" spans="2:4" x14ac:dyDescent="0.25">
      <c r="B91" s="103"/>
      <c r="C91" s="104"/>
      <c r="D91" s="105"/>
    </row>
    <row r="92" spans="2:4" x14ac:dyDescent="0.25">
      <c r="B92" s="103"/>
      <c r="C92" s="104"/>
      <c r="D92" s="105"/>
    </row>
    <row r="93" spans="2:4" x14ac:dyDescent="0.25">
      <c r="B93" s="103"/>
      <c r="C93" s="104"/>
      <c r="D93" s="105"/>
    </row>
    <row r="94" spans="2:4" x14ac:dyDescent="0.25">
      <c r="B94" s="103"/>
      <c r="C94" s="104"/>
      <c r="D94" s="105"/>
    </row>
    <row r="95" spans="2:4" x14ac:dyDescent="0.25">
      <c r="B95" s="103"/>
      <c r="C95" s="104"/>
      <c r="D95" s="105"/>
    </row>
    <row r="96" spans="2:4" x14ac:dyDescent="0.25">
      <c r="B96" s="103"/>
      <c r="C96" s="104"/>
      <c r="D96" s="105"/>
    </row>
    <row r="97" spans="2:4" x14ac:dyDescent="0.25">
      <c r="B97" s="103"/>
      <c r="C97" s="104"/>
      <c r="D97" s="105"/>
    </row>
    <row r="98" spans="2:4" x14ac:dyDescent="0.25">
      <c r="B98" s="103"/>
      <c r="C98" s="104"/>
      <c r="D98" s="105"/>
    </row>
    <row r="99" spans="2:4" x14ac:dyDescent="0.25">
      <c r="B99" s="103"/>
      <c r="C99" s="104"/>
      <c r="D99" s="105"/>
    </row>
    <row r="100" spans="2:4" x14ac:dyDescent="0.25">
      <c r="B100" s="103"/>
      <c r="C100" s="104"/>
      <c r="D100" s="105"/>
    </row>
    <row r="101" spans="2:4" x14ac:dyDescent="0.25">
      <c r="B101" s="103"/>
      <c r="C101" s="104"/>
      <c r="D101" s="105"/>
    </row>
    <row r="102" spans="2:4" x14ac:dyDescent="0.25">
      <c r="B102" s="103"/>
      <c r="C102" s="104"/>
      <c r="D102" s="105"/>
    </row>
    <row r="103" spans="2:4" x14ac:dyDescent="0.25">
      <c r="B103" s="103"/>
      <c r="C103" s="104"/>
      <c r="D103" s="105"/>
    </row>
    <row r="104" spans="2:4" x14ac:dyDescent="0.25">
      <c r="B104" s="103"/>
      <c r="C104" s="104"/>
      <c r="D104" s="105"/>
    </row>
    <row r="105" spans="2:4" x14ac:dyDescent="0.25">
      <c r="B105" s="103"/>
      <c r="C105" s="104"/>
      <c r="D105" s="105"/>
    </row>
    <row r="106" spans="2:4" x14ac:dyDescent="0.25">
      <c r="B106" s="103"/>
      <c r="C106" s="104"/>
      <c r="D106" s="105"/>
    </row>
    <row r="107" spans="2:4" x14ac:dyDescent="0.25">
      <c r="B107" s="103"/>
      <c r="C107" s="104"/>
      <c r="D107" s="105"/>
    </row>
    <row r="108" spans="2:4" x14ac:dyDescent="0.25">
      <c r="B108" s="103"/>
      <c r="C108" s="104"/>
      <c r="D108" s="105"/>
    </row>
    <row r="109" spans="2:4" ht="15.75" thickBot="1" x14ac:dyDescent="0.3">
      <c r="B109" s="106"/>
      <c r="C109" s="107"/>
      <c r="D109" s="108"/>
    </row>
  </sheetData>
  <sheetProtection sheet="1" objects="1" scenarios="1"/>
  <mergeCells count="3">
    <mergeCell ref="B2:D2"/>
    <mergeCell ref="B4:D4"/>
    <mergeCell ref="B6:D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A100F9-6167-470B-8C93-C7280363B4BC}">
  <dimension ref="B1:P59"/>
  <sheetViews>
    <sheetView workbookViewId="0">
      <selection activeCell="B10" sqref="B10"/>
    </sheetView>
  </sheetViews>
  <sheetFormatPr defaultRowHeight="15" x14ac:dyDescent="0.25"/>
  <cols>
    <col min="1" max="1" width="2.85546875" customWidth="1"/>
    <col min="2" max="2" width="14.85546875" customWidth="1"/>
    <col min="3" max="3" width="14.28515625" customWidth="1"/>
    <col min="4" max="4" width="9.140625" style="1"/>
    <col min="5" max="6" width="11.42578125" customWidth="1"/>
    <col min="7" max="7" width="12.5703125" customWidth="1"/>
    <col min="8" max="8" width="14.28515625" style="1" customWidth="1"/>
    <col min="9" max="9" width="16" customWidth="1"/>
    <col min="10" max="10" width="2.85546875" customWidth="1"/>
    <col min="12" max="12" width="14.42578125" bestFit="1" customWidth="1"/>
    <col min="13" max="13" width="9.42578125" bestFit="1" customWidth="1"/>
    <col min="14" max="14" width="2.85546875" customWidth="1"/>
    <col min="15" max="15" width="14.85546875" customWidth="1"/>
    <col min="16" max="16" width="14.28515625" customWidth="1"/>
  </cols>
  <sheetData>
    <row r="1" spans="2:16" ht="15.75" thickBot="1" x14ac:dyDescent="0.3"/>
    <row r="2" spans="2:16" ht="32.25" thickBot="1" x14ac:dyDescent="0.55000000000000004">
      <c r="B2" s="309" t="s">
        <v>140</v>
      </c>
      <c r="C2" s="310"/>
      <c r="D2" s="310"/>
      <c r="E2" s="310"/>
      <c r="F2" s="310"/>
      <c r="G2" s="310"/>
      <c r="H2" s="310"/>
      <c r="I2" s="310"/>
      <c r="J2" s="310"/>
      <c r="K2" s="310"/>
      <c r="L2" s="310"/>
      <c r="M2" s="310"/>
      <c r="N2" s="310"/>
      <c r="O2" s="310"/>
      <c r="P2" s="311"/>
    </row>
    <row r="3" spans="2:16" ht="15.75" thickBot="1" x14ac:dyDescent="0.3"/>
    <row r="4" spans="2:16" ht="21.75" thickBot="1" x14ac:dyDescent="0.4">
      <c r="B4" s="318" t="s">
        <v>48</v>
      </c>
      <c r="C4" s="329"/>
      <c r="D4" s="329"/>
      <c r="E4" s="329"/>
      <c r="F4" s="329"/>
      <c r="G4" s="329"/>
      <c r="H4" s="329"/>
      <c r="I4" s="319"/>
      <c r="O4" s="318" t="s">
        <v>49</v>
      </c>
      <c r="P4" s="319"/>
    </row>
    <row r="5" spans="2:16" ht="15.75" thickBot="1" x14ac:dyDescent="0.3">
      <c r="B5" s="3"/>
      <c r="C5" s="3"/>
      <c r="E5" s="3"/>
      <c r="F5" s="3"/>
      <c r="K5" s="3"/>
      <c r="L5" s="3"/>
      <c r="M5" s="3"/>
      <c r="O5" s="3"/>
      <c r="P5" s="3"/>
    </row>
    <row r="6" spans="2:16" ht="123.75" customHeight="1" thickBot="1" x14ac:dyDescent="0.3">
      <c r="B6" s="330" t="str">
        <f>"SELECT
	v_kategorija_liga.kategorija_id,
	v_kategorija_liga.oznaka,
	v_kategorija_liga.spol,
	v_kategorija_liga.min_dob,
	v_kategorija_liga.max_dob,
	v_kategorija_liga.granica,
	vrsta_kategorije.natjecateljska,
	v_kategorija_liga.kategorija_rbr"&amp;"
FROM
	v_kategorija_liga
		LEFT JOIN
	vrsta_kategorije ON vrsta_kategorije.id = v_kategorija_liga.vrstakat_id
WHERE
	v_kategorija_liga.liga_id = "&amp;data_liga_id&amp;"
UNION
SELECT
	kategorija.id AS kategorija_id,
	kategorija.oznaka,
	kategorija.spol,
	kategorija.min_dob,
	kategorija.max_dob,
	dob.granica,
	vrsta_kategorije.natjecateljska,
	kategorija.id AS kategorija_rbr"&amp;"
FROM
	kategorija
		LEFT JOIN
	dob on dob.id = kategorija.dob_id
		LEFT JOIN
	vrsta_kategorije ON vrsta_kategorije.id = kategorija.vrstakat_id
WHERE
	vrsta_kategorije.natjecateljska = 0
		And
	vrsta_kategorije.grana_id = "&amp;data_grana_id&amp;"
ORDER BY
	kategorija_rbr"</f>
        <v>SELECT
	v_kategorija_liga.kategorija_id,
	v_kategorija_liga.oznaka,
	v_kategorija_liga.spol,
	v_kategorija_liga.min_dob,
	v_kategorija_liga.max_dob,
	v_kategorija_liga.granica,
	vrsta_kategorije.natjecateljska,
	v_kategorija_liga.kategorija_rbr
FROM
	v_kategorija_liga
		LEFT JOIN
	vrsta_kategorije ON vrsta_kategorije.id = v_kategorija_liga.vrstakat_id
WHERE
	v_kategorija_liga.liga_id = 101
UNION
SELECT
	kategorija.id AS kategorija_id,
	kategorija.oznaka,
	kategorija.spol,
	kategorija.min_dob,
	kategorija.max_dob,
	dob.granica,
	vrsta_kategorije.natjecateljska,
	kategorija.id AS kategorija_rbr
FROM
	kategorija
		LEFT JOIN
	dob on dob.id = kategorija.dob_id
		LEFT JOIN
	vrsta_kategorije ON vrsta_kategorije.id = kategorija.vrstakat_id
WHERE
	vrsta_kategorije.natjecateljska = 0
		And
	vrsta_kategorije.grana_id = 1
ORDER BY
	kategorija_rbr</v>
      </c>
      <c r="C6" s="332"/>
      <c r="D6" s="332"/>
      <c r="E6" s="332"/>
      <c r="F6" s="332"/>
      <c r="G6" s="332"/>
      <c r="H6" s="332"/>
      <c r="I6" s="331"/>
      <c r="K6" s="3"/>
      <c r="L6" s="3"/>
      <c r="M6" s="3"/>
      <c r="O6" s="330" t="str">
        <f>"SELECT
	kategorija_id,
	alias
FROM
	kategorija_alias
WHERE
	kategorija_id In
		(SELECT
			kategorija_id
		FROM
			v_kategorija_liga
		WHERE
			liga_id = "&amp;data_liga_id&amp;")
		Or
	kategorija_id In
		(SELECT
			kategorija.id
		FROM
			kategorija
				LEFT JOIN
			dob on dob.id = kategorija.dob_id
				LEFT JOIN
			vrsta_kategorije ON vrsta_kategorije.id = kategorija.vrstakat_id"&amp;"
		WHERE
			vrsta_kategorije.natjecateljska = 0
				And
			vrsta_kategorije.grana_id = "&amp;data_grana_id&amp;")"</f>
        <v>SELECT
	kategorija_id,
	alias
FROM
	kategorija_alias
WHERE
	kategorija_id In
		(SELECT
			kategorija_id
		FROM
			v_kategorija_liga
		WHERE
			liga_id = 101)
		Or
	kategorija_id In
		(SELECT
			kategorija.id
		FROM
			kategorija
				LEFT JOIN
			dob on dob.id = kategorija.dob_id
				LEFT JOIN
			vrsta_kategorije ON vrsta_kategorije.id = kategorija.vrstakat_id
		WHERE
			vrsta_kategorije.natjecateljska = 0
				And
			vrsta_kategorije.grana_id = 1)</v>
      </c>
      <c r="P6" s="331"/>
    </row>
    <row r="7" spans="2:16" x14ac:dyDescent="0.25">
      <c r="B7" s="3"/>
      <c r="C7" s="3"/>
      <c r="E7" s="3"/>
      <c r="F7" s="3"/>
      <c r="H7" s="12"/>
      <c r="K7" s="3"/>
      <c r="L7" s="3"/>
      <c r="M7" s="3"/>
      <c r="O7" s="3"/>
      <c r="P7" s="3"/>
    </row>
    <row r="8" spans="2:16" s="21" customFormat="1" x14ac:dyDescent="0.25">
      <c r="B8" s="134" t="s">
        <v>24</v>
      </c>
      <c r="C8" s="93" t="s">
        <v>25</v>
      </c>
      <c r="D8" s="135" t="s">
        <v>8</v>
      </c>
      <c r="E8" s="136" t="s">
        <v>26</v>
      </c>
      <c r="F8" s="136" t="s">
        <v>27</v>
      </c>
      <c r="G8" s="93" t="s">
        <v>28</v>
      </c>
      <c r="H8" s="135" t="s">
        <v>29</v>
      </c>
      <c r="I8" s="137" t="s">
        <v>30</v>
      </c>
      <c r="K8" s="131" t="s">
        <v>16</v>
      </c>
      <c r="L8" s="132" t="s">
        <v>53</v>
      </c>
      <c r="M8" s="133" t="s">
        <v>35</v>
      </c>
      <c r="O8" s="22" t="s">
        <v>24</v>
      </c>
      <c r="P8" s="24" t="s">
        <v>25</v>
      </c>
    </row>
    <row r="9" spans="2:16" ht="7.5" customHeight="1" thickBot="1" x14ac:dyDescent="0.3">
      <c r="L9" s="36">
        <f>data_max_stazaKategorija_id</f>
        <v>22</v>
      </c>
      <c r="M9" s="36"/>
    </row>
    <row r="10" spans="2:16" x14ac:dyDescent="0.25">
      <c r="B10" s="110">
        <v>101</v>
      </c>
      <c r="C10" s="101" t="s">
        <v>885</v>
      </c>
      <c r="D10" s="113" t="s">
        <v>353</v>
      </c>
      <c r="E10" s="114">
        <v>21</v>
      </c>
      <c r="F10" s="114">
        <v>34</v>
      </c>
      <c r="G10" s="101" t="s">
        <v>3706</v>
      </c>
      <c r="H10" s="113">
        <v>1</v>
      </c>
      <c r="I10" s="115">
        <v>1</v>
      </c>
      <c r="K10" s="27">
        <f>IF(B10="","",K9+1)</f>
        <v>1</v>
      </c>
      <c r="L10" s="37">
        <f>IF(K10="","",MAX(L$9:L9)+1)</f>
        <v>23</v>
      </c>
      <c r="M10" s="29">
        <f>IF(K10="","",IFERROR(INDEX(natjecanje!T$13:T$412,MATCH(B10,natjecanje!S$13:S$412,0)),""))</f>
        <v>13</v>
      </c>
      <c r="O10" s="110">
        <v>291</v>
      </c>
      <c r="P10" s="102" t="s">
        <v>2426</v>
      </c>
    </row>
    <row r="11" spans="2:16" x14ac:dyDescent="0.25">
      <c r="B11" s="111">
        <v>102</v>
      </c>
      <c r="C11" s="104" t="s">
        <v>3000</v>
      </c>
      <c r="D11" s="116" t="s">
        <v>3707</v>
      </c>
      <c r="E11" s="117">
        <v>21</v>
      </c>
      <c r="F11" s="117">
        <v>34</v>
      </c>
      <c r="G11" s="104" t="s">
        <v>3706</v>
      </c>
      <c r="H11" s="116">
        <v>1</v>
      </c>
      <c r="I11" s="118">
        <v>2</v>
      </c>
      <c r="K11" s="30">
        <f t="shared" ref="K11:K59" si="0">IF(B11="","",K10+1)</f>
        <v>2</v>
      </c>
      <c r="L11" s="38">
        <f>IF(K11="","",MAX(L$9:L10)+1)</f>
        <v>24</v>
      </c>
      <c r="M11" s="32">
        <f>IF(K11="","",IFERROR(INDEX(natjecanje!T$13:T$412,MATCH(B11,natjecanje!S$13:S$412,0)),""))</f>
        <v>14</v>
      </c>
      <c r="O11" s="111"/>
      <c r="P11" s="105"/>
    </row>
    <row r="12" spans="2:16" x14ac:dyDescent="0.25">
      <c r="B12" s="111">
        <v>103</v>
      </c>
      <c r="C12" s="104" t="s">
        <v>2402</v>
      </c>
      <c r="D12" s="116" t="s">
        <v>353</v>
      </c>
      <c r="E12" s="117">
        <v>70</v>
      </c>
      <c r="F12" s="117">
        <v>99</v>
      </c>
      <c r="G12" s="104" t="s">
        <v>3708</v>
      </c>
      <c r="H12" s="116">
        <v>1</v>
      </c>
      <c r="I12" s="118">
        <v>3</v>
      </c>
      <c r="K12" s="30">
        <f t="shared" si="0"/>
        <v>3</v>
      </c>
      <c r="L12" s="38">
        <f>IF(K12="","",MAX(L$9:L11)+1)</f>
        <v>25</v>
      </c>
      <c r="M12" s="32">
        <f>IF(K12="","",IFERROR(INDEX(natjecanje!T$13:T$412,MATCH(B12,natjecanje!S$13:S$412,0)),""))</f>
        <v>15</v>
      </c>
      <c r="O12" s="111"/>
      <c r="P12" s="105"/>
    </row>
    <row r="13" spans="2:16" x14ac:dyDescent="0.25">
      <c r="B13" s="111">
        <v>104</v>
      </c>
      <c r="C13" s="104" t="s">
        <v>2366</v>
      </c>
      <c r="D13" s="116" t="s">
        <v>353</v>
      </c>
      <c r="E13" s="117">
        <v>65</v>
      </c>
      <c r="F13" s="117">
        <v>69</v>
      </c>
      <c r="G13" s="104" t="s">
        <v>3708</v>
      </c>
      <c r="H13" s="116">
        <v>1</v>
      </c>
      <c r="I13" s="118">
        <v>4</v>
      </c>
      <c r="K13" s="30">
        <f t="shared" si="0"/>
        <v>4</v>
      </c>
      <c r="L13" s="38">
        <f>IF(K13="","",MAX(L$9:L12)+1)</f>
        <v>26</v>
      </c>
      <c r="M13" s="32">
        <f>IF(K13="","",IFERROR(INDEX(natjecanje!T$13:T$412,MATCH(B13,natjecanje!S$13:S$412,0)),""))</f>
        <v>15</v>
      </c>
      <c r="O13" s="111"/>
      <c r="P13" s="105"/>
    </row>
    <row r="14" spans="2:16" x14ac:dyDescent="0.25">
      <c r="B14" s="111">
        <v>105</v>
      </c>
      <c r="C14" s="104" t="s">
        <v>2194</v>
      </c>
      <c r="D14" s="116" t="s">
        <v>353</v>
      </c>
      <c r="E14" s="117">
        <v>55</v>
      </c>
      <c r="F14" s="117">
        <v>64</v>
      </c>
      <c r="G14" s="104" t="s">
        <v>3708</v>
      </c>
      <c r="H14" s="116">
        <v>1</v>
      </c>
      <c r="I14" s="118">
        <v>5</v>
      </c>
      <c r="K14" s="30">
        <f t="shared" si="0"/>
        <v>5</v>
      </c>
      <c r="L14" s="38">
        <f>IF(K14="","",MAX(L$9:L13)+1)</f>
        <v>27</v>
      </c>
      <c r="M14" s="32">
        <f>IF(K14="","",IFERROR(INDEX(natjecanje!T$13:T$412,MATCH(B14,natjecanje!S$13:S$412,0)),""))</f>
        <v>16</v>
      </c>
      <c r="O14" s="111"/>
      <c r="P14" s="105"/>
    </row>
    <row r="15" spans="2:16" x14ac:dyDescent="0.25">
      <c r="B15" s="111">
        <v>106</v>
      </c>
      <c r="C15" s="104" t="s">
        <v>1908</v>
      </c>
      <c r="D15" s="116" t="s">
        <v>353</v>
      </c>
      <c r="E15" s="117">
        <v>45</v>
      </c>
      <c r="F15" s="117">
        <v>54</v>
      </c>
      <c r="G15" s="104" t="s">
        <v>3708</v>
      </c>
      <c r="H15" s="116">
        <v>1</v>
      </c>
      <c r="I15" s="118">
        <v>6</v>
      </c>
      <c r="K15" s="30">
        <f t="shared" si="0"/>
        <v>6</v>
      </c>
      <c r="L15" s="38">
        <f>IF(K15="","",MAX(L$9:L14)+1)</f>
        <v>28</v>
      </c>
      <c r="M15" s="32">
        <f>IF(K15="","",IFERROR(INDEX(natjecanje!T$13:T$412,MATCH(B15,natjecanje!S$13:S$412,0)),""))</f>
        <v>17</v>
      </c>
      <c r="O15" s="111"/>
      <c r="P15" s="105"/>
    </row>
    <row r="16" spans="2:16" x14ac:dyDescent="0.25">
      <c r="B16" s="111">
        <v>107</v>
      </c>
      <c r="C16" s="104" t="s">
        <v>1574</v>
      </c>
      <c r="D16" s="116" t="s">
        <v>353</v>
      </c>
      <c r="E16" s="117">
        <v>35</v>
      </c>
      <c r="F16" s="117">
        <v>44</v>
      </c>
      <c r="G16" s="104" t="s">
        <v>3708</v>
      </c>
      <c r="H16" s="116">
        <v>1</v>
      </c>
      <c r="I16" s="118">
        <v>7</v>
      </c>
      <c r="K16" s="30">
        <f t="shared" si="0"/>
        <v>7</v>
      </c>
      <c r="L16" s="38">
        <f>IF(K16="","",MAX(L$9:L15)+1)</f>
        <v>29</v>
      </c>
      <c r="M16" s="32">
        <f>IF(K16="","",IFERROR(INDEX(natjecanje!T$13:T$412,MATCH(B16,natjecanje!S$13:S$412,0)),""))</f>
        <v>18</v>
      </c>
      <c r="O16" s="111"/>
      <c r="P16" s="105"/>
    </row>
    <row r="17" spans="2:16" x14ac:dyDescent="0.25">
      <c r="B17" s="111">
        <v>108</v>
      </c>
      <c r="C17" s="104" t="s">
        <v>1129</v>
      </c>
      <c r="D17" s="116" t="s">
        <v>353</v>
      </c>
      <c r="E17" s="117">
        <v>21</v>
      </c>
      <c r="F17" s="117">
        <v>34</v>
      </c>
      <c r="G17" s="104" t="s">
        <v>3706</v>
      </c>
      <c r="H17" s="116">
        <v>1</v>
      </c>
      <c r="I17" s="118">
        <v>8</v>
      </c>
      <c r="K17" s="30">
        <f t="shared" si="0"/>
        <v>8</v>
      </c>
      <c r="L17" s="38">
        <f>IF(K17="","",MAX(L$9:L16)+1)</f>
        <v>30</v>
      </c>
      <c r="M17" s="32">
        <f>IF(K17="","",IFERROR(INDEX(natjecanje!T$13:T$412,MATCH(B17,natjecanje!S$13:S$412,0)),""))</f>
        <v>19</v>
      </c>
      <c r="O17" s="111"/>
      <c r="P17" s="105"/>
    </row>
    <row r="18" spans="2:16" x14ac:dyDescent="0.25">
      <c r="B18" s="111">
        <v>109</v>
      </c>
      <c r="C18" s="104" t="s">
        <v>768</v>
      </c>
      <c r="D18" s="116" t="s">
        <v>353</v>
      </c>
      <c r="E18" s="117">
        <v>17</v>
      </c>
      <c r="F18" s="117">
        <v>20</v>
      </c>
      <c r="G18" s="104" t="s">
        <v>3709</v>
      </c>
      <c r="H18" s="116">
        <v>1</v>
      </c>
      <c r="I18" s="118">
        <v>9</v>
      </c>
      <c r="K18" s="30">
        <f t="shared" si="0"/>
        <v>9</v>
      </c>
      <c r="L18" s="38">
        <f>IF(K18="","",MAX(L$9:L17)+1)</f>
        <v>31</v>
      </c>
      <c r="M18" s="32">
        <f>IF(K18="","",IFERROR(INDEX(natjecanje!T$13:T$412,MATCH(B18,natjecanje!S$13:S$412,0)),""))</f>
        <v>20</v>
      </c>
      <c r="O18" s="111"/>
      <c r="P18" s="105"/>
    </row>
    <row r="19" spans="2:16" x14ac:dyDescent="0.25">
      <c r="B19" s="111">
        <v>110</v>
      </c>
      <c r="C19" s="104" t="s">
        <v>651</v>
      </c>
      <c r="D19" s="116" t="s">
        <v>353</v>
      </c>
      <c r="E19" s="117">
        <v>15</v>
      </c>
      <c r="F19" s="117">
        <v>16</v>
      </c>
      <c r="G19" s="104" t="s">
        <v>3709</v>
      </c>
      <c r="H19" s="116">
        <v>1</v>
      </c>
      <c r="I19" s="118">
        <v>10</v>
      </c>
      <c r="K19" s="30">
        <f t="shared" si="0"/>
        <v>10</v>
      </c>
      <c r="L19" s="38">
        <f>IF(K19="","",MAX(L$9:L18)+1)</f>
        <v>32</v>
      </c>
      <c r="M19" s="32">
        <f>IF(K19="","",IFERROR(INDEX(natjecanje!T$13:T$412,MATCH(B19,natjecanje!S$13:S$412,0)),""))</f>
        <v>19</v>
      </c>
      <c r="O19" s="111"/>
      <c r="P19" s="105"/>
    </row>
    <row r="20" spans="2:16" x14ac:dyDescent="0.25">
      <c r="B20" s="111">
        <v>111</v>
      </c>
      <c r="C20" s="104" t="s">
        <v>486</v>
      </c>
      <c r="D20" s="116" t="s">
        <v>353</v>
      </c>
      <c r="E20" s="117">
        <v>13</v>
      </c>
      <c r="F20" s="117">
        <v>14</v>
      </c>
      <c r="G20" s="104" t="s">
        <v>3709</v>
      </c>
      <c r="H20" s="116">
        <v>1</v>
      </c>
      <c r="I20" s="118">
        <v>11</v>
      </c>
      <c r="K20" s="30">
        <f t="shared" si="0"/>
        <v>11</v>
      </c>
      <c r="L20" s="38">
        <f>IF(K20="","",MAX(L$9:L19)+1)</f>
        <v>33</v>
      </c>
      <c r="M20" s="32">
        <f>IF(K20="","",IFERROR(INDEX(natjecanje!T$13:T$412,MATCH(B20,natjecanje!S$13:S$412,0)),""))</f>
        <v>21</v>
      </c>
      <c r="O20" s="111"/>
      <c r="P20" s="105"/>
    </row>
    <row r="21" spans="2:16" x14ac:dyDescent="0.25">
      <c r="B21" s="111">
        <v>112</v>
      </c>
      <c r="C21" s="104" t="s">
        <v>363</v>
      </c>
      <c r="D21" s="116" t="s">
        <v>353</v>
      </c>
      <c r="E21" s="117">
        <v>7</v>
      </c>
      <c r="F21" s="117">
        <v>12</v>
      </c>
      <c r="G21" s="104" t="s">
        <v>3709</v>
      </c>
      <c r="H21" s="116">
        <v>1</v>
      </c>
      <c r="I21" s="118">
        <v>12</v>
      </c>
      <c r="K21" s="30">
        <f t="shared" si="0"/>
        <v>12</v>
      </c>
      <c r="L21" s="38">
        <f>IF(K21="","",MAX(L$9:L20)+1)</f>
        <v>34</v>
      </c>
      <c r="M21" s="32">
        <f>IF(K21="","",IFERROR(INDEX(natjecanje!T$13:T$412,MATCH(B21,natjecanje!S$13:S$412,0)),""))</f>
        <v>22</v>
      </c>
      <c r="O21" s="111"/>
      <c r="P21" s="105"/>
    </row>
    <row r="22" spans="2:16" x14ac:dyDescent="0.25">
      <c r="B22" s="111">
        <v>113</v>
      </c>
      <c r="C22" s="104" t="s">
        <v>3703</v>
      </c>
      <c r="D22" s="116" t="s">
        <v>3707</v>
      </c>
      <c r="E22" s="117">
        <v>70</v>
      </c>
      <c r="F22" s="117">
        <v>99</v>
      </c>
      <c r="G22" s="104" t="s">
        <v>3708</v>
      </c>
      <c r="H22" s="116">
        <v>1</v>
      </c>
      <c r="I22" s="118">
        <v>13</v>
      </c>
      <c r="K22" s="30">
        <f t="shared" si="0"/>
        <v>13</v>
      </c>
      <c r="L22" s="38">
        <f>IF(K22="","",MAX(L$9:L21)+1)</f>
        <v>35</v>
      </c>
      <c r="M22" s="32" t="str">
        <f>IF(K22="","",IFERROR(INDEX(natjecanje!T$13:T$412,MATCH(B22,natjecanje!S$13:S$412,0)),""))</f>
        <v/>
      </c>
      <c r="O22" s="111"/>
      <c r="P22" s="105"/>
    </row>
    <row r="23" spans="2:16" x14ac:dyDescent="0.25">
      <c r="B23" s="111">
        <v>114</v>
      </c>
      <c r="C23" s="104" t="s">
        <v>3679</v>
      </c>
      <c r="D23" s="116" t="s">
        <v>3707</v>
      </c>
      <c r="E23" s="117">
        <v>65</v>
      </c>
      <c r="F23" s="117">
        <v>69</v>
      </c>
      <c r="G23" s="104" t="s">
        <v>3708</v>
      </c>
      <c r="H23" s="116">
        <v>1</v>
      </c>
      <c r="I23" s="118">
        <v>14</v>
      </c>
      <c r="K23" s="30">
        <f t="shared" si="0"/>
        <v>14</v>
      </c>
      <c r="L23" s="38">
        <f>IF(K23="","",MAX(L$9:L22)+1)</f>
        <v>36</v>
      </c>
      <c r="M23" s="32">
        <f>IF(K23="","",IFERROR(INDEX(natjecanje!T$13:T$412,MATCH(B23,natjecanje!S$13:S$412,0)),""))</f>
        <v>23</v>
      </c>
      <c r="O23" s="111"/>
      <c r="P23" s="105"/>
    </row>
    <row r="24" spans="2:16" x14ac:dyDescent="0.25">
      <c r="B24" s="111">
        <v>115</v>
      </c>
      <c r="C24" s="104" t="s">
        <v>3618</v>
      </c>
      <c r="D24" s="116" t="s">
        <v>3707</v>
      </c>
      <c r="E24" s="117">
        <v>55</v>
      </c>
      <c r="F24" s="117">
        <v>64</v>
      </c>
      <c r="G24" s="104" t="s">
        <v>3708</v>
      </c>
      <c r="H24" s="116">
        <v>1</v>
      </c>
      <c r="I24" s="118">
        <v>15</v>
      </c>
      <c r="K24" s="30">
        <f t="shared" si="0"/>
        <v>15</v>
      </c>
      <c r="L24" s="38">
        <f>IF(K24="","",MAX(L$9:L23)+1)</f>
        <v>37</v>
      </c>
      <c r="M24" s="32">
        <f>IF(K24="","",IFERROR(INDEX(natjecanje!T$13:T$412,MATCH(B24,natjecanje!S$13:S$412,0)),""))</f>
        <v>24</v>
      </c>
      <c r="O24" s="111"/>
      <c r="P24" s="105"/>
    </row>
    <row r="25" spans="2:16" x14ac:dyDescent="0.25">
      <c r="B25" s="111">
        <v>116</v>
      </c>
      <c r="C25" s="104" t="s">
        <v>3442</v>
      </c>
      <c r="D25" s="116" t="s">
        <v>3707</v>
      </c>
      <c r="E25" s="117">
        <v>45</v>
      </c>
      <c r="F25" s="117">
        <v>54</v>
      </c>
      <c r="G25" s="104" t="s">
        <v>3708</v>
      </c>
      <c r="H25" s="116">
        <v>1</v>
      </c>
      <c r="I25" s="118">
        <v>16</v>
      </c>
      <c r="K25" s="30">
        <f t="shared" si="0"/>
        <v>16</v>
      </c>
      <c r="L25" s="38">
        <f>IF(K25="","",MAX(L$9:L24)+1)</f>
        <v>38</v>
      </c>
      <c r="M25" s="32">
        <f>IF(K25="","",IFERROR(INDEX(natjecanje!T$13:T$412,MATCH(B25,natjecanje!S$13:S$412,0)),""))</f>
        <v>25</v>
      </c>
      <c r="O25" s="111"/>
      <c r="P25" s="105"/>
    </row>
    <row r="26" spans="2:16" x14ac:dyDescent="0.25">
      <c r="B26" s="111">
        <v>117</v>
      </c>
      <c r="C26" s="104" t="s">
        <v>3264</v>
      </c>
      <c r="D26" s="116" t="s">
        <v>3707</v>
      </c>
      <c r="E26" s="117">
        <v>35</v>
      </c>
      <c r="F26" s="117">
        <v>44</v>
      </c>
      <c r="G26" s="104" t="s">
        <v>3708</v>
      </c>
      <c r="H26" s="116">
        <v>1</v>
      </c>
      <c r="I26" s="118">
        <v>17</v>
      </c>
      <c r="K26" s="30">
        <f t="shared" si="0"/>
        <v>17</v>
      </c>
      <c r="L26" s="38">
        <f>IF(K26="","",MAX(L$9:L25)+1)</f>
        <v>39</v>
      </c>
      <c r="M26" s="32">
        <f>IF(K26="","",IFERROR(INDEX(natjecanje!T$13:T$412,MATCH(B26,natjecanje!S$13:S$412,0)),""))</f>
        <v>26</v>
      </c>
      <c r="O26" s="111"/>
      <c r="P26" s="105"/>
    </row>
    <row r="27" spans="2:16" x14ac:dyDescent="0.25">
      <c r="B27" s="111">
        <v>118</v>
      </c>
      <c r="C27" s="104" t="s">
        <v>3093</v>
      </c>
      <c r="D27" s="116" t="s">
        <v>3707</v>
      </c>
      <c r="E27" s="117">
        <v>21</v>
      </c>
      <c r="F27" s="117">
        <v>34</v>
      </c>
      <c r="G27" s="104" t="s">
        <v>3706</v>
      </c>
      <c r="H27" s="116">
        <v>1</v>
      </c>
      <c r="I27" s="118">
        <v>18</v>
      </c>
      <c r="K27" s="30">
        <f t="shared" si="0"/>
        <v>18</v>
      </c>
      <c r="L27" s="38">
        <f>IF(K27="","",MAX(L$9:L26)+1)</f>
        <v>40</v>
      </c>
      <c r="M27" s="32">
        <f>IF(K27="","",IFERROR(INDEX(natjecanje!T$13:T$412,MATCH(B27,natjecanje!S$13:S$412,0)),""))</f>
        <v>27</v>
      </c>
      <c r="O27" s="111"/>
      <c r="P27" s="105"/>
    </row>
    <row r="28" spans="2:16" x14ac:dyDescent="0.25">
      <c r="B28" s="111">
        <v>119</v>
      </c>
      <c r="C28" s="104" t="s">
        <v>2927</v>
      </c>
      <c r="D28" s="116" t="s">
        <v>3707</v>
      </c>
      <c r="E28" s="117">
        <v>17</v>
      </c>
      <c r="F28" s="117">
        <v>20</v>
      </c>
      <c r="G28" s="104" t="s">
        <v>3709</v>
      </c>
      <c r="H28" s="116">
        <v>1</v>
      </c>
      <c r="I28" s="118">
        <v>19</v>
      </c>
      <c r="K28" s="30">
        <f t="shared" si="0"/>
        <v>19</v>
      </c>
      <c r="L28" s="38">
        <f>IF(K28="","",MAX(L$9:L27)+1)</f>
        <v>41</v>
      </c>
      <c r="M28" s="32">
        <f>IF(K28="","",IFERROR(INDEX(natjecanje!T$13:T$412,MATCH(B28,natjecanje!S$13:S$412,0)),""))</f>
        <v>28</v>
      </c>
      <c r="O28" s="111"/>
      <c r="P28" s="105"/>
    </row>
    <row r="29" spans="2:16" x14ac:dyDescent="0.25">
      <c r="B29" s="111">
        <v>120</v>
      </c>
      <c r="C29" s="104" t="s">
        <v>2765</v>
      </c>
      <c r="D29" s="116" t="s">
        <v>3707</v>
      </c>
      <c r="E29" s="117">
        <v>15</v>
      </c>
      <c r="F29" s="117">
        <v>16</v>
      </c>
      <c r="G29" s="104" t="s">
        <v>3709</v>
      </c>
      <c r="H29" s="116">
        <v>1</v>
      </c>
      <c r="I29" s="118">
        <v>20</v>
      </c>
      <c r="K29" s="30">
        <f t="shared" si="0"/>
        <v>20</v>
      </c>
      <c r="L29" s="38">
        <f>IF(K29="","",MAX(L$9:L28)+1)</f>
        <v>42</v>
      </c>
      <c r="M29" s="32">
        <f>IF(K29="","",IFERROR(INDEX(natjecanje!T$13:T$412,MATCH(B29,natjecanje!S$13:S$412,0)),""))</f>
        <v>27</v>
      </c>
      <c r="O29" s="111"/>
      <c r="P29" s="105"/>
    </row>
    <row r="30" spans="2:16" x14ac:dyDescent="0.25">
      <c r="B30" s="111">
        <v>121</v>
      </c>
      <c r="C30" s="104" t="s">
        <v>2731</v>
      </c>
      <c r="D30" s="116" t="s">
        <v>3707</v>
      </c>
      <c r="E30" s="117">
        <v>13</v>
      </c>
      <c r="F30" s="117">
        <v>14</v>
      </c>
      <c r="G30" s="104" t="s">
        <v>3709</v>
      </c>
      <c r="H30" s="116">
        <v>1</v>
      </c>
      <c r="I30" s="118">
        <v>21</v>
      </c>
      <c r="K30" s="30">
        <f t="shared" si="0"/>
        <v>21</v>
      </c>
      <c r="L30" s="38">
        <f>IF(K30="","",MAX(L$9:L29)+1)</f>
        <v>43</v>
      </c>
      <c r="M30" s="32">
        <f>IF(K30="","",IFERROR(INDEX(natjecanje!T$13:T$412,MATCH(B30,natjecanje!S$13:S$412,0)),""))</f>
        <v>21</v>
      </c>
      <c r="O30" s="111"/>
      <c r="P30" s="105"/>
    </row>
    <row r="31" spans="2:16" x14ac:dyDescent="0.25">
      <c r="B31" s="111">
        <v>122</v>
      </c>
      <c r="C31" s="104" t="s">
        <v>2636</v>
      </c>
      <c r="D31" s="116" t="s">
        <v>3707</v>
      </c>
      <c r="E31" s="117">
        <v>7</v>
      </c>
      <c r="F31" s="117">
        <v>12</v>
      </c>
      <c r="G31" s="104" t="s">
        <v>3709</v>
      </c>
      <c r="H31" s="116">
        <v>1</v>
      </c>
      <c r="I31" s="118">
        <v>22</v>
      </c>
      <c r="K31" s="30">
        <f t="shared" si="0"/>
        <v>22</v>
      </c>
      <c r="L31" s="38">
        <f>IF(K31="","",MAX(L$9:L30)+1)</f>
        <v>44</v>
      </c>
      <c r="M31" s="32">
        <f>IF(K31="","",IFERROR(INDEX(natjecanje!T$13:T$412,MATCH(B31,natjecanje!S$13:S$412,0)),""))</f>
        <v>22</v>
      </c>
      <c r="O31" s="111"/>
      <c r="P31" s="105"/>
    </row>
    <row r="32" spans="2:16" x14ac:dyDescent="0.25">
      <c r="B32" s="111">
        <v>291</v>
      </c>
      <c r="C32" s="104" t="s">
        <v>3710</v>
      </c>
      <c r="D32" s="116" t="s">
        <v>3711</v>
      </c>
      <c r="E32" s="117">
        <v>7</v>
      </c>
      <c r="F32" s="117">
        <v>99</v>
      </c>
      <c r="G32" s="104" t="s">
        <v>3706</v>
      </c>
      <c r="H32" s="116">
        <v>0</v>
      </c>
      <c r="I32" s="118">
        <v>291</v>
      </c>
      <c r="K32" s="30">
        <f t="shared" si="0"/>
        <v>23</v>
      </c>
      <c r="L32" s="38">
        <f>IF(K32="","",MAX(L$9:L31)+1)</f>
        <v>45</v>
      </c>
      <c r="M32" s="32">
        <f>IF(K32="","",IFERROR(INDEX(natjecanje!T$13:T$412,MATCH(B32,natjecanje!S$13:S$412,0)),""))</f>
        <v>29</v>
      </c>
      <c r="O32" s="111"/>
      <c r="P32" s="105"/>
    </row>
    <row r="33" spans="2:16" x14ac:dyDescent="0.25">
      <c r="B33" s="111">
        <v>292</v>
      </c>
      <c r="C33" s="104" t="s">
        <v>3712</v>
      </c>
      <c r="D33" s="116" t="s">
        <v>3711</v>
      </c>
      <c r="E33" s="117">
        <v>7</v>
      </c>
      <c r="F33" s="117">
        <v>99</v>
      </c>
      <c r="G33" s="104" t="s">
        <v>3706</v>
      </c>
      <c r="H33" s="116">
        <v>0</v>
      </c>
      <c r="I33" s="118">
        <v>292</v>
      </c>
      <c r="K33" s="30">
        <f t="shared" si="0"/>
        <v>24</v>
      </c>
      <c r="L33" s="38">
        <f>IF(K33="","",MAX(L$9:L32)+1)</f>
        <v>46</v>
      </c>
      <c r="M33" s="32" t="str">
        <f>IF(K33="","",IFERROR(INDEX(natjecanje!T$13:T$412,MATCH(B33,natjecanje!S$13:S$412,0)),""))</f>
        <v/>
      </c>
      <c r="O33" s="111"/>
      <c r="P33" s="105"/>
    </row>
    <row r="34" spans="2:16" x14ac:dyDescent="0.25">
      <c r="B34" s="111"/>
      <c r="C34" s="104"/>
      <c r="D34" s="116"/>
      <c r="E34" s="117"/>
      <c r="F34" s="117"/>
      <c r="G34" s="104"/>
      <c r="H34" s="116"/>
      <c r="I34" s="118"/>
      <c r="K34" s="30" t="str">
        <f t="shared" si="0"/>
        <v/>
      </c>
      <c r="L34" s="38" t="str">
        <f>IF(K34="","",MAX(L$9:L33)+1)</f>
        <v/>
      </c>
      <c r="M34" s="32" t="str">
        <f>IF(K34="","",IFERROR(INDEX(natjecanje!T$13:T$412,MATCH(B34,natjecanje!S$13:S$412,0)),""))</f>
        <v/>
      </c>
      <c r="O34" s="111"/>
      <c r="P34" s="105"/>
    </row>
    <row r="35" spans="2:16" x14ac:dyDescent="0.25">
      <c r="B35" s="111"/>
      <c r="C35" s="104"/>
      <c r="D35" s="116"/>
      <c r="E35" s="117"/>
      <c r="F35" s="117"/>
      <c r="G35" s="104"/>
      <c r="H35" s="116"/>
      <c r="I35" s="118"/>
      <c r="K35" s="30" t="str">
        <f t="shared" si="0"/>
        <v/>
      </c>
      <c r="L35" s="38" t="str">
        <f>IF(K35="","",MAX(L$9:L34)+1)</f>
        <v/>
      </c>
      <c r="M35" s="32" t="str">
        <f>IF(K35="","",IFERROR(INDEX(natjecanje!T$13:T$412,MATCH(B35,natjecanje!S$13:S$412,0)),""))</f>
        <v/>
      </c>
      <c r="O35" s="111"/>
      <c r="P35" s="105"/>
    </row>
    <row r="36" spans="2:16" x14ac:dyDescent="0.25">
      <c r="B36" s="111"/>
      <c r="C36" s="104"/>
      <c r="D36" s="116"/>
      <c r="E36" s="117"/>
      <c r="F36" s="117"/>
      <c r="G36" s="104"/>
      <c r="H36" s="116"/>
      <c r="I36" s="118"/>
      <c r="K36" s="30" t="str">
        <f t="shared" si="0"/>
        <v/>
      </c>
      <c r="L36" s="38" t="str">
        <f>IF(K36="","",MAX(L$9:L35)+1)</f>
        <v/>
      </c>
      <c r="M36" s="32" t="str">
        <f>IF(K36="","",IFERROR(INDEX(natjecanje!T$13:T$412,MATCH(B36,natjecanje!S$13:S$412,0)),""))</f>
        <v/>
      </c>
      <c r="O36" s="111"/>
      <c r="P36" s="105"/>
    </row>
    <row r="37" spans="2:16" x14ac:dyDescent="0.25">
      <c r="B37" s="111"/>
      <c r="C37" s="104"/>
      <c r="D37" s="116"/>
      <c r="E37" s="117"/>
      <c r="F37" s="117"/>
      <c r="G37" s="104"/>
      <c r="H37" s="116"/>
      <c r="I37" s="118"/>
      <c r="K37" s="30" t="str">
        <f t="shared" si="0"/>
        <v/>
      </c>
      <c r="L37" s="38" t="str">
        <f>IF(K37="","",MAX(L$9:L36)+1)</f>
        <v/>
      </c>
      <c r="M37" s="32" t="str">
        <f>IF(K37="","",IFERROR(INDEX(natjecanje!T$13:T$412,MATCH(B37,natjecanje!S$13:S$412,0)),""))</f>
        <v/>
      </c>
      <c r="O37" s="111"/>
      <c r="P37" s="105"/>
    </row>
    <row r="38" spans="2:16" x14ac:dyDescent="0.25">
      <c r="B38" s="111"/>
      <c r="C38" s="104"/>
      <c r="D38" s="116"/>
      <c r="E38" s="117"/>
      <c r="F38" s="117"/>
      <c r="G38" s="104"/>
      <c r="H38" s="116"/>
      <c r="I38" s="118"/>
      <c r="K38" s="30" t="str">
        <f t="shared" si="0"/>
        <v/>
      </c>
      <c r="L38" s="38" t="str">
        <f>IF(K38="","",MAX(L$9:L37)+1)</f>
        <v/>
      </c>
      <c r="M38" s="32" t="str">
        <f>IF(K38="","",IFERROR(INDEX(natjecanje!T$13:T$412,MATCH(B38,natjecanje!S$13:S$412,0)),""))</f>
        <v/>
      </c>
      <c r="O38" s="111"/>
      <c r="P38" s="105"/>
    </row>
    <row r="39" spans="2:16" x14ac:dyDescent="0.25">
      <c r="B39" s="111"/>
      <c r="C39" s="104"/>
      <c r="D39" s="116"/>
      <c r="E39" s="117"/>
      <c r="F39" s="117"/>
      <c r="G39" s="104"/>
      <c r="H39" s="116"/>
      <c r="I39" s="118"/>
      <c r="K39" s="30" t="str">
        <f t="shared" si="0"/>
        <v/>
      </c>
      <c r="L39" s="38" t="str">
        <f>IF(K39="","",MAX(L$9:L38)+1)</f>
        <v/>
      </c>
      <c r="M39" s="32" t="str">
        <f>IF(K39="","",IFERROR(INDEX(natjecanje!T$13:T$412,MATCH(B39,natjecanje!S$13:S$412,0)),""))</f>
        <v/>
      </c>
      <c r="O39" s="111"/>
      <c r="P39" s="105"/>
    </row>
    <row r="40" spans="2:16" x14ac:dyDescent="0.25">
      <c r="B40" s="111"/>
      <c r="C40" s="104"/>
      <c r="D40" s="116"/>
      <c r="E40" s="117"/>
      <c r="F40" s="117"/>
      <c r="G40" s="104"/>
      <c r="H40" s="116"/>
      <c r="I40" s="118"/>
      <c r="K40" s="30" t="str">
        <f t="shared" si="0"/>
        <v/>
      </c>
      <c r="L40" s="38" t="str">
        <f>IF(K40="","",MAX(L$9:L39)+1)</f>
        <v/>
      </c>
      <c r="M40" s="32" t="str">
        <f>IF(K40="","",IFERROR(INDEX(natjecanje!T$13:T$412,MATCH(B40,natjecanje!S$13:S$412,0)),""))</f>
        <v/>
      </c>
      <c r="O40" s="111"/>
      <c r="P40" s="105"/>
    </row>
    <row r="41" spans="2:16" x14ac:dyDescent="0.25">
      <c r="B41" s="111"/>
      <c r="C41" s="104"/>
      <c r="D41" s="116"/>
      <c r="E41" s="117"/>
      <c r="F41" s="117"/>
      <c r="G41" s="104"/>
      <c r="H41" s="116"/>
      <c r="I41" s="118"/>
      <c r="K41" s="30" t="str">
        <f t="shared" si="0"/>
        <v/>
      </c>
      <c r="L41" s="38" t="str">
        <f>IF(K41="","",MAX(L$9:L40)+1)</f>
        <v/>
      </c>
      <c r="M41" s="32" t="str">
        <f>IF(K41="","",IFERROR(INDEX(natjecanje!T$13:T$412,MATCH(B41,natjecanje!S$13:S$412,0)),""))</f>
        <v/>
      </c>
      <c r="O41" s="111"/>
      <c r="P41" s="105"/>
    </row>
    <row r="42" spans="2:16" x14ac:dyDescent="0.25">
      <c r="B42" s="111"/>
      <c r="C42" s="104"/>
      <c r="D42" s="116"/>
      <c r="E42" s="117"/>
      <c r="F42" s="117"/>
      <c r="G42" s="104"/>
      <c r="H42" s="116"/>
      <c r="I42" s="118"/>
      <c r="K42" s="30" t="str">
        <f t="shared" si="0"/>
        <v/>
      </c>
      <c r="L42" s="38" t="str">
        <f>IF(K42="","",MAX(L$9:L41)+1)</f>
        <v/>
      </c>
      <c r="M42" s="32" t="str">
        <f>IF(K42="","",IFERROR(INDEX(natjecanje!T$13:T$412,MATCH(B42,natjecanje!S$13:S$412,0)),""))</f>
        <v/>
      </c>
      <c r="O42" s="111"/>
      <c r="P42" s="105"/>
    </row>
    <row r="43" spans="2:16" x14ac:dyDescent="0.25">
      <c r="B43" s="111"/>
      <c r="C43" s="104"/>
      <c r="D43" s="116"/>
      <c r="E43" s="117"/>
      <c r="F43" s="117"/>
      <c r="G43" s="104"/>
      <c r="H43" s="116"/>
      <c r="I43" s="118"/>
      <c r="K43" s="30" t="str">
        <f t="shared" si="0"/>
        <v/>
      </c>
      <c r="L43" s="38" t="str">
        <f>IF(K43="","",MAX(L$9:L42)+1)</f>
        <v/>
      </c>
      <c r="M43" s="32" t="str">
        <f>IF(K43="","",IFERROR(INDEX(natjecanje!T$13:T$412,MATCH(B43,natjecanje!S$13:S$412,0)),""))</f>
        <v/>
      </c>
      <c r="O43" s="111"/>
      <c r="P43" s="105"/>
    </row>
    <row r="44" spans="2:16" x14ac:dyDescent="0.25">
      <c r="B44" s="111"/>
      <c r="C44" s="104"/>
      <c r="D44" s="116"/>
      <c r="E44" s="117"/>
      <c r="F44" s="117"/>
      <c r="G44" s="104"/>
      <c r="H44" s="116"/>
      <c r="I44" s="118"/>
      <c r="K44" s="30" t="str">
        <f t="shared" si="0"/>
        <v/>
      </c>
      <c r="L44" s="38" t="str">
        <f>IF(K44="","",MAX(L$9:L43)+1)</f>
        <v/>
      </c>
      <c r="M44" s="32" t="str">
        <f>IF(K44="","",IFERROR(INDEX(natjecanje!T$13:T$412,MATCH(B44,natjecanje!S$13:S$412,0)),""))</f>
        <v/>
      </c>
      <c r="O44" s="111"/>
      <c r="P44" s="105"/>
    </row>
    <row r="45" spans="2:16" x14ac:dyDescent="0.25">
      <c r="B45" s="111"/>
      <c r="C45" s="104"/>
      <c r="D45" s="116"/>
      <c r="E45" s="117"/>
      <c r="F45" s="117"/>
      <c r="G45" s="104"/>
      <c r="H45" s="116"/>
      <c r="I45" s="118"/>
      <c r="K45" s="30" t="str">
        <f t="shared" si="0"/>
        <v/>
      </c>
      <c r="L45" s="38" t="str">
        <f>IF(K45="","",MAX(L$9:L44)+1)</f>
        <v/>
      </c>
      <c r="M45" s="32" t="str">
        <f>IF(K45="","",IFERROR(INDEX(natjecanje!T$13:T$412,MATCH(B45,natjecanje!S$13:S$412,0)),""))</f>
        <v/>
      </c>
      <c r="O45" s="111"/>
      <c r="P45" s="105"/>
    </row>
    <row r="46" spans="2:16" x14ac:dyDescent="0.25">
      <c r="B46" s="111"/>
      <c r="C46" s="104"/>
      <c r="D46" s="116"/>
      <c r="E46" s="117"/>
      <c r="F46" s="117"/>
      <c r="G46" s="104"/>
      <c r="H46" s="116"/>
      <c r="I46" s="118"/>
      <c r="K46" s="30" t="str">
        <f t="shared" si="0"/>
        <v/>
      </c>
      <c r="L46" s="38" t="str">
        <f>IF(K46="","",MAX(L$9:L45)+1)</f>
        <v/>
      </c>
      <c r="M46" s="32" t="str">
        <f>IF(K46="","",IFERROR(INDEX(natjecanje!T$13:T$412,MATCH(B46,natjecanje!S$13:S$412,0)),""))</f>
        <v/>
      </c>
      <c r="O46" s="111"/>
      <c r="P46" s="105"/>
    </row>
    <row r="47" spans="2:16" x14ac:dyDescent="0.25">
      <c r="B47" s="111"/>
      <c r="C47" s="104"/>
      <c r="D47" s="116"/>
      <c r="E47" s="117"/>
      <c r="F47" s="117"/>
      <c r="G47" s="104"/>
      <c r="H47" s="116"/>
      <c r="I47" s="118"/>
      <c r="K47" s="30" t="str">
        <f t="shared" si="0"/>
        <v/>
      </c>
      <c r="L47" s="38" t="str">
        <f>IF(K47="","",MAX(L$9:L46)+1)</f>
        <v/>
      </c>
      <c r="M47" s="32" t="str">
        <f>IF(K47="","",IFERROR(INDEX(natjecanje!T$13:T$412,MATCH(B47,natjecanje!S$13:S$412,0)),""))</f>
        <v/>
      </c>
      <c r="O47" s="111"/>
      <c r="P47" s="105"/>
    </row>
    <row r="48" spans="2:16" x14ac:dyDescent="0.25">
      <c r="B48" s="111"/>
      <c r="C48" s="104"/>
      <c r="D48" s="116"/>
      <c r="E48" s="117"/>
      <c r="F48" s="117"/>
      <c r="G48" s="104"/>
      <c r="H48" s="116"/>
      <c r="I48" s="118"/>
      <c r="K48" s="30" t="str">
        <f t="shared" si="0"/>
        <v/>
      </c>
      <c r="L48" s="38" t="str">
        <f>IF(K48="","",MAX(L$9:L47)+1)</f>
        <v/>
      </c>
      <c r="M48" s="32" t="str">
        <f>IF(K48="","",IFERROR(INDEX(natjecanje!T$13:T$412,MATCH(B48,natjecanje!S$13:S$412,0)),""))</f>
        <v/>
      </c>
      <c r="O48" s="111"/>
      <c r="P48" s="105"/>
    </row>
    <row r="49" spans="2:16" x14ac:dyDescent="0.25">
      <c r="B49" s="111"/>
      <c r="C49" s="104"/>
      <c r="D49" s="116"/>
      <c r="E49" s="117"/>
      <c r="F49" s="117"/>
      <c r="G49" s="104"/>
      <c r="H49" s="116"/>
      <c r="I49" s="118"/>
      <c r="K49" s="30" t="str">
        <f t="shared" si="0"/>
        <v/>
      </c>
      <c r="L49" s="38" t="str">
        <f>IF(K49="","",MAX(L$9:L48)+1)</f>
        <v/>
      </c>
      <c r="M49" s="32" t="str">
        <f>IF(K49="","",IFERROR(INDEX(natjecanje!T$13:T$412,MATCH(B49,natjecanje!S$13:S$412,0)),""))</f>
        <v/>
      </c>
      <c r="O49" s="111"/>
      <c r="P49" s="105"/>
    </row>
    <row r="50" spans="2:16" x14ac:dyDescent="0.25">
      <c r="B50" s="111"/>
      <c r="C50" s="104"/>
      <c r="D50" s="116"/>
      <c r="E50" s="117"/>
      <c r="F50" s="117"/>
      <c r="G50" s="104"/>
      <c r="H50" s="116"/>
      <c r="I50" s="118"/>
      <c r="K50" s="30" t="str">
        <f t="shared" si="0"/>
        <v/>
      </c>
      <c r="L50" s="38" t="str">
        <f>IF(K50="","",MAX(L$9:L49)+1)</f>
        <v/>
      </c>
      <c r="M50" s="32" t="str">
        <f>IF(K50="","",IFERROR(INDEX(natjecanje!T$13:T$412,MATCH(B50,natjecanje!S$13:S$412,0)),""))</f>
        <v/>
      </c>
      <c r="O50" s="111"/>
      <c r="P50" s="105"/>
    </row>
    <row r="51" spans="2:16" x14ac:dyDescent="0.25">
      <c r="B51" s="111"/>
      <c r="C51" s="104"/>
      <c r="D51" s="116"/>
      <c r="E51" s="117"/>
      <c r="F51" s="117"/>
      <c r="G51" s="104"/>
      <c r="H51" s="116"/>
      <c r="I51" s="118"/>
      <c r="K51" s="30" t="str">
        <f t="shared" si="0"/>
        <v/>
      </c>
      <c r="L51" s="38" t="str">
        <f>IF(K51="","",MAX(L$9:L50)+1)</f>
        <v/>
      </c>
      <c r="M51" s="32" t="str">
        <f>IF(K51="","",IFERROR(INDEX(natjecanje!T$13:T$412,MATCH(B51,natjecanje!S$13:S$412,0)),""))</f>
        <v/>
      </c>
      <c r="O51" s="111"/>
      <c r="P51" s="105"/>
    </row>
    <row r="52" spans="2:16" x14ac:dyDescent="0.25">
      <c r="B52" s="111"/>
      <c r="C52" s="104"/>
      <c r="D52" s="116"/>
      <c r="E52" s="117"/>
      <c r="F52" s="117"/>
      <c r="G52" s="104"/>
      <c r="H52" s="116"/>
      <c r="I52" s="118"/>
      <c r="K52" s="30" t="str">
        <f t="shared" si="0"/>
        <v/>
      </c>
      <c r="L52" s="38" t="str">
        <f>IF(K52="","",MAX(L$9:L51)+1)</f>
        <v/>
      </c>
      <c r="M52" s="32" t="str">
        <f>IF(K52="","",IFERROR(INDEX(natjecanje!T$13:T$412,MATCH(B52,natjecanje!S$13:S$412,0)),""))</f>
        <v/>
      </c>
      <c r="O52" s="111"/>
      <c r="P52" s="105"/>
    </row>
    <row r="53" spans="2:16" x14ac:dyDescent="0.25">
      <c r="B53" s="111"/>
      <c r="C53" s="104"/>
      <c r="D53" s="116"/>
      <c r="E53" s="117"/>
      <c r="F53" s="117"/>
      <c r="G53" s="104"/>
      <c r="H53" s="116"/>
      <c r="I53" s="118"/>
      <c r="K53" s="30" t="str">
        <f t="shared" si="0"/>
        <v/>
      </c>
      <c r="L53" s="38" t="str">
        <f>IF(K53="","",MAX(L$9:L52)+1)</f>
        <v/>
      </c>
      <c r="M53" s="32" t="str">
        <f>IF(K53="","",IFERROR(INDEX(natjecanje!T$13:T$412,MATCH(B53,natjecanje!S$13:S$412,0)),""))</f>
        <v/>
      </c>
      <c r="O53" s="111"/>
      <c r="P53" s="105"/>
    </row>
    <row r="54" spans="2:16" x14ac:dyDescent="0.25">
      <c r="B54" s="111"/>
      <c r="C54" s="104"/>
      <c r="D54" s="116"/>
      <c r="E54" s="117"/>
      <c r="F54" s="117"/>
      <c r="G54" s="104"/>
      <c r="H54" s="116"/>
      <c r="I54" s="118"/>
      <c r="K54" s="30" t="str">
        <f t="shared" si="0"/>
        <v/>
      </c>
      <c r="L54" s="38" t="str">
        <f>IF(K54="","",MAX(L$9:L53)+1)</f>
        <v/>
      </c>
      <c r="M54" s="32" t="str">
        <f>IF(K54="","",IFERROR(INDEX(natjecanje!T$13:T$412,MATCH(B54,natjecanje!S$13:S$412,0)),""))</f>
        <v/>
      </c>
      <c r="O54" s="111"/>
      <c r="P54" s="105"/>
    </row>
    <row r="55" spans="2:16" x14ac:dyDescent="0.25">
      <c r="B55" s="111"/>
      <c r="C55" s="104"/>
      <c r="D55" s="116"/>
      <c r="E55" s="117"/>
      <c r="F55" s="117"/>
      <c r="G55" s="104"/>
      <c r="H55" s="116"/>
      <c r="I55" s="118"/>
      <c r="K55" s="30" t="str">
        <f t="shared" si="0"/>
        <v/>
      </c>
      <c r="L55" s="38" t="str">
        <f>IF(K55="","",MAX(L$9:L54)+1)</f>
        <v/>
      </c>
      <c r="M55" s="32" t="str">
        <f>IF(K55="","",IFERROR(INDEX(natjecanje!T$13:T$412,MATCH(B55,natjecanje!S$13:S$412,0)),""))</f>
        <v/>
      </c>
      <c r="O55" s="111"/>
      <c r="P55" s="105"/>
    </row>
    <row r="56" spans="2:16" x14ac:dyDescent="0.25">
      <c r="B56" s="111"/>
      <c r="C56" s="104"/>
      <c r="D56" s="116"/>
      <c r="E56" s="117"/>
      <c r="F56" s="117"/>
      <c r="G56" s="104"/>
      <c r="H56" s="116"/>
      <c r="I56" s="118"/>
      <c r="K56" s="30" t="str">
        <f t="shared" si="0"/>
        <v/>
      </c>
      <c r="L56" s="38" t="str">
        <f>IF(K56="","",MAX(L$9:L55)+1)</f>
        <v/>
      </c>
      <c r="M56" s="32" t="str">
        <f>IF(K56="","",IFERROR(INDEX(natjecanje!T$13:T$412,MATCH(B56,natjecanje!S$13:S$412,0)),""))</f>
        <v/>
      </c>
      <c r="O56" s="111"/>
      <c r="P56" s="105"/>
    </row>
    <row r="57" spans="2:16" x14ac:dyDescent="0.25">
      <c r="B57" s="111"/>
      <c r="C57" s="104"/>
      <c r="D57" s="116"/>
      <c r="E57" s="117"/>
      <c r="F57" s="117"/>
      <c r="G57" s="104"/>
      <c r="H57" s="116"/>
      <c r="I57" s="118"/>
      <c r="K57" s="30" t="str">
        <f t="shared" si="0"/>
        <v/>
      </c>
      <c r="L57" s="38" t="str">
        <f>IF(K57="","",MAX(L$9:L56)+1)</f>
        <v/>
      </c>
      <c r="M57" s="32" t="str">
        <f>IF(K57="","",IFERROR(INDEX(natjecanje!T$13:T$412,MATCH(B57,natjecanje!S$13:S$412,0)),""))</f>
        <v/>
      </c>
      <c r="O57" s="111"/>
      <c r="P57" s="105"/>
    </row>
    <row r="58" spans="2:16" x14ac:dyDescent="0.25">
      <c r="B58" s="111"/>
      <c r="C58" s="104"/>
      <c r="D58" s="116"/>
      <c r="E58" s="117"/>
      <c r="F58" s="117"/>
      <c r="G58" s="104"/>
      <c r="H58" s="116"/>
      <c r="I58" s="118"/>
      <c r="K58" s="30" t="str">
        <f t="shared" si="0"/>
        <v/>
      </c>
      <c r="L58" s="38" t="str">
        <f>IF(K58="","",MAX(L$9:L57)+1)</f>
        <v/>
      </c>
      <c r="M58" s="32" t="str">
        <f>IF(K58="","",IFERROR(INDEX(natjecanje!T$13:T$412,MATCH(B58,natjecanje!S$13:S$412,0)),""))</f>
        <v/>
      </c>
      <c r="O58" s="111"/>
      <c r="P58" s="105"/>
    </row>
    <row r="59" spans="2:16" ht="15.75" thickBot="1" x14ac:dyDescent="0.3">
      <c r="B59" s="112"/>
      <c r="C59" s="107"/>
      <c r="D59" s="119"/>
      <c r="E59" s="120"/>
      <c r="F59" s="120"/>
      <c r="G59" s="107"/>
      <c r="H59" s="119"/>
      <c r="I59" s="121"/>
      <c r="K59" s="33" t="str">
        <f t="shared" si="0"/>
        <v/>
      </c>
      <c r="L59" s="39" t="str">
        <f>IF(K59="","",MAX(L$9:L58)+1)</f>
        <v/>
      </c>
      <c r="M59" s="35" t="str">
        <f>IF(K59="","",IFERROR(INDEX(natjecanje!T$13:T$412,MATCH(B59,natjecanje!S$13:S$412,0)),""))</f>
        <v/>
      </c>
      <c r="O59" s="112"/>
      <c r="P59" s="108"/>
    </row>
  </sheetData>
  <sheetProtection sheet="1" objects="1" scenarios="1"/>
  <mergeCells count="5">
    <mergeCell ref="B6:I6"/>
    <mergeCell ref="O6:P6"/>
    <mergeCell ref="B4:I4"/>
    <mergeCell ref="O4:P4"/>
    <mergeCell ref="B2:P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76135-2065-4590-992B-DF7DC148CD3F}">
  <dimension ref="B1:C59"/>
  <sheetViews>
    <sheetView workbookViewId="0"/>
  </sheetViews>
  <sheetFormatPr defaultRowHeight="15" x14ac:dyDescent="0.25"/>
  <cols>
    <col min="1" max="1" width="2.85546875" customWidth="1"/>
    <col min="2" max="2" width="17.140625" customWidth="1"/>
    <col min="3" max="3" width="45.7109375" customWidth="1"/>
  </cols>
  <sheetData>
    <row r="1" spans="2:3" ht="15.75" thickBot="1" x14ac:dyDescent="0.3"/>
    <row r="2" spans="2:3" ht="32.25" thickBot="1" x14ac:dyDescent="0.55000000000000004">
      <c r="B2" s="309" t="s">
        <v>68</v>
      </c>
      <c r="C2" s="311"/>
    </row>
    <row r="3" spans="2:3" ht="15.75" thickBot="1" x14ac:dyDescent="0.3"/>
    <row r="4" spans="2:3" ht="21.75" thickBot="1" x14ac:dyDescent="0.4">
      <c r="B4" s="318" t="s">
        <v>48</v>
      </c>
      <c r="C4" s="319"/>
    </row>
    <row r="5" spans="2:3" ht="15.75" thickBot="1" x14ac:dyDescent="0.3"/>
    <row r="6" spans="2:3" ht="110.25" customHeight="1" thickBot="1" x14ac:dyDescent="0.3">
      <c r="B6" s="333" t="s">
        <v>69</v>
      </c>
      <c r="C6" s="334"/>
    </row>
    <row r="8" spans="2:3" x14ac:dyDescent="0.25">
      <c r="B8" s="25" t="s">
        <v>62</v>
      </c>
      <c r="C8" s="26" t="s">
        <v>61</v>
      </c>
    </row>
    <row r="9" spans="2:3" ht="7.5" customHeight="1" thickBot="1" x14ac:dyDescent="0.3">
      <c r="B9" s="3"/>
      <c r="C9" s="3"/>
    </row>
    <row r="10" spans="2:3" x14ac:dyDescent="0.25">
      <c r="B10" s="100">
        <v>1</v>
      </c>
      <c r="C10" s="102" t="s">
        <v>171</v>
      </c>
    </row>
    <row r="11" spans="2:3" x14ac:dyDescent="0.25">
      <c r="B11" s="103">
        <v>2</v>
      </c>
      <c r="C11" s="105" t="s">
        <v>172</v>
      </c>
    </row>
    <row r="12" spans="2:3" x14ac:dyDescent="0.25">
      <c r="B12" s="103">
        <v>3</v>
      </c>
      <c r="C12" s="105" t="s">
        <v>173</v>
      </c>
    </row>
    <row r="13" spans="2:3" x14ac:dyDescent="0.25">
      <c r="B13" s="103">
        <v>4</v>
      </c>
      <c r="C13" s="105" t="s">
        <v>174</v>
      </c>
    </row>
    <row r="14" spans="2:3" x14ac:dyDescent="0.25">
      <c r="B14" s="103">
        <v>5</v>
      </c>
      <c r="C14" s="105" t="s">
        <v>175</v>
      </c>
    </row>
    <row r="15" spans="2:3" x14ac:dyDescent="0.25">
      <c r="B15" s="103">
        <v>6</v>
      </c>
      <c r="C15" s="105" t="s">
        <v>176</v>
      </c>
    </row>
    <row r="16" spans="2:3" x14ac:dyDescent="0.25">
      <c r="B16" s="103">
        <v>7</v>
      </c>
      <c r="C16" s="105" t="s">
        <v>177</v>
      </c>
    </row>
    <row r="17" spans="2:3" x14ac:dyDescent="0.25">
      <c r="B17" s="103">
        <v>8</v>
      </c>
      <c r="C17" s="105" t="s">
        <v>178</v>
      </c>
    </row>
    <row r="18" spans="2:3" x14ac:dyDescent="0.25">
      <c r="B18" s="103">
        <v>9</v>
      </c>
      <c r="C18" s="105" t="s">
        <v>179</v>
      </c>
    </row>
    <row r="19" spans="2:3" x14ac:dyDescent="0.25">
      <c r="B19" s="103">
        <v>10</v>
      </c>
      <c r="C19" s="105" t="s">
        <v>180</v>
      </c>
    </row>
    <row r="20" spans="2:3" x14ac:dyDescent="0.25">
      <c r="B20" s="103">
        <v>11</v>
      </c>
      <c r="C20" s="105" t="s">
        <v>181</v>
      </c>
    </row>
    <row r="21" spans="2:3" x14ac:dyDescent="0.25">
      <c r="B21" s="103">
        <v>12</v>
      </c>
      <c r="C21" s="105" t="s">
        <v>182</v>
      </c>
    </row>
    <row r="22" spans="2:3" x14ac:dyDescent="0.25">
      <c r="B22" s="103">
        <v>13</v>
      </c>
      <c r="C22" s="105" t="s">
        <v>183</v>
      </c>
    </row>
    <row r="23" spans="2:3" x14ac:dyDescent="0.25">
      <c r="B23" s="103">
        <v>14</v>
      </c>
      <c r="C23" s="105" t="s">
        <v>184</v>
      </c>
    </row>
    <row r="24" spans="2:3" x14ac:dyDescent="0.25">
      <c r="B24" s="103">
        <v>15</v>
      </c>
      <c r="C24" s="105" t="s">
        <v>185</v>
      </c>
    </row>
    <row r="25" spans="2:3" x14ac:dyDescent="0.25">
      <c r="B25" s="103">
        <v>16</v>
      </c>
      <c r="C25" s="105" t="s">
        <v>186</v>
      </c>
    </row>
    <row r="26" spans="2:3" x14ac:dyDescent="0.25">
      <c r="B26" s="103">
        <v>17</v>
      </c>
      <c r="C26" s="105" t="s">
        <v>187</v>
      </c>
    </row>
    <row r="27" spans="2:3" x14ac:dyDescent="0.25">
      <c r="B27" s="103">
        <v>18</v>
      </c>
      <c r="C27" s="105" t="s">
        <v>188</v>
      </c>
    </row>
    <row r="28" spans="2:3" x14ac:dyDescent="0.25">
      <c r="B28" s="103">
        <v>19</v>
      </c>
      <c r="C28" s="105" t="s">
        <v>189</v>
      </c>
    </row>
    <row r="29" spans="2:3" x14ac:dyDescent="0.25">
      <c r="B29" s="103">
        <v>20</v>
      </c>
      <c r="C29" s="105" t="s">
        <v>190</v>
      </c>
    </row>
    <row r="30" spans="2:3" x14ac:dyDescent="0.25">
      <c r="B30" s="103">
        <v>21</v>
      </c>
      <c r="C30" s="105" t="s">
        <v>191</v>
      </c>
    </row>
    <row r="31" spans="2:3" x14ac:dyDescent="0.25">
      <c r="B31" s="103">
        <v>22</v>
      </c>
      <c r="C31" s="105" t="s">
        <v>192</v>
      </c>
    </row>
    <row r="32" spans="2:3" x14ac:dyDescent="0.25">
      <c r="B32" s="103">
        <v>23</v>
      </c>
      <c r="C32" s="105" t="s">
        <v>193</v>
      </c>
    </row>
    <row r="33" spans="2:3" x14ac:dyDescent="0.25">
      <c r="B33" s="103">
        <v>24</v>
      </c>
      <c r="C33" s="105" t="s">
        <v>194</v>
      </c>
    </row>
    <row r="34" spans="2:3" x14ac:dyDescent="0.25">
      <c r="B34" s="103">
        <v>25</v>
      </c>
      <c r="C34" s="105" t="s">
        <v>195</v>
      </c>
    </row>
    <row r="35" spans="2:3" x14ac:dyDescent="0.25">
      <c r="B35" s="103">
        <v>26</v>
      </c>
      <c r="C35" s="105" t="s">
        <v>196</v>
      </c>
    </row>
    <row r="36" spans="2:3" x14ac:dyDescent="0.25">
      <c r="B36" s="103">
        <v>27</v>
      </c>
      <c r="C36" s="105" t="s">
        <v>197</v>
      </c>
    </row>
    <row r="37" spans="2:3" x14ac:dyDescent="0.25">
      <c r="B37" s="103">
        <v>28</v>
      </c>
      <c r="C37" s="105" t="s">
        <v>198</v>
      </c>
    </row>
    <row r="38" spans="2:3" x14ac:dyDescent="0.25">
      <c r="B38" s="103">
        <v>29</v>
      </c>
      <c r="C38" s="105" t="s">
        <v>199</v>
      </c>
    </row>
    <row r="39" spans="2:3" x14ac:dyDescent="0.25">
      <c r="B39" s="103">
        <v>30</v>
      </c>
      <c r="C39" s="105" t="s">
        <v>200</v>
      </c>
    </row>
    <row r="40" spans="2:3" x14ac:dyDescent="0.25">
      <c r="B40" s="103">
        <v>31</v>
      </c>
      <c r="C40" s="105" t="s">
        <v>201</v>
      </c>
    </row>
    <row r="41" spans="2:3" x14ac:dyDescent="0.25">
      <c r="B41" s="103">
        <v>32</v>
      </c>
      <c r="C41" s="105" t="s">
        <v>202</v>
      </c>
    </row>
    <row r="42" spans="2:3" x14ac:dyDescent="0.25">
      <c r="B42" s="103">
        <v>33</v>
      </c>
      <c r="C42" s="105" t="s">
        <v>71</v>
      </c>
    </row>
    <row r="43" spans="2:3" x14ac:dyDescent="0.25">
      <c r="B43" s="103">
        <v>34</v>
      </c>
      <c r="C43" s="105" t="s">
        <v>82</v>
      </c>
    </row>
    <row r="44" spans="2:3" x14ac:dyDescent="0.25">
      <c r="B44" s="103"/>
      <c r="C44" s="105"/>
    </row>
    <row r="45" spans="2:3" x14ac:dyDescent="0.25">
      <c r="B45" s="103"/>
      <c r="C45" s="105"/>
    </row>
    <row r="46" spans="2:3" x14ac:dyDescent="0.25">
      <c r="B46" s="103"/>
      <c r="C46" s="105"/>
    </row>
    <row r="47" spans="2:3" x14ac:dyDescent="0.25">
      <c r="B47" s="103"/>
      <c r="C47" s="105"/>
    </row>
    <row r="48" spans="2:3" x14ac:dyDescent="0.25">
      <c r="B48" s="103"/>
      <c r="C48" s="105"/>
    </row>
    <row r="49" spans="2:3" x14ac:dyDescent="0.25">
      <c r="B49" s="103"/>
      <c r="C49" s="105"/>
    </row>
    <row r="50" spans="2:3" x14ac:dyDescent="0.25">
      <c r="B50" s="103"/>
      <c r="C50" s="105"/>
    </row>
    <row r="51" spans="2:3" x14ac:dyDescent="0.25">
      <c r="B51" s="103"/>
      <c r="C51" s="105"/>
    </row>
    <row r="52" spans="2:3" x14ac:dyDescent="0.25">
      <c r="B52" s="103"/>
      <c r="C52" s="105"/>
    </row>
    <row r="53" spans="2:3" x14ac:dyDescent="0.25">
      <c r="B53" s="103"/>
      <c r="C53" s="105"/>
    </row>
    <row r="54" spans="2:3" x14ac:dyDescent="0.25">
      <c r="B54" s="103"/>
      <c r="C54" s="105"/>
    </row>
    <row r="55" spans="2:3" x14ac:dyDescent="0.25">
      <c r="B55" s="103"/>
      <c r="C55" s="105"/>
    </row>
    <row r="56" spans="2:3" x14ac:dyDescent="0.25">
      <c r="B56" s="103"/>
      <c r="C56" s="105"/>
    </row>
    <row r="57" spans="2:3" x14ac:dyDescent="0.25">
      <c r="B57" s="103"/>
      <c r="C57" s="105"/>
    </row>
    <row r="58" spans="2:3" x14ac:dyDescent="0.25">
      <c r="B58" s="103"/>
      <c r="C58" s="105"/>
    </row>
    <row r="59" spans="2:3" ht="15.75" thickBot="1" x14ac:dyDescent="0.3">
      <c r="B59" s="106"/>
      <c r="C59" s="108"/>
    </row>
  </sheetData>
  <sheetProtection sheet="1" objects="1" scenarios="1"/>
  <mergeCells count="3">
    <mergeCell ref="B2:C2"/>
    <mergeCell ref="B4:C4"/>
    <mergeCell ref="B6:C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C418B-EE77-4F63-986B-60F0F4658E3C}">
  <dimension ref="B1:E29"/>
  <sheetViews>
    <sheetView workbookViewId="0">
      <selection activeCell="B6" sqref="B6:E6"/>
    </sheetView>
  </sheetViews>
  <sheetFormatPr defaultRowHeight="15" x14ac:dyDescent="0.25"/>
  <cols>
    <col min="1" max="1" width="2.85546875" customWidth="1"/>
    <col min="2" max="2" width="5.7109375" customWidth="1"/>
    <col min="3" max="3" width="8.42578125" bestFit="1" customWidth="1"/>
    <col min="4" max="4" width="39.42578125" bestFit="1" customWidth="1"/>
    <col min="5" max="5" width="17.7109375" bestFit="1" customWidth="1"/>
  </cols>
  <sheetData>
    <row r="1" spans="2:5" ht="15.75" thickBot="1" x14ac:dyDescent="0.3"/>
    <row r="2" spans="2:5" ht="32.25" thickBot="1" x14ac:dyDescent="0.55000000000000004">
      <c r="B2" s="309" t="s">
        <v>84</v>
      </c>
      <c r="C2" s="310"/>
      <c r="D2" s="310"/>
      <c r="E2" s="311"/>
    </row>
    <row r="3" spans="2:5" ht="15.75" thickBot="1" x14ac:dyDescent="0.3"/>
    <row r="4" spans="2:5" ht="21.75" thickBot="1" x14ac:dyDescent="0.4">
      <c r="B4" s="318" t="s">
        <v>48</v>
      </c>
      <c r="C4" s="329"/>
      <c r="D4" s="329"/>
      <c r="E4" s="319"/>
    </row>
    <row r="5" spans="2:5" ht="15.75" thickBot="1" x14ac:dyDescent="0.3"/>
    <row r="6" spans="2:5" ht="91.5" customHeight="1" thickBot="1" x14ac:dyDescent="0.3">
      <c r="B6" s="333" t="s">
        <v>230</v>
      </c>
      <c r="C6" s="335"/>
      <c r="D6" s="335"/>
      <c r="E6" s="334"/>
    </row>
    <row r="8" spans="2:5" x14ac:dyDescent="0.25">
      <c r="B8" s="25" t="s">
        <v>85</v>
      </c>
      <c r="C8" s="93" t="s">
        <v>25</v>
      </c>
      <c r="D8" s="93" t="s">
        <v>12</v>
      </c>
      <c r="E8" s="26" t="s">
        <v>86</v>
      </c>
    </row>
    <row r="9" spans="2:5" ht="7.5" customHeight="1" thickBot="1" x14ac:dyDescent="0.3">
      <c r="B9" s="3"/>
      <c r="C9" s="3"/>
      <c r="D9" s="3"/>
      <c r="E9" s="3"/>
    </row>
    <row r="10" spans="2:5" x14ac:dyDescent="0.25">
      <c r="B10" s="100">
        <v>1</v>
      </c>
      <c r="C10" s="101" t="s">
        <v>87</v>
      </c>
      <c r="D10" s="101" t="s">
        <v>88</v>
      </c>
      <c r="E10" s="102">
        <v>0</v>
      </c>
    </row>
    <row r="11" spans="2:5" x14ac:dyDescent="0.25">
      <c r="B11" s="103">
        <v>2</v>
      </c>
      <c r="C11" s="104" t="s">
        <v>89</v>
      </c>
      <c r="D11" s="104" t="s">
        <v>131</v>
      </c>
      <c r="E11" s="105" t="s">
        <v>90</v>
      </c>
    </row>
    <row r="12" spans="2:5" x14ac:dyDescent="0.25">
      <c r="B12" s="103">
        <v>3</v>
      </c>
      <c r="C12" s="104" t="s">
        <v>91</v>
      </c>
      <c r="D12" s="104" t="s">
        <v>92</v>
      </c>
      <c r="E12" s="105">
        <v>3</v>
      </c>
    </row>
    <row r="13" spans="2:5" x14ac:dyDescent="0.25">
      <c r="B13" s="103">
        <v>4</v>
      </c>
      <c r="C13" s="104" t="s">
        <v>93</v>
      </c>
      <c r="D13" s="104" t="s">
        <v>94</v>
      </c>
      <c r="E13" s="105">
        <v>2</v>
      </c>
    </row>
    <row r="14" spans="2:5" x14ac:dyDescent="0.25">
      <c r="B14" s="103">
        <v>5</v>
      </c>
      <c r="C14" s="104" t="s">
        <v>95</v>
      </c>
      <c r="D14" s="104" t="s">
        <v>96</v>
      </c>
      <c r="E14" s="105">
        <v>4</v>
      </c>
    </row>
    <row r="15" spans="2:5" x14ac:dyDescent="0.25">
      <c r="B15" s="103">
        <v>6</v>
      </c>
      <c r="C15" s="104" t="s">
        <v>97</v>
      </c>
      <c r="D15" s="104" t="s">
        <v>98</v>
      </c>
      <c r="E15" s="105">
        <v>1</v>
      </c>
    </row>
    <row r="16" spans="2:5" x14ac:dyDescent="0.25">
      <c r="B16" s="103"/>
      <c r="C16" s="104"/>
      <c r="D16" s="104"/>
      <c r="E16" s="105"/>
    </row>
    <row r="17" spans="2:5" x14ac:dyDescent="0.25">
      <c r="B17" s="103"/>
      <c r="C17" s="104"/>
      <c r="D17" s="104"/>
      <c r="E17" s="105"/>
    </row>
    <row r="18" spans="2:5" x14ac:dyDescent="0.25">
      <c r="B18" s="103"/>
      <c r="C18" s="104"/>
      <c r="D18" s="104"/>
      <c r="E18" s="105"/>
    </row>
    <row r="19" spans="2:5" x14ac:dyDescent="0.25">
      <c r="B19" s="103"/>
      <c r="C19" s="104"/>
      <c r="D19" s="104"/>
      <c r="E19" s="105"/>
    </row>
    <row r="20" spans="2:5" x14ac:dyDescent="0.25">
      <c r="B20" s="103"/>
      <c r="C20" s="104"/>
      <c r="D20" s="104"/>
      <c r="E20" s="105"/>
    </row>
    <row r="21" spans="2:5" x14ac:dyDescent="0.25">
      <c r="B21" s="103"/>
      <c r="C21" s="104"/>
      <c r="D21" s="104"/>
      <c r="E21" s="105"/>
    </row>
    <row r="22" spans="2:5" x14ac:dyDescent="0.25">
      <c r="B22" s="103"/>
      <c r="C22" s="104"/>
      <c r="D22" s="104"/>
      <c r="E22" s="105"/>
    </row>
    <row r="23" spans="2:5" x14ac:dyDescent="0.25">
      <c r="B23" s="103"/>
      <c r="C23" s="104"/>
      <c r="D23" s="104"/>
      <c r="E23" s="105"/>
    </row>
    <row r="24" spans="2:5" x14ac:dyDescent="0.25">
      <c r="B24" s="103"/>
      <c r="C24" s="104"/>
      <c r="D24" s="104"/>
      <c r="E24" s="105"/>
    </row>
    <row r="25" spans="2:5" x14ac:dyDescent="0.25">
      <c r="B25" s="103"/>
      <c r="C25" s="104"/>
      <c r="D25" s="104"/>
      <c r="E25" s="105"/>
    </row>
    <row r="26" spans="2:5" x14ac:dyDescent="0.25">
      <c r="B26" s="103"/>
      <c r="C26" s="104"/>
      <c r="D26" s="104"/>
      <c r="E26" s="105"/>
    </row>
    <row r="27" spans="2:5" x14ac:dyDescent="0.25">
      <c r="B27" s="103"/>
      <c r="C27" s="104"/>
      <c r="D27" s="104"/>
      <c r="E27" s="105"/>
    </row>
    <row r="28" spans="2:5" x14ac:dyDescent="0.25">
      <c r="B28" s="103"/>
      <c r="C28" s="104"/>
      <c r="D28" s="104"/>
      <c r="E28" s="105"/>
    </row>
    <row r="29" spans="2:5" ht="15.75" thickBot="1" x14ac:dyDescent="0.3">
      <c r="B29" s="106"/>
      <c r="C29" s="107"/>
      <c r="D29" s="107"/>
      <c r="E29" s="108"/>
    </row>
  </sheetData>
  <sheetProtection sheet="1" objects="1" scenarios="1"/>
  <mergeCells count="3">
    <mergeCell ref="B2:E2"/>
    <mergeCell ref="B4:E4"/>
    <mergeCell ref="B6:E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48C32-1F68-4A02-993E-113146AAFA41}">
  <dimension ref="B1:DA402"/>
  <sheetViews>
    <sheetView workbookViewId="0">
      <selection activeCell="B2" sqref="B2:CD336"/>
    </sheetView>
  </sheetViews>
  <sheetFormatPr defaultRowHeight="15" x14ac:dyDescent="0.25"/>
  <cols>
    <col min="1" max="1" width="2.85546875" style="139" customWidth="1"/>
    <col min="2" max="16384" width="9.140625" style="139"/>
  </cols>
  <sheetData>
    <row r="1" spans="2:105" ht="15.75" thickBot="1" x14ac:dyDescent="0.3">
      <c r="B1" s="139">
        <v>1</v>
      </c>
      <c r="C1" s="139">
        <f>B1+1</f>
        <v>2</v>
      </c>
      <c r="D1" s="139">
        <f t="shared" ref="D1:BO1" si="0">C1+1</f>
        <v>3</v>
      </c>
      <c r="E1" s="139">
        <f t="shared" si="0"/>
        <v>4</v>
      </c>
      <c r="F1" s="139">
        <f t="shared" si="0"/>
        <v>5</v>
      </c>
      <c r="G1" s="139">
        <f t="shared" si="0"/>
        <v>6</v>
      </c>
      <c r="H1" s="139">
        <f t="shared" si="0"/>
        <v>7</v>
      </c>
      <c r="I1" s="139">
        <f t="shared" si="0"/>
        <v>8</v>
      </c>
      <c r="J1" s="139">
        <f t="shared" si="0"/>
        <v>9</v>
      </c>
      <c r="K1" s="139">
        <f t="shared" si="0"/>
        <v>10</v>
      </c>
      <c r="L1" s="139">
        <f t="shared" si="0"/>
        <v>11</v>
      </c>
      <c r="M1" s="139">
        <f t="shared" si="0"/>
        <v>12</v>
      </c>
      <c r="N1" s="139">
        <f t="shared" si="0"/>
        <v>13</v>
      </c>
      <c r="O1" s="139">
        <f t="shared" si="0"/>
        <v>14</v>
      </c>
      <c r="P1" s="139">
        <f t="shared" si="0"/>
        <v>15</v>
      </c>
      <c r="Q1" s="139">
        <f t="shared" si="0"/>
        <v>16</v>
      </c>
      <c r="R1" s="139">
        <f t="shared" si="0"/>
        <v>17</v>
      </c>
      <c r="S1" s="139">
        <f t="shared" si="0"/>
        <v>18</v>
      </c>
      <c r="T1" s="139">
        <f t="shared" si="0"/>
        <v>19</v>
      </c>
      <c r="U1" s="139">
        <f t="shared" si="0"/>
        <v>20</v>
      </c>
      <c r="V1" s="139">
        <f t="shared" si="0"/>
        <v>21</v>
      </c>
      <c r="W1" s="139">
        <f t="shared" si="0"/>
        <v>22</v>
      </c>
      <c r="X1" s="139">
        <f t="shared" si="0"/>
        <v>23</v>
      </c>
      <c r="Y1" s="139">
        <f t="shared" si="0"/>
        <v>24</v>
      </c>
      <c r="Z1" s="139">
        <f t="shared" si="0"/>
        <v>25</v>
      </c>
      <c r="AA1" s="139">
        <f t="shared" si="0"/>
        <v>26</v>
      </c>
      <c r="AB1" s="139">
        <f t="shared" si="0"/>
        <v>27</v>
      </c>
      <c r="AC1" s="139">
        <f t="shared" si="0"/>
        <v>28</v>
      </c>
      <c r="AD1" s="139">
        <f t="shared" si="0"/>
        <v>29</v>
      </c>
      <c r="AE1" s="139">
        <f t="shared" si="0"/>
        <v>30</v>
      </c>
      <c r="AF1" s="139">
        <f t="shared" si="0"/>
        <v>31</v>
      </c>
      <c r="AG1" s="139">
        <f t="shared" si="0"/>
        <v>32</v>
      </c>
      <c r="AH1" s="139">
        <f t="shared" si="0"/>
        <v>33</v>
      </c>
      <c r="AI1" s="139">
        <f t="shared" si="0"/>
        <v>34</v>
      </c>
      <c r="AJ1" s="139">
        <f t="shared" si="0"/>
        <v>35</v>
      </c>
      <c r="AK1" s="139">
        <f t="shared" si="0"/>
        <v>36</v>
      </c>
      <c r="AL1" s="139">
        <f t="shared" si="0"/>
        <v>37</v>
      </c>
      <c r="AM1" s="139">
        <f t="shared" si="0"/>
        <v>38</v>
      </c>
      <c r="AN1" s="139">
        <f t="shared" si="0"/>
        <v>39</v>
      </c>
      <c r="AO1" s="139">
        <f t="shared" si="0"/>
        <v>40</v>
      </c>
      <c r="AP1" s="139">
        <f t="shared" si="0"/>
        <v>41</v>
      </c>
      <c r="AQ1" s="139">
        <f t="shared" si="0"/>
        <v>42</v>
      </c>
      <c r="AR1" s="139">
        <f t="shared" si="0"/>
        <v>43</v>
      </c>
      <c r="AS1" s="139">
        <f t="shared" si="0"/>
        <v>44</v>
      </c>
      <c r="AT1" s="139">
        <f t="shared" si="0"/>
        <v>45</v>
      </c>
      <c r="AU1" s="139">
        <f t="shared" si="0"/>
        <v>46</v>
      </c>
      <c r="AV1" s="139">
        <f t="shared" si="0"/>
        <v>47</v>
      </c>
      <c r="AW1" s="139">
        <f t="shared" si="0"/>
        <v>48</v>
      </c>
      <c r="AX1" s="139">
        <f t="shared" si="0"/>
        <v>49</v>
      </c>
      <c r="AY1" s="139">
        <f t="shared" si="0"/>
        <v>50</v>
      </c>
      <c r="AZ1" s="139">
        <f t="shared" si="0"/>
        <v>51</v>
      </c>
      <c r="BA1" s="139">
        <f t="shared" si="0"/>
        <v>52</v>
      </c>
      <c r="BB1" s="139">
        <f t="shared" si="0"/>
        <v>53</v>
      </c>
      <c r="BC1" s="139">
        <f t="shared" si="0"/>
        <v>54</v>
      </c>
      <c r="BD1" s="139">
        <f t="shared" si="0"/>
        <v>55</v>
      </c>
      <c r="BE1" s="139">
        <f t="shared" si="0"/>
        <v>56</v>
      </c>
      <c r="BF1" s="139">
        <f t="shared" si="0"/>
        <v>57</v>
      </c>
      <c r="BG1" s="139">
        <f t="shared" si="0"/>
        <v>58</v>
      </c>
      <c r="BH1" s="139">
        <f t="shared" si="0"/>
        <v>59</v>
      </c>
      <c r="BI1" s="139">
        <f t="shared" si="0"/>
        <v>60</v>
      </c>
      <c r="BJ1" s="139">
        <f t="shared" si="0"/>
        <v>61</v>
      </c>
      <c r="BK1" s="139">
        <f t="shared" si="0"/>
        <v>62</v>
      </c>
      <c r="BL1" s="139">
        <f t="shared" si="0"/>
        <v>63</v>
      </c>
      <c r="BM1" s="139">
        <f t="shared" si="0"/>
        <v>64</v>
      </c>
      <c r="BN1" s="139">
        <f t="shared" si="0"/>
        <v>65</v>
      </c>
      <c r="BO1" s="139">
        <f t="shared" si="0"/>
        <v>66</v>
      </c>
      <c r="BP1" s="139">
        <f t="shared" ref="BP1:DA1" si="1">BO1+1</f>
        <v>67</v>
      </c>
      <c r="BQ1" s="139">
        <f t="shared" si="1"/>
        <v>68</v>
      </c>
      <c r="BR1" s="139">
        <f t="shared" si="1"/>
        <v>69</v>
      </c>
      <c r="BS1" s="139">
        <f t="shared" si="1"/>
        <v>70</v>
      </c>
      <c r="BT1" s="139">
        <f t="shared" si="1"/>
        <v>71</v>
      </c>
      <c r="BU1" s="139">
        <f t="shared" si="1"/>
        <v>72</v>
      </c>
      <c r="BV1" s="139">
        <f t="shared" si="1"/>
        <v>73</v>
      </c>
      <c r="BW1" s="139">
        <f t="shared" si="1"/>
        <v>74</v>
      </c>
      <c r="BX1" s="139">
        <f t="shared" si="1"/>
        <v>75</v>
      </c>
      <c r="BY1" s="139">
        <f t="shared" si="1"/>
        <v>76</v>
      </c>
      <c r="BZ1" s="139">
        <f t="shared" si="1"/>
        <v>77</v>
      </c>
      <c r="CA1" s="139">
        <f t="shared" si="1"/>
        <v>78</v>
      </c>
      <c r="CB1" s="139">
        <f t="shared" si="1"/>
        <v>79</v>
      </c>
      <c r="CC1" s="139">
        <f t="shared" si="1"/>
        <v>80</v>
      </c>
      <c r="CD1" s="139">
        <f t="shared" si="1"/>
        <v>81</v>
      </c>
      <c r="CE1" s="139">
        <f t="shared" si="1"/>
        <v>82</v>
      </c>
      <c r="CF1" s="139">
        <f t="shared" si="1"/>
        <v>83</v>
      </c>
      <c r="CG1" s="139">
        <f t="shared" si="1"/>
        <v>84</v>
      </c>
      <c r="CH1" s="139">
        <f t="shared" si="1"/>
        <v>85</v>
      </c>
      <c r="CI1" s="139">
        <f t="shared" si="1"/>
        <v>86</v>
      </c>
      <c r="CJ1" s="139">
        <f t="shared" si="1"/>
        <v>87</v>
      </c>
      <c r="CK1" s="139">
        <f t="shared" si="1"/>
        <v>88</v>
      </c>
      <c r="CL1" s="139">
        <f t="shared" si="1"/>
        <v>89</v>
      </c>
      <c r="CM1" s="139">
        <f t="shared" si="1"/>
        <v>90</v>
      </c>
      <c r="CN1" s="139">
        <f t="shared" si="1"/>
        <v>91</v>
      </c>
      <c r="CO1" s="139">
        <f t="shared" si="1"/>
        <v>92</v>
      </c>
      <c r="CP1" s="139">
        <f t="shared" si="1"/>
        <v>93</v>
      </c>
      <c r="CQ1" s="139">
        <f t="shared" si="1"/>
        <v>94</v>
      </c>
      <c r="CR1" s="139">
        <f t="shared" si="1"/>
        <v>95</v>
      </c>
      <c r="CS1" s="139">
        <f t="shared" si="1"/>
        <v>96</v>
      </c>
      <c r="CT1" s="139">
        <f t="shared" si="1"/>
        <v>97</v>
      </c>
      <c r="CU1" s="139">
        <f t="shared" si="1"/>
        <v>98</v>
      </c>
      <c r="CV1" s="139">
        <f t="shared" si="1"/>
        <v>99</v>
      </c>
      <c r="CW1" s="139">
        <f t="shared" si="1"/>
        <v>100</v>
      </c>
      <c r="CX1" s="139">
        <f t="shared" si="1"/>
        <v>101</v>
      </c>
      <c r="CY1" s="139">
        <f t="shared" si="1"/>
        <v>102</v>
      </c>
      <c r="CZ1" s="139">
        <f t="shared" si="1"/>
        <v>103</v>
      </c>
      <c r="DA1" s="139">
        <f t="shared" si="1"/>
        <v>104</v>
      </c>
    </row>
    <row r="2" spans="2:105" x14ac:dyDescent="0.25">
      <c r="B2" s="167" t="s">
        <v>285</v>
      </c>
      <c r="C2" s="168" t="s">
        <v>286</v>
      </c>
      <c r="D2" s="168" t="s">
        <v>287</v>
      </c>
      <c r="E2" s="168" t="s">
        <v>288</v>
      </c>
      <c r="F2" s="168" t="s">
        <v>289</v>
      </c>
      <c r="G2" s="168" t="s">
        <v>290</v>
      </c>
      <c r="H2" s="168" t="s">
        <v>291</v>
      </c>
      <c r="I2" s="168" t="s">
        <v>292</v>
      </c>
      <c r="J2" s="168" t="s">
        <v>293</v>
      </c>
      <c r="K2" s="168" t="s">
        <v>294</v>
      </c>
      <c r="L2" s="168" t="s">
        <v>295</v>
      </c>
      <c r="M2" s="168" t="s">
        <v>296</v>
      </c>
      <c r="N2" s="168" t="s">
        <v>297</v>
      </c>
      <c r="O2" s="168" t="s">
        <v>298</v>
      </c>
      <c r="P2" s="168" t="s">
        <v>299</v>
      </c>
      <c r="Q2" s="168" t="s">
        <v>300</v>
      </c>
      <c r="R2" s="168" t="s">
        <v>301</v>
      </c>
      <c r="S2" s="168" t="s">
        <v>302</v>
      </c>
      <c r="T2" s="168" t="s">
        <v>303</v>
      </c>
      <c r="U2" s="168" t="s">
        <v>304</v>
      </c>
      <c r="V2" s="168" t="s">
        <v>305</v>
      </c>
      <c r="W2" s="168" t="s">
        <v>306</v>
      </c>
      <c r="X2" s="168" t="s">
        <v>307</v>
      </c>
      <c r="Y2" s="168" t="s">
        <v>308</v>
      </c>
      <c r="Z2" s="168" t="s">
        <v>309</v>
      </c>
      <c r="AA2" s="168" t="s">
        <v>310</v>
      </c>
      <c r="AB2" s="168" t="s">
        <v>311</v>
      </c>
      <c r="AC2" s="168" t="s">
        <v>312</v>
      </c>
      <c r="AD2" s="168" t="s">
        <v>313</v>
      </c>
      <c r="AE2" s="168" t="s">
        <v>314</v>
      </c>
      <c r="AF2" s="168" t="s">
        <v>300</v>
      </c>
      <c r="AG2" s="168" t="s">
        <v>315</v>
      </c>
      <c r="AH2" s="168" t="s">
        <v>316</v>
      </c>
      <c r="AI2" s="168" t="s">
        <v>317</v>
      </c>
      <c r="AJ2" s="168" t="s">
        <v>318</v>
      </c>
      <c r="AK2" s="168" t="s">
        <v>319</v>
      </c>
      <c r="AL2" s="168" t="s">
        <v>320</v>
      </c>
      <c r="AM2" s="168" t="s">
        <v>321</v>
      </c>
      <c r="AN2" s="168" t="s">
        <v>322</v>
      </c>
      <c r="AO2" s="168" t="s">
        <v>323</v>
      </c>
      <c r="AP2" s="168" t="s">
        <v>38</v>
      </c>
      <c r="AQ2" s="168" t="s">
        <v>39</v>
      </c>
      <c r="AR2" s="168" t="s">
        <v>324</v>
      </c>
      <c r="AS2" s="168" t="s">
        <v>325</v>
      </c>
      <c r="AT2" s="168" t="s">
        <v>326</v>
      </c>
      <c r="AU2" s="168" t="s">
        <v>327</v>
      </c>
      <c r="AV2" s="168" t="s">
        <v>328</v>
      </c>
      <c r="AW2" s="168" t="s">
        <v>329</v>
      </c>
      <c r="AX2" s="168" t="s">
        <v>330</v>
      </c>
      <c r="AY2" s="168" t="s">
        <v>331</v>
      </c>
      <c r="AZ2" s="168" t="s">
        <v>332</v>
      </c>
      <c r="BA2" s="168" t="s">
        <v>333</v>
      </c>
      <c r="BB2" s="168" t="s">
        <v>334</v>
      </c>
      <c r="BC2" s="168" t="s">
        <v>335</v>
      </c>
      <c r="BD2" s="168" t="s">
        <v>336</v>
      </c>
      <c r="BE2" s="168" t="s">
        <v>337</v>
      </c>
      <c r="BF2" s="168" t="s">
        <v>338</v>
      </c>
      <c r="BG2" s="168" t="s">
        <v>339</v>
      </c>
      <c r="BH2" s="168" t="s">
        <v>340</v>
      </c>
      <c r="BI2" s="168" t="s">
        <v>341</v>
      </c>
      <c r="BJ2" s="168" t="s">
        <v>342</v>
      </c>
      <c r="BK2" s="168" t="s">
        <v>343</v>
      </c>
      <c r="BL2" s="168" t="s">
        <v>344</v>
      </c>
      <c r="BM2" s="168" t="s">
        <v>345</v>
      </c>
      <c r="BN2" s="168" t="s">
        <v>346</v>
      </c>
      <c r="BO2" s="168" t="s">
        <v>347</v>
      </c>
      <c r="BP2" s="168" t="s">
        <v>348</v>
      </c>
      <c r="BQ2" s="168"/>
      <c r="BR2" s="168"/>
      <c r="BS2" s="168"/>
      <c r="BT2" s="168"/>
      <c r="BU2" s="168"/>
      <c r="BV2" s="168"/>
      <c r="BW2" s="168"/>
      <c r="BX2" s="168"/>
      <c r="BY2" s="168"/>
      <c r="BZ2" s="168"/>
      <c r="CA2" s="168"/>
      <c r="CB2" s="168"/>
      <c r="CC2" s="168"/>
      <c r="CD2" s="168"/>
      <c r="CE2" s="168"/>
      <c r="CF2" s="168"/>
      <c r="CG2" s="168"/>
      <c r="CH2" s="168"/>
      <c r="CI2" s="168"/>
      <c r="CJ2" s="168"/>
      <c r="CK2" s="168"/>
      <c r="CL2" s="168"/>
      <c r="CM2" s="168"/>
      <c r="CN2" s="168"/>
      <c r="CO2" s="168"/>
      <c r="CP2" s="168"/>
      <c r="CQ2" s="168"/>
      <c r="CR2" s="168"/>
      <c r="CS2" s="168"/>
      <c r="CT2" s="168"/>
      <c r="CU2" s="168"/>
      <c r="CV2" s="168"/>
      <c r="CW2" s="168"/>
      <c r="CX2" s="168"/>
      <c r="CY2" s="168"/>
      <c r="CZ2" s="168"/>
      <c r="DA2" s="169"/>
    </row>
    <row r="3" spans="2:105" x14ac:dyDescent="0.25">
      <c r="B3" s="170"/>
      <c r="C3" s="140" t="s">
        <v>349</v>
      </c>
      <c r="D3" s="140" t="s">
        <v>350</v>
      </c>
      <c r="E3" s="140" t="s">
        <v>351</v>
      </c>
      <c r="F3" s="140" t="s">
        <v>352</v>
      </c>
      <c r="G3" s="140"/>
      <c r="H3" s="140" t="s">
        <v>353</v>
      </c>
      <c r="I3" s="140"/>
      <c r="J3" s="140" t="s">
        <v>354</v>
      </c>
      <c r="K3" s="140" t="s">
        <v>355</v>
      </c>
      <c r="L3" s="140" t="s">
        <v>356</v>
      </c>
      <c r="M3" s="140" t="s">
        <v>357</v>
      </c>
      <c r="N3" s="140" t="s">
        <v>354</v>
      </c>
      <c r="O3" s="140" t="s">
        <v>358</v>
      </c>
      <c r="P3" s="140" t="s">
        <v>359</v>
      </c>
      <c r="Q3" s="140" t="s">
        <v>360</v>
      </c>
      <c r="R3" s="140" t="s">
        <v>361</v>
      </c>
      <c r="S3" s="140" t="s">
        <v>362</v>
      </c>
      <c r="T3" s="140" t="s">
        <v>363</v>
      </c>
      <c r="U3" s="140" t="s">
        <v>363</v>
      </c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 t="s">
        <v>354</v>
      </c>
      <c r="AL3" s="140" t="s">
        <v>364</v>
      </c>
      <c r="AM3" s="140" t="s">
        <v>354</v>
      </c>
      <c r="AN3" s="140" t="s">
        <v>365</v>
      </c>
      <c r="AO3" s="140" t="s">
        <v>363</v>
      </c>
      <c r="AP3" s="140" t="s">
        <v>366</v>
      </c>
      <c r="AQ3" s="140" t="s">
        <v>367</v>
      </c>
      <c r="AR3" s="140" t="s">
        <v>368</v>
      </c>
      <c r="AS3" s="140" t="s">
        <v>369</v>
      </c>
      <c r="AT3" s="140"/>
      <c r="AU3" s="140" t="s">
        <v>356</v>
      </c>
      <c r="AV3" s="140" t="s">
        <v>370</v>
      </c>
      <c r="AW3" s="140" t="s">
        <v>371</v>
      </c>
      <c r="AX3" s="140" t="s">
        <v>372</v>
      </c>
      <c r="AY3" s="140" t="s">
        <v>373</v>
      </c>
      <c r="AZ3" s="140" t="s">
        <v>374</v>
      </c>
      <c r="BA3" s="140" t="s">
        <v>375</v>
      </c>
      <c r="BB3" s="140" t="s">
        <v>376</v>
      </c>
      <c r="BC3" s="140" t="s">
        <v>377</v>
      </c>
      <c r="BD3" s="140" t="s">
        <v>378</v>
      </c>
      <c r="BE3" s="140" t="s">
        <v>379</v>
      </c>
      <c r="BF3" s="140" t="s">
        <v>380</v>
      </c>
      <c r="BG3" s="140" t="s">
        <v>381</v>
      </c>
      <c r="BH3" s="140" t="s">
        <v>382</v>
      </c>
      <c r="BI3" s="140" t="s">
        <v>383</v>
      </c>
      <c r="BJ3" s="140"/>
      <c r="BK3" s="140"/>
      <c r="BL3" s="140"/>
      <c r="BM3" s="140"/>
      <c r="BN3" s="140"/>
      <c r="BO3" s="140"/>
      <c r="BP3" s="140"/>
      <c r="BQ3" s="140"/>
      <c r="BR3" s="140"/>
      <c r="BS3" s="140"/>
      <c r="BT3" s="140"/>
      <c r="BU3" s="140"/>
      <c r="BV3" s="140"/>
      <c r="BW3" s="140"/>
      <c r="BX3" s="140"/>
      <c r="BY3" s="140"/>
      <c r="BZ3" s="140"/>
      <c r="CA3" s="140"/>
      <c r="CB3" s="140"/>
      <c r="CC3" s="140"/>
      <c r="CD3" s="140"/>
      <c r="CE3" s="140"/>
      <c r="CF3" s="140"/>
      <c r="CG3" s="140"/>
      <c r="CH3" s="140"/>
      <c r="CI3" s="140"/>
      <c r="CJ3" s="140"/>
      <c r="CK3" s="140"/>
      <c r="CL3" s="140"/>
      <c r="CM3" s="140"/>
      <c r="CN3" s="140"/>
      <c r="CO3" s="140"/>
      <c r="CP3" s="140"/>
      <c r="CQ3" s="140"/>
      <c r="CR3" s="140"/>
      <c r="CS3" s="140"/>
      <c r="CT3" s="140"/>
      <c r="CU3" s="140"/>
      <c r="CV3" s="140"/>
      <c r="CW3" s="140"/>
      <c r="CX3" s="140"/>
      <c r="CY3" s="140"/>
      <c r="CZ3" s="140"/>
      <c r="DA3" s="171"/>
    </row>
    <row r="4" spans="2:105" x14ac:dyDescent="0.25">
      <c r="B4" s="172"/>
      <c r="C4" s="141" t="s">
        <v>384</v>
      </c>
      <c r="D4" s="141" t="s">
        <v>385</v>
      </c>
      <c r="E4" s="141" t="s">
        <v>386</v>
      </c>
      <c r="F4" s="141" t="s">
        <v>387</v>
      </c>
      <c r="G4" s="141"/>
      <c r="H4" s="141" t="s">
        <v>353</v>
      </c>
      <c r="I4" s="141"/>
      <c r="J4" s="141" t="s">
        <v>354</v>
      </c>
      <c r="K4" s="141" t="s">
        <v>388</v>
      </c>
      <c r="L4" s="141" t="s">
        <v>389</v>
      </c>
      <c r="M4" s="141" t="s">
        <v>390</v>
      </c>
      <c r="N4" s="141" t="s">
        <v>354</v>
      </c>
      <c r="O4" s="141" t="s">
        <v>391</v>
      </c>
      <c r="P4" s="141" t="s">
        <v>392</v>
      </c>
      <c r="Q4" s="141" t="s">
        <v>392</v>
      </c>
      <c r="R4" s="141" t="s">
        <v>361</v>
      </c>
      <c r="S4" s="141" t="s">
        <v>362</v>
      </c>
      <c r="T4" s="141" t="s">
        <v>363</v>
      </c>
      <c r="U4" s="141" t="s">
        <v>363</v>
      </c>
      <c r="V4" s="141"/>
      <c r="W4" s="141"/>
      <c r="X4" s="141"/>
      <c r="Y4" s="141"/>
      <c r="Z4" s="141"/>
      <c r="AA4" s="141"/>
      <c r="AB4" s="141"/>
      <c r="AC4" s="141"/>
      <c r="AD4" s="141"/>
      <c r="AE4" s="141"/>
      <c r="AF4" s="141"/>
      <c r="AG4" s="141"/>
      <c r="AH4" s="141"/>
      <c r="AI4" s="141"/>
      <c r="AJ4" s="141"/>
      <c r="AK4" s="141" t="s">
        <v>354</v>
      </c>
      <c r="AL4" s="141" t="s">
        <v>364</v>
      </c>
      <c r="AM4" s="141" t="s">
        <v>354</v>
      </c>
      <c r="AN4" s="141" t="s">
        <v>365</v>
      </c>
      <c r="AO4" s="141" t="s">
        <v>363</v>
      </c>
      <c r="AP4" s="141" t="s">
        <v>366</v>
      </c>
      <c r="AQ4" s="141" t="s">
        <v>367</v>
      </c>
      <c r="AR4" s="141" t="s">
        <v>368</v>
      </c>
      <c r="AS4" s="141" t="s">
        <v>393</v>
      </c>
      <c r="AT4" s="141"/>
      <c r="AU4" s="141" t="s">
        <v>389</v>
      </c>
      <c r="AV4" s="141" t="s">
        <v>370</v>
      </c>
      <c r="AW4" s="141" t="s">
        <v>394</v>
      </c>
      <c r="AX4" s="141" t="s">
        <v>372</v>
      </c>
      <c r="AY4" s="141" t="s">
        <v>395</v>
      </c>
      <c r="AZ4" s="141" t="s">
        <v>374</v>
      </c>
      <c r="BA4" s="141" t="s">
        <v>396</v>
      </c>
      <c r="BB4" s="141" t="s">
        <v>376</v>
      </c>
      <c r="BC4" s="141" t="s">
        <v>397</v>
      </c>
      <c r="BD4" s="141" t="s">
        <v>378</v>
      </c>
      <c r="BE4" s="141" t="s">
        <v>398</v>
      </c>
      <c r="BF4" s="141" t="s">
        <v>380</v>
      </c>
      <c r="BG4" s="141" t="s">
        <v>399</v>
      </c>
      <c r="BH4" s="141" t="s">
        <v>382</v>
      </c>
      <c r="BI4" s="141" t="s">
        <v>400</v>
      </c>
      <c r="BJ4" s="141"/>
      <c r="BK4" s="141"/>
      <c r="BL4" s="141"/>
      <c r="BM4" s="141"/>
      <c r="BN4" s="141"/>
      <c r="BO4" s="141"/>
      <c r="BP4" s="141"/>
      <c r="BQ4" s="141"/>
      <c r="BR4" s="141"/>
      <c r="BS4" s="141"/>
      <c r="BT4" s="141"/>
      <c r="BU4" s="141"/>
      <c r="BV4" s="141"/>
      <c r="BW4" s="141"/>
      <c r="BX4" s="141"/>
      <c r="BY4" s="141"/>
      <c r="BZ4" s="141"/>
      <c r="CA4" s="141"/>
      <c r="CB4" s="141"/>
      <c r="CC4" s="141"/>
      <c r="CD4" s="141"/>
      <c r="CE4" s="141"/>
      <c r="CF4" s="141"/>
      <c r="CG4" s="141"/>
      <c r="CH4" s="141"/>
      <c r="CI4" s="141"/>
      <c r="CJ4" s="141"/>
      <c r="CK4" s="141"/>
      <c r="CL4" s="141"/>
      <c r="CM4" s="141"/>
      <c r="CN4" s="141"/>
      <c r="CO4" s="141"/>
      <c r="CP4" s="141"/>
      <c r="CQ4" s="141"/>
      <c r="CR4" s="141"/>
      <c r="CS4" s="141"/>
      <c r="CT4" s="141"/>
      <c r="CU4" s="141"/>
      <c r="CV4" s="141"/>
      <c r="CW4" s="141"/>
      <c r="CX4" s="141"/>
      <c r="CY4" s="141"/>
      <c r="CZ4" s="141"/>
      <c r="DA4" s="173"/>
    </row>
    <row r="5" spans="2:105" x14ac:dyDescent="0.25">
      <c r="B5" s="172"/>
      <c r="C5" s="141" t="s">
        <v>401</v>
      </c>
      <c r="D5" s="141" t="s">
        <v>402</v>
      </c>
      <c r="E5" s="141" t="s">
        <v>403</v>
      </c>
      <c r="F5" s="141" t="s">
        <v>404</v>
      </c>
      <c r="G5" s="141"/>
      <c r="H5" s="141" t="s">
        <v>353</v>
      </c>
      <c r="I5" s="141"/>
      <c r="J5" s="141" t="s">
        <v>354</v>
      </c>
      <c r="K5" s="141" t="s">
        <v>405</v>
      </c>
      <c r="L5" s="141" t="s">
        <v>406</v>
      </c>
      <c r="M5" s="141" t="s">
        <v>407</v>
      </c>
      <c r="N5" s="141" t="s">
        <v>354</v>
      </c>
      <c r="O5" s="141" t="s">
        <v>408</v>
      </c>
      <c r="P5" s="141" t="s">
        <v>409</v>
      </c>
      <c r="Q5" s="141" t="s">
        <v>409</v>
      </c>
      <c r="R5" s="141" t="s">
        <v>361</v>
      </c>
      <c r="S5" s="141" t="s">
        <v>362</v>
      </c>
      <c r="T5" s="141" t="s">
        <v>363</v>
      </c>
      <c r="U5" s="141" t="s">
        <v>363</v>
      </c>
      <c r="V5" s="141"/>
      <c r="W5" s="141"/>
      <c r="X5" s="141"/>
      <c r="Y5" s="141"/>
      <c r="Z5" s="141"/>
      <c r="AA5" s="141"/>
      <c r="AB5" s="141"/>
      <c r="AC5" s="141"/>
      <c r="AD5" s="141"/>
      <c r="AE5" s="141"/>
      <c r="AF5" s="141"/>
      <c r="AG5" s="141"/>
      <c r="AH5" s="141"/>
      <c r="AI5" s="141"/>
      <c r="AJ5" s="141"/>
      <c r="AK5" s="141" t="s">
        <v>354</v>
      </c>
      <c r="AL5" s="141" t="s">
        <v>364</v>
      </c>
      <c r="AM5" s="141" t="s">
        <v>354</v>
      </c>
      <c r="AN5" s="141" t="s">
        <v>365</v>
      </c>
      <c r="AO5" s="141" t="s">
        <v>363</v>
      </c>
      <c r="AP5" s="141" t="s">
        <v>366</v>
      </c>
      <c r="AQ5" s="141" t="s">
        <v>367</v>
      </c>
      <c r="AR5" s="141" t="s">
        <v>368</v>
      </c>
      <c r="AS5" s="141" t="s">
        <v>358</v>
      </c>
      <c r="AT5" s="141"/>
      <c r="AU5" s="141" t="s">
        <v>406</v>
      </c>
      <c r="AV5" s="141" t="s">
        <v>370</v>
      </c>
      <c r="AW5" s="141" t="s">
        <v>410</v>
      </c>
      <c r="AX5" s="141" t="s">
        <v>372</v>
      </c>
      <c r="AY5" s="141" t="s">
        <v>411</v>
      </c>
      <c r="AZ5" s="141" t="s">
        <v>374</v>
      </c>
      <c r="BA5" s="141" t="s">
        <v>412</v>
      </c>
      <c r="BB5" s="141" t="s">
        <v>376</v>
      </c>
      <c r="BC5" s="141" t="s">
        <v>413</v>
      </c>
      <c r="BD5" s="141" t="s">
        <v>378</v>
      </c>
      <c r="BE5" s="141" t="s">
        <v>414</v>
      </c>
      <c r="BF5" s="141" t="s">
        <v>380</v>
      </c>
      <c r="BG5" s="141" t="s">
        <v>415</v>
      </c>
      <c r="BH5" s="141" t="s">
        <v>382</v>
      </c>
      <c r="BI5" s="141" t="s">
        <v>416</v>
      </c>
      <c r="BJ5" s="141"/>
      <c r="BK5" s="141"/>
      <c r="BL5" s="141"/>
      <c r="BM5" s="141"/>
      <c r="BN5" s="141"/>
      <c r="BO5" s="141"/>
      <c r="BP5" s="141"/>
      <c r="BQ5" s="141"/>
      <c r="BR5" s="141"/>
      <c r="BS5" s="141"/>
      <c r="BT5" s="141"/>
      <c r="BU5" s="141"/>
      <c r="BV5" s="141"/>
      <c r="BW5" s="141"/>
      <c r="BX5" s="141"/>
      <c r="BY5" s="141"/>
      <c r="BZ5" s="141"/>
      <c r="CA5" s="141"/>
      <c r="CB5" s="141"/>
      <c r="CC5" s="141"/>
      <c r="CD5" s="141"/>
      <c r="CE5" s="141"/>
      <c r="CF5" s="141"/>
      <c r="CG5" s="141"/>
      <c r="CH5" s="141"/>
      <c r="CI5" s="141"/>
      <c r="CJ5" s="141"/>
      <c r="CK5" s="141"/>
      <c r="CL5" s="141"/>
      <c r="CM5" s="141"/>
      <c r="CN5" s="141"/>
      <c r="CO5" s="141"/>
      <c r="CP5" s="141"/>
      <c r="CQ5" s="141"/>
      <c r="CR5" s="141"/>
      <c r="CS5" s="141"/>
      <c r="CT5" s="141"/>
      <c r="CU5" s="141"/>
      <c r="CV5" s="141"/>
      <c r="CW5" s="141"/>
      <c r="CX5" s="141"/>
      <c r="CY5" s="141"/>
      <c r="CZ5" s="141"/>
      <c r="DA5" s="173"/>
    </row>
    <row r="6" spans="2:105" x14ac:dyDescent="0.25">
      <c r="B6" s="172"/>
      <c r="C6" s="141" t="s">
        <v>417</v>
      </c>
      <c r="D6" s="141" t="s">
        <v>418</v>
      </c>
      <c r="E6" s="141" t="s">
        <v>419</v>
      </c>
      <c r="F6" s="141" t="s">
        <v>420</v>
      </c>
      <c r="G6" s="141"/>
      <c r="H6" s="141" t="s">
        <v>353</v>
      </c>
      <c r="I6" s="141"/>
      <c r="J6" s="141" t="s">
        <v>354</v>
      </c>
      <c r="K6" s="141" t="s">
        <v>421</v>
      </c>
      <c r="L6" s="141" t="s">
        <v>422</v>
      </c>
      <c r="M6" s="141" t="s">
        <v>423</v>
      </c>
      <c r="N6" s="141" t="s">
        <v>354</v>
      </c>
      <c r="O6" s="141" t="s">
        <v>393</v>
      </c>
      <c r="P6" s="141" t="s">
        <v>424</v>
      </c>
      <c r="Q6" s="141" t="s">
        <v>425</v>
      </c>
      <c r="R6" s="141" t="s">
        <v>361</v>
      </c>
      <c r="S6" s="141" t="s">
        <v>362</v>
      </c>
      <c r="T6" s="141" t="s">
        <v>363</v>
      </c>
      <c r="U6" s="141" t="s">
        <v>363</v>
      </c>
      <c r="V6" s="141"/>
      <c r="W6" s="141"/>
      <c r="X6" s="141"/>
      <c r="Y6" s="141"/>
      <c r="Z6" s="141"/>
      <c r="AA6" s="141"/>
      <c r="AB6" s="141"/>
      <c r="AC6" s="141"/>
      <c r="AD6" s="141"/>
      <c r="AE6" s="141"/>
      <c r="AF6" s="141"/>
      <c r="AG6" s="141"/>
      <c r="AH6" s="141"/>
      <c r="AI6" s="141"/>
      <c r="AJ6" s="141"/>
      <c r="AK6" s="141" t="s">
        <v>354</v>
      </c>
      <c r="AL6" s="141" t="s">
        <v>364</v>
      </c>
      <c r="AM6" s="141" t="s">
        <v>354</v>
      </c>
      <c r="AN6" s="141" t="s">
        <v>365</v>
      </c>
      <c r="AO6" s="141" t="s">
        <v>363</v>
      </c>
      <c r="AP6" s="141" t="s">
        <v>366</v>
      </c>
      <c r="AQ6" s="141" t="s">
        <v>367</v>
      </c>
      <c r="AR6" s="141" t="s">
        <v>368</v>
      </c>
      <c r="AS6" s="141" t="s">
        <v>426</v>
      </c>
      <c r="AT6" s="141"/>
      <c r="AU6" s="141" t="s">
        <v>422</v>
      </c>
      <c r="AV6" s="141" t="s">
        <v>370</v>
      </c>
      <c r="AW6" s="141" t="s">
        <v>427</v>
      </c>
      <c r="AX6" s="141" t="s">
        <v>372</v>
      </c>
      <c r="AY6" s="141" t="s">
        <v>428</v>
      </c>
      <c r="AZ6" s="141" t="s">
        <v>374</v>
      </c>
      <c r="BA6" s="141" t="s">
        <v>429</v>
      </c>
      <c r="BB6" s="141" t="s">
        <v>376</v>
      </c>
      <c r="BC6" s="141" t="s">
        <v>430</v>
      </c>
      <c r="BD6" s="141" t="s">
        <v>378</v>
      </c>
      <c r="BE6" s="141" t="s">
        <v>431</v>
      </c>
      <c r="BF6" s="141" t="s">
        <v>380</v>
      </c>
      <c r="BG6" s="141" t="s">
        <v>432</v>
      </c>
      <c r="BH6" s="141" t="s">
        <v>382</v>
      </c>
      <c r="BI6" s="141" t="s">
        <v>433</v>
      </c>
      <c r="BJ6" s="141"/>
      <c r="BK6" s="141"/>
      <c r="BL6" s="141"/>
      <c r="BM6" s="141"/>
      <c r="BN6" s="141"/>
      <c r="BO6" s="141"/>
      <c r="BP6" s="141"/>
      <c r="BQ6" s="141"/>
      <c r="BR6" s="141"/>
      <c r="BS6" s="141"/>
      <c r="BT6" s="141"/>
      <c r="BU6" s="141"/>
      <c r="BV6" s="141"/>
      <c r="BW6" s="141"/>
      <c r="BX6" s="141"/>
      <c r="BY6" s="141"/>
      <c r="BZ6" s="141"/>
      <c r="CA6" s="141"/>
      <c r="CB6" s="141"/>
      <c r="CC6" s="141"/>
      <c r="CD6" s="141"/>
      <c r="CE6" s="141"/>
      <c r="CF6" s="141"/>
      <c r="CG6" s="141"/>
      <c r="CH6" s="141"/>
      <c r="CI6" s="141"/>
      <c r="CJ6" s="141"/>
      <c r="CK6" s="141"/>
      <c r="CL6" s="141"/>
      <c r="CM6" s="141"/>
      <c r="CN6" s="141"/>
      <c r="CO6" s="141"/>
      <c r="CP6" s="141"/>
      <c r="CQ6" s="141"/>
      <c r="CR6" s="141"/>
      <c r="CS6" s="141"/>
      <c r="CT6" s="141"/>
      <c r="CU6" s="141"/>
      <c r="CV6" s="141"/>
      <c r="CW6" s="141"/>
      <c r="CX6" s="141"/>
      <c r="CY6" s="141"/>
      <c r="CZ6" s="141"/>
      <c r="DA6" s="173"/>
    </row>
    <row r="7" spans="2:105" x14ac:dyDescent="0.25">
      <c r="B7" s="172"/>
      <c r="C7" s="141" t="s">
        <v>434</v>
      </c>
      <c r="D7" s="141" t="s">
        <v>435</v>
      </c>
      <c r="E7" s="141" t="s">
        <v>436</v>
      </c>
      <c r="F7" s="141" t="s">
        <v>437</v>
      </c>
      <c r="G7" s="141"/>
      <c r="H7" s="141" t="s">
        <v>353</v>
      </c>
      <c r="I7" s="141"/>
      <c r="J7" s="141" t="s">
        <v>354</v>
      </c>
      <c r="K7" s="141" t="s">
        <v>438</v>
      </c>
      <c r="L7" s="141" t="s">
        <v>439</v>
      </c>
      <c r="M7" s="141" t="s">
        <v>440</v>
      </c>
      <c r="N7" s="141" t="s">
        <v>354</v>
      </c>
      <c r="O7" s="141" t="s">
        <v>358</v>
      </c>
      <c r="P7" s="141" t="s">
        <v>359</v>
      </c>
      <c r="Q7" s="141" t="s">
        <v>360</v>
      </c>
      <c r="R7" s="141" t="s">
        <v>361</v>
      </c>
      <c r="S7" s="141" t="s">
        <v>362</v>
      </c>
      <c r="T7" s="141" t="s">
        <v>363</v>
      </c>
      <c r="U7" s="141" t="s">
        <v>363</v>
      </c>
      <c r="V7" s="141"/>
      <c r="W7" s="141"/>
      <c r="X7" s="141"/>
      <c r="Y7" s="141"/>
      <c r="Z7" s="141"/>
      <c r="AA7" s="141"/>
      <c r="AB7" s="141"/>
      <c r="AC7" s="141"/>
      <c r="AD7" s="141"/>
      <c r="AE7" s="141"/>
      <c r="AF7" s="141"/>
      <c r="AG7" s="141"/>
      <c r="AH7" s="141"/>
      <c r="AI7" s="141"/>
      <c r="AJ7" s="141"/>
      <c r="AK7" s="141" t="s">
        <v>354</v>
      </c>
      <c r="AL7" s="141" t="s">
        <v>364</v>
      </c>
      <c r="AM7" s="141" t="s">
        <v>354</v>
      </c>
      <c r="AN7" s="141" t="s">
        <v>365</v>
      </c>
      <c r="AO7" s="141" t="s">
        <v>363</v>
      </c>
      <c r="AP7" s="141" t="s">
        <v>366</v>
      </c>
      <c r="AQ7" s="141" t="s">
        <v>367</v>
      </c>
      <c r="AR7" s="141" t="s">
        <v>368</v>
      </c>
      <c r="AS7" s="141" t="s">
        <v>441</v>
      </c>
      <c r="AT7" s="141"/>
      <c r="AU7" s="141" t="s">
        <v>439</v>
      </c>
      <c r="AV7" s="141" t="s">
        <v>370</v>
      </c>
      <c r="AW7" s="141" t="s">
        <v>442</v>
      </c>
      <c r="AX7" s="141" t="s">
        <v>372</v>
      </c>
      <c r="AY7" s="141" t="s">
        <v>443</v>
      </c>
      <c r="AZ7" s="141" t="s">
        <v>374</v>
      </c>
      <c r="BA7" s="141" t="s">
        <v>444</v>
      </c>
      <c r="BB7" s="141" t="s">
        <v>376</v>
      </c>
      <c r="BC7" s="141" t="s">
        <v>445</v>
      </c>
      <c r="BD7" s="141" t="s">
        <v>378</v>
      </c>
      <c r="BE7" s="141" t="s">
        <v>446</v>
      </c>
      <c r="BF7" s="141" t="s">
        <v>380</v>
      </c>
      <c r="BG7" s="141" t="s">
        <v>447</v>
      </c>
      <c r="BH7" s="141" t="s">
        <v>382</v>
      </c>
      <c r="BI7" s="141" t="s">
        <v>448</v>
      </c>
      <c r="BJ7" s="141"/>
      <c r="BK7" s="141"/>
      <c r="BL7" s="141"/>
      <c r="BM7" s="141"/>
      <c r="BN7" s="141"/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1"/>
      <c r="CC7" s="141"/>
      <c r="CD7" s="141"/>
      <c r="CE7" s="141"/>
      <c r="CF7" s="141"/>
      <c r="CG7" s="141"/>
      <c r="CH7" s="141"/>
      <c r="CI7" s="141"/>
      <c r="CJ7" s="141"/>
      <c r="CK7" s="141"/>
      <c r="CL7" s="141"/>
      <c r="CM7" s="141"/>
      <c r="CN7" s="141"/>
      <c r="CO7" s="141"/>
      <c r="CP7" s="141"/>
      <c r="CQ7" s="141"/>
      <c r="CR7" s="141"/>
      <c r="CS7" s="141"/>
      <c r="CT7" s="141"/>
      <c r="CU7" s="141"/>
      <c r="CV7" s="141"/>
      <c r="CW7" s="141"/>
      <c r="CX7" s="141"/>
      <c r="CY7" s="141"/>
      <c r="CZ7" s="141"/>
      <c r="DA7" s="173"/>
    </row>
    <row r="8" spans="2:105" x14ac:dyDescent="0.25">
      <c r="B8" s="172"/>
      <c r="C8" s="141" t="s">
        <v>449</v>
      </c>
      <c r="D8" s="141" t="s">
        <v>450</v>
      </c>
      <c r="E8" s="141" t="s">
        <v>451</v>
      </c>
      <c r="F8" s="141" t="s">
        <v>452</v>
      </c>
      <c r="G8" s="141"/>
      <c r="H8" s="141" t="s">
        <v>353</v>
      </c>
      <c r="I8" s="141"/>
      <c r="J8" s="141" t="s">
        <v>354</v>
      </c>
      <c r="K8" s="141" t="s">
        <v>453</v>
      </c>
      <c r="L8" s="141"/>
      <c r="M8" s="141"/>
      <c r="N8" s="141" t="s">
        <v>393</v>
      </c>
      <c r="O8" s="141" t="s">
        <v>426</v>
      </c>
      <c r="P8" s="141" t="s">
        <v>454</v>
      </c>
      <c r="Q8" s="141" t="s">
        <v>455</v>
      </c>
      <c r="R8" s="141" t="s">
        <v>361</v>
      </c>
      <c r="S8" s="141" t="s">
        <v>362</v>
      </c>
      <c r="T8" s="141" t="s">
        <v>363</v>
      </c>
      <c r="U8" s="141" t="s">
        <v>363</v>
      </c>
      <c r="V8" s="141"/>
      <c r="W8" s="141"/>
      <c r="X8" s="141"/>
      <c r="Y8" s="141"/>
      <c r="Z8" s="141"/>
      <c r="AA8" s="141"/>
      <c r="AB8" s="141"/>
      <c r="AC8" s="141"/>
      <c r="AD8" s="141"/>
      <c r="AE8" s="141"/>
      <c r="AF8" s="141"/>
      <c r="AG8" s="141"/>
      <c r="AH8" s="141"/>
      <c r="AI8" s="141"/>
      <c r="AJ8" s="141"/>
      <c r="AK8" s="141" t="s">
        <v>354</v>
      </c>
      <c r="AL8" s="141" t="s">
        <v>364</v>
      </c>
      <c r="AM8" s="141" t="s">
        <v>354</v>
      </c>
      <c r="AN8" s="141" t="s">
        <v>365</v>
      </c>
      <c r="AO8" s="141" t="s">
        <v>363</v>
      </c>
      <c r="AP8" s="141" t="s">
        <v>366</v>
      </c>
      <c r="AQ8" s="141" t="s">
        <v>367</v>
      </c>
      <c r="AR8" s="141" t="s">
        <v>368</v>
      </c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/>
      <c r="CB8" s="141"/>
      <c r="CC8" s="141"/>
      <c r="CD8" s="141"/>
      <c r="CE8" s="141"/>
      <c r="CF8" s="141"/>
      <c r="CG8" s="141"/>
      <c r="CH8" s="141"/>
      <c r="CI8" s="141"/>
      <c r="CJ8" s="141"/>
      <c r="CK8" s="141"/>
      <c r="CL8" s="141"/>
      <c r="CM8" s="141"/>
      <c r="CN8" s="141"/>
      <c r="CO8" s="141"/>
      <c r="CP8" s="141"/>
      <c r="CQ8" s="141"/>
      <c r="CR8" s="141"/>
      <c r="CS8" s="141"/>
      <c r="CT8" s="141"/>
      <c r="CU8" s="141"/>
      <c r="CV8" s="141"/>
      <c r="CW8" s="141"/>
      <c r="CX8" s="141"/>
      <c r="CY8" s="141"/>
      <c r="CZ8" s="141"/>
      <c r="DA8" s="173"/>
    </row>
    <row r="9" spans="2:105" x14ac:dyDescent="0.25">
      <c r="B9" s="172"/>
      <c r="C9" s="141" t="s">
        <v>456</v>
      </c>
      <c r="D9" s="141" t="s">
        <v>457</v>
      </c>
      <c r="E9" s="141" t="s">
        <v>458</v>
      </c>
      <c r="F9" s="141" t="s">
        <v>352</v>
      </c>
      <c r="G9" s="141"/>
      <c r="H9" s="141" t="s">
        <v>353</v>
      </c>
      <c r="I9" s="141"/>
      <c r="J9" s="141" t="s">
        <v>354</v>
      </c>
      <c r="K9" s="141" t="s">
        <v>459</v>
      </c>
      <c r="L9" s="141"/>
      <c r="M9" s="141"/>
      <c r="N9" s="141" t="s">
        <v>369</v>
      </c>
      <c r="O9" s="141" t="s">
        <v>358</v>
      </c>
      <c r="P9" s="141" t="s">
        <v>359</v>
      </c>
      <c r="Q9" s="141" t="s">
        <v>360</v>
      </c>
      <c r="R9" s="141" t="s">
        <v>361</v>
      </c>
      <c r="S9" s="141" t="s">
        <v>362</v>
      </c>
      <c r="T9" s="141" t="s">
        <v>363</v>
      </c>
      <c r="U9" s="141" t="s">
        <v>363</v>
      </c>
      <c r="V9" s="141"/>
      <c r="W9" s="141"/>
      <c r="X9" s="141"/>
      <c r="Y9" s="141"/>
      <c r="Z9" s="141"/>
      <c r="AA9" s="141"/>
      <c r="AB9" s="141"/>
      <c r="AC9" s="141"/>
      <c r="AD9" s="141"/>
      <c r="AE9" s="141"/>
      <c r="AF9" s="141"/>
      <c r="AG9" s="141"/>
      <c r="AH9" s="141"/>
      <c r="AI9" s="141"/>
      <c r="AJ9" s="141"/>
      <c r="AK9" s="141" t="s">
        <v>354</v>
      </c>
      <c r="AL9" s="141" t="s">
        <v>364</v>
      </c>
      <c r="AM9" s="141" t="s">
        <v>354</v>
      </c>
      <c r="AN9" s="141" t="s">
        <v>365</v>
      </c>
      <c r="AO9" s="141" t="s">
        <v>363</v>
      </c>
      <c r="AP9" s="141" t="s">
        <v>366</v>
      </c>
      <c r="AQ9" s="141" t="s">
        <v>367</v>
      </c>
      <c r="AR9" s="141" t="s">
        <v>368</v>
      </c>
      <c r="AS9" s="141"/>
      <c r="AT9" s="141"/>
      <c r="AU9" s="141"/>
      <c r="AV9" s="141"/>
      <c r="AW9" s="141"/>
      <c r="AX9" s="141"/>
      <c r="AY9" s="141"/>
      <c r="AZ9" s="141"/>
      <c r="BA9" s="141"/>
      <c r="BB9" s="141"/>
      <c r="BC9" s="141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1"/>
      <c r="CJ9" s="141"/>
      <c r="CK9" s="141"/>
      <c r="CL9" s="141"/>
      <c r="CM9" s="141"/>
      <c r="CN9" s="141"/>
      <c r="CO9" s="141"/>
      <c r="CP9" s="141"/>
      <c r="CQ9" s="141"/>
      <c r="CR9" s="141"/>
      <c r="CS9" s="141"/>
      <c r="CT9" s="141"/>
      <c r="CU9" s="141"/>
      <c r="CV9" s="141"/>
      <c r="CW9" s="141"/>
      <c r="CX9" s="141"/>
      <c r="CY9" s="141"/>
      <c r="CZ9" s="141"/>
      <c r="DA9" s="173"/>
    </row>
    <row r="10" spans="2:105" x14ac:dyDescent="0.25">
      <c r="B10" s="172"/>
      <c r="C10" s="141" t="s">
        <v>460</v>
      </c>
      <c r="D10" s="141" t="s">
        <v>461</v>
      </c>
      <c r="E10" s="141" t="s">
        <v>462</v>
      </c>
      <c r="F10" s="141" t="s">
        <v>463</v>
      </c>
      <c r="G10" s="141"/>
      <c r="H10" s="141" t="s">
        <v>353</v>
      </c>
      <c r="I10" s="141"/>
      <c r="J10" s="141" t="s">
        <v>354</v>
      </c>
      <c r="K10" s="141" t="s">
        <v>464</v>
      </c>
      <c r="L10" s="141"/>
      <c r="M10" s="141"/>
      <c r="N10" s="141" t="s">
        <v>369</v>
      </c>
      <c r="O10" s="141" t="s">
        <v>393</v>
      </c>
      <c r="P10" s="141" t="s">
        <v>424</v>
      </c>
      <c r="Q10" s="141" t="s">
        <v>425</v>
      </c>
      <c r="R10" s="141" t="s">
        <v>361</v>
      </c>
      <c r="S10" s="141" t="s">
        <v>362</v>
      </c>
      <c r="T10" s="141" t="s">
        <v>363</v>
      </c>
      <c r="U10" s="141" t="s">
        <v>363</v>
      </c>
      <c r="V10" s="141"/>
      <c r="W10" s="141"/>
      <c r="X10" s="141"/>
      <c r="Y10" s="141"/>
      <c r="Z10" s="141"/>
      <c r="AA10" s="141"/>
      <c r="AB10" s="141"/>
      <c r="AC10" s="141"/>
      <c r="AD10" s="141"/>
      <c r="AE10" s="141"/>
      <c r="AF10" s="141"/>
      <c r="AG10" s="141"/>
      <c r="AH10" s="141"/>
      <c r="AI10" s="141"/>
      <c r="AJ10" s="141"/>
      <c r="AK10" s="141" t="s">
        <v>354</v>
      </c>
      <c r="AL10" s="141" t="s">
        <v>364</v>
      </c>
      <c r="AM10" s="141" t="s">
        <v>354</v>
      </c>
      <c r="AN10" s="141" t="s">
        <v>365</v>
      </c>
      <c r="AO10" s="141" t="s">
        <v>363</v>
      </c>
      <c r="AP10" s="141" t="s">
        <v>366</v>
      </c>
      <c r="AQ10" s="141" t="s">
        <v>367</v>
      </c>
      <c r="AR10" s="141" t="s">
        <v>368</v>
      </c>
      <c r="AS10" s="141"/>
      <c r="AT10" s="141"/>
      <c r="AU10" s="141"/>
      <c r="AV10" s="141"/>
      <c r="AW10" s="141"/>
      <c r="AX10" s="141"/>
      <c r="AY10" s="141"/>
      <c r="AZ10" s="141"/>
      <c r="BA10" s="141"/>
      <c r="BB10" s="141"/>
      <c r="BC10" s="141"/>
      <c r="BD10" s="141"/>
      <c r="BE10" s="141"/>
      <c r="BF10" s="141"/>
      <c r="BG10" s="141"/>
      <c r="BH10" s="141"/>
      <c r="BI10" s="141"/>
      <c r="BJ10" s="141"/>
      <c r="BK10" s="141"/>
      <c r="BL10" s="141"/>
      <c r="BM10" s="141"/>
      <c r="BN10" s="141"/>
      <c r="BO10" s="141"/>
      <c r="BP10" s="141"/>
      <c r="BQ10" s="141"/>
      <c r="BR10" s="141"/>
      <c r="BS10" s="141"/>
      <c r="BT10" s="141"/>
      <c r="BU10" s="141"/>
      <c r="BV10" s="141"/>
      <c r="BW10" s="141"/>
      <c r="BX10" s="141"/>
      <c r="BY10" s="141"/>
      <c r="BZ10" s="141"/>
      <c r="CA10" s="141"/>
      <c r="CB10" s="141"/>
      <c r="CC10" s="141"/>
      <c r="CD10" s="141"/>
      <c r="CE10" s="141"/>
      <c r="CF10" s="141"/>
      <c r="CG10" s="141"/>
      <c r="CH10" s="141"/>
      <c r="CI10" s="141"/>
      <c r="CJ10" s="141"/>
      <c r="CK10" s="141"/>
      <c r="CL10" s="141"/>
      <c r="CM10" s="141"/>
      <c r="CN10" s="141"/>
      <c r="CO10" s="141"/>
      <c r="CP10" s="141"/>
      <c r="CQ10" s="141"/>
      <c r="CR10" s="141"/>
      <c r="CS10" s="141"/>
      <c r="CT10" s="141"/>
      <c r="CU10" s="141"/>
      <c r="CV10" s="141"/>
      <c r="CW10" s="141"/>
      <c r="CX10" s="141"/>
      <c r="CY10" s="141"/>
      <c r="CZ10" s="141"/>
      <c r="DA10" s="173"/>
    </row>
    <row r="11" spans="2:105" x14ac:dyDescent="0.25">
      <c r="B11" s="172"/>
      <c r="C11" s="141"/>
      <c r="D11" s="141" t="s">
        <v>465</v>
      </c>
      <c r="E11" s="141"/>
      <c r="F11" s="141" t="s">
        <v>466</v>
      </c>
      <c r="G11" s="141"/>
      <c r="H11" s="141" t="s">
        <v>353</v>
      </c>
      <c r="I11" s="141"/>
      <c r="J11" s="141" t="s">
        <v>354</v>
      </c>
      <c r="K11" s="141" t="s">
        <v>467</v>
      </c>
      <c r="L11" s="141"/>
      <c r="M11" s="141"/>
      <c r="N11" s="141" t="s">
        <v>354</v>
      </c>
      <c r="O11" s="141"/>
      <c r="P11" s="141"/>
      <c r="Q11" s="141"/>
      <c r="R11" s="141"/>
      <c r="S11" s="141" t="s">
        <v>362</v>
      </c>
      <c r="T11" s="141" t="s">
        <v>363</v>
      </c>
      <c r="U11" s="141" t="s">
        <v>363</v>
      </c>
      <c r="V11" s="141"/>
      <c r="W11" s="141"/>
      <c r="X11" s="141"/>
      <c r="Y11" s="141"/>
      <c r="Z11" s="141"/>
      <c r="AA11" s="141"/>
      <c r="AB11" s="141"/>
      <c r="AC11" s="141"/>
      <c r="AD11" s="141"/>
      <c r="AE11" s="141"/>
      <c r="AF11" s="141"/>
      <c r="AG11" s="141"/>
      <c r="AH11" s="141"/>
      <c r="AI11" s="141"/>
      <c r="AJ11" s="141"/>
      <c r="AK11" s="141" t="s">
        <v>354</v>
      </c>
      <c r="AL11" s="141" t="s">
        <v>364</v>
      </c>
      <c r="AM11" s="141" t="s">
        <v>354</v>
      </c>
      <c r="AN11" s="141" t="s">
        <v>365</v>
      </c>
      <c r="AO11" s="141" t="s">
        <v>363</v>
      </c>
      <c r="AP11" s="141" t="s">
        <v>366</v>
      </c>
      <c r="AQ11" s="141" t="s">
        <v>367</v>
      </c>
      <c r="AR11" s="141" t="s">
        <v>368</v>
      </c>
      <c r="AS11" s="141"/>
      <c r="AT11" s="141"/>
      <c r="AU11" s="141"/>
      <c r="AV11" s="141"/>
      <c r="AW11" s="141"/>
      <c r="AX11" s="141"/>
      <c r="AY11" s="141"/>
      <c r="AZ11" s="141"/>
      <c r="BA11" s="141"/>
      <c r="BB11" s="141"/>
      <c r="BC11" s="141"/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41"/>
      <c r="BQ11" s="141"/>
      <c r="BR11" s="141"/>
      <c r="BS11" s="141"/>
      <c r="BT11" s="141"/>
      <c r="BU11" s="141"/>
      <c r="BV11" s="141"/>
      <c r="BW11" s="141"/>
      <c r="BX11" s="141"/>
      <c r="BY11" s="141"/>
      <c r="BZ11" s="141"/>
      <c r="CA11" s="141"/>
      <c r="CB11" s="141"/>
      <c r="CC11" s="141"/>
      <c r="CD11" s="141"/>
      <c r="CE11" s="141"/>
      <c r="CF11" s="141"/>
      <c r="CG11" s="141"/>
      <c r="CH11" s="141"/>
      <c r="CI11" s="141"/>
      <c r="CJ11" s="141"/>
      <c r="CK11" s="141"/>
      <c r="CL11" s="141"/>
      <c r="CM11" s="141"/>
      <c r="CN11" s="141"/>
      <c r="CO11" s="141"/>
      <c r="CP11" s="141"/>
      <c r="CQ11" s="141"/>
      <c r="CR11" s="141"/>
      <c r="CS11" s="141"/>
      <c r="CT11" s="141"/>
      <c r="CU11" s="141"/>
      <c r="CV11" s="141"/>
      <c r="CW11" s="141"/>
      <c r="CX11" s="141"/>
      <c r="CY11" s="141"/>
      <c r="CZ11" s="141"/>
      <c r="DA11" s="173"/>
    </row>
    <row r="12" spans="2:105" x14ac:dyDescent="0.25">
      <c r="B12" s="172"/>
      <c r="C12" s="141" t="s">
        <v>468</v>
      </c>
      <c r="D12" s="141" t="s">
        <v>469</v>
      </c>
      <c r="E12" s="141" t="s">
        <v>470</v>
      </c>
      <c r="F12" s="141" t="s">
        <v>471</v>
      </c>
      <c r="G12" s="141"/>
      <c r="H12" s="141" t="s">
        <v>353</v>
      </c>
      <c r="I12" s="141"/>
      <c r="J12" s="141" t="s">
        <v>354</v>
      </c>
      <c r="K12" s="141" t="s">
        <v>472</v>
      </c>
      <c r="L12" s="141"/>
      <c r="M12" s="141"/>
      <c r="N12" s="141" t="s">
        <v>393</v>
      </c>
      <c r="O12" s="141" t="s">
        <v>408</v>
      </c>
      <c r="P12" s="141" t="s">
        <v>409</v>
      </c>
      <c r="Q12" s="141" t="s">
        <v>409</v>
      </c>
      <c r="R12" s="141" t="s">
        <v>361</v>
      </c>
      <c r="S12" s="141" t="s">
        <v>362</v>
      </c>
      <c r="T12" s="141" t="s">
        <v>363</v>
      </c>
      <c r="U12" s="141" t="s">
        <v>363</v>
      </c>
      <c r="V12" s="141"/>
      <c r="W12" s="141"/>
      <c r="X12" s="141"/>
      <c r="Y12" s="141"/>
      <c r="Z12" s="141"/>
      <c r="AA12" s="141"/>
      <c r="AB12" s="141"/>
      <c r="AC12" s="141"/>
      <c r="AD12" s="141"/>
      <c r="AE12" s="141"/>
      <c r="AF12" s="141"/>
      <c r="AG12" s="141"/>
      <c r="AH12" s="141"/>
      <c r="AI12" s="141"/>
      <c r="AJ12" s="141"/>
      <c r="AK12" s="141" t="s">
        <v>354</v>
      </c>
      <c r="AL12" s="141" t="s">
        <v>364</v>
      </c>
      <c r="AM12" s="141" t="s">
        <v>354</v>
      </c>
      <c r="AN12" s="141" t="s">
        <v>365</v>
      </c>
      <c r="AO12" s="141" t="s">
        <v>363</v>
      </c>
      <c r="AP12" s="141" t="s">
        <v>366</v>
      </c>
      <c r="AQ12" s="141" t="s">
        <v>367</v>
      </c>
      <c r="AR12" s="141" t="s">
        <v>368</v>
      </c>
      <c r="AS12" s="141"/>
      <c r="AT12" s="141"/>
      <c r="AU12" s="141"/>
      <c r="AV12" s="141"/>
      <c r="AW12" s="141"/>
      <c r="AX12" s="141"/>
      <c r="AY12" s="141"/>
      <c r="AZ12" s="141"/>
      <c r="BA12" s="141"/>
      <c r="BB12" s="141"/>
      <c r="BC12" s="141"/>
      <c r="BD12" s="141"/>
      <c r="BE12" s="141"/>
      <c r="BF12" s="141"/>
      <c r="BG12" s="141"/>
      <c r="BH12" s="141"/>
      <c r="BI12" s="141"/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/>
      <c r="BU12" s="141"/>
      <c r="BV12" s="141"/>
      <c r="BW12" s="141"/>
      <c r="BX12" s="141"/>
      <c r="BY12" s="141"/>
      <c r="BZ12" s="141"/>
      <c r="CA12" s="141"/>
      <c r="CB12" s="141"/>
      <c r="CC12" s="141"/>
      <c r="CD12" s="141"/>
      <c r="CE12" s="141"/>
      <c r="CF12" s="141"/>
      <c r="CG12" s="141"/>
      <c r="CH12" s="141"/>
      <c r="CI12" s="141"/>
      <c r="CJ12" s="141"/>
      <c r="CK12" s="141"/>
      <c r="CL12" s="141"/>
      <c r="CM12" s="141"/>
      <c r="CN12" s="141"/>
      <c r="CO12" s="141"/>
      <c r="CP12" s="141"/>
      <c r="CQ12" s="141"/>
      <c r="CR12" s="141"/>
      <c r="CS12" s="141"/>
      <c r="CT12" s="141"/>
      <c r="CU12" s="141"/>
      <c r="CV12" s="141"/>
      <c r="CW12" s="141"/>
      <c r="CX12" s="141"/>
      <c r="CY12" s="141"/>
      <c r="CZ12" s="141"/>
      <c r="DA12" s="173"/>
    </row>
    <row r="13" spans="2:105" x14ac:dyDescent="0.25">
      <c r="B13" s="172"/>
      <c r="C13" s="141"/>
      <c r="D13" s="141" t="s">
        <v>473</v>
      </c>
      <c r="E13" s="141" t="s">
        <v>474</v>
      </c>
      <c r="F13" s="141" t="s">
        <v>475</v>
      </c>
      <c r="G13" s="141"/>
      <c r="H13" s="141" t="s">
        <v>353</v>
      </c>
      <c r="I13" s="141"/>
      <c r="J13" s="141" t="s">
        <v>354</v>
      </c>
      <c r="K13" s="141" t="s">
        <v>476</v>
      </c>
      <c r="L13" s="141"/>
      <c r="M13" s="141"/>
      <c r="N13" s="141" t="s">
        <v>369</v>
      </c>
      <c r="O13" s="141" t="s">
        <v>441</v>
      </c>
      <c r="P13" s="141" t="s">
        <v>477</v>
      </c>
      <c r="Q13" s="141" t="s">
        <v>478</v>
      </c>
      <c r="R13" s="141" t="s">
        <v>361</v>
      </c>
      <c r="S13" s="141" t="s">
        <v>362</v>
      </c>
      <c r="T13" s="141" t="s">
        <v>363</v>
      </c>
      <c r="U13" s="141" t="s">
        <v>363</v>
      </c>
      <c r="V13" s="141"/>
      <c r="W13" s="141"/>
      <c r="X13" s="141"/>
      <c r="Y13" s="141"/>
      <c r="Z13" s="141"/>
      <c r="AA13" s="141"/>
      <c r="AB13" s="141"/>
      <c r="AC13" s="141"/>
      <c r="AD13" s="141"/>
      <c r="AE13" s="141"/>
      <c r="AF13" s="141"/>
      <c r="AG13" s="141"/>
      <c r="AH13" s="141"/>
      <c r="AI13" s="141"/>
      <c r="AJ13" s="141"/>
      <c r="AK13" s="141" t="s">
        <v>354</v>
      </c>
      <c r="AL13" s="141" t="s">
        <v>364</v>
      </c>
      <c r="AM13" s="141" t="s">
        <v>354</v>
      </c>
      <c r="AN13" s="141" t="s">
        <v>365</v>
      </c>
      <c r="AO13" s="141" t="s">
        <v>363</v>
      </c>
      <c r="AP13" s="141" t="s">
        <v>366</v>
      </c>
      <c r="AQ13" s="141" t="s">
        <v>367</v>
      </c>
      <c r="AR13" s="141" t="s">
        <v>368</v>
      </c>
      <c r="AS13" s="141"/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/>
      <c r="BV13" s="141"/>
      <c r="BW13" s="141"/>
      <c r="BX13" s="141"/>
      <c r="BY13" s="141"/>
      <c r="BZ13" s="141"/>
      <c r="CA13" s="141"/>
      <c r="CB13" s="141"/>
      <c r="CC13" s="141"/>
      <c r="CD13" s="141"/>
      <c r="CE13" s="141"/>
      <c r="CF13" s="141"/>
      <c r="CG13" s="141"/>
      <c r="CH13" s="141"/>
      <c r="CI13" s="141"/>
      <c r="CJ13" s="141"/>
      <c r="CK13" s="141"/>
      <c r="CL13" s="141"/>
      <c r="CM13" s="141"/>
      <c r="CN13" s="141"/>
      <c r="CO13" s="141"/>
      <c r="CP13" s="141"/>
      <c r="CQ13" s="141"/>
      <c r="CR13" s="141"/>
      <c r="CS13" s="141"/>
      <c r="CT13" s="141"/>
      <c r="CU13" s="141"/>
      <c r="CV13" s="141"/>
      <c r="CW13" s="141"/>
      <c r="CX13" s="141"/>
      <c r="CY13" s="141"/>
      <c r="CZ13" s="141"/>
      <c r="DA13" s="173"/>
    </row>
    <row r="14" spans="2:105" x14ac:dyDescent="0.25">
      <c r="B14" s="172"/>
      <c r="C14" s="141" t="s">
        <v>479</v>
      </c>
      <c r="D14" s="141" t="s">
        <v>480</v>
      </c>
      <c r="E14" s="141" t="s">
        <v>481</v>
      </c>
      <c r="F14" s="141" t="s">
        <v>420</v>
      </c>
      <c r="G14" s="141"/>
      <c r="H14" s="141" t="s">
        <v>353</v>
      </c>
      <c r="I14" s="141"/>
      <c r="J14" s="141" t="s">
        <v>354</v>
      </c>
      <c r="K14" s="141" t="s">
        <v>482</v>
      </c>
      <c r="L14" s="141" t="s">
        <v>483</v>
      </c>
      <c r="M14" s="141" t="s">
        <v>484</v>
      </c>
      <c r="N14" s="141" t="s">
        <v>354</v>
      </c>
      <c r="O14" s="141" t="s">
        <v>358</v>
      </c>
      <c r="P14" s="141" t="s">
        <v>359</v>
      </c>
      <c r="Q14" s="141" t="s">
        <v>360</v>
      </c>
      <c r="R14" s="141" t="s">
        <v>361</v>
      </c>
      <c r="S14" s="141" t="s">
        <v>485</v>
      </c>
      <c r="T14" s="141" t="s">
        <v>486</v>
      </c>
      <c r="U14" s="141" t="s">
        <v>486</v>
      </c>
      <c r="V14" s="141"/>
      <c r="W14" s="141"/>
      <c r="X14" s="141"/>
      <c r="Y14" s="141"/>
      <c r="Z14" s="141"/>
      <c r="AA14" s="141"/>
      <c r="AB14" s="141"/>
      <c r="AC14" s="141"/>
      <c r="AD14" s="141"/>
      <c r="AE14" s="141"/>
      <c r="AF14" s="141"/>
      <c r="AG14" s="141"/>
      <c r="AH14" s="141"/>
      <c r="AI14" s="141"/>
      <c r="AJ14" s="141"/>
      <c r="AK14" s="141" t="s">
        <v>354</v>
      </c>
      <c r="AL14" s="141" t="s">
        <v>364</v>
      </c>
      <c r="AM14" s="141" t="s">
        <v>354</v>
      </c>
      <c r="AN14" s="141" t="s">
        <v>487</v>
      </c>
      <c r="AO14" s="141" t="s">
        <v>486</v>
      </c>
      <c r="AP14" s="141" t="s">
        <v>488</v>
      </c>
      <c r="AQ14" s="141" t="s">
        <v>489</v>
      </c>
      <c r="AR14" s="141" t="s">
        <v>490</v>
      </c>
      <c r="AS14" s="141" t="s">
        <v>369</v>
      </c>
      <c r="AT14" s="141"/>
      <c r="AU14" s="141" t="s">
        <v>483</v>
      </c>
      <c r="AV14" s="141" t="s">
        <v>489</v>
      </c>
      <c r="AW14" s="141" t="s">
        <v>491</v>
      </c>
      <c r="AX14" s="141" t="s">
        <v>372</v>
      </c>
      <c r="AY14" s="141" t="s">
        <v>492</v>
      </c>
      <c r="AZ14" s="141" t="s">
        <v>493</v>
      </c>
      <c r="BA14" s="141" t="s">
        <v>494</v>
      </c>
      <c r="BB14" s="141" t="s">
        <v>495</v>
      </c>
      <c r="BC14" s="141" t="s">
        <v>496</v>
      </c>
      <c r="BD14" s="141" t="s">
        <v>497</v>
      </c>
      <c r="BE14" s="141" t="s">
        <v>498</v>
      </c>
      <c r="BF14" s="141" t="s">
        <v>499</v>
      </c>
      <c r="BG14" s="141" t="s">
        <v>500</v>
      </c>
      <c r="BH14" s="141" t="s">
        <v>501</v>
      </c>
      <c r="BI14" s="141" t="s">
        <v>502</v>
      </c>
      <c r="BJ14" s="141" t="s">
        <v>380</v>
      </c>
      <c r="BK14" s="141" t="s">
        <v>503</v>
      </c>
      <c r="BL14" s="141" t="s">
        <v>382</v>
      </c>
      <c r="BM14" s="141" t="s">
        <v>504</v>
      </c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1"/>
      <c r="CC14" s="141"/>
      <c r="CD14" s="141"/>
      <c r="CE14" s="141"/>
      <c r="CF14" s="141"/>
      <c r="CG14" s="141"/>
      <c r="CH14" s="141"/>
      <c r="CI14" s="141"/>
      <c r="CJ14" s="141"/>
      <c r="CK14" s="141"/>
      <c r="CL14" s="141"/>
      <c r="CM14" s="141"/>
      <c r="CN14" s="141"/>
      <c r="CO14" s="141"/>
      <c r="CP14" s="141"/>
      <c r="CQ14" s="141"/>
      <c r="CR14" s="141"/>
      <c r="CS14" s="141"/>
      <c r="CT14" s="141"/>
      <c r="CU14" s="141"/>
      <c r="CV14" s="141"/>
      <c r="CW14" s="141"/>
      <c r="CX14" s="141"/>
      <c r="CY14" s="141"/>
      <c r="CZ14" s="141"/>
      <c r="DA14" s="173"/>
    </row>
    <row r="15" spans="2:105" x14ac:dyDescent="0.25">
      <c r="B15" s="172"/>
      <c r="C15" s="141" t="s">
        <v>505</v>
      </c>
      <c r="D15" s="141" t="s">
        <v>506</v>
      </c>
      <c r="E15" s="141" t="s">
        <v>507</v>
      </c>
      <c r="F15" s="141" t="s">
        <v>508</v>
      </c>
      <c r="G15" s="141"/>
      <c r="H15" s="141" t="s">
        <v>353</v>
      </c>
      <c r="I15" s="141"/>
      <c r="J15" s="141" t="s">
        <v>354</v>
      </c>
      <c r="K15" s="141" t="s">
        <v>509</v>
      </c>
      <c r="L15" s="141" t="s">
        <v>510</v>
      </c>
      <c r="M15" s="141" t="s">
        <v>511</v>
      </c>
      <c r="N15" s="141" t="s">
        <v>354</v>
      </c>
      <c r="O15" s="141" t="s">
        <v>441</v>
      </c>
      <c r="P15" s="141" t="s">
        <v>477</v>
      </c>
      <c r="Q15" s="141" t="s">
        <v>478</v>
      </c>
      <c r="R15" s="141" t="s">
        <v>361</v>
      </c>
      <c r="S15" s="141" t="s">
        <v>485</v>
      </c>
      <c r="T15" s="141" t="s">
        <v>486</v>
      </c>
      <c r="U15" s="141" t="s">
        <v>486</v>
      </c>
      <c r="V15" s="141"/>
      <c r="W15" s="141"/>
      <c r="X15" s="141"/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 t="s">
        <v>354</v>
      </c>
      <c r="AL15" s="141" t="s">
        <v>364</v>
      </c>
      <c r="AM15" s="141" t="s">
        <v>354</v>
      </c>
      <c r="AN15" s="141" t="s">
        <v>487</v>
      </c>
      <c r="AO15" s="141" t="s">
        <v>486</v>
      </c>
      <c r="AP15" s="141" t="s">
        <v>488</v>
      </c>
      <c r="AQ15" s="141" t="s">
        <v>489</v>
      </c>
      <c r="AR15" s="141" t="s">
        <v>490</v>
      </c>
      <c r="AS15" s="141" t="s">
        <v>393</v>
      </c>
      <c r="AT15" s="141"/>
      <c r="AU15" s="141" t="s">
        <v>510</v>
      </c>
      <c r="AV15" s="141" t="s">
        <v>489</v>
      </c>
      <c r="AW15" s="141" t="s">
        <v>512</v>
      </c>
      <c r="AX15" s="141" t="s">
        <v>372</v>
      </c>
      <c r="AY15" s="141" t="s">
        <v>513</v>
      </c>
      <c r="AZ15" s="141" t="s">
        <v>493</v>
      </c>
      <c r="BA15" s="141" t="s">
        <v>514</v>
      </c>
      <c r="BB15" s="141" t="s">
        <v>495</v>
      </c>
      <c r="BC15" s="141" t="s">
        <v>515</v>
      </c>
      <c r="BD15" s="141" t="s">
        <v>497</v>
      </c>
      <c r="BE15" s="141" t="s">
        <v>516</v>
      </c>
      <c r="BF15" s="141" t="s">
        <v>499</v>
      </c>
      <c r="BG15" s="141" t="s">
        <v>517</v>
      </c>
      <c r="BH15" s="141" t="s">
        <v>501</v>
      </c>
      <c r="BI15" s="141" t="s">
        <v>518</v>
      </c>
      <c r="BJ15" s="141" t="s">
        <v>380</v>
      </c>
      <c r="BK15" s="141" t="s">
        <v>519</v>
      </c>
      <c r="BL15" s="141" t="s">
        <v>382</v>
      </c>
      <c r="BM15" s="141" t="s">
        <v>520</v>
      </c>
      <c r="BN15" s="141"/>
      <c r="BO15" s="141"/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1"/>
      <c r="CC15" s="141"/>
      <c r="CD15" s="141"/>
      <c r="CE15" s="141"/>
      <c r="CF15" s="141"/>
      <c r="CG15" s="141"/>
      <c r="CH15" s="141"/>
      <c r="CI15" s="141"/>
      <c r="CJ15" s="141"/>
      <c r="CK15" s="141"/>
      <c r="CL15" s="141"/>
      <c r="CM15" s="141"/>
      <c r="CN15" s="141"/>
      <c r="CO15" s="141"/>
      <c r="CP15" s="141"/>
      <c r="CQ15" s="141"/>
      <c r="CR15" s="141"/>
      <c r="CS15" s="141"/>
      <c r="CT15" s="141"/>
      <c r="CU15" s="141"/>
      <c r="CV15" s="141"/>
      <c r="CW15" s="141"/>
      <c r="CX15" s="141"/>
      <c r="CY15" s="141"/>
      <c r="CZ15" s="141"/>
      <c r="DA15" s="173"/>
    </row>
    <row r="16" spans="2:105" x14ac:dyDescent="0.25">
      <c r="B16" s="172"/>
      <c r="C16" s="141" t="s">
        <v>521</v>
      </c>
      <c r="D16" s="141" t="s">
        <v>522</v>
      </c>
      <c r="E16" s="141" t="s">
        <v>523</v>
      </c>
      <c r="F16" s="141" t="s">
        <v>524</v>
      </c>
      <c r="G16" s="141"/>
      <c r="H16" s="141" t="s">
        <v>353</v>
      </c>
      <c r="I16" s="141"/>
      <c r="J16" s="141" t="s">
        <v>354</v>
      </c>
      <c r="K16" s="141" t="s">
        <v>525</v>
      </c>
      <c r="L16" s="141" t="s">
        <v>526</v>
      </c>
      <c r="M16" s="141" t="s">
        <v>527</v>
      </c>
      <c r="N16" s="141" t="s">
        <v>354</v>
      </c>
      <c r="O16" s="141" t="s">
        <v>369</v>
      </c>
      <c r="P16" s="141" t="s">
        <v>528</v>
      </c>
      <c r="Q16" s="141" t="s">
        <v>529</v>
      </c>
      <c r="R16" s="141" t="s">
        <v>361</v>
      </c>
      <c r="S16" s="141" t="s">
        <v>485</v>
      </c>
      <c r="T16" s="141" t="s">
        <v>486</v>
      </c>
      <c r="U16" s="141" t="s">
        <v>486</v>
      </c>
      <c r="V16" s="141"/>
      <c r="W16" s="141"/>
      <c r="X16" s="141"/>
      <c r="Y16" s="141"/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 t="s">
        <v>354</v>
      </c>
      <c r="AL16" s="141" t="s">
        <v>364</v>
      </c>
      <c r="AM16" s="141" t="s">
        <v>354</v>
      </c>
      <c r="AN16" s="141" t="s">
        <v>487</v>
      </c>
      <c r="AO16" s="141" t="s">
        <v>486</v>
      </c>
      <c r="AP16" s="141" t="s">
        <v>488</v>
      </c>
      <c r="AQ16" s="141" t="s">
        <v>489</v>
      </c>
      <c r="AR16" s="141" t="s">
        <v>490</v>
      </c>
      <c r="AS16" s="141" t="s">
        <v>358</v>
      </c>
      <c r="AT16" s="141"/>
      <c r="AU16" s="141" t="s">
        <v>526</v>
      </c>
      <c r="AV16" s="141" t="s">
        <v>489</v>
      </c>
      <c r="AW16" s="141" t="s">
        <v>530</v>
      </c>
      <c r="AX16" s="141" t="s">
        <v>372</v>
      </c>
      <c r="AY16" s="141" t="s">
        <v>531</v>
      </c>
      <c r="AZ16" s="141" t="s">
        <v>493</v>
      </c>
      <c r="BA16" s="141" t="s">
        <v>532</v>
      </c>
      <c r="BB16" s="141" t="s">
        <v>495</v>
      </c>
      <c r="BC16" s="141" t="s">
        <v>533</v>
      </c>
      <c r="BD16" s="141" t="s">
        <v>497</v>
      </c>
      <c r="BE16" s="141" t="s">
        <v>534</v>
      </c>
      <c r="BF16" s="141" t="s">
        <v>499</v>
      </c>
      <c r="BG16" s="141" t="s">
        <v>535</v>
      </c>
      <c r="BH16" s="141" t="s">
        <v>501</v>
      </c>
      <c r="BI16" s="141" t="s">
        <v>536</v>
      </c>
      <c r="BJ16" s="141" t="s">
        <v>380</v>
      </c>
      <c r="BK16" s="141" t="s">
        <v>537</v>
      </c>
      <c r="BL16" s="141" t="s">
        <v>382</v>
      </c>
      <c r="BM16" s="141" t="s">
        <v>538</v>
      </c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1"/>
      <c r="CC16" s="141"/>
      <c r="CD16" s="141"/>
      <c r="CE16" s="141"/>
      <c r="CF16" s="141"/>
      <c r="CG16" s="141"/>
      <c r="CH16" s="141"/>
      <c r="CI16" s="141"/>
      <c r="CJ16" s="141"/>
      <c r="CK16" s="141"/>
      <c r="CL16" s="141"/>
      <c r="CM16" s="141"/>
      <c r="CN16" s="141"/>
      <c r="CO16" s="141"/>
      <c r="CP16" s="141"/>
      <c r="CQ16" s="141"/>
      <c r="CR16" s="141"/>
      <c r="CS16" s="141"/>
      <c r="CT16" s="141"/>
      <c r="CU16" s="141"/>
      <c r="CV16" s="141"/>
      <c r="CW16" s="141"/>
      <c r="CX16" s="141"/>
      <c r="CY16" s="141"/>
      <c r="CZ16" s="141"/>
      <c r="DA16" s="173"/>
    </row>
    <row r="17" spans="2:105" x14ac:dyDescent="0.25">
      <c r="B17" s="172"/>
      <c r="C17" s="141" t="s">
        <v>539</v>
      </c>
      <c r="D17" s="141" t="s">
        <v>540</v>
      </c>
      <c r="E17" s="141" t="s">
        <v>541</v>
      </c>
      <c r="F17" s="141" t="s">
        <v>542</v>
      </c>
      <c r="G17" s="141"/>
      <c r="H17" s="141" t="s">
        <v>353</v>
      </c>
      <c r="I17" s="141"/>
      <c r="J17" s="141" t="s">
        <v>354</v>
      </c>
      <c r="K17" s="141" t="s">
        <v>543</v>
      </c>
      <c r="L17" s="141" t="s">
        <v>544</v>
      </c>
      <c r="M17" s="141" t="s">
        <v>545</v>
      </c>
      <c r="N17" s="141" t="s">
        <v>354</v>
      </c>
      <c r="O17" s="141" t="s">
        <v>393</v>
      </c>
      <c r="P17" s="141" t="s">
        <v>424</v>
      </c>
      <c r="Q17" s="141" t="s">
        <v>425</v>
      </c>
      <c r="R17" s="141" t="s">
        <v>361</v>
      </c>
      <c r="S17" s="141" t="s">
        <v>485</v>
      </c>
      <c r="T17" s="141" t="s">
        <v>486</v>
      </c>
      <c r="U17" s="141" t="s">
        <v>486</v>
      </c>
      <c r="V17" s="141"/>
      <c r="W17" s="141"/>
      <c r="X17" s="141"/>
      <c r="Y17" s="141"/>
      <c r="Z17" s="141"/>
      <c r="AA17" s="141"/>
      <c r="AB17" s="141"/>
      <c r="AC17" s="141"/>
      <c r="AD17" s="141"/>
      <c r="AE17" s="141"/>
      <c r="AF17" s="141"/>
      <c r="AG17" s="141"/>
      <c r="AH17" s="141"/>
      <c r="AI17" s="141"/>
      <c r="AJ17" s="141"/>
      <c r="AK17" s="141" t="s">
        <v>354</v>
      </c>
      <c r="AL17" s="141" t="s">
        <v>364</v>
      </c>
      <c r="AM17" s="141" t="s">
        <v>354</v>
      </c>
      <c r="AN17" s="141" t="s">
        <v>487</v>
      </c>
      <c r="AO17" s="141" t="s">
        <v>486</v>
      </c>
      <c r="AP17" s="141" t="s">
        <v>488</v>
      </c>
      <c r="AQ17" s="141" t="s">
        <v>489</v>
      </c>
      <c r="AR17" s="141" t="s">
        <v>490</v>
      </c>
      <c r="AS17" s="141" t="s">
        <v>426</v>
      </c>
      <c r="AT17" s="141"/>
      <c r="AU17" s="141" t="s">
        <v>544</v>
      </c>
      <c r="AV17" s="141" t="s">
        <v>489</v>
      </c>
      <c r="AW17" s="141" t="s">
        <v>546</v>
      </c>
      <c r="AX17" s="141" t="s">
        <v>372</v>
      </c>
      <c r="AY17" s="141" t="s">
        <v>547</v>
      </c>
      <c r="AZ17" s="141" t="s">
        <v>493</v>
      </c>
      <c r="BA17" s="141" t="s">
        <v>548</v>
      </c>
      <c r="BB17" s="141" t="s">
        <v>495</v>
      </c>
      <c r="BC17" s="141" t="s">
        <v>549</v>
      </c>
      <c r="BD17" s="141" t="s">
        <v>497</v>
      </c>
      <c r="BE17" s="141" t="s">
        <v>550</v>
      </c>
      <c r="BF17" s="141" t="s">
        <v>499</v>
      </c>
      <c r="BG17" s="141" t="s">
        <v>551</v>
      </c>
      <c r="BH17" s="141" t="s">
        <v>501</v>
      </c>
      <c r="BI17" s="141" t="s">
        <v>552</v>
      </c>
      <c r="BJ17" s="141" t="s">
        <v>380</v>
      </c>
      <c r="BK17" s="141" t="s">
        <v>553</v>
      </c>
      <c r="BL17" s="141" t="s">
        <v>382</v>
      </c>
      <c r="BM17" s="141" t="s">
        <v>554</v>
      </c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/>
      <c r="CA17" s="141"/>
      <c r="CB17" s="141"/>
      <c r="CC17" s="141"/>
      <c r="CD17" s="141"/>
      <c r="CE17" s="141"/>
      <c r="CF17" s="141"/>
      <c r="CG17" s="141"/>
      <c r="CH17" s="141"/>
      <c r="CI17" s="141"/>
      <c r="CJ17" s="141"/>
      <c r="CK17" s="141"/>
      <c r="CL17" s="141"/>
      <c r="CM17" s="141"/>
      <c r="CN17" s="141"/>
      <c r="CO17" s="141"/>
      <c r="CP17" s="141"/>
      <c r="CQ17" s="141"/>
      <c r="CR17" s="141"/>
      <c r="CS17" s="141"/>
      <c r="CT17" s="141"/>
      <c r="CU17" s="141"/>
      <c r="CV17" s="141"/>
      <c r="CW17" s="141"/>
      <c r="CX17" s="141"/>
      <c r="CY17" s="141"/>
      <c r="CZ17" s="141"/>
      <c r="DA17" s="173"/>
    </row>
    <row r="18" spans="2:105" x14ac:dyDescent="0.25">
      <c r="B18" s="172"/>
      <c r="C18" s="141" t="s">
        <v>555</v>
      </c>
      <c r="D18" s="141" t="s">
        <v>556</v>
      </c>
      <c r="E18" s="141" t="s">
        <v>470</v>
      </c>
      <c r="F18" s="141" t="s">
        <v>557</v>
      </c>
      <c r="G18" s="141"/>
      <c r="H18" s="141" t="s">
        <v>353</v>
      </c>
      <c r="I18" s="141"/>
      <c r="J18" s="141" t="s">
        <v>354</v>
      </c>
      <c r="K18" s="141" t="s">
        <v>558</v>
      </c>
      <c r="L18" s="141" t="s">
        <v>559</v>
      </c>
      <c r="M18" s="141" t="s">
        <v>560</v>
      </c>
      <c r="N18" s="141" t="s">
        <v>354</v>
      </c>
      <c r="O18" s="141" t="s">
        <v>408</v>
      </c>
      <c r="P18" s="141" t="s">
        <v>409</v>
      </c>
      <c r="Q18" s="141" t="s">
        <v>409</v>
      </c>
      <c r="R18" s="141" t="s">
        <v>361</v>
      </c>
      <c r="S18" s="141" t="s">
        <v>485</v>
      </c>
      <c r="T18" s="141" t="s">
        <v>486</v>
      </c>
      <c r="U18" s="141" t="s">
        <v>486</v>
      </c>
      <c r="V18" s="141"/>
      <c r="W18" s="141"/>
      <c r="X18" s="141"/>
      <c r="Y18" s="141"/>
      <c r="Z18" s="141"/>
      <c r="AA18" s="141"/>
      <c r="AB18" s="141"/>
      <c r="AC18" s="141"/>
      <c r="AD18" s="141"/>
      <c r="AE18" s="141"/>
      <c r="AF18" s="141"/>
      <c r="AG18" s="141"/>
      <c r="AH18" s="141"/>
      <c r="AI18" s="141"/>
      <c r="AJ18" s="141"/>
      <c r="AK18" s="141" t="s">
        <v>354</v>
      </c>
      <c r="AL18" s="141" t="s">
        <v>364</v>
      </c>
      <c r="AM18" s="141" t="s">
        <v>354</v>
      </c>
      <c r="AN18" s="141" t="s">
        <v>487</v>
      </c>
      <c r="AO18" s="141" t="s">
        <v>486</v>
      </c>
      <c r="AP18" s="141" t="s">
        <v>488</v>
      </c>
      <c r="AQ18" s="141" t="s">
        <v>489</v>
      </c>
      <c r="AR18" s="141" t="s">
        <v>490</v>
      </c>
      <c r="AS18" s="141" t="s">
        <v>441</v>
      </c>
      <c r="AT18" s="141"/>
      <c r="AU18" s="141" t="s">
        <v>559</v>
      </c>
      <c r="AV18" s="141" t="s">
        <v>489</v>
      </c>
      <c r="AW18" s="141" t="s">
        <v>561</v>
      </c>
      <c r="AX18" s="141" t="s">
        <v>372</v>
      </c>
      <c r="AY18" s="141" t="s">
        <v>562</v>
      </c>
      <c r="AZ18" s="141" t="s">
        <v>493</v>
      </c>
      <c r="BA18" s="141" t="s">
        <v>563</v>
      </c>
      <c r="BB18" s="141" t="s">
        <v>495</v>
      </c>
      <c r="BC18" s="141" t="s">
        <v>564</v>
      </c>
      <c r="BD18" s="141" t="s">
        <v>497</v>
      </c>
      <c r="BE18" s="141" t="s">
        <v>565</v>
      </c>
      <c r="BF18" s="141" t="s">
        <v>499</v>
      </c>
      <c r="BG18" s="141" t="s">
        <v>566</v>
      </c>
      <c r="BH18" s="141" t="s">
        <v>501</v>
      </c>
      <c r="BI18" s="141" t="s">
        <v>567</v>
      </c>
      <c r="BJ18" s="141" t="s">
        <v>380</v>
      </c>
      <c r="BK18" s="141" t="s">
        <v>568</v>
      </c>
      <c r="BL18" s="141" t="s">
        <v>382</v>
      </c>
      <c r="BM18" s="141" t="s">
        <v>569</v>
      </c>
      <c r="BN18" s="141"/>
      <c r="BO18" s="141"/>
      <c r="BP18" s="141"/>
      <c r="BQ18" s="141"/>
      <c r="BR18" s="141"/>
      <c r="BS18" s="141"/>
      <c r="BT18" s="141"/>
      <c r="BU18" s="141"/>
      <c r="BV18" s="141"/>
      <c r="BW18" s="141"/>
      <c r="BX18" s="141"/>
      <c r="BY18" s="141"/>
      <c r="BZ18" s="141"/>
      <c r="CA18" s="141"/>
      <c r="CB18" s="141"/>
      <c r="CC18" s="141"/>
      <c r="CD18" s="141"/>
      <c r="CE18" s="141"/>
      <c r="CF18" s="141"/>
      <c r="CG18" s="141"/>
      <c r="CH18" s="141"/>
      <c r="CI18" s="141"/>
      <c r="CJ18" s="141"/>
      <c r="CK18" s="141"/>
      <c r="CL18" s="141"/>
      <c r="CM18" s="141"/>
      <c r="CN18" s="141"/>
      <c r="CO18" s="141"/>
      <c r="CP18" s="141"/>
      <c r="CQ18" s="141"/>
      <c r="CR18" s="141"/>
      <c r="CS18" s="141"/>
      <c r="CT18" s="141"/>
      <c r="CU18" s="141"/>
      <c r="CV18" s="141"/>
      <c r="CW18" s="141"/>
      <c r="CX18" s="141"/>
      <c r="CY18" s="141"/>
      <c r="CZ18" s="141"/>
      <c r="DA18" s="173"/>
    </row>
    <row r="19" spans="2:105" x14ac:dyDescent="0.25">
      <c r="B19" s="172"/>
      <c r="C19" s="141" t="s">
        <v>570</v>
      </c>
      <c r="D19" s="141" t="s">
        <v>571</v>
      </c>
      <c r="E19" s="141" t="s">
        <v>572</v>
      </c>
      <c r="F19" s="141" t="s">
        <v>573</v>
      </c>
      <c r="G19" s="141"/>
      <c r="H19" s="141" t="s">
        <v>353</v>
      </c>
      <c r="I19" s="141"/>
      <c r="J19" s="141" t="s">
        <v>354</v>
      </c>
      <c r="K19" s="141" t="s">
        <v>574</v>
      </c>
      <c r="L19" s="141" t="s">
        <v>575</v>
      </c>
      <c r="M19" s="141" t="s">
        <v>576</v>
      </c>
      <c r="N19" s="141" t="s">
        <v>354</v>
      </c>
      <c r="O19" s="141" t="s">
        <v>393</v>
      </c>
      <c r="P19" s="141" t="s">
        <v>424</v>
      </c>
      <c r="Q19" s="141" t="s">
        <v>425</v>
      </c>
      <c r="R19" s="141" t="s">
        <v>361</v>
      </c>
      <c r="S19" s="141" t="s">
        <v>485</v>
      </c>
      <c r="T19" s="141" t="s">
        <v>486</v>
      </c>
      <c r="U19" s="141" t="s">
        <v>486</v>
      </c>
      <c r="V19" s="141"/>
      <c r="W19" s="141"/>
      <c r="X19" s="141"/>
      <c r="Y19" s="141"/>
      <c r="Z19" s="141"/>
      <c r="AA19" s="141"/>
      <c r="AB19" s="141"/>
      <c r="AC19" s="141"/>
      <c r="AD19" s="141"/>
      <c r="AE19" s="141"/>
      <c r="AF19" s="141"/>
      <c r="AG19" s="141"/>
      <c r="AH19" s="141"/>
      <c r="AI19" s="141"/>
      <c r="AJ19" s="141"/>
      <c r="AK19" s="141" t="s">
        <v>354</v>
      </c>
      <c r="AL19" s="141" t="s">
        <v>364</v>
      </c>
      <c r="AM19" s="141" t="s">
        <v>354</v>
      </c>
      <c r="AN19" s="141" t="s">
        <v>487</v>
      </c>
      <c r="AO19" s="141" t="s">
        <v>486</v>
      </c>
      <c r="AP19" s="141" t="s">
        <v>488</v>
      </c>
      <c r="AQ19" s="141" t="s">
        <v>489</v>
      </c>
      <c r="AR19" s="141" t="s">
        <v>490</v>
      </c>
      <c r="AS19" s="141" t="s">
        <v>391</v>
      </c>
      <c r="AT19" s="141"/>
      <c r="AU19" s="141" t="s">
        <v>575</v>
      </c>
      <c r="AV19" s="141" t="s">
        <v>489</v>
      </c>
      <c r="AW19" s="141" t="s">
        <v>577</v>
      </c>
      <c r="AX19" s="141" t="s">
        <v>372</v>
      </c>
      <c r="AY19" s="141" t="s">
        <v>578</v>
      </c>
      <c r="AZ19" s="141" t="s">
        <v>493</v>
      </c>
      <c r="BA19" s="141" t="s">
        <v>579</v>
      </c>
      <c r="BB19" s="141" t="s">
        <v>495</v>
      </c>
      <c r="BC19" s="141" t="s">
        <v>580</v>
      </c>
      <c r="BD19" s="141" t="s">
        <v>497</v>
      </c>
      <c r="BE19" s="141" t="s">
        <v>581</v>
      </c>
      <c r="BF19" s="141" t="s">
        <v>499</v>
      </c>
      <c r="BG19" s="141" t="s">
        <v>582</v>
      </c>
      <c r="BH19" s="141" t="s">
        <v>501</v>
      </c>
      <c r="BI19" s="141" t="s">
        <v>583</v>
      </c>
      <c r="BJ19" s="141" t="s">
        <v>380</v>
      </c>
      <c r="BK19" s="141" t="s">
        <v>584</v>
      </c>
      <c r="BL19" s="141" t="s">
        <v>382</v>
      </c>
      <c r="BM19" s="141" t="s">
        <v>585</v>
      </c>
      <c r="BN19" s="141"/>
      <c r="BO19" s="141"/>
      <c r="BP19" s="141"/>
      <c r="BQ19" s="141"/>
      <c r="BR19" s="141"/>
      <c r="BS19" s="141"/>
      <c r="BT19" s="141"/>
      <c r="BU19" s="141"/>
      <c r="BV19" s="141"/>
      <c r="BW19" s="141"/>
      <c r="BX19" s="141"/>
      <c r="BY19" s="141"/>
      <c r="BZ19" s="141"/>
      <c r="CA19" s="141"/>
      <c r="CB19" s="141"/>
      <c r="CC19" s="141"/>
      <c r="CD19" s="141"/>
      <c r="CE19" s="141"/>
      <c r="CF19" s="141"/>
      <c r="CG19" s="141"/>
      <c r="CH19" s="141"/>
      <c r="CI19" s="141"/>
      <c r="CJ19" s="141"/>
      <c r="CK19" s="141"/>
      <c r="CL19" s="141"/>
      <c r="CM19" s="141"/>
      <c r="CN19" s="141"/>
      <c r="CO19" s="141"/>
      <c r="CP19" s="141"/>
      <c r="CQ19" s="141"/>
      <c r="CR19" s="141"/>
      <c r="CS19" s="141"/>
      <c r="CT19" s="141"/>
      <c r="CU19" s="141"/>
      <c r="CV19" s="141"/>
      <c r="CW19" s="141"/>
      <c r="CX19" s="141"/>
      <c r="CY19" s="141"/>
      <c r="CZ19" s="141"/>
      <c r="DA19" s="173"/>
    </row>
    <row r="20" spans="2:105" x14ac:dyDescent="0.25">
      <c r="B20" s="172"/>
      <c r="C20" s="141" t="s">
        <v>586</v>
      </c>
      <c r="D20" s="141" t="s">
        <v>587</v>
      </c>
      <c r="E20" s="141" t="s">
        <v>588</v>
      </c>
      <c r="F20" s="141" t="s">
        <v>589</v>
      </c>
      <c r="G20" s="141"/>
      <c r="H20" s="141" t="s">
        <v>353</v>
      </c>
      <c r="I20" s="141"/>
      <c r="J20" s="141" t="s">
        <v>354</v>
      </c>
      <c r="K20" s="141" t="s">
        <v>590</v>
      </c>
      <c r="L20" s="141" t="s">
        <v>591</v>
      </c>
      <c r="M20" s="141" t="s">
        <v>592</v>
      </c>
      <c r="N20" s="141" t="s">
        <v>354</v>
      </c>
      <c r="O20" s="141" t="s">
        <v>358</v>
      </c>
      <c r="P20" s="141" t="s">
        <v>359</v>
      </c>
      <c r="Q20" s="141" t="s">
        <v>360</v>
      </c>
      <c r="R20" s="141" t="s">
        <v>361</v>
      </c>
      <c r="S20" s="141" t="s">
        <v>485</v>
      </c>
      <c r="T20" s="141" t="s">
        <v>486</v>
      </c>
      <c r="U20" s="141" t="s">
        <v>486</v>
      </c>
      <c r="V20" s="141"/>
      <c r="W20" s="141"/>
      <c r="X20" s="141"/>
      <c r="Y20" s="141"/>
      <c r="Z20" s="141"/>
      <c r="AA20" s="141"/>
      <c r="AB20" s="141"/>
      <c r="AC20" s="141"/>
      <c r="AD20" s="141"/>
      <c r="AE20" s="141"/>
      <c r="AF20" s="141"/>
      <c r="AG20" s="141"/>
      <c r="AH20" s="141"/>
      <c r="AI20" s="141"/>
      <c r="AJ20" s="141"/>
      <c r="AK20" s="141" t="s">
        <v>354</v>
      </c>
      <c r="AL20" s="141" t="s">
        <v>364</v>
      </c>
      <c r="AM20" s="141" t="s">
        <v>354</v>
      </c>
      <c r="AN20" s="141" t="s">
        <v>487</v>
      </c>
      <c r="AO20" s="141" t="s">
        <v>486</v>
      </c>
      <c r="AP20" s="141" t="s">
        <v>488</v>
      </c>
      <c r="AQ20" s="141" t="s">
        <v>489</v>
      </c>
      <c r="AR20" s="141" t="s">
        <v>490</v>
      </c>
      <c r="AS20" s="141" t="s">
        <v>368</v>
      </c>
      <c r="AT20" s="141"/>
      <c r="AU20" s="141" t="s">
        <v>591</v>
      </c>
      <c r="AV20" s="141" t="s">
        <v>489</v>
      </c>
      <c r="AW20" s="141" t="s">
        <v>593</v>
      </c>
      <c r="AX20" s="141" t="s">
        <v>372</v>
      </c>
      <c r="AY20" s="141" t="s">
        <v>594</v>
      </c>
      <c r="AZ20" s="141" t="s">
        <v>493</v>
      </c>
      <c r="BA20" s="141" t="s">
        <v>595</v>
      </c>
      <c r="BB20" s="141" t="s">
        <v>495</v>
      </c>
      <c r="BC20" s="141" t="s">
        <v>596</v>
      </c>
      <c r="BD20" s="141" t="s">
        <v>497</v>
      </c>
      <c r="BE20" s="141" t="s">
        <v>597</v>
      </c>
      <c r="BF20" s="141" t="s">
        <v>499</v>
      </c>
      <c r="BG20" s="141" t="s">
        <v>598</v>
      </c>
      <c r="BH20" s="141" t="s">
        <v>501</v>
      </c>
      <c r="BI20" s="141" t="s">
        <v>599</v>
      </c>
      <c r="BJ20" s="141" t="s">
        <v>380</v>
      </c>
      <c r="BK20" s="141" t="s">
        <v>600</v>
      </c>
      <c r="BL20" s="141" t="s">
        <v>382</v>
      </c>
      <c r="BM20" s="141" t="s">
        <v>601</v>
      </c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1"/>
      <c r="CC20" s="141"/>
      <c r="CD20" s="141"/>
      <c r="CE20" s="141"/>
      <c r="CF20" s="141"/>
      <c r="CG20" s="141"/>
      <c r="CH20" s="141"/>
      <c r="CI20" s="141"/>
      <c r="CJ20" s="141"/>
      <c r="CK20" s="141"/>
      <c r="CL20" s="141"/>
      <c r="CM20" s="141"/>
      <c r="CN20" s="141"/>
      <c r="CO20" s="141"/>
      <c r="CP20" s="141"/>
      <c r="CQ20" s="141"/>
      <c r="CR20" s="141"/>
      <c r="CS20" s="141"/>
      <c r="CT20" s="141"/>
      <c r="CU20" s="141"/>
      <c r="CV20" s="141"/>
      <c r="CW20" s="141"/>
      <c r="CX20" s="141"/>
      <c r="CY20" s="141"/>
      <c r="CZ20" s="141"/>
      <c r="DA20" s="173"/>
    </row>
    <row r="21" spans="2:105" x14ac:dyDescent="0.25">
      <c r="B21" s="172"/>
      <c r="C21" s="141" t="s">
        <v>602</v>
      </c>
      <c r="D21" s="141" t="s">
        <v>603</v>
      </c>
      <c r="E21" s="141" t="s">
        <v>386</v>
      </c>
      <c r="F21" s="141" t="s">
        <v>604</v>
      </c>
      <c r="G21" s="141"/>
      <c r="H21" s="141" t="s">
        <v>353</v>
      </c>
      <c r="I21" s="141"/>
      <c r="J21" s="141" t="s">
        <v>354</v>
      </c>
      <c r="K21" s="141" t="s">
        <v>605</v>
      </c>
      <c r="L21" s="141" t="s">
        <v>606</v>
      </c>
      <c r="M21" s="141" t="s">
        <v>607</v>
      </c>
      <c r="N21" s="141" t="s">
        <v>354</v>
      </c>
      <c r="O21" s="141" t="s">
        <v>391</v>
      </c>
      <c r="P21" s="141" t="s">
        <v>392</v>
      </c>
      <c r="Q21" s="141" t="s">
        <v>392</v>
      </c>
      <c r="R21" s="141" t="s">
        <v>361</v>
      </c>
      <c r="S21" s="141" t="s">
        <v>485</v>
      </c>
      <c r="T21" s="141" t="s">
        <v>486</v>
      </c>
      <c r="U21" s="141" t="s">
        <v>486</v>
      </c>
      <c r="V21" s="141"/>
      <c r="W21" s="141"/>
      <c r="X21" s="141"/>
      <c r="Y21" s="141"/>
      <c r="Z21" s="141"/>
      <c r="AA21" s="141"/>
      <c r="AB21" s="141"/>
      <c r="AC21" s="141"/>
      <c r="AD21" s="141"/>
      <c r="AE21" s="141"/>
      <c r="AF21" s="141"/>
      <c r="AG21" s="141"/>
      <c r="AH21" s="141"/>
      <c r="AI21" s="141"/>
      <c r="AJ21" s="141"/>
      <c r="AK21" s="141" t="s">
        <v>354</v>
      </c>
      <c r="AL21" s="141" t="s">
        <v>364</v>
      </c>
      <c r="AM21" s="141" t="s">
        <v>354</v>
      </c>
      <c r="AN21" s="141" t="s">
        <v>487</v>
      </c>
      <c r="AO21" s="141" t="s">
        <v>486</v>
      </c>
      <c r="AP21" s="141" t="s">
        <v>488</v>
      </c>
      <c r="AQ21" s="141" t="s">
        <v>489</v>
      </c>
      <c r="AR21" s="141" t="s">
        <v>490</v>
      </c>
      <c r="AS21" s="141" t="s">
        <v>408</v>
      </c>
      <c r="AT21" s="141"/>
      <c r="AU21" s="141" t="s">
        <v>606</v>
      </c>
      <c r="AV21" s="141" t="s">
        <v>489</v>
      </c>
      <c r="AW21" s="141" t="s">
        <v>608</v>
      </c>
      <c r="AX21" s="141" t="s">
        <v>372</v>
      </c>
      <c r="AY21" s="141" t="s">
        <v>609</v>
      </c>
      <c r="AZ21" s="141" t="s">
        <v>493</v>
      </c>
      <c r="BA21" s="141" t="s">
        <v>610</v>
      </c>
      <c r="BB21" s="141" t="s">
        <v>495</v>
      </c>
      <c r="BC21" s="141" t="s">
        <v>611</v>
      </c>
      <c r="BD21" s="141" t="s">
        <v>497</v>
      </c>
      <c r="BE21" s="141" t="s">
        <v>612</v>
      </c>
      <c r="BF21" s="141" t="s">
        <v>499</v>
      </c>
      <c r="BG21" s="141" t="s">
        <v>613</v>
      </c>
      <c r="BH21" s="141" t="s">
        <v>501</v>
      </c>
      <c r="BI21" s="141" t="s">
        <v>614</v>
      </c>
      <c r="BJ21" s="141" t="s">
        <v>380</v>
      </c>
      <c r="BK21" s="141" t="s">
        <v>615</v>
      </c>
      <c r="BL21" s="141" t="s">
        <v>382</v>
      </c>
      <c r="BM21" s="141" t="s">
        <v>616</v>
      </c>
      <c r="BN21" s="141"/>
      <c r="BO21" s="141"/>
      <c r="BP21" s="141"/>
      <c r="BQ21" s="141"/>
      <c r="BR21" s="141"/>
      <c r="BS21" s="141"/>
      <c r="BT21" s="141"/>
      <c r="BU21" s="141"/>
      <c r="BV21" s="141"/>
      <c r="BW21" s="141"/>
      <c r="BX21" s="141"/>
      <c r="BY21" s="141"/>
      <c r="BZ21" s="141"/>
      <c r="CA21" s="141"/>
      <c r="CB21" s="141"/>
      <c r="CC21" s="141"/>
      <c r="CD21" s="141"/>
      <c r="CE21" s="141"/>
      <c r="CF21" s="141"/>
      <c r="CG21" s="141"/>
      <c r="CH21" s="141"/>
      <c r="CI21" s="141"/>
      <c r="CJ21" s="141"/>
      <c r="CK21" s="141"/>
      <c r="CL21" s="141"/>
      <c r="CM21" s="141"/>
      <c r="CN21" s="141"/>
      <c r="CO21" s="141"/>
      <c r="CP21" s="141"/>
      <c r="CQ21" s="141"/>
      <c r="CR21" s="141"/>
      <c r="CS21" s="141"/>
      <c r="CT21" s="141"/>
      <c r="CU21" s="141"/>
      <c r="CV21" s="141"/>
      <c r="CW21" s="141"/>
      <c r="CX21" s="141"/>
      <c r="CY21" s="141"/>
      <c r="CZ21" s="141"/>
      <c r="DA21" s="173"/>
    </row>
    <row r="22" spans="2:105" x14ac:dyDescent="0.25">
      <c r="B22" s="172"/>
      <c r="C22" s="141" t="s">
        <v>617</v>
      </c>
      <c r="D22" s="141" t="s">
        <v>618</v>
      </c>
      <c r="E22" s="141" t="s">
        <v>619</v>
      </c>
      <c r="F22" s="141" t="s">
        <v>508</v>
      </c>
      <c r="G22" s="141"/>
      <c r="H22" s="141" t="s">
        <v>353</v>
      </c>
      <c r="I22" s="141"/>
      <c r="J22" s="141" t="s">
        <v>354</v>
      </c>
      <c r="K22" s="141" t="s">
        <v>620</v>
      </c>
      <c r="L22" s="141" t="s">
        <v>621</v>
      </c>
      <c r="M22" s="141" t="s">
        <v>622</v>
      </c>
      <c r="N22" s="141" t="s">
        <v>354</v>
      </c>
      <c r="O22" s="141" t="s">
        <v>393</v>
      </c>
      <c r="P22" s="141" t="s">
        <v>424</v>
      </c>
      <c r="Q22" s="141" t="s">
        <v>425</v>
      </c>
      <c r="R22" s="141" t="s">
        <v>361</v>
      </c>
      <c r="S22" s="141" t="s">
        <v>485</v>
      </c>
      <c r="T22" s="141" t="s">
        <v>486</v>
      </c>
      <c r="U22" s="141" t="s">
        <v>486</v>
      </c>
      <c r="V22" s="141"/>
      <c r="W22" s="141"/>
      <c r="X22" s="141"/>
      <c r="Y22" s="141"/>
      <c r="Z22" s="141"/>
      <c r="AA22" s="141"/>
      <c r="AB22" s="141"/>
      <c r="AC22" s="141"/>
      <c r="AD22" s="141"/>
      <c r="AE22" s="141"/>
      <c r="AF22" s="141"/>
      <c r="AG22" s="141"/>
      <c r="AH22" s="141"/>
      <c r="AI22" s="141"/>
      <c r="AJ22" s="141"/>
      <c r="AK22" s="141" t="s">
        <v>354</v>
      </c>
      <c r="AL22" s="141" t="s">
        <v>364</v>
      </c>
      <c r="AM22" s="141" t="s">
        <v>354</v>
      </c>
      <c r="AN22" s="141" t="s">
        <v>487</v>
      </c>
      <c r="AO22" s="141" t="s">
        <v>486</v>
      </c>
      <c r="AP22" s="141" t="s">
        <v>488</v>
      </c>
      <c r="AQ22" s="141" t="s">
        <v>489</v>
      </c>
      <c r="AR22" s="141" t="s">
        <v>490</v>
      </c>
      <c r="AS22" s="141" t="s">
        <v>490</v>
      </c>
      <c r="AT22" s="141"/>
      <c r="AU22" s="141" t="s">
        <v>621</v>
      </c>
      <c r="AV22" s="141" t="s">
        <v>489</v>
      </c>
      <c r="AW22" s="141" t="s">
        <v>623</v>
      </c>
      <c r="AX22" s="141" t="s">
        <v>372</v>
      </c>
      <c r="AY22" s="141" t="s">
        <v>624</v>
      </c>
      <c r="AZ22" s="141" t="s">
        <v>493</v>
      </c>
      <c r="BA22" s="141" t="s">
        <v>625</v>
      </c>
      <c r="BB22" s="141" t="s">
        <v>495</v>
      </c>
      <c r="BC22" s="141" t="s">
        <v>626</v>
      </c>
      <c r="BD22" s="141" t="s">
        <v>497</v>
      </c>
      <c r="BE22" s="141" t="s">
        <v>627</v>
      </c>
      <c r="BF22" s="141" t="s">
        <v>499</v>
      </c>
      <c r="BG22" s="141" t="s">
        <v>628</v>
      </c>
      <c r="BH22" s="141" t="s">
        <v>501</v>
      </c>
      <c r="BI22" s="141" t="s">
        <v>629</v>
      </c>
      <c r="BJ22" s="141" t="s">
        <v>380</v>
      </c>
      <c r="BK22" s="141" t="s">
        <v>630</v>
      </c>
      <c r="BL22" s="141" t="s">
        <v>382</v>
      </c>
      <c r="BM22" s="141" t="s">
        <v>631</v>
      </c>
      <c r="BN22" s="141"/>
      <c r="BO22" s="141"/>
      <c r="BP22" s="141"/>
      <c r="BQ22" s="141"/>
      <c r="BR22" s="141"/>
      <c r="BS22" s="141"/>
      <c r="BT22" s="141"/>
      <c r="BU22" s="141"/>
      <c r="BV22" s="141"/>
      <c r="BW22" s="141"/>
      <c r="BX22" s="141"/>
      <c r="BY22" s="141"/>
      <c r="BZ22" s="141"/>
      <c r="CA22" s="141"/>
      <c r="CB22" s="141"/>
      <c r="CC22" s="141"/>
      <c r="CD22" s="141"/>
      <c r="CE22" s="141"/>
      <c r="CF22" s="141"/>
      <c r="CG22" s="141"/>
      <c r="CH22" s="141"/>
      <c r="CI22" s="141"/>
      <c r="CJ22" s="141"/>
      <c r="CK22" s="141"/>
      <c r="CL22" s="141"/>
      <c r="CM22" s="141"/>
      <c r="CN22" s="141"/>
      <c r="CO22" s="141"/>
      <c r="CP22" s="141"/>
      <c r="CQ22" s="141"/>
      <c r="CR22" s="141"/>
      <c r="CS22" s="141"/>
      <c r="CT22" s="141"/>
      <c r="CU22" s="141"/>
      <c r="CV22" s="141"/>
      <c r="CW22" s="141"/>
      <c r="CX22" s="141"/>
      <c r="CY22" s="141"/>
      <c r="CZ22" s="141"/>
      <c r="DA22" s="173"/>
    </row>
    <row r="23" spans="2:105" x14ac:dyDescent="0.25">
      <c r="B23" s="172"/>
      <c r="C23" s="141" t="s">
        <v>632</v>
      </c>
      <c r="D23" s="141" t="s">
        <v>633</v>
      </c>
      <c r="E23" s="141" t="s">
        <v>634</v>
      </c>
      <c r="F23" s="141" t="s">
        <v>635</v>
      </c>
      <c r="G23" s="141"/>
      <c r="H23" s="141" t="s">
        <v>353</v>
      </c>
      <c r="I23" s="141"/>
      <c r="J23" s="141" t="s">
        <v>354</v>
      </c>
      <c r="K23" s="141" t="s">
        <v>636</v>
      </c>
      <c r="L23" s="141"/>
      <c r="M23" s="141"/>
      <c r="N23" s="141" t="s">
        <v>369</v>
      </c>
      <c r="O23" s="141" t="s">
        <v>393</v>
      </c>
      <c r="P23" s="141" t="s">
        <v>424</v>
      </c>
      <c r="Q23" s="141" t="s">
        <v>425</v>
      </c>
      <c r="R23" s="141" t="s">
        <v>361</v>
      </c>
      <c r="S23" s="141" t="s">
        <v>485</v>
      </c>
      <c r="T23" s="141" t="s">
        <v>486</v>
      </c>
      <c r="U23" s="141" t="s">
        <v>486</v>
      </c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 t="s">
        <v>354</v>
      </c>
      <c r="AL23" s="141" t="s">
        <v>364</v>
      </c>
      <c r="AM23" s="141" t="s">
        <v>354</v>
      </c>
      <c r="AN23" s="141" t="s">
        <v>487</v>
      </c>
      <c r="AO23" s="141" t="s">
        <v>486</v>
      </c>
      <c r="AP23" s="141" t="s">
        <v>488</v>
      </c>
      <c r="AQ23" s="141" t="s">
        <v>489</v>
      </c>
      <c r="AR23" s="141" t="s">
        <v>490</v>
      </c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141"/>
      <c r="CQ23" s="141"/>
      <c r="CR23" s="141"/>
      <c r="CS23" s="141"/>
      <c r="CT23" s="141"/>
      <c r="CU23" s="141"/>
      <c r="CV23" s="141"/>
      <c r="CW23" s="141"/>
      <c r="CX23" s="141"/>
      <c r="CY23" s="141"/>
      <c r="CZ23" s="141"/>
      <c r="DA23" s="173"/>
    </row>
    <row r="24" spans="2:105" x14ac:dyDescent="0.25">
      <c r="B24" s="172"/>
      <c r="C24" s="141"/>
      <c r="D24" s="141" t="s">
        <v>637</v>
      </c>
      <c r="E24" s="141"/>
      <c r="F24" s="141" t="s">
        <v>466</v>
      </c>
      <c r="G24" s="141"/>
      <c r="H24" s="141" t="s">
        <v>353</v>
      </c>
      <c r="I24" s="141"/>
      <c r="J24" s="141" t="s">
        <v>354</v>
      </c>
      <c r="K24" s="141" t="s">
        <v>638</v>
      </c>
      <c r="L24" s="141"/>
      <c r="M24" s="141"/>
      <c r="N24" s="141" t="s">
        <v>354</v>
      </c>
      <c r="O24" s="141"/>
      <c r="P24" s="141"/>
      <c r="Q24" s="141"/>
      <c r="R24" s="141"/>
      <c r="S24" s="141" t="s">
        <v>485</v>
      </c>
      <c r="T24" s="141" t="s">
        <v>486</v>
      </c>
      <c r="U24" s="141" t="s">
        <v>486</v>
      </c>
      <c r="V24" s="141"/>
      <c r="W24" s="141"/>
      <c r="X24" s="141"/>
      <c r="Y24" s="141"/>
      <c r="Z24" s="141"/>
      <c r="AA24" s="141"/>
      <c r="AB24" s="141"/>
      <c r="AC24" s="141"/>
      <c r="AD24" s="141"/>
      <c r="AE24" s="141"/>
      <c r="AF24" s="141"/>
      <c r="AG24" s="141"/>
      <c r="AH24" s="141"/>
      <c r="AI24" s="141"/>
      <c r="AJ24" s="141"/>
      <c r="AK24" s="141" t="s">
        <v>354</v>
      </c>
      <c r="AL24" s="141" t="s">
        <v>364</v>
      </c>
      <c r="AM24" s="141" t="s">
        <v>354</v>
      </c>
      <c r="AN24" s="141" t="s">
        <v>487</v>
      </c>
      <c r="AO24" s="141" t="s">
        <v>486</v>
      </c>
      <c r="AP24" s="141" t="s">
        <v>488</v>
      </c>
      <c r="AQ24" s="141" t="s">
        <v>489</v>
      </c>
      <c r="AR24" s="141" t="s">
        <v>490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/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1"/>
      <c r="CC24" s="141"/>
      <c r="CD24" s="141"/>
      <c r="CE24" s="141"/>
      <c r="CF24" s="141"/>
      <c r="CG24" s="141"/>
      <c r="CH24" s="141"/>
      <c r="CI24" s="141"/>
      <c r="CJ24" s="141"/>
      <c r="CK24" s="141"/>
      <c r="CL24" s="141"/>
      <c r="CM24" s="141"/>
      <c r="CN24" s="141"/>
      <c r="CO24" s="141"/>
      <c r="CP24" s="141"/>
      <c r="CQ24" s="141"/>
      <c r="CR24" s="141"/>
      <c r="CS24" s="141"/>
      <c r="CT24" s="141"/>
      <c r="CU24" s="141"/>
      <c r="CV24" s="141"/>
      <c r="CW24" s="141"/>
      <c r="CX24" s="141"/>
      <c r="CY24" s="141"/>
      <c r="CZ24" s="141"/>
      <c r="DA24" s="173"/>
    </row>
    <row r="25" spans="2:105" x14ac:dyDescent="0.25">
      <c r="B25" s="172"/>
      <c r="C25" s="141"/>
      <c r="D25" s="141" t="s">
        <v>639</v>
      </c>
      <c r="E25" s="141"/>
      <c r="F25" s="141" t="s">
        <v>466</v>
      </c>
      <c r="G25" s="141"/>
      <c r="H25" s="141" t="s">
        <v>353</v>
      </c>
      <c r="I25" s="141"/>
      <c r="J25" s="141" t="s">
        <v>354</v>
      </c>
      <c r="K25" s="141" t="s">
        <v>640</v>
      </c>
      <c r="L25" s="141"/>
      <c r="M25" s="141"/>
      <c r="N25" s="141" t="s">
        <v>354</v>
      </c>
      <c r="O25" s="141"/>
      <c r="P25" s="141"/>
      <c r="Q25" s="141"/>
      <c r="R25" s="141"/>
      <c r="S25" s="141" t="s">
        <v>485</v>
      </c>
      <c r="T25" s="141" t="s">
        <v>486</v>
      </c>
      <c r="U25" s="141" t="s">
        <v>486</v>
      </c>
      <c r="V25" s="141"/>
      <c r="W25" s="141"/>
      <c r="X25" s="141"/>
      <c r="Y25" s="141"/>
      <c r="Z25" s="141"/>
      <c r="AA25" s="141"/>
      <c r="AB25" s="141"/>
      <c r="AC25" s="141"/>
      <c r="AD25" s="141"/>
      <c r="AE25" s="141"/>
      <c r="AF25" s="141"/>
      <c r="AG25" s="141"/>
      <c r="AH25" s="141"/>
      <c r="AI25" s="141"/>
      <c r="AJ25" s="141"/>
      <c r="AK25" s="141" t="s">
        <v>354</v>
      </c>
      <c r="AL25" s="141" t="s">
        <v>364</v>
      </c>
      <c r="AM25" s="141" t="s">
        <v>354</v>
      </c>
      <c r="AN25" s="141" t="s">
        <v>487</v>
      </c>
      <c r="AO25" s="141" t="s">
        <v>486</v>
      </c>
      <c r="AP25" s="141" t="s">
        <v>488</v>
      </c>
      <c r="AQ25" s="141" t="s">
        <v>489</v>
      </c>
      <c r="AR25" s="141" t="s">
        <v>490</v>
      </c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/>
      <c r="BD25" s="141"/>
      <c r="BE25" s="141"/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/>
      <c r="BV25" s="141"/>
      <c r="BW25" s="141"/>
      <c r="BX25" s="141"/>
      <c r="BY25" s="141"/>
      <c r="BZ25" s="141"/>
      <c r="CA25" s="141"/>
      <c r="CB25" s="141"/>
      <c r="CC25" s="141"/>
      <c r="CD25" s="141"/>
      <c r="CE25" s="141"/>
      <c r="CF25" s="141"/>
      <c r="CG25" s="141"/>
      <c r="CH25" s="141"/>
      <c r="CI25" s="141"/>
      <c r="CJ25" s="141"/>
      <c r="CK25" s="141"/>
      <c r="CL25" s="141"/>
      <c r="CM25" s="141"/>
      <c r="CN25" s="141"/>
      <c r="CO25" s="141"/>
      <c r="CP25" s="141"/>
      <c r="CQ25" s="141"/>
      <c r="CR25" s="141"/>
      <c r="CS25" s="141"/>
      <c r="CT25" s="141"/>
      <c r="CU25" s="141"/>
      <c r="CV25" s="141"/>
      <c r="CW25" s="141"/>
      <c r="CX25" s="141"/>
      <c r="CY25" s="141"/>
      <c r="CZ25" s="141"/>
      <c r="DA25" s="173"/>
    </row>
    <row r="26" spans="2:105" x14ac:dyDescent="0.25">
      <c r="B26" s="172"/>
      <c r="C26" s="141" t="s">
        <v>641</v>
      </c>
      <c r="D26" s="141" t="s">
        <v>642</v>
      </c>
      <c r="E26" s="141" t="s">
        <v>643</v>
      </c>
      <c r="F26" s="141" t="s">
        <v>644</v>
      </c>
      <c r="G26" s="141"/>
      <c r="H26" s="141" t="s">
        <v>353</v>
      </c>
      <c r="I26" s="141"/>
      <c r="J26" s="141" t="s">
        <v>354</v>
      </c>
      <c r="K26" s="141" t="s">
        <v>645</v>
      </c>
      <c r="L26" s="141"/>
      <c r="M26" s="141"/>
      <c r="N26" s="141" t="s">
        <v>369</v>
      </c>
      <c r="O26" s="141" t="s">
        <v>393</v>
      </c>
      <c r="P26" s="141" t="s">
        <v>424</v>
      </c>
      <c r="Q26" s="141" t="s">
        <v>425</v>
      </c>
      <c r="R26" s="141" t="s">
        <v>361</v>
      </c>
      <c r="S26" s="141" t="s">
        <v>485</v>
      </c>
      <c r="T26" s="141" t="s">
        <v>486</v>
      </c>
      <c r="U26" s="141" t="s">
        <v>486</v>
      </c>
      <c r="V26" s="141"/>
      <c r="W26" s="141"/>
      <c r="X26" s="141"/>
      <c r="Y26" s="141"/>
      <c r="Z26" s="141"/>
      <c r="AA26" s="141"/>
      <c r="AB26" s="141"/>
      <c r="AC26" s="141"/>
      <c r="AD26" s="141"/>
      <c r="AE26" s="141"/>
      <c r="AF26" s="141"/>
      <c r="AG26" s="141"/>
      <c r="AH26" s="141"/>
      <c r="AI26" s="141"/>
      <c r="AJ26" s="141"/>
      <c r="AK26" s="141" t="s">
        <v>354</v>
      </c>
      <c r="AL26" s="141" t="s">
        <v>364</v>
      </c>
      <c r="AM26" s="141" t="s">
        <v>354</v>
      </c>
      <c r="AN26" s="141" t="s">
        <v>487</v>
      </c>
      <c r="AO26" s="141" t="s">
        <v>486</v>
      </c>
      <c r="AP26" s="141" t="s">
        <v>488</v>
      </c>
      <c r="AQ26" s="141" t="s">
        <v>489</v>
      </c>
      <c r="AR26" s="141" t="s">
        <v>490</v>
      </c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1"/>
      <c r="CC26" s="141"/>
      <c r="CD26" s="141"/>
      <c r="CE26" s="141"/>
      <c r="CF26" s="141"/>
      <c r="CG26" s="141"/>
      <c r="CH26" s="141"/>
      <c r="CI26" s="141"/>
      <c r="CJ26" s="141"/>
      <c r="CK26" s="141"/>
      <c r="CL26" s="141"/>
      <c r="CM26" s="141"/>
      <c r="CN26" s="141"/>
      <c r="CO26" s="141"/>
      <c r="CP26" s="141"/>
      <c r="CQ26" s="141"/>
      <c r="CR26" s="141"/>
      <c r="CS26" s="141"/>
      <c r="CT26" s="141"/>
      <c r="CU26" s="141"/>
      <c r="CV26" s="141"/>
      <c r="CW26" s="141"/>
      <c r="CX26" s="141"/>
      <c r="CY26" s="141"/>
      <c r="CZ26" s="141"/>
      <c r="DA26" s="173"/>
    </row>
    <row r="27" spans="2:105" x14ac:dyDescent="0.25">
      <c r="B27" s="172"/>
      <c r="C27" s="141" t="s">
        <v>646</v>
      </c>
      <c r="D27" s="141" t="s">
        <v>647</v>
      </c>
      <c r="E27" s="141" t="s">
        <v>588</v>
      </c>
      <c r="F27" s="141" t="s">
        <v>475</v>
      </c>
      <c r="G27" s="141"/>
      <c r="H27" s="141" t="s">
        <v>353</v>
      </c>
      <c r="I27" s="141"/>
      <c r="J27" s="141" t="s">
        <v>354</v>
      </c>
      <c r="K27" s="141" t="s">
        <v>648</v>
      </c>
      <c r="L27" s="141" t="s">
        <v>649</v>
      </c>
      <c r="M27" s="141" t="s">
        <v>650</v>
      </c>
      <c r="N27" s="141" t="s">
        <v>354</v>
      </c>
      <c r="O27" s="141" t="s">
        <v>358</v>
      </c>
      <c r="P27" s="141" t="s">
        <v>359</v>
      </c>
      <c r="Q27" s="141" t="s">
        <v>360</v>
      </c>
      <c r="R27" s="141" t="s">
        <v>361</v>
      </c>
      <c r="S27" s="141" t="s">
        <v>490</v>
      </c>
      <c r="T27" s="141" t="s">
        <v>651</v>
      </c>
      <c r="U27" s="141" t="s">
        <v>651</v>
      </c>
      <c r="V27" s="141"/>
      <c r="W27" s="141"/>
      <c r="X27" s="141"/>
      <c r="Y27" s="141"/>
      <c r="Z27" s="141"/>
      <c r="AA27" s="141"/>
      <c r="AB27" s="141"/>
      <c r="AC27" s="141"/>
      <c r="AD27" s="141"/>
      <c r="AE27" s="141"/>
      <c r="AF27" s="141"/>
      <c r="AG27" s="141"/>
      <c r="AH27" s="141"/>
      <c r="AI27" s="141"/>
      <c r="AJ27" s="141"/>
      <c r="AK27" s="141" t="s">
        <v>354</v>
      </c>
      <c r="AL27" s="141" t="s">
        <v>364</v>
      </c>
      <c r="AM27" s="141" t="s">
        <v>354</v>
      </c>
      <c r="AN27" s="141" t="s">
        <v>652</v>
      </c>
      <c r="AO27" s="141" t="s">
        <v>651</v>
      </c>
      <c r="AP27" s="141" t="s">
        <v>653</v>
      </c>
      <c r="AQ27" s="141" t="s">
        <v>654</v>
      </c>
      <c r="AR27" s="141" t="s">
        <v>408</v>
      </c>
      <c r="AS27" s="141" t="s">
        <v>369</v>
      </c>
      <c r="AT27" s="141"/>
      <c r="AU27" s="141" t="s">
        <v>649</v>
      </c>
      <c r="AV27" s="141" t="s">
        <v>655</v>
      </c>
      <c r="AW27" s="141" t="s">
        <v>656</v>
      </c>
      <c r="AX27" s="141" t="s">
        <v>657</v>
      </c>
      <c r="AY27" s="141" t="s">
        <v>658</v>
      </c>
      <c r="AZ27" s="141" t="s">
        <v>659</v>
      </c>
      <c r="BA27" s="141" t="s">
        <v>660</v>
      </c>
      <c r="BB27" s="141" t="s">
        <v>661</v>
      </c>
      <c r="BC27" s="141" t="s">
        <v>662</v>
      </c>
      <c r="BD27" s="141" t="s">
        <v>497</v>
      </c>
      <c r="BE27" s="141" t="s">
        <v>663</v>
      </c>
      <c r="BF27" s="141" t="s">
        <v>378</v>
      </c>
      <c r="BG27" s="141" t="s">
        <v>664</v>
      </c>
      <c r="BH27" s="141" t="s">
        <v>380</v>
      </c>
      <c r="BI27" s="141" t="s">
        <v>665</v>
      </c>
      <c r="BJ27" s="141" t="s">
        <v>382</v>
      </c>
      <c r="BK27" s="141" t="s">
        <v>666</v>
      </c>
      <c r="BL27" s="141"/>
      <c r="BM27" s="141"/>
      <c r="BN27" s="141"/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1"/>
      <c r="CC27" s="141"/>
      <c r="CD27" s="141"/>
      <c r="CE27" s="141"/>
      <c r="CF27" s="141"/>
      <c r="CG27" s="141"/>
      <c r="CH27" s="141"/>
      <c r="CI27" s="141"/>
      <c r="CJ27" s="141"/>
      <c r="CK27" s="141"/>
      <c r="CL27" s="141"/>
      <c r="CM27" s="141"/>
      <c r="CN27" s="141"/>
      <c r="CO27" s="141"/>
      <c r="CP27" s="141"/>
      <c r="CQ27" s="141"/>
      <c r="CR27" s="141"/>
      <c r="CS27" s="141"/>
      <c r="CT27" s="141"/>
      <c r="CU27" s="141"/>
      <c r="CV27" s="141"/>
      <c r="CW27" s="141"/>
      <c r="CX27" s="141"/>
      <c r="CY27" s="141"/>
      <c r="CZ27" s="141"/>
      <c r="DA27" s="173"/>
    </row>
    <row r="28" spans="2:105" x14ac:dyDescent="0.25">
      <c r="B28" s="172"/>
      <c r="C28" s="141" t="s">
        <v>667</v>
      </c>
      <c r="D28" s="141" t="s">
        <v>668</v>
      </c>
      <c r="E28" s="141" t="s">
        <v>669</v>
      </c>
      <c r="F28" s="141" t="s">
        <v>670</v>
      </c>
      <c r="G28" s="141"/>
      <c r="H28" s="141" t="s">
        <v>353</v>
      </c>
      <c r="I28" s="141"/>
      <c r="J28" s="141" t="s">
        <v>354</v>
      </c>
      <c r="K28" s="141" t="s">
        <v>671</v>
      </c>
      <c r="L28" s="141" t="s">
        <v>672</v>
      </c>
      <c r="M28" s="141" t="s">
        <v>673</v>
      </c>
      <c r="N28" s="141" t="s">
        <v>354</v>
      </c>
      <c r="O28" s="141" t="s">
        <v>426</v>
      </c>
      <c r="P28" s="141" t="s">
        <v>454</v>
      </c>
      <c r="Q28" s="141" t="s">
        <v>455</v>
      </c>
      <c r="R28" s="141" t="s">
        <v>361</v>
      </c>
      <c r="S28" s="141" t="s">
        <v>490</v>
      </c>
      <c r="T28" s="141" t="s">
        <v>651</v>
      </c>
      <c r="U28" s="141" t="s">
        <v>651</v>
      </c>
      <c r="V28" s="141"/>
      <c r="W28" s="141"/>
      <c r="X28" s="141"/>
      <c r="Y28" s="141"/>
      <c r="Z28" s="141"/>
      <c r="AA28" s="141"/>
      <c r="AB28" s="141"/>
      <c r="AC28" s="141"/>
      <c r="AD28" s="141"/>
      <c r="AE28" s="141"/>
      <c r="AF28" s="141"/>
      <c r="AG28" s="141"/>
      <c r="AH28" s="141"/>
      <c r="AI28" s="141"/>
      <c r="AJ28" s="141"/>
      <c r="AK28" s="141" t="s">
        <v>354</v>
      </c>
      <c r="AL28" s="141" t="s">
        <v>364</v>
      </c>
      <c r="AM28" s="141" t="s">
        <v>354</v>
      </c>
      <c r="AN28" s="141" t="s">
        <v>652</v>
      </c>
      <c r="AO28" s="141" t="s">
        <v>651</v>
      </c>
      <c r="AP28" s="141" t="s">
        <v>653</v>
      </c>
      <c r="AQ28" s="141" t="s">
        <v>654</v>
      </c>
      <c r="AR28" s="141" t="s">
        <v>408</v>
      </c>
      <c r="AS28" s="141" t="s">
        <v>393</v>
      </c>
      <c r="AT28" s="141"/>
      <c r="AU28" s="141" t="s">
        <v>672</v>
      </c>
      <c r="AV28" s="141" t="s">
        <v>655</v>
      </c>
      <c r="AW28" s="141" t="s">
        <v>674</v>
      </c>
      <c r="AX28" s="141" t="s">
        <v>657</v>
      </c>
      <c r="AY28" s="141" t="s">
        <v>675</v>
      </c>
      <c r="AZ28" s="141" t="s">
        <v>659</v>
      </c>
      <c r="BA28" s="141" t="s">
        <v>676</v>
      </c>
      <c r="BB28" s="141" t="s">
        <v>661</v>
      </c>
      <c r="BC28" s="141" t="s">
        <v>677</v>
      </c>
      <c r="BD28" s="141" t="s">
        <v>497</v>
      </c>
      <c r="BE28" s="141" t="s">
        <v>678</v>
      </c>
      <c r="BF28" s="141" t="s">
        <v>378</v>
      </c>
      <c r="BG28" s="141" t="s">
        <v>679</v>
      </c>
      <c r="BH28" s="141" t="s">
        <v>380</v>
      </c>
      <c r="BI28" s="141" t="s">
        <v>680</v>
      </c>
      <c r="BJ28" s="141" t="s">
        <v>382</v>
      </c>
      <c r="BK28" s="141" t="s">
        <v>681</v>
      </c>
      <c r="BL28" s="141"/>
      <c r="BM28" s="141"/>
      <c r="BN28" s="141"/>
      <c r="BO28" s="141"/>
      <c r="BP28" s="141"/>
      <c r="BQ28" s="141"/>
      <c r="BR28" s="141"/>
      <c r="BS28" s="141"/>
      <c r="BT28" s="141"/>
      <c r="BU28" s="141"/>
      <c r="BV28" s="141"/>
      <c r="BW28" s="141"/>
      <c r="BX28" s="141"/>
      <c r="BY28" s="141"/>
      <c r="BZ28" s="141"/>
      <c r="CA28" s="141"/>
      <c r="CB28" s="141"/>
      <c r="CC28" s="141"/>
      <c r="CD28" s="141"/>
      <c r="CE28" s="141"/>
      <c r="CF28" s="141"/>
      <c r="CG28" s="141"/>
      <c r="CH28" s="141"/>
      <c r="CI28" s="141"/>
      <c r="CJ28" s="141"/>
      <c r="CK28" s="141"/>
      <c r="CL28" s="141"/>
      <c r="CM28" s="141"/>
      <c r="CN28" s="141"/>
      <c r="CO28" s="141"/>
      <c r="CP28" s="141"/>
      <c r="CQ28" s="141"/>
      <c r="CR28" s="141"/>
      <c r="CS28" s="141"/>
      <c r="CT28" s="141"/>
      <c r="CU28" s="141"/>
      <c r="CV28" s="141"/>
      <c r="CW28" s="141"/>
      <c r="CX28" s="141"/>
      <c r="CY28" s="141"/>
      <c r="CZ28" s="141"/>
      <c r="DA28" s="173"/>
    </row>
    <row r="29" spans="2:105" x14ac:dyDescent="0.25">
      <c r="B29" s="172"/>
      <c r="C29" s="141" t="s">
        <v>682</v>
      </c>
      <c r="D29" s="141" t="s">
        <v>683</v>
      </c>
      <c r="E29" s="141" t="s">
        <v>684</v>
      </c>
      <c r="F29" s="141" t="s">
        <v>685</v>
      </c>
      <c r="G29" s="141"/>
      <c r="H29" s="141" t="s">
        <v>353</v>
      </c>
      <c r="I29" s="141"/>
      <c r="J29" s="141" t="s">
        <v>354</v>
      </c>
      <c r="K29" s="141" t="s">
        <v>686</v>
      </c>
      <c r="L29" s="141" t="s">
        <v>687</v>
      </c>
      <c r="M29" s="141" t="s">
        <v>688</v>
      </c>
      <c r="N29" s="141" t="s">
        <v>354</v>
      </c>
      <c r="O29" s="141" t="s">
        <v>358</v>
      </c>
      <c r="P29" s="141" t="s">
        <v>359</v>
      </c>
      <c r="Q29" s="141" t="s">
        <v>360</v>
      </c>
      <c r="R29" s="141" t="s">
        <v>361</v>
      </c>
      <c r="S29" s="141" t="s">
        <v>490</v>
      </c>
      <c r="T29" s="141" t="s">
        <v>651</v>
      </c>
      <c r="U29" s="141" t="s">
        <v>651</v>
      </c>
      <c r="V29" s="141"/>
      <c r="W29" s="141"/>
      <c r="X29" s="141"/>
      <c r="Y29" s="141"/>
      <c r="Z29" s="141"/>
      <c r="AA29" s="141"/>
      <c r="AB29" s="141"/>
      <c r="AC29" s="141"/>
      <c r="AD29" s="141"/>
      <c r="AE29" s="141"/>
      <c r="AF29" s="141"/>
      <c r="AG29" s="141"/>
      <c r="AH29" s="141"/>
      <c r="AI29" s="141"/>
      <c r="AJ29" s="141"/>
      <c r="AK29" s="141" t="s">
        <v>354</v>
      </c>
      <c r="AL29" s="141" t="s">
        <v>364</v>
      </c>
      <c r="AM29" s="141" t="s">
        <v>354</v>
      </c>
      <c r="AN29" s="141" t="s">
        <v>652</v>
      </c>
      <c r="AO29" s="141" t="s">
        <v>651</v>
      </c>
      <c r="AP29" s="141" t="s">
        <v>653</v>
      </c>
      <c r="AQ29" s="141" t="s">
        <v>654</v>
      </c>
      <c r="AR29" s="141" t="s">
        <v>408</v>
      </c>
      <c r="AS29" s="141" t="s">
        <v>358</v>
      </c>
      <c r="AT29" s="141"/>
      <c r="AU29" s="141" t="s">
        <v>687</v>
      </c>
      <c r="AV29" s="141" t="s">
        <v>655</v>
      </c>
      <c r="AW29" s="141" t="s">
        <v>689</v>
      </c>
      <c r="AX29" s="141" t="s">
        <v>657</v>
      </c>
      <c r="AY29" s="141" t="s">
        <v>690</v>
      </c>
      <c r="AZ29" s="141" t="s">
        <v>659</v>
      </c>
      <c r="BA29" s="141" t="s">
        <v>691</v>
      </c>
      <c r="BB29" s="141" t="s">
        <v>661</v>
      </c>
      <c r="BC29" s="141" t="s">
        <v>692</v>
      </c>
      <c r="BD29" s="141" t="s">
        <v>497</v>
      </c>
      <c r="BE29" s="141" t="s">
        <v>693</v>
      </c>
      <c r="BF29" s="141" t="s">
        <v>378</v>
      </c>
      <c r="BG29" s="141" t="s">
        <v>694</v>
      </c>
      <c r="BH29" s="141" t="s">
        <v>380</v>
      </c>
      <c r="BI29" s="141" t="s">
        <v>695</v>
      </c>
      <c r="BJ29" s="141" t="s">
        <v>382</v>
      </c>
      <c r="BK29" s="141" t="s">
        <v>696</v>
      </c>
      <c r="BL29" s="141"/>
      <c r="BM29" s="141"/>
      <c r="BN29" s="141"/>
      <c r="BO29" s="141"/>
      <c r="BP29" s="141"/>
      <c r="BQ29" s="141"/>
      <c r="BR29" s="141"/>
      <c r="BS29" s="141"/>
      <c r="BT29" s="141"/>
      <c r="BU29" s="141"/>
      <c r="BV29" s="141"/>
      <c r="BW29" s="141"/>
      <c r="BX29" s="141"/>
      <c r="BY29" s="141"/>
      <c r="BZ29" s="141"/>
      <c r="CA29" s="141"/>
      <c r="CB29" s="141"/>
      <c r="CC29" s="141"/>
      <c r="CD29" s="141"/>
      <c r="CE29" s="141"/>
      <c r="CF29" s="141"/>
      <c r="CG29" s="141"/>
      <c r="CH29" s="141"/>
      <c r="CI29" s="141"/>
      <c r="CJ29" s="141"/>
      <c r="CK29" s="141"/>
      <c r="CL29" s="141"/>
      <c r="CM29" s="141"/>
      <c r="CN29" s="141"/>
      <c r="CO29" s="141"/>
      <c r="CP29" s="141"/>
      <c r="CQ29" s="141"/>
      <c r="CR29" s="141"/>
      <c r="CS29" s="141"/>
      <c r="CT29" s="141"/>
      <c r="CU29" s="141"/>
      <c r="CV29" s="141"/>
      <c r="CW29" s="141"/>
      <c r="CX29" s="141"/>
      <c r="CY29" s="141"/>
      <c r="CZ29" s="141"/>
      <c r="DA29" s="173"/>
    </row>
    <row r="30" spans="2:105" x14ac:dyDescent="0.25">
      <c r="B30" s="172"/>
      <c r="C30" s="141" t="s">
        <v>697</v>
      </c>
      <c r="D30" s="141" t="s">
        <v>698</v>
      </c>
      <c r="E30" s="141" t="s">
        <v>699</v>
      </c>
      <c r="F30" s="141" t="s">
        <v>452</v>
      </c>
      <c r="G30" s="141"/>
      <c r="H30" s="141" t="s">
        <v>353</v>
      </c>
      <c r="I30" s="141"/>
      <c r="J30" s="141" t="s">
        <v>354</v>
      </c>
      <c r="K30" s="141" t="s">
        <v>700</v>
      </c>
      <c r="L30" s="141" t="s">
        <v>701</v>
      </c>
      <c r="M30" s="141" t="s">
        <v>702</v>
      </c>
      <c r="N30" s="141" t="s">
        <v>354</v>
      </c>
      <c r="O30" s="141" t="s">
        <v>393</v>
      </c>
      <c r="P30" s="141" t="s">
        <v>424</v>
      </c>
      <c r="Q30" s="141" t="s">
        <v>425</v>
      </c>
      <c r="R30" s="141" t="s">
        <v>361</v>
      </c>
      <c r="S30" s="141" t="s">
        <v>490</v>
      </c>
      <c r="T30" s="141" t="s">
        <v>651</v>
      </c>
      <c r="U30" s="141" t="s">
        <v>651</v>
      </c>
      <c r="V30" s="141"/>
      <c r="W30" s="141"/>
      <c r="X30" s="141"/>
      <c r="Y30" s="141"/>
      <c r="Z30" s="141"/>
      <c r="AA30" s="141"/>
      <c r="AB30" s="141"/>
      <c r="AC30" s="141"/>
      <c r="AD30" s="141"/>
      <c r="AE30" s="141"/>
      <c r="AF30" s="141"/>
      <c r="AG30" s="141"/>
      <c r="AH30" s="141"/>
      <c r="AI30" s="141"/>
      <c r="AJ30" s="141"/>
      <c r="AK30" s="141" t="s">
        <v>354</v>
      </c>
      <c r="AL30" s="141" t="s">
        <v>364</v>
      </c>
      <c r="AM30" s="141" t="s">
        <v>354</v>
      </c>
      <c r="AN30" s="141" t="s">
        <v>652</v>
      </c>
      <c r="AO30" s="141" t="s">
        <v>651</v>
      </c>
      <c r="AP30" s="141" t="s">
        <v>653</v>
      </c>
      <c r="AQ30" s="141" t="s">
        <v>654</v>
      </c>
      <c r="AR30" s="141" t="s">
        <v>408</v>
      </c>
      <c r="AS30" s="141" t="s">
        <v>426</v>
      </c>
      <c r="AT30" s="141"/>
      <c r="AU30" s="141" t="s">
        <v>701</v>
      </c>
      <c r="AV30" s="141" t="s">
        <v>655</v>
      </c>
      <c r="AW30" s="141" t="s">
        <v>703</v>
      </c>
      <c r="AX30" s="141" t="s">
        <v>657</v>
      </c>
      <c r="AY30" s="141" t="s">
        <v>704</v>
      </c>
      <c r="AZ30" s="141" t="s">
        <v>659</v>
      </c>
      <c r="BA30" s="141" t="s">
        <v>705</v>
      </c>
      <c r="BB30" s="141" t="s">
        <v>661</v>
      </c>
      <c r="BC30" s="141" t="s">
        <v>706</v>
      </c>
      <c r="BD30" s="141" t="s">
        <v>497</v>
      </c>
      <c r="BE30" s="141" t="s">
        <v>707</v>
      </c>
      <c r="BF30" s="141" t="s">
        <v>378</v>
      </c>
      <c r="BG30" s="141" t="s">
        <v>708</v>
      </c>
      <c r="BH30" s="141" t="s">
        <v>380</v>
      </c>
      <c r="BI30" s="141" t="s">
        <v>709</v>
      </c>
      <c r="BJ30" s="141" t="s">
        <v>382</v>
      </c>
      <c r="BK30" s="141" t="s">
        <v>710</v>
      </c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1"/>
      <c r="CC30" s="141"/>
      <c r="CD30" s="141"/>
      <c r="CE30" s="141"/>
      <c r="CF30" s="141"/>
      <c r="CG30" s="141"/>
      <c r="CH30" s="141"/>
      <c r="CI30" s="141"/>
      <c r="CJ30" s="141"/>
      <c r="CK30" s="141"/>
      <c r="CL30" s="141"/>
      <c r="CM30" s="141"/>
      <c r="CN30" s="141"/>
      <c r="CO30" s="141"/>
      <c r="CP30" s="141"/>
      <c r="CQ30" s="141"/>
      <c r="CR30" s="141"/>
      <c r="CS30" s="141"/>
      <c r="CT30" s="141"/>
      <c r="CU30" s="141"/>
      <c r="CV30" s="141"/>
      <c r="CW30" s="141"/>
      <c r="CX30" s="141"/>
      <c r="CY30" s="141"/>
      <c r="CZ30" s="141"/>
      <c r="DA30" s="173"/>
    </row>
    <row r="31" spans="2:105" x14ac:dyDescent="0.25">
      <c r="B31" s="172"/>
      <c r="C31" s="141" t="s">
        <v>711</v>
      </c>
      <c r="D31" s="141" t="s">
        <v>712</v>
      </c>
      <c r="E31" s="141" t="s">
        <v>713</v>
      </c>
      <c r="F31" s="141" t="s">
        <v>714</v>
      </c>
      <c r="G31" s="141"/>
      <c r="H31" s="141" t="s">
        <v>353</v>
      </c>
      <c r="I31" s="141"/>
      <c r="J31" s="141" t="s">
        <v>354</v>
      </c>
      <c r="K31" s="141" t="s">
        <v>715</v>
      </c>
      <c r="L31" s="141" t="s">
        <v>716</v>
      </c>
      <c r="M31" s="141" t="s">
        <v>717</v>
      </c>
      <c r="N31" s="141" t="s">
        <v>354</v>
      </c>
      <c r="O31" s="141" t="s">
        <v>358</v>
      </c>
      <c r="P31" s="141" t="s">
        <v>359</v>
      </c>
      <c r="Q31" s="141" t="s">
        <v>360</v>
      </c>
      <c r="R31" s="141" t="s">
        <v>361</v>
      </c>
      <c r="S31" s="141" t="s">
        <v>490</v>
      </c>
      <c r="T31" s="141" t="s">
        <v>651</v>
      </c>
      <c r="U31" s="141" t="s">
        <v>651</v>
      </c>
      <c r="V31" s="141"/>
      <c r="W31" s="141"/>
      <c r="X31" s="141"/>
      <c r="Y31" s="141"/>
      <c r="Z31" s="141"/>
      <c r="AA31" s="141"/>
      <c r="AB31" s="141"/>
      <c r="AC31" s="141"/>
      <c r="AD31" s="141"/>
      <c r="AE31" s="141"/>
      <c r="AF31" s="141"/>
      <c r="AG31" s="141"/>
      <c r="AH31" s="141"/>
      <c r="AI31" s="141"/>
      <c r="AJ31" s="141"/>
      <c r="AK31" s="141" t="s">
        <v>354</v>
      </c>
      <c r="AL31" s="141" t="s">
        <v>364</v>
      </c>
      <c r="AM31" s="141" t="s">
        <v>354</v>
      </c>
      <c r="AN31" s="141" t="s">
        <v>652</v>
      </c>
      <c r="AO31" s="141" t="s">
        <v>651</v>
      </c>
      <c r="AP31" s="141" t="s">
        <v>653</v>
      </c>
      <c r="AQ31" s="141" t="s">
        <v>654</v>
      </c>
      <c r="AR31" s="141" t="s">
        <v>408</v>
      </c>
      <c r="AS31" s="141" t="s">
        <v>441</v>
      </c>
      <c r="AT31" s="141"/>
      <c r="AU31" s="141" t="s">
        <v>716</v>
      </c>
      <c r="AV31" s="141" t="s">
        <v>655</v>
      </c>
      <c r="AW31" s="141" t="s">
        <v>718</v>
      </c>
      <c r="AX31" s="141" t="s">
        <v>657</v>
      </c>
      <c r="AY31" s="141" t="s">
        <v>719</v>
      </c>
      <c r="AZ31" s="141" t="s">
        <v>659</v>
      </c>
      <c r="BA31" s="141" t="s">
        <v>720</v>
      </c>
      <c r="BB31" s="141" t="s">
        <v>661</v>
      </c>
      <c r="BC31" s="141" t="s">
        <v>721</v>
      </c>
      <c r="BD31" s="141" t="s">
        <v>497</v>
      </c>
      <c r="BE31" s="141" t="s">
        <v>722</v>
      </c>
      <c r="BF31" s="141" t="s">
        <v>378</v>
      </c>
      <c r="BG31" s="141" t="s">
        <v>723</v>
      </c>
      <c r="BH31" s="141" t="s">
        <v>380</v>
      </c>
      <c r="BI31" s="141" t="s">
        <v>724</v>
      </c>
      <c r="BJ31" s="141" t="s">
        <v>382</v>
      </c>
      <c r="BK31" s="141" t="s">
        <v>725</v>
      </c>
      <c r="BL31" s="141"/>
      <c r="BM31" s="141"/>
      <c r="BN31" s="141"/>
      <c r="BO31" s="141"/>
      <c r="BP31" s="141"/>
      <c r="BQ31" s="141"/>
      <c r="BR31" s="141"/>
      <c r="BS31" s="141"/>
      <c r="BT31" s="141"/>
      <c r="BU31" s="141"/>
      <c r="BV31" s="141"/>
      <c r="BW31" s="141"/>
      <c r="BX31" s="141"/>
      <c r="BY31" s="141"/>
      <c r="BZ31" s="141"/>
      <c r="CA31" s="141"/>
      <c r="CB31" s="141"/>
      <c r="CC31" s="141"/>
      <c r="CD31" s="141"/>
      <c r="CE31" s="141"/>
      <c r="CF31" s="141"/>
      <c r="CG31" s="141"/>
      <c r="CH31" s="141"/>
      <c r="CI31" s="141"/>
      <c r="CJ31" s="141"/>
      <c r="CK31" s="141"/>
      <c r="CL31" s="141"/>
      <c r="CM31" s="141"/>
      <c r="CN31" s="141"/>
      <c r="CO31" s="141"/>
      <c r="CP31" s="141"/>
      <c r="CQ31" s="141"/>
      <c r="CR31" s="141"/>
      <c r="CS31" s="141"/>
      <c r="CT31" s="141"/>
      <c r="CU31" s="141"/>
      <c r="CV31" s="141"/>
      <c r="CW31" s="141"/>
      <c r="CX31" s="141"/>
      <c r="CY31" s="141"/>
      <c r="CZ31" s="141"/>
      <c r="DA31" s="173"/>
    </row>
    <row r="32" spans="2:105" x14ac:dyDescent="0.25">
      <c r="B32" s="172"/>
      <c r="C32" s="141" t="s">
        <v>726</v>
      </c>
      <c r="D32" s="141" t="s">
        <v>370</v>
      </c>
      <c r="E32" s="141" t="s">
        <v>727</v>
      </c>
      <c r="F32" s="141" t="s">
        <v>728</v>
      </c>
      <c r="G32" s="141"/>
      <c r="H32" s="141" t="s">
        <v>353</v>
      </c>
      <c r="I32" s="141"/>
      <c r="J32" s="141" t="s">
        <v>354</v>
      </c>
      <c r="K32" s="141" t="s">
        <v>729</v>
      </c>
      <c r="L32" s="141"/>
      <c r="M32" s="141"/>
      <c r="N32" s="141" t="s">
        <v>369</v>
      </c>
      <c r="O32" s="141" t="s">
        <v>426</v>
      </c>
      <c r="P32" s="141" t="s">
        <v>454</v>
      </c>
      <c r="Q32" s="141" t="s">
        <v>455</v>
      </c>
      <c r="R32" s="141" t="s">
        <v>361</v>
      </c>
      <c r="S32" s="141" t="s">
        <v>490</v>
      </c>
      <c r="T32" s="141" t="s">
        <v>651</v>
      </c>
      <c r="U32" s="141" t="s">
        <v>651</v>
      </c>
      <c r="V32" s="141"/>
      <c r="W32" s="141"/>
      <c r="X32" s="141"/>
      <c r="Y32" s="141"/>
      <c r="Z32" s="141"/>
      <c r="AA32" s="141"/>
      <c r="AB32" s="141"/>
      <c r="AC32" s="141"/>
      <c r="AD32" s="141"/>
      <c r="AE32" s="141"/>
      <c r="AF32" s="141"/>
      <c r="AG32" s="141"/>
      <c r="AH32" s="141"/>
      <c r="AI32" s="141"/>
      <c r="AJ32" s="141"/>
      <c r="AK32" s="141" t="s">
        <v>354</v>
      </c>
      <c r="AL32" s="141" t="s">
        <v>364</v>
      </c>
      <c r="AM32" s="141" t="s">
        <v>354</v>
      </c>
      <c r="AN32" s="141" t="s">
        <v>652</v>
      </c>
      <c r="AO32" s="141" t="s">
        <v>651</v>
      </c>
      <c r="AP32" s="141" t="s">
        <v>653</v>
      </c>
      <c r="AQ32" s="141" t="s">
        <v>654</v>
      </c>
      <c r="AR32" s="141" t="s">
        <v>408</v>
      </c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1"/>
      <c r="CC32" s="141"/>
      <c r="CD32" s="141"/>
      <c r="CE32" s="141"/>
      <c r="CF32" s="141"/>
      <c r="CG32" s="141"/>
      <c r="CH32" s="141"/>
      <c r="CI32" s="141"/>
      <c r="CJ32" s="141"/>
      <c r="CK32" s="141"/>
      <c r="CL32" s="141"/>
      <c r="CM32" s="141"/>
      <c r="CN32" s="141"/>
      <c r="CO32" s="141"/>
      <c r="CP32" s="141"/>
      <c r="CQ32" s="141"/>
      <c r="CR32" s="141"/>
      <c r="CS32" s="141"/>
      <c r="CT32" s="141"/>
      <c r="CU32" s="141"/>
      <c r="CV32" s="141"/>
      <c r="CW32" s="141"/>
      <c r="CX32" s="141"/>
      <c r="CY32" s="141"/>
      <c r="CZ32" s="141"/>
      <c r="DA32" s="173"/>
    </row>
    <row r="33" spans="2:105" x14ac:dyDescent="0.25">
      <c r="B33" s="172"/>
      <c r="C33" s="141" t="s">
        <v>730</v>
      </c>
      <c r="D33" s="141" t="s">
        <v>731</v>
      </c>
      <c r="E33" s="141" t="s">
        <v>732</v>
      </c>
      <c r="F33" s="141" t="s">
        <v>733</v>
      </c>
      <c r="G33" s="141"/>
      <c r="H33" s="141" t="s">
        <v>353</v>
      </c>
      <c r="I33" s="141"/>
      <c r="J33" s="141" t="s">
        <v>354</v>
      </c>
      <c r="K33" s="141" t="s">
        <v>734</v>
      </c>
      <c r="L33" s="141"/>
      <c r="M33" s="141"/>
      <c r="N33" s="141" t="s">
        <v>369</v>
      </c>
      <c r="O33" s="141" t="s">
        <v>358</v>
      </c>
      <c r="P33" s="141" t="s">
        <v>359</v>
      </c>
      <c r="Q33" s="141" t="s">
        <v>360</v>
      </c>
      <c r="R33" s="141" t="s">
        <v>361</v>
      </c>
      <c r="S33" s="141" t="s">
        <v>490</v>
      </c>
      <c r="T33" s="141" t="s">
        <v>651</v>
      </c>
      <c r="U33" s="141" t="s">
        <v>651</v>
      </c>
      <c r="V33" s="141"/>
      <c r="W33" s="141"/>
      <c r="X33" s="141"/>
      <c r="Y33" s="141"/>
      <c r="Z33" s="141"/>
      <c r="AA33" s="141"/>
      <c r="AB33" s="141"/>
      <c r="AC33" s="141"/>
      <c r="AD33" s="141"/>
      <c r="AE33" s="141"/>
      <c r="AF33" s="141"/>
      <c r="AG33" s="141"/>
      <c r="AH33" s="141"/>
      <c r="AI33" s="141"/>
      <c r="AJ33" s="141"/>
      <c r="AK33" s="141" t="s">
        <v>354</v>
      </c>
      <c r="AL33" s="141" t="s">
        <v>364</v>
      </c>
      <c r="AM33" s="141" t="s">
        <v>354</v>
      </c>
      <c r="AN33" s="141" t="s">
        <v>652</v>
      </c>
      <c r="AO33" s="141" t="s">
        <v>651</v>
      </c>
      <c r="AP33" s="141" t="s">
        <v>653</v>
      </c>
      <c r="AQ33" s="141" t="s">
        <v>654</v>
      </c>
      <c r="AR33" s="141" t="s">
        <v>408</v>
      </c>
      <c r="AS33" s="141"/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/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1"/>
      <c r="CC33" s="141"/>
      <c r="CD33" s="141"/>
      <c r="CE33" s="141"/>
      <c r="CF33" s="141"/>
      <c r="CG33" s="141"/>
      <c r="CH33" s="141"/>
      <c r="CI33" s="141"/>
      <c r="CJ33" s="141"/>
      <c r="CK33" s="141"/>
      <c r="CL33" s="141"/>
      <c r="CM33" s="141"/>
      <c r="CN33" s="141"/>
      <c r="CO33" s="141"/>
      <c r="CP33" s="141"/>
      <c r="CQ33" s="141"/>
      <c r="CR33" s="141"/>
      <c r="CS33" s="141"/>
      <c r="CT33" s="141"/>
      <c r="CU33" s="141"/>
      <c r="CV33" s="141"/>
      <c r="CW33" s="141"/>
      <c r="CX33" s="141"/>
      <c r="CY33" s="141"/>
      <c r="CZ33" s="141"/>
      <c r="DA33" s="173"/>
    </row>
    <row r="34" spans="2:105" x14ac:dyDescent="0.25">
      <c r="B34" s="172"/>
      <c r="C34" s="141"/>
      <c r="D34" s="141" t="s">
        <v>735</v>
      </c>
      <c r="E34" s="141"/>
      <c r="F34" s="141" t="s">
        <v>466</v>
      </c>
      <c r="G34" s="141"/>
      <c r="H34" s="141" t="s">
        <v>353</v>
      </c>
      <c r="I34" s="141"/>
      <c r="J34" s="141" t="s">
        <v>354</v>
      </c>
      <c r="K34" s="141" t="s">
        <v>736</v>
      </c>
      <c r="L34" s="141"/>
      <c r="M34" s="141"/>
      <c r="N34" s="141" t="s">
        <v>354</v>
      </c>
      <c r="O34" s="141"/>
      <c r="P34" s="141"/>
      <c r="Q34" s="141"/>
      <c r="R34" s="141"/>
      <c r="S34" s="141" t="s">
        <v>490</v>
      </c>
      <c r="T34" s="141" t="s">
        <v>651</v>
      </c>
      <c r="U34" s="141" t="s">
        <v>651</v>
      </c>
      <c r="V34" s="141"/>
      <c r="W34" s="141"/>
      <c r="X34" s="141"/>
      <c r="Y34" s="141"/>
      <c r="Z34" s="141"/>
      <c r="AA34" s="141"/>
      <c r="AB34" s="141"/>
      <c r="AC34" s="141"/>
      <c r="AD34" s="141"/>
      <c r="AE34" s="141"/>
      <c r="AF34" s="141"/>
      <c r="AG34" s="141"/>
      <c r="AH34" s="141"/>
      <c r="AI34" s="141"/>
      <c r="AJ34" s="141"/>
      <c r="AK34" s="141" t="s">
        <v>354</v>
      </c>
      <c r="AL34" s="141" t="s">
        <v>364</v>
      </c>
      <c r="AM34" s="141" t="s">
        <v>354</v>
      </c>
      <c r="AN34" s="141" t="s">
        <v>652</v>
      </c>
      <c r="AO34" s="141" t="s">
        <v>651</v>
      </c>
      <c r="AP34" s="141" t="s">
        <v>653</v>
      </c>
      <c r="AQ34" s="141" t="s">
        <v>654</v>
      </c>
      <c r="AR34" s="141" t="s">
        <v>408</v>
      </c>
      <c r="AS34" s="141"/>
      <c r="AT34" s="141"/>
      <c r="AU34" s="141"/>
      <c r="AV34" s="141"/>
      <c r="AW34" s="141"/>
      <c r="AX34" s="141"/>
      <c r="AY34" s="141"/>
      <c r="AZ34" s="141"/>
      <c r="BA34" s="141"/>
      <c r="BB34" s="141"/>
      <c r="BC34" s="141"/>
      <c r="BD34" s="141"/>
      <c r="BE34" s="141"/>
      <c r="BF34" s="141"/>
      <c r="BG34" s="141"/>
      <c r="BH34" s="141"/>
      <c r="BI34" s="141"/>
      <c r="BJ34" s="141"/>
      <c r="BK34" s="141"/>
      <c r="BL34" s="141"/>
      <c r="BM34" s="141"/>
      <c r="BN34" s="141"/>
      <c r="BO34" s="141"/>
      <c r="BP34" s="141"/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/>
      <c r="CB34" s="141"/>
      <c r="CC34" s="141"/>
      <c r="CD34" s="141"/>
      <c r="CE34" s="141"/>
      <c r="CF34" s="141"/>
      <c r="CG34" s="141"/>
      <c r="CH34" s="141"/>
      <c r="CI34" s="141"/>
      <c r="CJ34" s="141"/>
      <c r="CK34" s="141"/>
      <c r="CL34" s="141"/>
      <c r="CM34" s="141"/>
      <c r="CN34" s="141"/>
      <c r="CO34" s="141"/>
      <c r="CP34" s="141"/>
      <c r="CQ34" s="141"/>
      <c r="CR34" s="141"/>
      <c r="CS34" s="141"/>
      <c r="CT34" s="141"/>
      <c r="CU34" s="141"/>
      <c r="CV34" s="141"/>
      <c r="CW34" s="141"/>
      <c r="CX34" s="141"/>
      <c r="CY34" s="141"/>
      <c r="CZ34" s="141"/>
      <c r="DA34" s="173"/>
    </row>
    <row r="35" spans="2:105" x14ac:dyDescent="0.25">
      <c r="B35" s="172"/>
      <c r="C35" s="141" t="s">
        <v>737</v>
      </c>
      <c r="D35" s="141" t="s">
        <v>738</v>
      </c>
      <c r="E35" s="141" t="s">
        <v>739</v>
      </c>
      <c r="F35" s="141" t="s">
        <v>740</v>
      </c>
      <c r="G35" s="141"/>
      <c r="H35" s="141" t="s">
        <v>353</v>
      </c>
      <c r="I35" s="141"/>
      <c r="J35" s="141" t="s">
        <v>354</v>
      </c>
      <c r="K35" s="141" t="s">
        <v>741</v>
      </c>
      <c r="L35" s="141" t="s">
        <v>742</v>
      </c>
      <c r="M35" s="141" t="s">
        <v>743</v>
      </c>
      <c r="N35" s="141" t="s">
        <v>358</v>
      </c>
      <c r="O35" s="141" t="s">
        <v>393</v>
      </c>
      <c r="P35" s="141" t="s">
        <v>424</v>
      </c>
      <c r="Q35" s="141" t="s">
        <v>425</v>
      </c>
      <c r="R35" s="141" t="s">
        <v>361</v>
      </c>
      <c r="S35" s="141" t="s">
        <v>490</v>
      </c>
      <c r="T35" s="141" t="s">
        <v>651</v>
      </c>
      <c r="U35" s="141" t="s">
        <v>651</v>
      </c>
      <c r="V35" s="141"/>
      <c r="W35" s="141"/>
      <c r="X35" s="141"/>
      <c r="Y35" s="141"/>
      <c r="Z35" s="141"/>
      <c r="AA35" s="141"/>
      <c r="AB35" s="141"/>
      <c r="AC35" s="141"/>
      <c r="AD35" s="141"/>
      <c r="AE35" s="141"/>
      <c r="AF35" s="141"/>
      <c r="AG35" s="141"/>
      <c r="AH35" s="141"/>
      <c r="AI35" s="141"/>
      <c r="AJ35" s="141"/>
      <c r="AK35" s="141" t="s">
        <v>354</v>
      </c>
      <c r="AL35" s="141" t="s">
        <v>364</v>
      </c>
      <c r="AM35" s="141" t="s">
        <v>354</v>
      </c>
      <c r="AN35" s="141" t="s">
        <v>652</v>
      </c>
      <c r="AO35" s="141" t="s">
        <v>651</v>
      </c>
      <c r="AP35" s="141" t="s">
        <v>653</v>
      </c>
      <c r="AQ35" s="141" t="s">
        <v>654</v>
      </c>
      <c r="AR35" s="141" t="s">
        <v>408</v>
      </c>
      <c r="AS35" s="141"/>
      <c r="AT35" s="141"/>
      <c r="AU35" s="141" t="s">
        <v>742</v>
      </c>
      <c r="AV35" s="141" t="s">
        <v>655</v>
      </c>
      <c r="AW35" s="141" t="s">
        <v>744</v>
      </c>
      <c r="AX35" s="141" t="s">
        <v>657</v>
      </c>
      <c r="AY35" s="141" t="s">
        <v>745</v>
      </c>
      <c r="AZ35" s="141" t="s">
        <v>659</v>
      </c>
      <c r="BA35" s="141" t="s">
        <v>746</v>
      </c>
      <c r="BB35" s="141"/>
      <c r="BC35" s="141"/>
      <c r="BD35" s="141" t="s">
        <v>497</v>
      </c>
      <c r="BE35" s="141" t="s">
        <v>747</v>
      </c>
      <c r="BF35" s="141" t="s">
        <v>378</v>
      </c>
      <c r="BG35" s="141" t="s">
        <v>748</v>
      </c>
      <c r="BH35" s="141" t="s">
        <v>380</v>
      </c>
      <c r="BI35" s="141" t="s">
        <v>749</v>
      </c>
      <c r="BJ35" s="141" t="s">
        <v>382</v>
      </c>
      <c r="BK35" s="141" t="s">
        <v>750</v>
      </c>
      <c r="BL35" s="141"/>
      <c r="BM35" s="141"/>
      <c r="BN35" s="141"/>
      <c r="BO35" s="141"/>
      <c r="BP35" s="141"/>
      <c r="BQ35" s="141"/>
      <c r="BR35" s="141"/>
      <c r="BS35" s="141"/>
      <c r="BT35" s="141"/>
      <c r="BU35" s="141"/>
      <c r="BV35" s="141"/>
      <c r="BW35" s="141"/>
      <c r="BX35" s="141"/>
      <c r="BY35" s="141"/>
      <c r="BZ35" s="141"/>
      <c r="CA35" s="141"/>
      <c r="CB35" s="141"/>
      <c r="CC35" s="141"/>
      <c r="CD35" s="141"/>
      <c r="CE35" s="141"/>
      <c r="CF35" s="141"/>
      <c r="CG35" s="141"/>
      <c r="CH35" s="141"/>
      <c r="CI35" s="141"/>
      <c r="CJ35" s="141"/>
      <c r="CK35" s="141"/>
      <c r="CL35" s="141"/>
      <c r="CM35" s="141"/>
      <c r="CN35" s="141"/>
      <c r="CO35" s="141"/>
      <c r="CP35" s="141"/>
      <c r="CQ35" s="141"/>
      <c r="CR35" s="141"/>
      <c r="CS35" s="141"/>
      <c r="CT35" s="141"/>
      <c r="CU35" s="141"/>
      <c r="CV35" s="141"/>
      <c r="CW35" s="141"/>
      <c r="CX35" s="141"/>
      <c r="CY35" s="141"/>
      <c r="CZ35" s="141"/>
      <c r="DA35" s="173"/>
    </row>
    <row r="36" spans="2:105" x14ac:dyDescent="0.25">
      <c r="B36" s="172"/>
      <c r="C36" s="141" t="s">
        <v>751</v>
      </c>
      <c r="D36" s="141" t="s">
        <v>655</v>
      </c>
      <c r="E36" s="141" t="s">
        <v>752</v>
      </c>
      <c r="F36" s="141" t="s">
        <v>753</v>
      </c>
      <c r="G36" s="141"/>
      <c r="H36" s="141" t="s">
        <v>353</v>
      </c>
      <c r="I36" s="141"/>
      <c r="J36" s="141" t="s">
        <v>354</v>
      </c>
      <c r="K36" s="141" t="s">
        <v>754</v>
      </c>
      <c r="L36" s="141" t="s">
        <v>755</v>
      </c>
      <c r="M36" s="141" t="s">
        <v>756</v>
      </c>
      <c r="N36" s="141" t="s">
        <v>358</v>
      </c>
      <c r="O36" s="141" t="s">
        <v>393</v>
      </c>
      <c r="P36" s="141" t="s">
        <v>424</v>
      </c>
      <c r="Q36" s="141" t="s">
        <v>425</v>
      </c>
      <c r="R36" s="141" t="s">
        <v>361</v>
      </c>
      <c r="S36" s="141" t="s">
        <v>490</v>
      </c>
      <c r="T36" s="141" t="s">
        <v>651</v>
      </c>
      <c r="U36" s="141" t="s">
        <v>651</v>
      </c>
      <c r="V36" s="141"/>
      <c r="W36" s="141"/>
      <c r="X36" s="141"/>
      <c r="Y36" s="141"/>
      <c r="Z36" s="141"/>
      <c r="AA36" s="141"/>
      <c r="AB36" s="141"/>
      <c r="AC36" s="141"/>
      <c r="AD36" s="141"/>
      <c r="AE36" s="141"/>
      <c r="AF36" s="141"/>
      <c r="AG36" s="141"/>
      <c r="AH36" s="141"/>
      <c r="AI36" s="141"/>
      <c r="AJ36" s="141"/>
      <c r="AK36" s="141" t="s">
        <v>354</v>
      </c>
      <c r="AL36" s="141" t="s">
        <v>364</v>
      </c>
      <c r="AM36" s="141" t="s">
        <v>354</v>
      </c>
      <c r="AN36" s="141" t="s">
        <v>652</v>
      </c>
      <c r="AO36" s="141" t="s">
        <v>651</v>
      </c>
      <c r="AP36" s="141" t="s">
        <v>653</v>
      </c>
      <c r="AQ36" s="141" t="s">
        <v>654</v>
      </c>
      <c r="AR36" s="141" t="s">
        <v>408</v>
      </c>
      <c r="AS36" s="141"/>
      <c r="AT36" s="141"/>
      <c r="AU36" s="141" t="s">
        <v>755</v>
      </c>
      <c r="AV36" s="141" t="s">
        <v>655</v>
      </c>
      <c r="AW36" s="141" t="s">
        <v>757</v>
      </c>
      <c r="AX36" s="141" t="s">
        <v>657</v>
      </c>
      <c r="AY36" s="141" t="s">
        <v>758</v>
      </c>
      <c r="AZ36" s="141"/>
      <c r="BA36" s="141"/>
      <c r="BB36" s="141"/>
      <c r="BC36" s="141"/>
      <c r="BD36" s="141"/>
      <c r="BE36" s="141"/>
      <c r="BF36" s="141"/>
      <c r="BG36" s="141"/>
      <c r="BH36" s="141"/>
      <c r="BI36" s="141"/>
      <c r="BJ36" s="141" t="s">
        <v>382</v>
      </c>
      <c r="BK36" s="141" t="s">
        <v>759</v>
      </c>
      <c r="BL36" s="141"/>
      <c r="BM36" s="141"/>
      <c r="BN36" s="141"/>
      <c r="BO36" s="141"/>
      <c r="BP36" s="141"/>
      <c r="BQ36" s="141"/>
      <c r="BR36" s="141"/>
      <c r="BS36" s="141"/>
      <c r="BT36" s="141"/>
      <c r="BU36" s="141"/>
      <c r="BV36" s="141"/>
      <c r="BW36" s="141"/>
      <c r="BX36" s="141"/>
      <c r="BY36" s="141"/>
      <c r="BZ36" s="141"/>
      <c r="CA36" s="141"/>
      <c r="CB36" s="141"/>
      <c r="CC36" s="141"/>
      <c r="CD36" s="141"/>
      <c r="CE36" s="141"/>
      <c r="CF36" s="141"/>
      <c r="CG36" s="141"/>
      <c r="CH36" s="141"/>
      <c r="CI36" s="141"/>
      <c r="CJ36" s="141"/>
      <c r="CK36" s="141"/>
      <c r="CL36" s="141"/>
      <c r="CM36" s="141"/>
      <c r="CN36" s="141"/>
      <c r="CO36" s="141"/>
      <c r="CP36" s="141"/>
      <c r="CQ36" s="141"/>
      <c r="CR36" s="141"/>
      <c r="CS36" s="141"/>
      <c r="CT36" s="141"/>
      <c r="CU36" s="141"/>
      <c r="CV36" s="141"/>
      <c r="CW36" s="141"/>
      <c r="CX36" s="141"/>
      <c r="CY36" s="141"/>
      <c r="CZ36" s="141"/>
      <c r="DA36" s="173"/>
    </row>
    <row r="37" spans="2:105" x14ac:dyDescent="0.25">
      <c r="B37" s="172"/>
      <c r="C37" s="141"/>
      <c r="D37" s="141" t="s">
        <v>760</v>
      </c>
      <c r="E37" s="141"/>
      <c r="F37" s="141" t="s">
        <v>466</v>
      </c>
      <c r="G37" s="141"/>
      <c r="H37" s="141" t="s">
        <v>353</v>
      </c>
      <c r="I37" s="141"/>
      <c r="J37" s="141" t="s">
        <v>354</v>
      </c>
      <c r="K37" s="141" t="s">
        <v>761</v>
      </c>
      <c r="L37" s="141"/>
      <c r="M37" s="141"/>
      <c r="N37" s="141" t="s">
        <v>354</v>
      </c>
      <c r="O37" s="141"/>
      <c r="P37" s="141"/>
      <c r="Q37" s="141"/>
      <c r="R37" s="141"/>
      <c r="S37" s="141" t="s">
        <v>490</v>
      </c>
      <c r="T37" s="141" t="s">
        <v>651</v>
      </c>
      <c r="U37" s="141" t="s">
        <v>651</v>
      </c>
      <c r="V37" s="141"/>
      <c r="W37" s="141"/>
      <c r="X37" s="141"/>
      <c r="Y37" s="141"/>
      <c r="Z37" s="141"/>
      <c r="AA37" s="141"/>
      <c r="AB37" s="141"/>
      <c r="AC37" s="141"/>
      <c r="AD37" s="141"/>
      <c r="AE37" s="141"/>
      <c r="AF37" s="141"/>
      <c r="AG37" s="141"/>
      <c r="AH37" s="141"/>
      <c r="AI37" s="141"/>
      <c r="AJ37" s="141"/>
      <c r="AK37" s="141" t="s">
        <v>354</v>
      </c>
      <c r="AL37" s="141" t="s">
        <v>364</v>
      </c>
      <c r="AM37" s="141" t="s">
        <v>354</v>
      </c>
      <c r="AN37" s="141" t="s">
        <v>652</v>
      </c>
      <c r="AO37" s="141" t="s">
        <v>651</v>
      </c>
      <c r="AP37" s="141" t="s">
        <v>653</v>
      </c>
      <c r="AQ37" s="141" t="s">
        <v>654</v>
      </c>
      <c r="AR37" s="141" t="s">
        <v>408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/>
      <c r="BH37" s="141"/>
      <c r="BI37" s="141"/>
      <c r="BJ37" s="141"/>
      <c r="BK37" s="141"/>
      <c r="BL37" s="141"/>
      <c r="BM37" s="141"/>
      <c r="BN37" s="141"/>
      <c r="BO37" s="141"/>
      <c r="BP37" s="141"/>
      <c r="BQ37" s="141"/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1"/>
      <c r="CC37" s="141"/>
      <c r="CD37" s="141"/>
      <c r="CE37" s="141"/>
      <c r="CF37" s="141"/>
      <c r="CG37" s="141"/>
      <c r="CH37" s="141"/>
      <c r="CI37" s="141"/>
      <c r="CJ37" s="141"/>
      <c r="CK37" s="141"/>
      <c r="CL37" s="141"/>
      <c r="CM37" s="141"/>
      <c r="CN37" s="141"/>
      <c r="CO37" s="141"/>
      <c r="CP37" s="141"/>
      <c r="CQ37" s="141"/>
      <c r="CR37" s="141"/>
      <c r="CS37" s="141"/>
      <c r="CT37" s="141"/>
      <c r="CU37" s="141"/>
      <c r="CV37" s="141"/>
      <c r="CW37" s="141"/>
      <c r="CX37" s="141"/>
      <c r="CY37" s="141"/>
      <c r="CZ37" s="141"/>
      <c r="DA37" s="173"/>
    </row>
    <row r="38" spans="2:105" x14ac:dyDescent="0.25">
      <c r="B38" s="172"/>
      <c r="C38" s="141" t="s">
        <v>762</v>
      </c>
      <c r="D38" s="141" t="s">
        <v>763</v>
      </c>
      <c r="E38" s="141" t="s">
        <v>764</v>
      </c>
      <c r="F38" s="141" t="s">
        <v>765</v>
      </c>
      <c r="G38" s="141"/>
      <c r="H38" s="141" t="s">
        <v>353</v>
      </c>
      <c r="I38" s="141"/>
      <c r="J38" s="141" t="s">
        <v>354</v>
      </c>
      <c r="K38" s="141" t="s">
        <v>754</v>
      </c>
      <c r="L38" s="141" t="s">
        <v>766</v>
      </c>
      <c r="M38" s="141" t="s">
        <v>767</v>
      </c>
      <c r="N38" s="141" t="s">
        <v>354</v>
      </c>
      <c r="O38" s="141" t="s">
        <v>393</v>
      </c>
      <c r="P38" s="141" t="s">
        <v>424</v>
      </c>
      <c r="Q38" s="141" t="s">
        <v>425</v>
      </c>
      <c r="R38" s="141" t="s">
        <v>361</v>
      </c>
      <c r="S38" s="141" t="s">
        <v>408</v>
      </c>
      <c r="T38" s="141" t="s">
        <v>768</v>
      </c>
      <c r="U38" s="141" t="s">
        <v>768</v>
      </c>
      <c r="V38" s="141"/>
      <c r="W38" s="141"/>
      <c r="X38" s="141"/>
      <c r="Y38" s="141"/>
      <c r="Z38" s="141"/>
      <c r="AA38" s="141"/>
      <c r="AB38" s="141"/>
      <c r="AC38" s="141"/>
      <c r="AD38" s="141"/>
      <c r="AE38" s="141"/>
      <c r="AF38" s="141"/>
      <c r="AG38" s="141"/>
      <c r="AH38" s="141"/>
      <c r="AI38" s="141"/>
      <c r="AJ38" s="141"/>
      <c r="AK38" s="141" t="s">
        <v>354</v>
      </c>
      <c r="AL38" s="141" t="s">
        <v>364</v>
      </c>
      <c r="AM38" s="141" t="s">
        <v>354</v>
      </c>
      <c r="AN38" s="141" t="s">
        <v>769</v>
      </c>
      <c r="AO38" s="141" t="s">
        <v>768</v>
      </c>
      <c r="AP38" s="141" t="s">
        <v>770</v>
      </c>
      <c r="AQ38" s="141" t="s">
        <v>771</v>
      </c>
      <c r="AR38" s="141" t="s">
        <v>485</v>
      </c>
      <c r="AS38" s="141" t="s">
        <v>369</v>
      </c>
      <c r="AT38" s="141"/>
      <c r="AU38" s="141" t="s">
        <v>766</v>
      </c>
      <c r="AV38" s="141" t="s">
        <v>772</v>
      </c>
      <c r="AW38" s="141" t="s">
        <v>773</v>
      </c>
      <c r="AX38" s="141" t="s">
        <v>774</v>
      </c>
      <c r="AY38" s="141" t="s">
        <v>775</v>
      </c>
      <c r="AZ38" s="141" t="s">
        <v>776</v>
      </c>
      <c r="BA38" s="141" t="s">
        <v>777</v>
      </c>
      <c r="BB38" s="141" t="s">
        <v>778</v>
      </c>
      <c r="BC38" s="141" t="s">
        <v>660</v>
      </c>
      <c r="BD38" s="141" t="s">
        <v>779</v>
      </c>
      <c r="BE38" s="141" t="s">
        <v>780</v>
      </c>
      <c r="BF38" s="141" t="s">
        <v>781</v>
      </c>
      <c r="BG38" s="141" t="s">
        <v>782</v>
      </c>
      <c r="BH38" s="141" t="s">
        <v>783</v>
      </c>
      <c r="BI38" s="141" t="s">
        <v>784</v>
      </c>
      <c r="BJ38" s="141" t="s">
        <v>785</v>
      </c>
      <c r="BK38" s="141" t="s">
        <v>786</v>
      </c>
      <c r="BL38" s="141" t="s">
        <v>787</v>
      </c>
      <c r="BM38" s="141" t="s">
        <v>788</v>
      </c>
      <c r="BN38" s="141" t="s">
        <v>382</v>
      </c>
      <c r="BO38" s="141" t="s">
        <v>789</v>
      </c>
      <c r="BP38" s="141"/>
      <c r="BQ38" s="141"/>
      <c r="BR38" s="141"/>
      <c r="BS38" s="141"/>
      <c r="BT38" s="141"/>
      <c r="BU38" s="141"/>
      <c r="BV38" s="141"/>
      <c r="BW38" s="141"/>
      <c r="BX38" s="141"/>
      <c r="BY38" s="141"/>
      <c r="BZ38" s="141"/>
      <c r="CA38" s="141"/>
      <c r="CB38" s="141"/>
      <c r="CC38" s="141"/>
      <c r="CD38" s="141"/>
      <c r="CE38" s="141"/>
      <c r="CF38" s="141"/>
      <c r="CG38" s="141"/>
      <c r="CH38" s="141"/>
      <c r="CI38" s="141"/>
      <c r="CJ38" s="141"/>
      <c r="CK38" s="141"/>
      <c r="CL38" s="141"/>
      <c r="CM38" s="141"/>
      <c r="CN38" s="141"/>
      <c r="CO38" s="141"/>
      <c r="CP38" s="141"/>
      <c r="CQ38" s="141"/>
      <c r="CR38" s="141"/>
      <c r="CS38" s="141"/>
      <c r="CT38" s="141"/>
      <c r="CU38" s="141"/>
      <c r="CV38" s="141"/>
      <c r="CW38" s="141"/>
      <c r="CX38" s="141"/>
      <c r="CY38" s="141"/>
      <c r="CZ38" s="141"/>
      <c r="DA38" s="173"/>
    </row>
    <row r="39" spans="2:105" x14ac:dyDescent="0.25">
      <c r="B39" s="172"/>
      <c r="C39" s="141" t="s">
        <v>790</v>
      </c>
      <c r="D39" s="141" t="s">
        <v>791</v>
      </c>
      <c r="E39" s="141" t="s">
        <v>792</v>
      </c>
      <c r="F39" s="141" t="s">
        <v>793</v>
      </c>
      <c r="G39" s="141"/>
      <c r="H39" s="141" t="s">
        <v>353</v>
      </c>
      <c r="I39" s="141"/>
      <c r="J39" s="141" t="s">
        <v>354</v>
      </c>
      <c r="K39" s="141" t="s">
        <v>574</v>
      </c>
      <c r="L39" s="141" t="s">
        <v>794</v>
      </c>
      <c r="M39" s="141" t="s">
        <v>795</v>
      </c>
      <c r="N39" s="141" t="s">
        <v>354</v>
      </c>
      <c r="O39" s="141" t="s">
        <v>393</v>
      </c>
      <c r="P39" s="141" t="s">
        <v>424</v>
      </c>
      <c r="Q39" s="141" t="s">
        <v>425</v>
      </c>
      <c r="R39" s="141" t="s">
        <v>361</v>
      </c>
      <c r="S39" s="141" t="s">
        <v>408</v>
      </c>
      <c r="T39" s="141" t="s">
        <v>768</v>
      </c>
      <c r="U39" s="141" t="s">
        <v>768</v>
      </c>
      <c r="V39" s="141"/>
      <c r="W39" s="141"/>
      <c r="X39" s="141"/>
      <c r="Y39" s="141"/>
      <c r="Z39" s="141"/>
      <c r="AA39" s="141"/>
      <c r="AB39" s="141"/>
      <c r="AC39" s="141"/>
      <c r="AD39" s="141"/>
      <c r="AE39" s="141"/>
      <c r="AF39" s="141"/>
      <c r="AG39" s="141"/>
      <c r="AH39" s="141"/>
      <c r="AI39" s="141"/>
      <c r="AJ39" s="141"/>
      <c r="AK39" s="141" t="s">
        <v>354</v>
      </c>
      <c r="AL39" s="141" t="s">
        <v>364</v>
      </c>
      <c r="AM39" s="141" t="s">
        <v>354</v>
      </c>
      <c r="AN39" s="141" t="s">
        <v>769</v>
      </c>
      <c r="AO39" s="141" t="s">
        <v>768</v>
      </c>
      <c r="AP39" s="141" t="s">
        <v>770</v>
      </c>
      <c r="AQ39" s="141" t="s">
        <v>771</v>
      </c>
      <c r="AR39" s="141" t="s">
        <v>485</v>
      </c>
      <c r="AS39" s="141" t="s">
        <v>393</v>
      </c>
      <c r="AT39" s="141"/>
      <c r="AU39" s="141" t="s">
        <v>794</v>
      </c>
      <c r="AV39" s="141" t="s">
        <v>772</v>
      </c>
      <c r="AW39" s="141" t="s">
        <v>796</v>
      </c>
      <c r="AX39" s="141" t="s">
        <v>774</v>
      </c>
      <c r="AY39" s="141" t="s">
        <v>797</v>
      </c>
      <c r="AZ39" s="141" t="s">
        <v>776</v>
      </c>
      <c r="BA39" s="141" t="s">
        <v>798</v>
      </c>
      <c r="BB39" s="141" t="s">
        <v>778</v>
      </c>
      <c r="BC39" s="141" t="s">
        <v>799</v>
      </c>
      <c r="BD39" s="141" t="s">
        <v>779</v>
      </c>
      <c r="BE39" s="141" t="s">
        <v>550</v>
      </c>
      <c r="BF39" s="141" t="s">
        <v>781</v>
      </c>
      <c r="BG39" s="141" t="s">
        <v>800</v>
      </c>
      <c r="BH39" s="141" t="s">
        <v>783</v>
      </c>
      <c r="BI39" s="141" t="s">
        <v>681</v>
      </c>
      <c r="BJ39" s="141" t="s">
        <v>785</v>
      </c>
      <c r="BK39" s="141" t="s">
        <v>801</v>
      </c>
      <c r="BL39" s="141" t="s">
        <v>787</v>
      </c>
      <c r="BM39" s="141" t="s">
        <v>802</v>
      </c>
      <c r="BN39" s="141" t="s">
        <v>382</v>
      </c>
      <c r="BO39" s="141" t="s">
        <v>803</v>
      </c>
      <c r="BP39" s="141"/>
      <c r="BQ39" s="141"/>
      <c r="BR39" s="141"/>
      <c r="BS39" s="141"/>
      <c r="BT39" s="141"/>
      <c r="BU39" s="141"/>
      <c r="BV39" s="141"/>
      <c r="BW39" s="141"/>
      <c r="BX39" s="141"/>
      <c r="BY39" s="141"/>
      <c r="BZ39" s="141"/>
      <c r="CA39" s="141"/>
      <c r="CB39" s="141"/>
      <c r="CC39" s="141"/>
      <c r="CD39" s="141"/>
      <c r="CE39" s="141"/>
      <c r="CF39" s="141"/>
      <c r="CG39" s="141"/>
      <c r="CH39" s="141"/>
      <c r="CI39" s="141"/>
      <c r="CJ39" s="141"/>
      <c r="CK39" s="141"/>
      <c r="CL39" s="141"/>
      <c r="CM39" s="141"/>
      <c r="CN39" s="141"/>
      <c r="CO39" s="141"/>
      <c r="CP39" s="141"/>
      <c r="CQ39" s="141"/>
      <c r="CR39" s="141"/>
      <c r="CS39" s="141"/>
      <c r="CT39" s="141"/>
      <c r="CU39" s="141"/>
      <c r="CV39" s="141"/>
      <c r="CW39" s="141"/>
      <c r="CX39" s="141"/>
      <c r="CY39" s="141"/>
      <c r="CZ39" s="141"/>
      <c r="DA39" s="173"/>
    </row>
    <row r="40" spans="2:105" x14ac:dyDescent="0.25">
      <c r="B40" s="172"/>
      <c r="C40" s="141" t="s">
        <v>804</v>
      </c>
      <c r="D40" s="141" t="s">
        <v>805</v>
      </c>
      <c r="E40" s="141" t="s">
        <v>699</v>
      </c>
      <c r="F40" s="141" t="s">
        <v>604</v>
      </c>
      <c r="G40" s="141"/>
      <c r="H40" s="141" t="s">
        <v>353</v>
      </c>
      <c r="I40" s="141"/>
      <c r="J40" s="141" t="s">
        <v>354</v>
      </c>
      <c r="K40" s="141" t="s">
        <v>806</v>
      </c>
      <c r="L40" s="141" t="s">
        <v>807</v>
      </c>
      <c r="M40" s="141" t="s">
        <v>808</v>
      </c>
      <c r="N40" s="141" t="s">
        <v>354</v>
      </c>
      <c r="O40" s="141" t="s">
        <v>393</v>
      </c>
      <c r="P40" s="141" t="s">
        <v>424</v>
      </c>
      <c r="Q40" s="141" t="s">
        <v>425</v>
      </c>
      <c r="R40" s="141" t="s">
        <v>361</v>
      </c>
      <c r="S40" s="141" t="s">
        <v>408</v>
      </c>
      <c r="T40" s="141" t="s">
        <v>768</v>
      </c>
      <c r="U40" s="141" t="s">
        <v>768</v>
      </c>
      <c r="V40" s="141"/>
      <c r="W40" s="141"/>
      <c r="X40" s="141"/>
      <c r="Y40" s="141"/>
      <c r="Z40" s="141"/>
      <c r="AA40" s="141"/>
      <c r="AB40" s="141"/>
      <c r="AC40" s="141"/>
      <c r="AD40" s="141"/>
      <c r="AE40" s="141"/>
      <c r="AF40" s="141"/>
      <c r="AG40" s="141"/>
      <c r="AH40" s="141"/>
      <c r="AI40" s="141"/>
      <c r="AJ40" s="141"/>
      <c r="AK40" s="141" t="s">
        <v>354</v>
      </c>
      <c r="AL40" s="141" t="s">
        <v>364</v>
      </c>
      <c r="AM40" s="141" t="s">
        <v>354</v>
      </c>
      <c r="AN40" s="141" t="s">
        <v>769</v>
      </c>
      <c r="AO40" s="141" t="s">
        <v>768</v>
      </c>
      <c r="AP40" s="141" t="s">
        <v>770</v>
      </c>
      <c r="AQ40" s="141" t="s">
        <v>771</v>
      </c>
      <c r="AR40" s="141" t="s">
        <v>485</v>
      </c>
      <c r="AS40" s="141" t="s">
        <v>358</v>
      </c>
      <c r="AT40" s="141"/>
      <c r="AU40" s="141" t="s">
        <v>807</v>
      </c>
      <c r="AV40" s="141" t="s">
        <v>772</v>
      </c>
      <c r="AW40" s="141" t="s">
        <v>809</v>
      </c>
      <c r="AX40" s="141" t="s">
        <v>774</v>
      </c>
      <c r="AY40" s="141" t="s">
        <v>810</v>
      </c>
      <c r="AZ40" s="141" t="s">
        <v>776</v>
      </c>
      <c r="BA40" s="141" t="s">
        <v>811</v>
      </c>
      <c r="BB40" s="141" t="s">
        <v>778</v>
      </c>
      <c r="BC40" s="141" t="s">
        <v>812</v>
      </c>
      <c r="BD40" s="141" t="s">
        <v>779</v>
      </c>
      <c r="BE40" s="141" t="s">
        <v>813</v>
      </c>
      <c r="BF40" s="141" t="s">
        <v>781</v>
      </c>
      <c r="BG40" s="141" t="s">
        <v>814</v>
      </c>
      <c r="BH40" s="141" t="s">
        <v>783</v>
      </c>
      <c r="BI40" s="141" t="s">
        <v>815</v>
      </c>
      <c r="BJ40" s="141" t="s">
        <v>785</v>
      </c>
      <c r="BK40" s="141" t="s">
        <v>816</v>
      </c>
      <c r="BL40" s="141" t="s">
        <v>787</v>
      </c>
      <c r="BM40" s="141" t="s">
        <v>817</v>
      </c>
      <c r="BN40" s="141" t="s">
        <v>382</v>
      </c>
      <c r="BO40" s="141" t="s">
        <v>440</v>
      </c>
      <c r="BP40" s="141"/>
      <c r="BQ40" s="141"/>
      <c r="BR40" s="141"/>
      <c r="BS40" s="141"/>
      <c r="BT40" s="141"/>
      <c r="BU40" s="141"/>
      <c r="BV40" s="141"/>
      <c r="BW40" s="141"/>
      <c r="BX40" s="141"/>
      <c r="BY40" s="141"/>
      <c r="BZ40" s="141"/>
      <c r="CA40" s="141"/>
      <c r="CB40" s="141"/>
      <c r="CC40" s="141"/>
      <c r="CD40" s="141"/>
      <c r="CE40" s="141"/>
      <c r="CF40" s="141"/>
      <c r="CG40" s="141"/>
      <c r="CH40" s="141"/>
      <c r="CI40" s="141"/>
      <c r="CJ40" s="141"/>
      <c r="CK40" s="141"/>
      <c r="CL40" s="141"/>
      <c r="CM40" s="141"/>
      <c r="CN40" s="141"/>
      <c r="CO40" s="141"/>
      <c r="CP40" s="141"/>
      <c r="CQ40" s="141"/>
      <c r="CR40" s="141"/>
      <c r="CS40" s="141"/>
      <c r="CT40" s="141"/>
      <c r="CU40" s="141"/>
      <c r="CV40" s="141"/>
      <c r="CW40" s="141"/>
      <c r="CX40" s="141"/>
      <c r="CY40" s="141"/>
      <c r="CZ40" s="141"/>
      <c r="DA40" s="173"/>
    </row>
    <row r="41" spans="2:105" x14ac:dyDescent="0.25">
      <c r="B41" s="172"/>
      <c r="C41" s="141" t="s">
        <v>818</v>
      </c>
      <c r="D41" s="141" t="s">
        <v>654</v>
      </c>
      <c r="E41" s="141" t="s">
        <v>819</v>
      </c>
      <c r="F41" s="141" t="s">
        <v>820</v>
      </c>
      <c r="G41" s="141"/>
      <c r="H41" s="141" t="s">
        <v>353</v>
      </c>
      <c r="I41" s="141"/>
      <c r="J41" s="141" t="s">
        <v>354</v>
      </c>
      <c r="K41" s="141" t="s">
        <v>741</v>
      </c>
      <c r="L41" s="141" t="s">
        <v>821</v>
      </c>
      <c r="M41" s="141" t="s">
        <v>822</v>
      </c>
      <c r="N41" s="141" t="s">
        <v>354</v>
      </c>
      <c r="O41" s="141" t="s">
        <v>393</v>
      </c>
      <c r="P41" s="141" t="s">
        <v>424</v>
      </c>
      <c r="Q41" s="141" t="s">
        <v>425</v>
      </c>
      <c r="R41" s="141" t="s">
        <v>361</v>
      </c>
      <c r="S41" s="141" t="s">
        <v>408</v>
      </c>
      <c r="T41" s="141" t="s">
        <v>768</v>
      </c>
      <c r="U41" s="141" t="s">
        <v>768</v>
      </c>
      <c r="V41" s="141"/>
      <c r="W41" s="141"/>
      <c r="X41" s="141"/>
      <c r="Y41" s="141"/>
      <c r="Z41" s="141"/>
      <c r="AA41" s="141"/>
      <c r="AB41" s="141"/>
      <c r="AC41" s="141"/>
      <c r="AD41" s="141"/>
      <c r="AE41" s="141"/>
      <c r="AF41" s="141"/>
      <c r="AG41" s="141"/>
      <c r="AH41" s="141"/>
      <c r="AI41" s="141"/>
      <c r="AJ41" s="141"/>
      <c r="AK41" s="141" t="s">
        <v>354</v>
      </c>
      <c r="AL41" s="141" t="s">
        <v>364</v>
      </c>
      <c r="AM41" s="141" t="s">
        <v>354</v>
      </c>
      <c r="AN41" s="141" t="s">
        <v>769</v>
      </c>
      <c r="AO41" s="141" t="s">
        <v>768</v>
      </c>
      <c r="AP41" s="141" t="s">
        <v>770</v>
      </c>
      <c r="AQ41" s="141" t="s">
        <v>771</v>
      </c>
      <c r="AR41" s="141" t="s">
        <v>485</v>
      </c>
      <c r="AS41" s="141" t="s">
        <v>426</v>
      </c>
      <c r="AT41" s="141"/>
      <c r="AU41" s="141" t="s">
        <v>821</v>
      </c>
      <c r="AV41" s="141" t="s">
        <v>772</v>
      </c>
      <c r="AW41" s="141" t="s">
        <v>823</v>
      </c>
      <c r="AX41" s="141" t="s">
        <v>774</v>
      </c>
      <c r="AY41" s="141" t="s">
        <v>824</v>
      </c>
      <c r="AZ41" s="141" t="s">
        <v>776</v>
      </c>
      <c r="BA41" s="141" t="s">
        <v>825</v>
      </c>
      <c r="BB41" s="141" t="s">
        <v>778</v>
      </c>
      <c r="BC41" s="141" t="s">
        <v>826</v>
      </c>
      <c r="BD41" s="141" t="s">
        <v>779</v>
      </c>
      <c r="BE41" s="141" t="s">
        <v>827</v>
      </c>
      <c r="BF41" s="141" t="s">
        <v>781</v>
      </c>
      <c r="BG41" s="141" t="s">
        <v>828</v>
      </c>
      <c r="BH41" s="141" t="s">
        <v>783</v>
      </c>
      <c r="BI41" s="141" t="s">
        <v>829</v>
      </c>
      <c r="BJ41" s="141" t="s">
        <v>785</v>
      </c>
      <c r="BK41" s="141" t="s">
        <v>830</v>
      </c>
      <c r="BL41" s="141" t="s">
        <v>787</v>
      </c>
      <c r="BM41" s="141" t="s">
        <v>831</v>
      </c>
      <c r="BN41" s="141" t="s">
        <v>382</v>
      </c>
      <c r="BO41" s="141" t="s">
        <v>832</v>
      </c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1"/>
      <c r="CC41" s="141"/>
      <c r="CD41" s="141"/>
      <c r="CE41" s="141"/>
      <c r="CF41" s="141"/>
      <c r="CG41" s="141"/>
      <c r="CH41" s="141"/>
      <c r="CI41" s="141"/>
      <c r="CJ41" s="141"/>
      <c r="CK41" s="141"/>
      <c r="CL41" s="141"/>
      <c r="CM41" s="141"/>
      <c r="CN41" s="141"/>
      <c r="CO41" s="141"/>
      <c r="CP41" s="141"/>
      <c r="CQ41" s="141"/>
      <c r="CR41" s="141"/>
      <c r="CS41" s="141"/>
      <c r="CT41" s="141"/>
      <c r="CU41" s="141"/>
      <c r="CV41" s="141"/>
      <c r="CW41" s="141"/>
      <c r="CX41" s="141"/>
      <c r="CY41" s="141"/>
      <c r="CZ41" s="141"/>
      <c r="DA41" s="173"/>
    </row>
    <row r="42" spans="2:105" x14ac:dyDescent="0.25">
      <c r="B42" s="172"/>
      <c r="C42" s="141" t="s">
        <v>833</v>
      </c>
      <c r="D42" s="141" t="s">
        <v>834</v>
      </c>
      <c r="E42" s="141" t="s">
        <v>835</v>
      </c>
      <c r="F42" s="141" t="s">
        <v>508</v>
      </c>
      <c r="G42" s="141"/>
      <c r="H42" s="141" t="s">
        <v>353</v>
      </c>
      <c r="I42" s="141"/>
      <c r="J42" s="141" t="s">
        <v>354</v>
      </c>
      <c r="K42" s="141" t="s">
        <v>482</v>
      </c>
      <c r="L42" s="141" t="s">
        <v>836</v>
      </c>
      <c r="M42" s="141" t="s">
        <v>837</v>
      </c>
      <c r="N42" s="141" t="s">
        <v>354</v>
      </c>
      <c r="O42" s="141" t="s">
        <v>408</v>
      </c>
      <c r="P42" s="141" t="s">
        <v>409</v>
      </c>
      <c r="Q42" s="141" t="s">
        <v>409</v>
      </c>
      <c r="R42" s="141" t="s">
        <v>361</v>
      </c>
      <c r="S42" s="141" t="s">
        <v>408</v>
      </c>
      <c r="T42" s="141" t="s">
        <v>768</v>
      </c>
      <c r="U42" s="141" t="s">
        <v>768</v>
      </c>
      <c r="V42" s="141"/>
      <c r="W42" s="141"/>
      <c r="X42" s="141"/>
      <c r="Y42" s="141"/>
      <c r="Z42" s="141"/>
      <c r="AA42" s="141"/>
      <c r="AB42" s="141"/>
      <c r="AC42" s="141"/>
      <c r="AD42" s="141"/>
      <c r="AE42" s="141"/>
      <c r="AF42" s="141"/>
      <c r="AG42" s="141"/>
      <c r="AH42" s="141"/>
      <c r="AI42" s="141"/>
      <c r="AJ42" s="141"/>
      <c r="AK42" s="141" t="s">
        <v>354</v>
      </c>
      <c r="AL42" s="141" t="s">
        <v>364</v>
      </c>
      <c r="AM42" s="141" t="s">
        <v>354</v>
      </c>
      <c r="AN42" s="141" t="s">
        <v>769</v>
      </c>
      <c r="AO42" s="141" t="s">
        <v>768</v>
      </c>
      <c r="AP42" s="141" t="s">
        <v>770</v>
      </c>
      <c r="AQ42" s="141" t="s">
        <v>771</v>
      </c>
      <c r="AR42" s="141" t="s">
        <v>485</v>
      </c>
      <c r="AS42" s="141" t="s">
        <v>441</v>
      </c>
      <c r="AT42" s="141"/>
      <c r="AU42" s="141" t="s">
        <v>836</v>
      </c>
      <c r="AV42" s="141" t="s">
        <v>772</v>
      </c>
      <c r="AW42" s="141" t="s">
        <v>838</v>
      </c>
      <c r="AX42" s="141" t="s">
        <v>774</v>
      </c>
      <c r="AY42" s="141" t="s">
        <v>511</v>
      </c>
      <c r="AZ42" s="141" t="s">
        <v>776</v>
      </c>
      <c r="BA42" s="141" t="s">
        <v>839</v>
      </c>
      <c r="BB42" s="141" t="s">
        <v>778</v>
      </c>
      <c r="BC42" s="141" t="s">
        <v>840</v>
      </c>
      <c r="BD42" s="141" t="s">
        <v>779</v>
      </c>
      <c r="BE42" s="141" t="s">
        <v>841</v>
      </c>
      <c r="BF42" s="141" t="s">
        <v>781</v>
      </c>
      <c r="BG42" s="141" t="s">
        <v>842</v>
      </c>
      <c r="BH42" s="141" t="s">
        <v>783</v>
      </c>
      <c r="BI42" s="141" t="s">
        <v>843</v>
      </c>
      <c r="BJ42" s="141" t="s">
        <v>785</v>
      </c>
      <c r="BK42" s="141" t="s">
        <v>844</v>
      </c>
      <c r="BL42" s="141" t="s">
        <v>787</v>
      </c>
      <c r="BM42" s="141" t="s">
        <v>845</v>
      </c>
      <c r="BN42" s="141" t="s">
        <v>382</v>
      </c>
      <c r="BO42" s="141" t="s">
        <v>846</v>
      </c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1"/>
      <c r="CC42" s="141"/>
      <c r="CD42" s="141"/>
      <c r="CE42" s="141"/>
      <c r="CF42" s="141"/>
      <c r="CG42" s="141"/>
      <c r="CH42" s="141"/>
      <c r="CI42" s="141"/>
      <c r="CJ42" s="141"/>
      <c r="CK42" s="141"/>
      <c r="CL42" s="141"/>
      <c r="CM42" s="141"/>
      <c r="CN42" s="141"/>
      <c r="CO42" s="141"/>
      <c r="CP42" s="141"/>
      <c r="CQ42" s="141"/>
      <c r="CR42" s="141"/>
      <c r="CS42" s="141"/>
      <c r="CT42" s="141"/>
      <c r="CU42" s="141"/>
      <c r="CV42" s="141"/>
      <c r="CW42" s="141"/>
      <c r="CX42" s="141"/>
      <c r="CY42" s="141"/>
      <c r="CZ42" s="141"/>
      <c r="DA42" s="173"/>
    </row>
    <row r="43" spans="2:105" x14ac:dyDescent="0.25">
      <c r="B43" s="172"/>
      <c r="C43" s="141" t="s">
        <v>847</v>
      </c>
      <c r="D43" s="141" t="s">
        <v>848</v>
      </c>
      <c r="E43" s="141" t="s">
        <v>849</v>
      </c>
      <c r="F43" s="141" t="s">
        <v>850</v>
      </c>
      <c r="G43" s="141"/>
      <c r="H43" s="141" t="s">
        <v>353</v>
      </c>
      <c r="I43" s="141"/>
      <c r="J43" s="141" t="s">
        <v>354</v>
      </c>
      <c r="K43" s="141" t="s">
        <v>851</v>
      </c>
      <c r="L43" s="141" t="s">
        <v>852</v>
      </c>
      <c r="M43" s="141" t="s">
        <v>853</v>
      </c>
      <c r="N43" s="141" t="s">
        <v>354</v>
      </c>
      <c r="O43" s="141" t="s">
        <v>408</v>
      </c>
      <c r="P43" s="141" t="s">
        <v>409</v>
      </c>
      <c r="Q43" s="141" t="s">
        <v>409</v>
      </c>
      <c r="R43" s="141" t="s">
        <v>361</v>
      </c>
      <c r="S43" s="141" t="s">
        <v>408</v>
      </c>
      <c r="T43" s="141" t="s">
        <v>768</v>
      </c>
      <c r="U43" s="141" t="s">
        <v>768</v>
      </c>
      <c r="V43" s="141"/>
      <c r="W43" s="141"/>
      <c r="X43" s="141"/>
      <c r="Y43" s="141"/>
      <c r="Z43" s="141"/>
      <c r="AA43" s="141"/>
      <c r="AB43" s="141"/>
      <c r="AC43" s="141"/>
      <c r="AD43" s="141"/>
      <c r="AE43" s="141"/>
      <c r="AF43" s="141"/>
      <c r="AG43" s="141"/>
      <c r="AH43" s="141"/>
      <c r="AI43" s="141"/>
      <c r="AJ43" s="141"/>
      <c r="AK43" s="141" t="s">
        <v>354</v>
      </c>
      <c r="AL43" s="141" t="s">
        <v>364</v>
      </c>
      <c r="AM43" s="141" t="s">
        <v>354</v>
      </c>
      <c r="AN43" s="141" t="s">
        <v>769</v>
      </c>
      <c r="AO43" s="141" t="s">
        <v>768</v>
      </c>
      <c r="AP43" s="141" t="s">
        <v>770</v>
      </c>
      <c r="AQ43" s="141" t="s">
        <v>771</v>
      </c>
      <c r="AR43" s="141" t="s">
        <v>485</v>
      </c>
      <c r="AS43" s="141" t="s">
        <v>391</v>
      </c>
      <c r="AT43" s="141"/>
      <c r="AU43" s="141" t="s">
        <v>852</v>
      </c>
      <c r="AV43" s="141" t="s">
        <v>772</v>
      </c>
      <c r="AW43" s="141" t="s">
        <v>854</v>
      </c>
      <c r="AX43" s="141" t="s">
        <v>774</v>
      </c>
      <c r="AY43" s="141" t="s">
        <v>855</v>
      </c>
      <c r="AZ43" s="141" t="s">
        <v>776</v>
      </c>
      <c r="BA43" s="141" t="s">
        <v>856</v>
      </c>
      <c r="BB43" s="141" t="s">
        <v>778</v>
      </c>
      <c r="BC43" s="141" t="s">
        <v>857</v>
      </c>
      <c r="BD43" s="141" t="s">
        <v>779</v>
      </c>
      <c r="BE43" s="141" t="s">
        <v>858</v>
      </c>
      <c r="BF43" s="141" t="s">
        <v>781</v>
      </c>
      <c r="BG43" s="141" t="s">
        <v>859</v>
      </c>
      <c r="BH43" s="141" t="s">
        <v>783</v>
      </c>
      <c r="BI43" s="141" t="s">
        <v>860</v>
      </c>
      <c r="BJ43" s="141" t="s">
        <v>785</v>
      </c>
      <c r="BK43" s="141" t="s">
        <v>861</v>
      </c>
      <c r="BL43" s="141" t="s">
        <v>787</v>
      </c>
      <c r="BM43" s="141" t="s">
        <v>862</v>
      </c>
      <c r="BN43" s="141" t="s">
        <v>382</v>
      </c>
      <c r="BO43" s="141" t="s">
        <v>863</v>
      </c>
      <c r="BP43" s="141"/>
      <c r="BQ43" s="141"/>
      <c r="BR43" s="141"/>
      <c r="BS43" s="141"/>
      <c r="BT43" s="141"/>
      <c r="BU43" s="141"/>
      <c r="BV43" s="141"/>
      <c r="BW43" s="141"/>
      <c r="BX43" s="141"/>
      <c r="BY43" s="141"/>
      <c r="BZ43" s="141"/>
      <c r="CA43" s="141"/>
      <c r="CB43" s="141"/>
      <c r="CC43" s="141"/>
      <c r="CD43" s="141"/>
      <c r="CE43" s="141"/>
      <c r="CF43" s="141"/>
      <c r="CG43" s="141"/>
      <c r="CH43" s="141"/>
      <c r="CI43" s="141"/>
      <c r="CJ43" s="141"/>
      <c r="CK43" s="141"/>
      <c r="CL43" s="141"/>
      <c r="CM43" s="141"/>
      <c r="CN43" s="141"/>
      <c r="CO43" s="141"/>
      <c r="CP43" s="141"/>
      <c r="CQ43" s="141"/>
      <c r="CR43" s="141"/>
      <c r="CS43" s="141"/>
      <c r="CT43" s="141"/>
      <c r="CU43" s="141"/>
      <c r="CV43" s="141"/>
      <c r="CW43" s="141"/>
      <c r="CX43" s="141"/>
      <c r="CY43" s="141"/>
      <c r="CZ43" s="141"/>
      <c r="DA43" s="173"/>
    </row>
    <row r="44" spans="2:105" x14ac:dyDescent="0.25">
      <c r="B44" s="172"/>
      <c r="C44" s="141"/>
      <c r="D44" s="141" t="s">
        <v>864</v>
      </c>
      <c r="E44" s="141"/>
      <c r="F44" s="141" t="s">
        <v>466</v>
      </c>
      <c r="G44" s="141"/>
      <c r="H44" s="141" t="s">
        <v>353</v>
      </c>
      <c r="I44" s="141"/>
      <c r="J44" s="141" t="s">
        <v>354</v>
      </c>
      <c r="K44" s="141" t="s">
        <v>865</v>
      </c>
      <c r="L44" s="141"/>
      <c r="M44" s="141"/>
      <c r="N44" s="141" t="s">
        <v>354</v>
      </c>
      <c r="O44" s="141"/>
      <c r="P44" s="141"/>
      <c r="Q44" s="141"/>
      <c r="R44" s="141"/>
      <c r="S44" s="141" t="s">
        <v>408</v>
      </c>
      <c r="T44" s="141" t="s">
        <v>768</v>
      </c>
      <c r="U44" s="141" t="s">
        <v>768</v>
      </c>
      <c r="V44" s="141"/>
      <c r="W44" s="141"/>
      <c r="X44" s="141"/>
      <c r="Y44" s="141"/>
      <c r="Z44" s="141"/>
      <c r="AA44" s="141"/>
      <c r="AB44" s="141"/>
      <c r="AC44" s="141"/>
      <c r="AD44" s="141"/>
      <c r="AE44" s="141"/>
      <c r="AF44" s="141"/>
      <c r="AG44" s="141"/>
      <c r="AH44" s="141"/>
      <c r="AI44" s="141"/>
      <c r="AJ44" s="141"/>
      <c r="AK44" s="141" t="s">
        <v>354</v>
      </c>
      <c r="AL44" s="141" t="s">
        <v>364</v>
      </c>
      <c r="AM44" s="141" t="s">
        <v>354</v>
      </c>
      <c r="AN44" s="141" t="s">
        <v>769</v>
      </c>
      <c r="AO44" s="141" t="s">
        <v>768</v>
      </c>
      <c r="AP44" s="141" t="s">
        <v>770</v>
      </c>
      <c r="AQ44" s="141" t="s">
        <v>771</v>
      </c>
      <c r="AR44" s="141" t="s">
        <v>485</v>
      </c>
      <c r="AS44" s="141"/>
      <c r="AT44" s="141"/>
      <c r="AU44" s="141"/>
      <c r="AV44" s="141"/>
      <c r="AW44" s="141"/>
      <c r="AX44" s="141"/>
      <c r="AY44" s="141"/>
      <c r="AZ44" s="141"/>
      <c r="BA44" s="141"/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/>
      <c r="BM44" s="141"/>
      <c r="BN44" s="141"/>
      <c r="BO44" s="141"/>
      <c r="BP44" s="141"/>
      <c r="BQ44" s="141"/>
      <c r="BR44" s="141"/>
      <c r="BS44" s="141"/>
      <c r="BT44" s="141"/>
      <c r="BU44" s="141"/>
      <c r="BV44" s="141"/>
      <c r="BW44" s="141"/>
      <c r="BX44" s="141"/>
      <c r="BY44" s="141"/>
      <c r="BZ44" s="141"/>
      <c r="CA44" s="141"/>
      <c r="CB44" s="141"/>
      <c r="CC44" s="141"/>
      <c r="CD44" s="141"/>
      <c r="CE44" s="141"/>
      <c r="CF44" s="141"/>
      <c r="CG44" s="141"/>
      <c r="CH44" s="141"/>
      <c r="CI44" s="141"/>
      <c r="CJ44" s="141"/>
      <c r="CK44" s="141"/>
      <c r="CL44" s="141"/>
      <c r="CM44" s="141"/>
      <c r="CN44" s="141"/>
      <c r="CO44" s="141"/>
      <c r="CP44" s="141"/>
      <c r="CQ44" s="141"/>
      <c r="CR44" s="141"/>
      <c r="CS44" s="141"/>
      <c r="CT44" s="141"/>
      <c r="CU44" s="141"/>
      <c r="CV44" s="141"/>
      <c r="CW44" s="141"/>
      <c r="CX44" s="141"/>
      <c r="CY44" s="141"/>
      <c r="CZ44" s="141"/>
      <c r="DA44" s="173"/>
    </row>
    <row r="45" spans="2:105" x14ac:dyDescent="0.25">
      <c r="B45" s="172"/>
      <c r="C45" s="141" t="s">
        <v>866</v>
      </c>
      <c r="D45" s="141" t="s">
        <v>867</v>
      </c>
      <c r="E45" s="141" t="s">
        <v>868</v>
      </c>
      <c r="F45" s="141" t="s">
        <v>869</v>
      </c>
      <c r="G45" s="141"/>
      <c r="H45" s="141" t="s">
        <v>353</v>
      </c>
      <c r="I45" s="141"/>
      <c r="J45" s="141" t="s">
        <v>354</v>
      </c>
      <c r="K45" s="141" t="s">
        <v>605</v>
      </c>
      <c r="L45" s="141"/>
      <c r="M45" s="141"/>
      <c r="N45" s="141" t="s">
        <v>393</v>
      </c>
      <c r="O45" s="141" t="s">
        <v>391</v>
      </c>
      <c r="P45" s="141" t="s">
        <v>392</v>
      </c>
      <c r="Q45" s="141" t="s">
        <v>392</v>
      </c>
      <c r="R45" s="141" t="s">
        <v>361</v>
      </c>
      <c r="S45" s="141" t="s">
        <v>408</v>
      </c>
      <c r="T45" s="141" t="s">
        <v>768</v>
      </c>
      <c r="U45" s="141" t="s">
        <v>768</v>
      </c>
      <c r="V45" s="141"/>
      <c r="W45" s="141"/>
      <c r="X45" s="141"/>
      <c r="Y45" s="141"/>
      <c r="Z45" s="141"/>
      <c r="AA45" s="141"/>
      <c r="AB45" s="141"/>
      <c r="AC45" s="141"/>
      <c r="AD45" s="141"/>
      <c r="AE45" s="141"/>
      <c r="AF45" s="141"/>
      <c r="AG45" s="141"/>
      <c r="AH45" s="141"/>
      <c r="AI45" s="141"/>
      <c r="AJ45" s="141"/>
      <c r="AK45" s="141" t="s">
        <v>354</v>
      </c>
      <c r="AL45" s="141" t="s">
        <v>364</v>
      </c>
      <c r="AM45" s="141" t="s">
        <v>354</v>
      </c>
      <c r="AN45" s="141" t="s">
        <v>769</v>
      </c>
      <c r="AO45" s="141" t="s">
        <v>768</v>
      </c>
      <c r="AP45" s="141" t="s">
        <v>770</v>
      </c>
      <c r="AQ45" s="141" t="s">
        <v>771</v>
      </c>
      <c r="AR45" s="141" t="s">
        <v>485</v>
      </c>
      <c r="AS45" s="141"/>
      <c r="AT45" s="141"/>
      <c r="AU45" s="141"/>
      <c r="AV45" s="141"/>
      <c r="AW45" s="141"/>
      <c r="AX45" s="141"/>
      <c r="AY45" s="141"/>
      <c r="AZ45" s="141"/>
      <c r="BA45" s="141"/>
      <c r="BB45" s="141"/>
      <c r="BC45" s="141"/>
      <c r="BD45" s="141"/>
      <c r="BE45" s="141"/>
      <c r="BF45" s="141"/>
      <c r="BG45" s="141"/>
      <c r="BH45" s="141"/>
      <c r="BI45" s="141"/>
      <c r="BJ45" s="141"/>
      <c r="BK45" s="141"/>
      <c r="BL45" s="141"/>
      <c r="BM45" s="141"/>
      <c r="BN45" s="141"/>
      <c r="BO45" s="141"/>
      <c r="BP45" s="141"/>
      <c r="BQ45" s="141"/>
      <c r="BR45" s="141"/>
      <c r="BS45" s="141"/>
      <c r="BT45" s="141"/>
      <c r="BU45" s="141"/>
      <c r="BV45" s="141"/>
      <c r="BW45" s="141"/>
      <c r="BX45" s="141"/>
      <c r="BY45" s="141"/>
      <c r="BZ45" s="141"/>
      <c r="CA45" s="141"/>
      <c r="CB45" s="141"/>
      <c r="CC45" s="141"/>
      <c r="CD45" s="141"/>
      <c r="CE45" s="141"/>
      <c r="CF45" s="141"/>
      <c r="CG45" s="141"/>
      <c r="CH45" s="141"/>
      <c r="CI45" s="141"/>
      <c r="CJ45" s="141"/>
      <c r="CK45" s="141"/>
      <c r="CL45" s="141"/>
      <c r="CM45" s="141"/>
      <c r="CN45" s="141"/>
      <c r="CO45" s="141"/>
      <c r="CP45" s="141"/>
      <c r="CQ45" s="141"/>
      <c r="CR45" s="141"/>
      <c r="CS45" s="141"/>
      <c r="CT45" s="141"/>
      <c r="CU45" s="141"/>
      <c r="CV45" s="141"/>
      <c r="CW45" s="141"/>
      <c r="CX45" s="141"/>
      <c r="CY45" s="141"/>
      <c r="CZ45" s="141"/>
      <c r="DA45" s="173"/>
    </row>
    <row r="46" spans="2:105" x14ac:dyDescent="0.25">
      <c r="B46" s="172"/>
      <c r="C46" s="141"/>
      <c r="D46" s="141" t="s">
        <v>870</v>
      </c>
      <c r="E46" s="141"/>
      <c r="F46" s="141" t="s">
        <v>466</v>
      </c>
      <c r="G46" s="141"/>
      <c r="H46" s="141" t="s">
        <v>353</v>
      </c>
      <c r="I46" s="141"/>
      <c r="J46" s="141" t="s">
        <v>354</v>
      </c>
      <c r="K46" s="141" t="s">
        <v>871</v>
      </c>
      <c r="L46" s="141"/>
      <c r="M46" s="141"/>
      <c r="N46" s="141" t="s">
        <v>354</v>
      </c>
      <c r="O46" s="141"/>
      <c r="P46" s="141"/>
      <c r="Q46" s="141"/>
      <c r="R46" s="141"/>
      <c r="S46" s="141" t="s">
        <v>408</v>
      </c>
      <c r="T46" s="141" t="s">
        <v>768</v>
      </c>
      <c r="U46" s="141" t="s">
        <v>768</v>
      </c>
      <c r="V46" s="141"/>
      <c r="W46" s="141"/>
      <c r="X46" s="141"/>
      <c r="Y46" s="141"/>
      <c r="Z46" s="141"/>
      <c r="AA46" s="141"/>
      <c r="AB46" s="141"/>
      <c r="AC46" s="141"/>
      <c r="AD46" s="141"/>
      <c r="AE46" s="141"/>
      <c r="AF46" s="141"/>
      <c r="AG46" s="141"/>
      <c r="AH46" s="141"/>
      <c r="AI46" s="141"/>
      <c r="AJ46" s="141"/>
      <c r="AK46" s="141" t="s">
        <v>354</v>
      </c>
      <c r="AL46" s="141" t="s">
        <v>364</v>
      </c>
      <c r="AM46" s="141" t="s">
        <v>354</v>
      </c>
      <c r="AN46" s="141" t="s">
        <v>769</v>
      </c>
      <c r="AO46" s="141" t="s">
        <v>768</v>
      </c>
      <c r="AP46" s="141" t="s">
        <v>770</v>
      </c>
      <c r="AQ46" s="141" t="s">
        <v>771</v>
      </c>
      <c r="AR46" s="141" t="s">
        <v>485</v>
      </c>
      <c r="AS46" s="141"/>
      <c r="AT46" s="141"/>
      <c r="AU46" s="141"/>
      <c r="AV46" s="141"/>
      <c r="AW46" s="141"/>
      <c r="AX46" s="141"/>
      <c r="AY46" s="141"/>
      <c r="AZ46" s="141"/>
      <c r="BA46" s="141"/>
      <c r="BB46" s="141"/>
      <c r="BC46" s="141"/>
      <c r="BD46" s="141"/>
      <c r="BE46" s="141"/>
      <c r="BF46" s="141"/>
      <c r="BG46" s="141"/>
      <c r="BH46" s="141"/>
      <c r="BI46" s="141"/>
      <c r="BJ46" s="141"/>
      <c r="BK46" s="141"/>
      <c r="BL46" s="141"/>
      <c r="BM46" s="141"/>
      <c r="BN46" s="141"/>
      <c r="BO46" s="141"/>
      <c r="BP46" s="141"/>
      <c r="BQ46" s="141"/>
      <c r="BR46" s="141"/>
      <c r="BS46" s="141"/>
      <c r="BT46" s="141"/>
      <c r="BU46" s="141"/>
      <c r="BV46" s="141"/>
      <c r="BW46" s="141"/>
      <c r="BX46" s="141"/>
      <c r="BY46" s="141"/>
      <c r="BZ46" s="141"/>
      <c r="CA46" s="141"/>
      <c r="CB46" s="141"/>
      <c r="CC46" s="141"/>
      <c r="CD46" s="141"/>
      <c r="CE46" s="141"/>
      <c r="CF46" s="141"/>
      <c r="CG46" s="141"/>
      <c r="CH46" s="141"/>
      <c r="CI46" s="141"/>
      <c r="CJ46" s="141"/>
      <c r="CK46" s="141"/>
      <c r="CL46" s="141"/>
      <c r="CM46" s="141"/>
      <c r="CN46" s="141"/>
      <c r="CO46" s="141"/>
      <c r="CP46" s="141"/>
      <c r="CQ46" s="141"/>
      <c r="CR46" s="141"/>
      <c r="CS46" s="141"/>
      <c r="CT46" s="141"/>
      <c r="CU46" s="141"/>
      <c r="CV46" s="141"/>
      <c r="CW46" s="141"/>
      <c r="CX46" s="141"/>
      <c r="CY46" s="141"/>
      <c r="CZ46" s="141"/>
      <c r="DA46" s="173"/>
    </row>
    <row r="47" spans="2:105" x14ac:dyDescent="0.25">
      <c r="B47" s="172"/>
      <c r="C47" s="141" t="s">
        <v>872</v>
      </c>
      <c r="D47" s="141" t="s">
        <v>873</v>
      </c>
      <c r="E47" s="141" t="s">
        <v>874</v>
      </c>
      <c r="F47" s="141" t="s">
        <v>437</v>
      </c>
      <c r="G47" s="141"/>
      <c r="H47" s="141" t="s">
        <v>353</v>
      </c>
      <c r="I47" s="141"/>
      <c r="J47" s="141" t="s">
        <v>354</v>
      </c>
      <c r="K47" s="141" t="s">
        <v>736</v>
      </c>
      <c r="L47" s="141" t="s">
        <v>875</v>
      </c>
      <c r="M47" s="141" t="s">
        <v>876</v>
      </c>
      <c r="N47" s="141" t="s">
        <v>358</v>
      </c>
      <c r="O47" s="141" t="s">
        <v>408</v>
      </c>
      <c r="P47" s="141" t="s">
        <v>409</v>
      </c>
      <c r="Q47" s="141" t="s">
        <v>409</v>
      </c>
      <c r="R47" s="141" t="s">
        <v>361</v>
      </c>
      <c r="S47" s="141" t="s">
        <v>408</v>
      </c>
      <c r="T47" s="141" t="s">
        <v>768</v>
      </c>
      <c r="U47" s="141" t="s">
        <v>768</v>
      </c>
      <c r="V47" s="141"/>
      <c r="W47" s="141"/>
      <c r="X47" s="141"/>
      <c r="Y47" s="141"/>
      <c r="Z47" s="141"/>
      <c r="AA47" s="141"/>
      <c r="AB47" s="141"/>
      <c r="AC47" s="141"/>
      <c r="AD47" s="141"/>
      <c r="AE47" s="141"/>
      <c r="AF47" s="141"/>
      <c r="AG47" s="141"/>
      <c r="AH47" s="141"/>
      <c r="AI47" s="141"/>
      <c r="AJ47" s="141"/>
      <c r="AK47" s="141" t="s">
        <v>354</v>
      </c>
      <c r="AL47" s="141" t="s">
        <v>364</v>
      </c>
      <c r="AM47" s="141" t="s">
        <v>354</v>
      </c>
      <c r="AN47" s="141" t="s">
        <v>769</v>
      </c>
      <c r="AO47" s="141" t="s">
        <v>768</v>
      </c>
      <c r="AP47" s="141" t="s">
        <v>770</v>
      </c>
      <c r="AQ47" s="141" t="s">
        <v>771</v>
      </c>
      <c r="AR47" s="141" t="s">
        <v>485</v>
      </c>
      <c r="AS47" s="141"/>
      <c r="AT47" s="141"/>
      <c r="AU47" s="141" t="s">
        <v>875</v>
      </c>
      <c r="AV47" s="141" t="s">
        <v>772</v>
      </c>
      <c r="AW47" s="141" t="s">
        <v>877</v>
      </c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 t="s">
        <v>382</v>
      </c>
      <c r="BO47" s="141" t="s">
        <v>878</v>
      </c>
      <c r="BP47" s="141"/>
      <c r="BQ47" s="141"/>
      <c r="BR47" s="141"/>
      <c r="BS47" s="141"/>
      <c r="BT47" s="141"/>
      <c r="BU47" s="141"/>
      <c r="BV47" s="141"/>
      <c r="BW47" s="141"/>
      <c r="BX47" s="141"/>
      <c r="BY47" s="141"/>
      <c r="BZ47" s="141"/>
      <c r="CA47" s="141"/>
      <c r="CB47" s="141"/>
      <c r="CC47" s="141"/>
      <c r="CD47" s="141"/>
      <c r="CE47" s="141"/>
      <c r="CF47" s="141"/>
      <c r="CG47" s="141"/>
      <c r="CH47" s="141"/>
      <c r="CI47" s="141"/>
      <c r="CJ47" s="141"/>
      <c r="CK47" s="141"/>
      <c r="CL47" s="141"/>
      <c r="CM47" s="141"/>
      <c r="CN47" s="141"/>
      <c r="CO47" s="141"/>
      <c r="CP47" s="141"/>
      <c r="CQ47" s="141"/>
      <c r="CR47" s="141"/>
      <c r="CS47" s="141"/>
      <c r="CT47" s="141"/>
      <c r="CU47" s="141"/>
      <c r="CV47" s="141"/>
      <c r="CW47" s="141"/>
      <c r="CX47" s="141"/>
      <c r="CY47" s="141"/>
      <c r="CZ47" s="141"/>
      <c r="DA47" s="173"/>
    </row>
    <row r="48" spans="2:105" x14ac:dyDescent="0.25">
      <c r="B48" s="172"/>
      <c r="C48" s="141" t="s">
        <v>879</v>
      </c>
      <c r="D48" s="141" t="s">
        <v>393</v>
      </c>
      <c r="E48" s="141" t="s">
        <v>880</v>
      </c>
      <c r="F48" s="141" t="s">
        <v>881</v>
      </c>
      <c r="G48" s="141"/>
      <c r="H48" s="141" t="s">
        <v>353</v>
      </c>
      <c r="I48" s="141"/>
      <c r="J48" s="141" t="s">
        <v>354</v>
      </c>
      <c r="K48" s="141" t="s">
        <v>882</v>
      </c>
      <c r="L48" s="141" t="s">
        <v>883</v>
      </c>
      <c r="M48" s="141" t="s">
        <v>884</v>
      </c>
      <c r="N48" s="141" t="s">
        <v>354</v>
      </c>
      <c r="O48" s="141" t="s">
        <v>369</v>
      </c>
      <c r="P48" s="141" t="s">
        <v>528</v>
      </c>
      <c r="Q48" s="141" t="s">
        <v>529</v>
      </c>
      <c r="R48" s="141" t="s">
        <v>361</v>
      </c>
      <c r="S48" s="141" t="s">
        <v>369</v>
      </c>
      <c r="T48" s="141" t="s">
        <v>885</v>
      </c>
      <c r="U48" s="141" t="s">
        <v>885</v>
      </c>
      <c r="V48" s="141"/>
      <c r="W48" s="141"/>
      <c r="X48" s="141"/>
      <c r="Y48" s="141"/>
      <c r="Z48" s="141"/>
      <c r="AA48" s="141"/>
      <c r="AB48" s="141"/>
      <c r="AC48" s="141"/>
      <c r="AD48" s="141"/>
      <c r="AE48" s="141"/>
      <c r="AF48" s="141"/>
      <c r="AG48" s="141"/>
      <c r="AH48" s="141"/>
      <c r="AI48" s="141"/>
      <c r="AJ48" s="141"/>
      <c r="AK48" s="141" t="s">
        <v>354</v>
      </c>
      <c r="AL48" s="141" t="s">
        <v>364</v>
      </c>
      <c r="AM48" s="141" t="s">
        <v>354</v>
      </c>
      <c r="AN48" s="141" t="s">
        <v>886</v>
      </c>
      <c r="AO48" s="141" t="s">
        <v>885</v>
      </c>
      <c r="AP48" s="141" t="s">
        <v>887</v>
      </c>
      <c r="AQ48" s="141" t="s">
        <v>888</v>
      </c>
      <c r="AR48" s="141" t="s">
        <v>889</v>
      </c>
      <c r="AS48" s="141" t="s">
        <v>369</v>
      </c>
      <c r="AT48" s="141"/>
      <c r="AU48" s="141" t="s">
        <v>883</v>
      </c>
      <c r="AV48" s="141" t="s">
        <v>890</v>
      </c>
      <c r="AW48" s="141" t="s">
        <v>891</v>
      </c>
      <c r="AX48" s="141" t="s">
        <v>892</v>
      </c>
      <c r="AY48" s="141" t="s">
        <v>893</v>
      </c>
      <c r="AZ48" s="141" t="s">
        <v>774</v>
      </c>
      <c r="BA48" s="141" t="s">
        <v>894</v>
      </c>
      <c r="BB48" s="141" t="s">
        <v>778</v>
      </c>
      <c r="BC48" s="141" t="s">
        <v>895</v>
      </c>
      <c r="BD48" s="141" t="s">
        <v>779</v>
      </c>
      <c r="BE48" s="141" t="s">
        <v>896</v>
      </c>
      <c r="BF48" s="141" t="s">
        <v>781</v>
      </c>
      <c r="BG48" s="141" t="s">
        <v>897</v>
      </c>
      <c r="BH48" s="141" t="s">
        <v>571</v>
      </c>
      <c r="BI48" s="141" t="s">
        <v>898</v>
      </c>
      <c r="BJ48" s="141" t="s">
        <v>783</v>
      </c>
      <c r="BK48" s="141" t="s">
        <v>899</v>
      </c>
      <c r="BL48" s="141" t="s">
        <v>900</v>
      </c>
      <c r="BM48" s="141" t="s">
        <v>901</v>
      </c>
      <c r="BN48" s="141" t="s">
        <v>902</v>
      </c>
      <c r="BO48" s="141" t="s">
        <v>903</v>
      </c>
      <c r="BP48" s="141" t="s">
        <v>904</v>
      </c>
      <c r="BQ48" s="141" t="s">
        <v>905</v>
      </c>
      <c r="BR48" s="141" t="s">
        <v>906</v>
      </c>
      <c r="BS48" s="141" t="s">
        <v>907</v>
      </c>
      <c r="BT48" s="141" t="s">
        <v>908</v>
      </c>
      <c r="BU48" s="141" t="s">
        <v>909</v>
      </c>
      <c r="BV48" s="141" t="s">
        <v>910</v>
      </c>
      <c r="BW48" s="141" t="s">
        <v>911</v>
      </c>
      <c r="BX48" s="141" t="s">
        <v>912</v>
      </c>
      <c r="BY48" s="141" t="s">
        <v>913</v>
      </c>
      <c r="BZ48" s="141" t="s">
        <v>787</v>
      </c>
      <c r="CA48" s="141" t="s">
        <v>914</v>
      </c>
      <c r="CB48" s="141" t="s">
        <v>382</v>
      </c>
      <c r="CC48" s="141" t="s">
        <v>915</v>
      </c>
      <c r="CD48" s="141"/>
      <c r="CE48" s="141"/>
      <c r="CF48" s="141"/>
      <c r="CG48" s="141"/>
      <c r="CH48" s="141"/>
      <c r="CI48" s="141"/>
      <c r="CJ48" s="141"/>
      <c r="CK48" s="141"/>
      <c r="CL48" s="141"/>
      <c r="CM48" s="141"/>
      <c r="CN48" s="141"/>
      <c r="CO48" s="141"/>
      <c r="CP48" s="141"/>
      <c r="CQ48" s="141"/>
      <c r="CR48" s="141"/>
      <c r="CS48" s="141"/>
      <c r="CT48" s="141"/>
      <c r="CU48" s="141"/>
      <c r="CV48" s="141"/>
      <c r="CW48" s="141"/>
      <c r="CX48" s="141"/>
      <c r="CY48" s="141"/>
      <c r="CZ48" s="141"/>
      <c r="DA48" s="173"/>
    </row>
    <row r="49" spans="2:105" x14ac:dyDescent="0.25">
      <c r="B49" s="172"/>
      <c r="C49" s="141" t="s">
        <v>916</v>
      </c>
      <c r="D49" s="141" t="s">
        <v>917</v>
      </c>
      <c r="E49" s="141" t="s">
        <v>918</v>
      </c>
      <c r="F49" s="141" t="s">
        <v>919</v>
      </c>
      <c r="G49" s="141"/>
      <c r="H49" s="141" t="s">
        <v>353</v>
      </c>
      <c r="I49" s="141"/>
      <c r="J49" s="141" t="s">
        <v>354</v>
      </c>
      <c r="K49" s="141" t="s">
        <v>920</v>
      </c>
      <c r="L49" s="141" t="s">
        <v>921</v>
      </c>
      <c r="M49" s="141" t="s">
        <v>922</v>
      </c>
      <c r="N49" s="141" t="s">
        <v>354</v>
      </c>
      <c r="O49" s="141" t="s">
        <v>358</v>
      </c>
      <c r="P49" s="141" t="s">
        <v>359</v>
      </c>
      <c r="Q49" s="141" t="s">
        <v>360</v>
      </c>
      <c r="R49" s="141" t="s">
        <v>361</v>
      </c>
      <c r="S49" s="141" t="s">
        <v>369</v>
      </c>
      <c r="T49" s="141" t="s">
        <v>885</v>
      </c>
      <c r="U49" s="141" t="s">
        <v>885</v>
      </c>
      <c r="V49" s="141"/>
      <c r="W49" s="141"/>
      <c r="X49" s="141"/>
      <c r="Y49" s="141"/>
      <c r="Z49" s="141"/>
      <c r="AA49" s="141"/>
      <c r="AB49" s="141"/>
      <c r="AC49" s="141"/>
      <c r="AD49" s="141"/>
      <c r="AE49" s="141"/>
      <c r="AF49" s="141"/>
      <c r="AG49" s="141"/>
      <c r="AH49" s="141"/>
      <c r="AI49" s="141"/>
      <c r="AJ49" s="141"/>
      <c r="AK49" s="141" t="s">
        <v>354</v>
      </c>
      <c r="AL49" s="141" t="s">
        <v>364</v>
      </c>
      <c r="AM49" s="141" t="s">
        <v>354</v>
      </c>
      <c r="AN49" s="141" t="s">
        <v>886</v>
      </c>
      <c r="AO49" s="141" t="s">
        <v>885</v>
      </c>
      <c r="AP49" s="141" t="s">
        <v>887</v>
      </c>
      <c r="AQ49" s="141" t="s">
        <v>888</v>
      </c>
      <c r="AR49" s="141" t="s">
        <v>889</v>
      </c>
      <c r="AS49" s="141" t="s">
        <v>393</v>
      </c>
      <c r="AT49" s="141"/>
      <c r="AU49" s="141" t="s">
        <v>921</v>
      </c>
      <c r="AV49" s="141" t="s">
        <v>890</v>
      </c>
      <c r="AW49" s="141" t="s">
        <v>923</v>
      </c>
      <c r="AX49" s="141" t="s">
        <v>892</v>
      </c>
      <c r="AY49" s="141" t="s">
        <v>924</v>
      </c>
      <c r="AZ49" s="141" t="s">
        <v>774</v>
      </c>
      <c r="BA49" s="141" t="s">
        <v>925</v>
      </c>
      <c r="BB49" s="141" t="s">
        <v>778</v>
      </c>
      <c r="BC49" s="141" t="s">
        <v>926</v>
      </c>
      <c r="BD49" s="141" t="s">
        <v>779</v>
      </c>
      <c r="BE49" s="141" t="s">
        <v>927</v>
      </c>
      <c r="BF49" s="141" t="s">
        <v>781</v>
      </c>
      <c r="BG49" s="141" t="s">
        <v>928</v>
      </c>
      <c r="BH49" s="141" t="s">
        <v>571</v>
      </c>
      <c r="BI49" s="141" t="s">
        <v>677</v>
      </c>
      <c r="BJ49" s="141" t="s">
        <v>783</v>
      </c>
      <c r="BK49" s="141" t="s">
        <v>929</v>
      </c>
      <c r="BL49" s="141" t="s">
        <v>900</v>
      </c>
      <c r="BM49" s="141" t="s">
        <v>930</v>
      </c>
      <c r="BN49" s="141" t="s">
        <v>902</v>
      </c>
      <c r="BO49" s="141" t="s">
        <v>931</v>
      </c>
      <c r="BP49" s="141" t="s">
        <v>904</v>
      </c>
      <c r="BQ49" s="141" t="s">
        <v>840</v>
      </c>
      <c r="BR49" s="141" t="s">
        <v>906</v>
      </c>
      <c r="BS49" s="141" t="s">
        <v>932</v>
      </c>
      <c r="BT49" s="141" t="s">
        <v>908</v>
      </c>
      <c r="BU49" s="141" t="s">
        <v>933</v>
      </c>
      <c r="BV49" s="141" t="s">
        <v>910</v>
      </c>
      <c r="BW49" s="141" t="s">
        <v>934</v>
      </c>
      <c r="BX49" s="141" t="s">
        <v>912</v>
      </c>
      <c r="BY49" s="141" t="s">
        <v>935</v>
      </c>
      <c r="BZ49" s="141" t="s">
        <v>787</v>
      </c>
      <c r="CA49" s="141" t="s">
        <v>936</v>
      </c>
      <c r="CB49" s="141" t="s">
        <v>382</v>
      </c>
      <c r="CC49" s="141" t="s">
        <v>937</v>
      </c>
      <c r="CD49" s="141"/>
      <c r="CE49" s="141"/>
      <c r="CF49" s="141"/>
      <c r="CG49" s="141"/>
      <c r="CH49" s="141"/>
      <c r="CI49" s="141"/>
      <c r="CJ49" s="141"/>
      <c r="CK49" s="141"/>
      <c r="CL49" s="141"/>
      <c r="CM49" s="141"/>
      <c r="CN49" s="141"/>
      <c r="CO49" s="141"/>
      <c r="CP49" s="141"/>
      <c r="CQ49" s="141"/>
      <c r="CR49" s="141"/>
      <c r="CS49" s="141"/>
      <c r="CT49" s="141"/>
      <c r="CU49" s="141"/>
      <c r="CV49" s="141"/>
      <c r="CW49" s="141"/>
      <c r="CX49" s="141"/>
      <c r="CY49" s="141"/>
      <c r="CZ49" s="141"/>
      <c r="DA49" s="173"/>
    </row>
    <row r="50" spans="2:105" x14ac:dyDescent="0.25">
      <c r="B50" s="172"/>
      <c r="C50" s="141" t="s">
        <v>938</v>
      </c>
      <c r="D50" s="141" t="s">
        <v>771</v>
      </c>
      <c r="E50" s="141" t="s">
        <v>939</v>
      </c>
      <c r="F50" s="141" t="s">
        <v>940</v>
      </c>
      <c r="G50" s="141"/>
      <c r="H50" s="141" t="s">
        <v>353</v>
      </c>
      <c r="I50" s="141"/>
      <c r="J50" s="141" t="s">
        <v>354</v>
      </c>
      <c r="K50" s="141" t="s">
        <v>700</v>
      </c>
      <c r="L50" s="141" t="s">
        <v>941</v>
      </c>
      <c r="M50" s="141" t="s">
        <v>942</v>
      </c>
      <c r="N50" s="141" t="s">
        <v>354</v>
      </c>
      <c r="O50" s="141" t="s">
        <v>426</v>
      </c>
      <c r="P50" s="141" t="s">
        <v>454</v>
      </c>
      <c r="Q50" s="141" t="s">
        <v>455</v>
      </c>
      <c r="R50" s="141" t="s">
        <v>361</v>
      </c>
      <c r="S50" s="141" t="s">
        <v>369</v>
      </c>
      <c r="T50" s="141" t="s">
        <v>885</v>
      </c>
      <c r="U50" s="141" t="s">
        <v>885</v>
      </c>
      <c r="V50" s="141"/>
      <c r="W50" s="141"/>
      <c r="X50" s="141"/>
      <c r="Y50" s="141"/>
      <c r="Z50" s="141"/>
      <c r="AA50" s="141"/>
      <c r="AB50" s="141"/>
      <c r="AC50" s="141"/>
      <c r="AD50" s="141"/>
      <c r="AE50" s="141"/>
      <c r="AF50" s="141"/>
      <c r="AG50" s="141"/>
      <c r="AH50" s="141"/>
      <c r="AI50" s="141"/>
      <c r="AJ50" s="141"/>
      <c r="AK50" s="141" t="s">
        <v>354</v>
      </c>
      <c r="AL50" s="141" t="s">
        <v>364</v>
      </c>
      <c r="AM50" s="141" t="s">
        <v>354</v>
      </c>
      <c r="AN50" s="141" t="s">
        <v>886</v>
      </c>
      <c r="AO50" s="141" t="s">
        <v>885</v>
      </c>
      <c r="AP50" s="141" t="s">
        <v>887</v>
      </c>
      <c r="AQ50" s="141" t="s">
        <v>888</v>
      </c>
      <c r="AR50" s="141" t="s">
        <v>889</v>
      </c>
      <c r="AS50" s="141" t="s">
        <v>358</v>
      </c>
      <c r="AT50" s="141"/>
      <c r="AU50" s="141" t="s">
        <v>941</v>
      </c>
      <c r="AV50" s="141" t="s">
        <v>890</v>
      </c>
      <c r="AW50" s="141" t="s">
        <v>943</v>
      </c>
      <c r="AX50" s="141" t="s">
        <v>892</v>
      </c>
      <c r="AY50" s="141" t="s">
        <v>944</v>
      </c>
      <c r="AZ50" s="141" t="s">
        <v>774</v>
      </c>
      <c r="BA50" s="141" t="s">
        <v>945</v>
      </c>
      <c r="BB50" s="141" t="s">
        <v>778</v>
      </c>
      <c r="BC50" s="141" t="s">
        <v>946</v>
      </c>
      <c r="BD50" s="141" t="s">
        <v>779</v>
      </c>
      <c r="BE50" s="141" t="s">
        <v>947</v>
      </c>
      <c r="BF50" s="141" t="s">
        <v>781</v>
      </c>
      <c r="BG50" s="141" t="s">
        <v>948</v>
      </c>
      <c r="BH50" s="141" t="s">
        <v>571</v>
      </c>
      <c r="BI50" s="141" t="s">
        <v>949</v>
      </c>
      <c r="BJ50" s="141" t="s">
        <v>783</v>
      </c>
      <c r="BK50" s="141" t="s">
        <v>950</v>
      </c>
      <c r="BL50" s="141" t="s">
        <v>900</v>
      </c>
      <c r="BM50" s="141" t="s">
        <v>951</v>
      </c>
      <c r="BN50" s="141" t="s">
        <v>902</v>
      </c>
      <c r="BO50" s="141" t="s">
        <v>952</v>
      </c>
      <c r="BP50" s="141" t="s">
        <v>904</v>
      </c>
      <c r="BQ50" s="141" t="s">
        <v>953</v>
      </c>
      <c r="BR50" s="141" t="s">
        <v>906</v>
      </c>
      <c r="BS50" s="141" t="s">
        <v>954</v>
      </c>
      <c r="BT50" s="141" t="s">
        <v>908</v>
      </c>
      <c r="BU50" s="141" t="s">
        <v>955</v>
      </c>
      <c r="BV50" s="141" t="s">
        <v>910</v>
      </c>
      <c r="BW50" s="141" t="s">
        <v>913</v>
      </c>
      <c r="BX50" s="141" t="s">
        <v>912</v>
      </c>
      <c r="BY50" s="141" t="s">
        <v>956</v>
      </c>
      <c r="BZ50" s="141" t="s">
        <v>787</v>
      </c>
      <c r="CA50" s="141" t="s">
        <v>957</v>
      </c>
      <c r="CB50" s="141" t="s">
        <v>382</v>
      </c>
      <c r="CC50" s="141" t="s">
        <v>958</v>
      </c>
      <c r="CD50" s="141"/>
      <c r="CE50" s="141"/>
      <c r="CF50" s="141"/>
      <c r="CG50" s="141"/>
      <c r="CH50" s="141"/>
      <c r="CI50" s="141"/>
      <c r="CJ50" s="141"/>
      <c r="CK50" s="141"/>
      <c r="CL50" s="141"/>
      <c r="CM50" s="141"/>
      <c r="CN50" s="141"/>
      <c r="CO50" s="141"/>
      <c r="CP50" s="141"/>
      <c r="CQ50" s="141"/>
      <c r="CR50" s="141"/>
      <c r="CS50" s="141"/>
      <c r="CT50" s="141"/>
      <c r="CU50" s="141"/>
      <c r="CV50" s="141"/>
      <c r="CW50" s="141"/>
      <c r="CX50" s="141"/>
      <c r="CY50" s="141"/>
      <c r="CZ50" s="141"/>
      <c r="DA50" s="173"/>
    </row>
    <row r="51" spans="2:105" x14ac:dyDescent="0.25">
      <c r="B51" s="172"/>
      <c r="C51" s="141" t="s">
        <v>959</v>
      </c>
      <c r="D51" s="141" t="s">
        <v>960</v>
      </c>
      <c r="E51" s="141" t="s">
        <v>961</v>
      </c>
      <c r="F51" s="141" t="s">
        <v>962</v>
      </c>
      <c r="G51" s="141"/>
      <c r="H51" s="141" t="s">
        <v>353</v>
      </c>
      <c r="I51" s="141"/>
      <c r="J51" s="141" t="s">
        <v>354</v>
      </c>
      <c r="K51" s="141" t="s">
        <v>963</v>
      </c>
      <c r="L51" s="141" t="s">
        <v>964</v>
      </c>
      <c r="M51" s="141" t="s">
        <v>965</v>
      </c>
      <c r="N51" s="141" t="s">
        <v>354</v>
      </c>
      <c r="O51" s="141" t="s">
        <v>369</v>
      </c>
      <c r="P51" s="141" t="s">
        <v>528</v>
      </c>
      <c r="Q51" s="141" t="s">
        <v>529</v>
      </c>
      <c r="R51" s="141" t="s">
        <v>361</v>
      </c>
      <c r="S51" s="141" t="s">
        <v>369</v>
      </c>
      <c r="T51" s="141" t="s">
        <v>885</v>
      </c>
      <c r="U51" s="141" t="s">
        <v>885</v>
      </c>
      <c r="V51" s="141"/>
      <c r="W51" s="141"/>
      <c r="X51" s="141"/>
      <c r="Y51" s="141"/>
      <c r="Z51" s="141"/>
      <c r="AA51" s="141"/>
      <c r="AB51" s="141"/>
      <c r="AC51" s="141"/>
      <c r="AD51" s="141"/>
      <c r="AE51" s="141"/>
      <c r="AF51" s="141"/>
      <c r="AG51" s="141"/>
      <c r="AH51" s="141"/>
      <c r="AI51" s="141"/>
      <c r="AJ51" s="141"/>
      <c r="AK51" s="141" t="s">
        <v>354</v>
      </c>
      <c r="AL51" s="141" t="s">
        <v>364</v>
      </c>
      <c r="AM51" s="141" t="s">
        <v>354</v>
      </c>
      <c r="AN51" s="141" t="s">
        <v>886</v>
      </c>
      <c r="AO51" s="141" t="s">
        <v>885</v>
      </c>
      <c r="AP51" s="141" t="s">
        <v>887</v>
      </c>
      <c r="AQ51" s="141" t="s">
        <v>888</v>
      </c>
      <c r="AR51" s="141" t="s">
        <v>889</v>
      </c>
      <c r="AS51" s="141" t="s">
        <v>426</v>
      </c>
      <c r="AT51" s="141"/>
      <c r="AU51" s="141" t="s">
        <v>964</v>
      </c>
      <c r="AV51" s="141" t="s">
        <v>890</v>
      </c>
      <c r="AW51" s="141" t="s">
        <v>966</v>
      </c>
      <c r="AX51" s="141" t="s">
        <v>892</v>
      </c>
      <c r="AY51" s="141" t="s">
        <v>967</v>
      </c>
      <c r="AZ51" s="141" t="s">
        <v>774</v>
      </c>
      <c r="BA51" s="141" t="s">
        <v>690</v>
      </c>
      <c r="BB51" s="141" t="s">
        <v>778</v>
      </c>
      <c r="BC51" s="141" t="s">
        <v>968</v>
      </c>
      <c r="BD51" s="141" t="s">
        <v>779</v>
      </c>
      <c r="BE51" s="141" t="s">
        <v>969</v>
      </c>
      <c r="BF51" s="141" t="s">
        <v>781</v>
      </c>
      <c r="BG51" s="141" t="s">
        <v>970</v>
      </c>
      <c r="BH51" s="141" t="s">
        <v>571</v>
      </c>
      <c r="BI51" s="141" t="s">
        <v>971</v>
      </c>
      <c r="BJ51" s="141" t="s">
        <v>783</v>
      </c>
      <c r="BK51" s="141" t="s">
        <v>972</v>
      </c>
      <c r="BL51" s="141" t="s">
        <v>900</v>
      </c>
      <c r="BM51" s="141" t="s">
        <v>973</v>
      </c>
      <c r="BN51" s="141" t="s">
        <v>902</v>
      </c>
      <c r="BO51" s="141" t="s">
        <v>974</v>
      </c>
      <c r="BP51" s="141" t="s">
        <v>904</v>
      </c>
      <c r="BQ51" s="141" t="s">
        <v>975</v>
      </c>
      <c r="BR51" s="141" t="s">
        <v>906</v>
      </c>
      <c r="BS51" s="141" t="s">
        <v>976</v>
      </c>
      <c r="BT51" s="141" t="s">
        <v>908</v>
      </c>
      <c r="BU51" s="141" t="s">
        <v>977</v>
      </c>
      <c r="BV51" s="141" t="s">
        <v>910</v>
      </c>
      <c r="BW51" s="141" t="s">
        <v>978</v>
      </c>
      <c r="BX51" s="141" t="s">
        <v>912</v>
      </c>
      <c r="BY51" s="141" t="s">
        <v>979</v>
      </c>
      <c r="BZ51" s="141" t="s">
        <v>787</v>
      </c>
      <c r="CA51" s="141" t="s">
        <v>980</v>
      </c>
      <c r="CB51" s="141" t="s">
        <v>382</v>
      </c>
      <c r="CC51" s="141" t="s">
        <v>981</v>
      </c>
      <c r="CD51" s="141"/>
      <c r="CE51" s="141"/>
      <c r="CF51" s="141"/>
      <c r="CG51" s="141"/>
      <c r="CH51" s="141"/>
      <c r="CI51" s="141"/>
      <c r="CJ51" s="141"/>
      <c r="CK51" s="141"/>
      <c r="CL51" s="141"/>
      <c r="CM51" s="141"/>
      <c r="CN51" s="141"/>
      <c r="CO51" s="141"/>
      <c r="CP51" s="141"/>
      <c r="CQ51" s="141"/>
      <c r="CR51" s="141"/>
      <c r="CS51" s="141"/>
      <c r="CT51" s="141"/>
      <c r="CU51" s="141"/>
      <c r="CV51" s="141"/>
      <c r="CW51" s="141"/>
      <c r="CX51" s="141"/>
      <c r="CY51" s="141"/>
      <c r="CZ51" s="141"/>
      <c r="DA51" s="173"/>
    </row>
    <row r="52" spans="2:105" x14ac:dyDescent="0.25">
      <c r="B52" s="172"/>
      <c r="C52" s="141" t="s">
        <v>982</v>
      </c>
      <c r="D52" s="141" t="s">
        <v>983</v>
      </c>
      <c r="E52" s="141" t="s">
        <v>984</v>
      </c>
      <c r="F52" s="141" t="s">
        <v>471</v>
      </c>
      <c r="G52" s="141"/>
      <c r="H52" s="141" t="s">
        <v>353</v>
      </c>
      <c r="I52" s="141"/>
      <c r="J52" s="141" t="s">
        <v>354</v>
      </c>
      <c r="K52" s="141" t="s">
        <v>638</v>
      </c>
      <c r="L52" s="141" t="s">
        <v>985</v>
      </c>
      <c r="M52" s="141" t="s">
        <v>986</v>
      </c>
      <c r="N52" s="141" t="s">
        <v>354</v>
      </c>
      <c r="O52" s="141" t="s">
        <v>358</v>
      </c>
      <c r="P52" s="141" t="s">
        <v>359</v>
      </c>
      <c r="Q52" s="141" t="s">
        <v>360</v>
      </c>
      <c r="R52" s="141" t="s">
        <v>361</v>
      </c>
      <c r="S52" s="141" t="s">
        <v>369</v>
      </c>
      <c r="T52" s="141" t="s">
        <v>885</v>
      </c>
      <c r="U52" s="141" t="s">
        <v>885</v>
      </c>
      <c r="V52" s="141"/>
      <c r="W52" s="141"/>
      <c r="X52" s="141"/>
      <c r="Y52" s="141"/>
      <c r="Z52" s="141"/>
      <c r="AA52" s="141"/>
      <c r="AB52" s="141"/>
      <c r="AC52" s="141"/>
      <c r="AD52" s="141"/>
      <c r="AE52" s="141"/>
      <c r="AF52" s="141"/>
      <c r="AG52" s="141"/>
      <c r="AH52" s="141"/>
      <c r="AI52" s="141"/>
      <c r="AJ52" s="141"/>
      <c r="AK52" s="141" t="s">
        <v>354</v>
      </c>
      <c r="AL52" s="141" t="s">
        <v>364</v>
      </c>
      <c r="AM52" s="141" t="s">
        <v>354</v>
      </c>
      <c r="AN52" s="141" t="s">
        <v>886</v>
      </c>
      <c r="AO52" s="141" t="s">
        <v>885</v>
      </c>
      <c r="AP52" s="141" t="s">
        <v>887</v>
      </c>
      <c r="AQ52" s="141" t="s">
        <v>888</v>
      </c>
      <c r="AR52" s="141" t="s">
        <v>889</v>
      </c>
      <c r="AS52" s="141" t="s">
        <v>441</v>
      </c>
      <c r="AT52" s="141"/>
      <c r="AU52" s="141" t="s">
        <v>985</v>
      </c>
      <c r="AV52" s="141" t="s">
        <v>890</v>
      </c>
      <c r="AW52" s="141" t="s">
        <v>987</v>
      </c>
      <c r="AX52" s="141" t="s">
        <v>892</v>
      </c>
      <c r="AY52" s="141" t="s">
        <v>988</v>
      </c>
      <c r="AZ52" s="141" t="s">
        <v>774</v>
      </c>
      <c r="BA52" s="141" t="s">
        <v>989</v>
      </c>
      <c r="BB52" s="141" t="s">
        <v>778</v>
      </c>
      <c r="BC52" s="141" t="s">
        <v>970</v>
      </c>
      <c r="BD52" s="141" t="s">
        <v>779</v>
      </c>
      <c r="BE52" s="141" t="s">
        <v>990</v>
      </c>
      <c r="BF52" s="141" t="s">
        <v>781</v>
      </c>
      <c r="BG52" s="141" t="s">
        <v>991</v>
      </c>
      <c r="BH52" s="141" t="s">
        <v>571</v>
      </c>
      <c r="BI52" s="141" t="s">
        <v>992</v>
      </c>
      <c r="BJ52" s="141" t="s">
        <v>783</v>
      </c>
      <c r="BK52" s="141" t="s">
        <v>993</v>
      </c>
      <c r="BL52" s="141" t="s">
        <v>900</v>
      </c>
      <c r="BM52" s="141" t="s">
        <v>994</v>
      </c>
      <c r="BN52" s="141" t="s">
        <v>902</v>
      </c>
      <c r="BO52" s="141" t="s">
        <v>995</v>
      </c>
      <c r="BP52" s="141" t="s">
        <v>904</v>
      </c>
      <c r="BQ52" s="141" t="s">
        <v>996</v>
      </c>
      <c r="BR52" s="141" t="s">
        <v>906</v>
      </c>
      <c r="BS52" s="141" t="s">
        <v>997</v>
      </c>
      <c r="BT52" s="141" t="s">
        <v>908</v>
      </c>
      <c r="BU52" s="141" t="s">
        <v>998</v>
      </c>
      <c r="BV52" s="141" t="s">
        <v>910</v>
      </c>
      <c r="BW52" s="141" t="s">
        <v>999</v>
      </c>
      <c r="BX52" s="141" t="s">
        <v>912</v>
      </c>
      <c r="BY52" s="141" t="s">
        <v>1000</v>
      </c>
      <c r="BZ52" s="141" t="s">
        <v>787</v>
      </c>
      <c r="CA52" s="141" t="s">
        <v>1001</v>
      </c>
      <c r="CB52" s="141" t="s">
        <v>382</v>
      </c>
      <c r="CC52" s="141" t="s">
        <v>1002</v>
      </c>
      <c r="CD52" s="141"/>
      <c r="CE52" s="141"/>
      <c r="CF52" s="141"/>
      <c r="CG52" s="141"/>
      <c r="CH52" s="141"/>
      <c r="CI52" s="141"/>
      <c r="CJ52" s="141"/>
      <c r="CK52" s="141"/>
      <c r="CL52" s="141"/>
      <c r="CM52" s="141"/>
      <c r="CN52" s="141"/>
      <c r="CO52" s="141"/>
      <c r="CP52" s="141"/>
      <c r="CQ52" s="141"/>
      <c r="CR52" s="141"/>
      <c r="CS52" s="141"/>
      <c r="CT52" s="141"/>
      <c r="CU52" s="141"/>
      <c r="CV52" s="141"/>
      <c r="CW52" s="141"/>
      <c r="CX52" s="141"/>
      <c r="CY52" s="141"/>
      <c r="CZ52" s="141"/>
      <c r="DA52" s="173"/>
    </row>
    <row r="53" spans="2:105" x14ac:dyDescent="0.25">
      <c r="B53" s="172"/>
      <c r="C53" s="141" t="s">
        <v>1003</v>
      </c>
      <c r="D53" s="141" t="s">
        <v>1004</v>
      </c>
      <c r="E53" s="141" t="s">
        <v>984</v>
      </c>
      <c r="F53" s="141" t="s">
        <v>1005</v>
      </c>
      <c r="G53" s="141"/>
      <c r="H53" s="141" t="s">
        <v>353</v>
      </c>
      <c r="I53" s="141"/>
      <c r="J53" s="141" t="s">
        <v>354</v>
      </c>
      <c r="K53" s="141" t="s">
        <v>1006</v>
      </c>
      <c r="L53" s="141" t="s">
        <v>1007</v>
      </c>
      <c r="M53" s="141" t="s">
        <v>1008</v>
      </c>
      <c r="N53" s="141" t="s">
        <v>354</v>
      </c>
      <c r="O53" s="141" t="s">
        <v>358</v>
      </c>
      <c r="P53" s="141" t="s">
        <v>359</v>
      </c>
      <c r="Q53" s="141" t="s">
        <v>360</v>
      </c>
      <c r="R53" s="141" t="s">
        <v>361</v>
      </c>
      <c r="S53" s="141" t="s">
        <v>369</v>
      </c>
      <c r="T53" s="141" t="s">
        <v>885</v>
      </c>
      <c r="U53" s="141" t="s">
        <v>885</v>
      </c>
      <c r="V53" s="141"/>
      <c r="W53" s="141"/>
      <c r="X53" s="141"/>
      <c r="Y53" s="141"/>
      <c r="Z53" s="141"/>
      <c r="AA53" s="141"/>
      <c r="AB53" s="141"/>
      <c r="AC53" s="141"/>
      <c r="AD53" s="141"/>
      <c r="AE53" s="141"/>
      <c r="AF53" s="141"/>
      <c r="AG53" s="141"/>
      <c r="AH53" s="141"/>
      <c r="AI53" s="141"/>
      <c r="AJ53" s="141"/>
      <c r="AK53" s="141" t="s">
        <v>354</v>
      </c>
      <c r="AL53" s="141" t="s">
        <v>364</v>
      </c>
      <c r="AM53" s="141" t="s">
        <v>354</v>
      </c>
      <c r="AN53" s="141" t="s">
        <v>886</v>
      </c>
      <c r="AO53" s="141" t="s">
        <v>885</v>
      </c>
      <c r="AP53" s="141" t="s">
        <v>887</v>
      </c>
      <c r="AQ53" s="141" t="s">
        <v>888</v>
      </c>
      <c r="AR53" s="141" t="s">
        <v>889</v>
      </c>
      <c r="AS53" s="141" t="s">
        <v>391</v>
      </c>
      <c r="AT53" s="141"/>
      <c r="AU53" s="141" t="s">
        <v>1007</v>
      </c>
      <c r="AV53" s="141" t="s">
        <v>890</v>
      </c>
      <c r="AW53" s="141" t="s">
        <v>1009</v>
      </c>
      <c r="AX53" s="141" t="s">
        <v>892</v>
      </c>
      <c r="AY53" s="141" t="s">
        <v>988</v>
      </c>
      <c r="AZ53" s="141" t="s">
        <v>774</v>
      </c>
      <c r="BA53" s="141" t="s">
        <v>1010</v>
      </c>
      <c r="BB53" s="141" t="s">
        <v>778</v>
      </c>
      <c r="BC53" s="141" t="s">
        <v>1011</v>
      </c>
      <c r="BD53" s="141" t="s">
        <v>779</v>
      </c>
      <c r="BE53" s="141" t="s">
        <v>1012</v>
      </c>
      <c r="BF53" s="141" t="s">
        <v>781</v>
      </c>
      <c r="BG53" s="141" t="s">
        <v>1013</v>
      </c>
      <c r="BH53" s="141" t="s">
        <v>571</v>
      </c>
      <c r="BI53" s="141" t="s">
        <v>1014</v>
      </c>
      <c r="BJ53" s="141" t="s">
        <v>783</v>
      </c>
      <c r="BK53" s="141" t="s">
        <v>1015</v>
      </c>
      <c r="BL53" s="141" t="s">
        <v>900</v>
      </c>
      <c r="BM53" s="141" t="s">
        <v>1016</v>
      </c>
      <c r="BN53" s="141" t="s">
        <v>902</v>
      </c>
      <c r="BO53" s="141" t="s">
        <v>1017</v>
      </c>
      <c r="BP53" s="141" t="s">
        <v>904</v>
      </c>
      <c r="BQ53" s="141" t="s">
        <v>1018</v>
      </c>
      <c r="BR53" s="141" t="s">
        <v>906</v>
      </c>
      <c r="BS53" s="141" t="s">
        <v>1019</v>
      </c>
      <c r="BT53" s="141" t="s">
        <v>908</v>
      </c>
      <c r="BU53" s="141" t="s">
        <v>1020</v>
      </c>
      <c r="BV53" s="141" t="s">
        <v>910</v>
      </c>
      <c r="BW53" s="141" t="s">
        <v>1021</v>
      </c>
      <c r="BX53" s="141" t="s">
        <v>912</v>
      </c>
      <c r="BY53" s="141" t="s">
        <v>1022</v>
      </c>
      <c r="BZ53" s="141" t="s">
        <v>787</v>
      </c>
      <c r="CA53" s="141" t="s">
        <v>1023</v>
      </c>
      <c r="CB53" s="141" t="s">
        <v>382</v>
      </c>
      <c r="CC53" s="141" t="s">
        <v>1024</v>
      </c>
      <c r="CD53" s="141"/>
      <c r="CE53" s="141"/>
      <c r="CF53" s="141"/>
      <c r="CG53" s="141"/>
      <c r="CH53" s="141"/>
      <c r="CI53" s="141"/>
      <c r="CJ53" s="141"/>
      <c r="CK53" s="141"/>
      <c r="CL53" s="141"/>
      <c r="CM53" s="141"/>
      <c r="CN53" s="141"/>
      <c r="CO53" s="141"/>
      <c r="CP53" s="141"/>
      <c r="CQ53" s="141"/>
      <c r="CR53" s="141"/>
      <c r="CS53" s="141"/>
      <c r="CT53" s="141"/>
      <c r="CU53" s="141"/>
      <c r="CV53" s="141"/>
      <c r="CW53" s="141"/>
      <c r="CX53" s="141"/>
      <c r="CY53" s="141"/>
      <c r="CZ53" s="141"/>
      <c r="DA53" s="173"/>
    </row>
    <row r="54" spans="2:105" x14ac:dyDescent="0.25">
      <c r="B54" s="172"/>
      <c r="C54" s="141" t="s">
        <v>1025</v>
      </c>
      <c r="D54" s="141" t="s">
        <v>1026</v>
      </c>
      <c r="E54" s="141" t="s">
        <v>1027</v>
      </c>
      <c r="F54" s="141" t="s">
        <v>1028</v>
      </c>
      <c r="G54" s="141"/>
      <c r="H54" s="141" t="s">
        <v>353</v>
      </c>
      <c r="I54" s="141"/>
      <c r="J54" s="141" t="s">
        <v>354</v>
      </c>
      <c r="K54" s="141" t="s">
        <v>1029</v>
      </c>
      <c r="L54" s="141" t="s">
        <v>1030</v>
      </c>
      <c r="M54" s="141" t="s">
        <v>1031</v>
      </c>
      <c r="N54" s="141" t="s">
        <v>354</v>
      </c>
      <c r="O54" s="141" t="s">
        <v>393</v>
      </c>
      <c r="P54" s="141" t="s">
        <v>424</v>
      </c>
      <c r="Q54" s="141" t="s">
        <v>425</v>
      </c>
      <c r="R54" s="141" t="s">
        <v>361</v>
      </c>
      <c r="S54" s="141" t="s">
        <v>369</v>
      </c>
      <c r="T54" s="141" t="s">
        <v>885</v>
      </c>
      <c r="U54" s="141" t="s">
        <v>885</v>
      </c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 t="s">
        <v>354</v>
      </c>
      <c r="AL54" s="141" t="s">
        <v>364</v>
      </c>
      <c r="AM54" s="141" t="s">
        <v>354</v>
      </c>
      <c r="AN54" s="141" t="s">
        <v>886</v>
      </c>
      <c r="AO54" s="141" t="s">
        <v>885</v>
      </c>
      <c r="AP54" s="141" t="s">
        <v>887</v>
      </c>
      <c r="AQ54" s="141" t="s">
        <v>888</v>
      </c>
      <c r="AR54" s="141" t="s">
        <v>889</v>
      </c>
      <c r="AS54" s="141" t="s">
        <v>368</v>
      </c>
      <c r="AT54" s="141"/>
      <c r="AU54" s="141" t="s">
        <v>1030</v>
      </c>
      <c r="AV54" s="141" t="s">
        <v>890</v>
      </c>
      <c r="AW54" s="141" t="s">
        <v>1032</v>
      </c>
      <c r="AX54" s="141" t="s">
        <v>892</v>
      </c>
      <c r="AY54" s="141" t="s">
        <v>1033</v>
      </c>
      <c r="AZ54" s="141" t="s">
        <v>774</v>
      </c>
      <c r="BA54" s="141" t="s">
        <v>1034</v>
      </c>
      <c r="BB54" s="141" t="s">
        <v>778</v>
      </c>
      <c r="BC54" s="141" t="s">
        <v>1035</v>
      </c>
      <c r="BD54" s="141" t="s">
        <v>779</v>
      </c>
      <c r="BE54" s="141" t="s">
        <v>1036</v>
      </c>
      <c r="BF54" s="141" t="s">
        <v>781</v>
      </c>
      <c r="BG54" s="141" t="s">
        <v>1037</v>
      </c>
      <c r="BH54" s="141" t="s">
        <v>571</v>
      </c>
      <c r="BI54" s="141" t="s">
        <v>1038</v>
      </c>
      <c r="BJ54" s="141" t="s">
        <v>783</v>
      </c>
      <c r="BK54" s="141" t="s">
        <v>1039</v>
      </c>
      <c r="BL54" s="141" t="s">
        <v>900</v>
      </c>
      <c r="BM54" s="141" t="s">
        <v>1040</v>
      </c>
      <c r="BN54" s="141" t="s">
        <v>902</v>
      </c>
      <c r="BO54" s="141" t="s">
        <v>1041</v>
      </c>
      <c r="BP54" s="141" t="s">
        <v>904</v>
      </c>
      <c r="BQ54" s="141" t="s">
        <v>1042</v>
      </c>
      <c r="BR54" s="141" t="s">
        <v>906</v>
      </c>
      <c r="BS54" s="141" t="s">
        <v>1043</v>
      </c>
      <c r="BT54" s="141" t="s">
        <v>908</v>
      </c>
      <c r="BU54" s="141" t="s">
        <v>1044</v>
      </c>
      <c r="BV54" s="141" t="s">
        <v>910</v>
      </c>
      <c r="BW54" s="141" t="s">
        <v>1045</v>
      </c>
      <c r="BX54" s="141" t="s">
        <v>912</v>
      </c>
      <c r="BY54" s="141" t="s">
        <v>1046</v>
      </c>
      <c r="BZ54" s="141" t="s">
        <v>787</v>
      </c>
      <c r="CA54" s="141" t="s">
        <v>1047</v>
      </c>
      <c r="CB54" s="141" t="s">
        <v>382</v>
      </c>
      <c r="CC54" s="141" t="s">
        <v>1048</v>
      </c>
      <c r="CD54" s="141"/>
      <c r="CE54" s="141"/>
      <c r="CF54" s="141"/>
      <c r="CG54" s="141"/>
      <c r="CH54" s="141"/>
      <c r="CI54" s="141"/>
      <c r="CJ54" s="141"/>
      <c r="CK54" s="141"/>
      <c r="CL54" s="141"/>
      <c r="CM54" s="141"/>
      <c r="CN54" s="141"/>
      <c r="CO54" s="141"/>
      <c r="CP54" s="141"/>
      <c r="CQ54" s="141"/>
      <c r="CR54" s="141"/>
      <c r="CS54" s="141"/>
      <c r="CT54" s="141"/>
      <c r="CU54" s="141"/>
      <c r="CV54" s="141"/>
      <c r="CW54" s="141"/>
      <c r="CX54" s="141"/>
      <c r="CY54" s="141"/>
      <c r="CZ54" s="141"/>
      <c r="DA54" s="173"/>
    </row>
    <row r="55" spans="2:105" x14ac:dyDescent="0.25">
      <c r="B55" s="172"/>
      <c r="C55" s="141" t="s">
        <v>1049</v>
      </c>
      <c r="D55" s="141" t="s">
        <v>1050</v>
      </c>
      <c r="E55" s="141" t="s">
        <v>1051</v>
      </c>
      <c r="F55" s="141" t="s">
        <v>1052</v>
      </c>
      <c r="G55" s="141"/>
      <c r="H55" s="141" t="s">
        <v>353</v>
      </c>
      <c r="I55" s="141"/>
      <c r="J55" s="141" t="s">
        <v>354</v>
      </c>
      <c r="K55" s="141" t="s">
        <v>671</v>
      </c>
      <c r="L55" s="141" t="s">
        <v>1053</v>
      </c>
      <c r="M55" s="141" t="s">
        <v>1054</v>
      </c>
      <c r="N55" s="141" t="s">
        <v>354</v>
      </c>
      <c r="O55" s="141" t="s">
        <v>358</v>
      </c>
      <c r="P55" s="141" t="s">
        <v>359</v>
      </c>
      <c r="Q55" s="141" t="s">
        <v>360</v>
      </c>
      <c r="R55" s="141" t="s">
        <v>361</v>
      </c>
      <c r="S55" s="141" t="s">
        <v>369</v>
      </c>
      <c r="T55" s="141" t="s">
        <v>885</v>
      </c>
      <c r="U55" s="141" t="s">
        <v>885</v>
      </c>
      <c r="V55" s="141"/>
      <c r="W55" s="141"/>
      <c r="X55" s="141"/>
      <c r="Y55" s="141"/>
      <c r="Z55" s="141"/>
      <c r="AA55" s="141"/>
      <c r="AB55" s="141"/>
      <c r="AC55" s="141"/>
      <c r="AD55" s="141"/>
      <c r="AE55" s="141"/>
      <c r="AF55" s="141"/>
      <c r="AG55" s="141"/>
      <c r="AH55" s="141"/>
      <c r="AI55" s="141"/>
      <c r="AJ55" s="141"/>
      <c r="AK55" s="141" t="s">
        <v>354</v>
      </c>
      <c r="AL55" s="141" t="s">
        <v>364</v>
      </c>
      <c r="AM55" s="141" t="s">
        <v>354</v>
      </c>
      <c r="AN55" s="141" t="s">
        <v>886</v>
      </c>
      <c r="AO55" s="141" t="s">
        <v>885</v>
      </c>
      <c r="AP55" s="141" t="s">
        <v>887</v>
      </c>
      <c r="AQ55" s="141" t="s">
        <v>888</v>
      </c>
      <c r="AR55" s="141" t="s">
        <v>889</v>
      </c>
      <c r="AS55" s="141" t="s">
        <v>408</v>
      </c>
      <c r="AT55" s="141"/>
      <c r="AU55" s="141" t="s">
        <v>1053</v>
      </c>
      <c r="AV55" s="141" t="s">
        <v>890</v>
      </c>
      <c r="AW55" s="141" t="s">
        <v>729</v>
      </c>
      <c r="AX55" s="141" t="s">
        <v>892</v>
      </c>
      <c r="AY55" s="141" t="s">
        <v>498</v>
      </c>
      <c r="AZ55" s="141" t="s">
        <v>774</v>
      </c>
      <c r="BA55" s="141" t="s">
        <v>1055</v>
      </c>
      <c r="BB55" s="141" t="s">
        <v>778</v>
      </c>
      <c r="BC55" s="141" t="s">
        <v>1056</v>
      </c>
      <c r="BD55" s="141" t="s">
        <v>779</v>
      </c>
      <c r="BE55" s="141" t="s">
        <v>1057</v>
      </c>
      <c r="BF55" s="141" t="s">
        <v>781</v>
      </c>
      <c r="BG55" s="141" t="s">
        <v>1058</v>
      </c>
      <c r="BH55" s="141" t="s">
        <v>571</v>
      </c>
      <c r="BI55" s="141" t="s">
        <v>1059</v>
      </c>
      <c r="BJ55" s="141" t="s">
        <v>783</v>
      </c>
      <c r="BK55" s="141" t="s">
        <v>1060</v>
      </c>
      <c r="BL55" s="141" t="s">
        <v>900</v>
      </c>
      <c r="BM55" s="141" t="s">
        <v>1061</v>
      </c>
      <c r="BN55" s="141" t="s">
        <v>902</v>
      </c>
      <c r="BO55" s="141" t="s">
        <v>1062</v>
      </c>
      <c r="BP55" s="141" t="s">
        <v>904</v>
      </c>
      <c r="BQ55" s="141" t="s">
        <v>1063</v>
      </c>
      <c r="BR55" s="141" t="s">
        <v>906</v>
      </c>
      <c r="BS55" s="141" t="s">
        <v>1064</v>
      </c>
      <c r="BT55" s="141" t="s">
        <v>908</v>
      </c>
      <c r="BU55" s="141" t="s">
        <v>1065</v>
      </c>
      <c r="BV55" s="141" t="s">
        <v>910</v>
      </c>
      <c r="BW55" s="141" t="s">
        <v>1066</v>
      </c>
      <c r="BX55" s="141" t="s">
        <v>912</v>
      </c>
      <c r="BY55" s="141" t="s">
        <v>1067</v>
      </c>
      <c r="BZ55" s="141" t="s">
        <v>787</v>
      </c>
      <c r="CA55" s="141" t="s">
        <v>1068</v>
      </c>
      <c r="CB55" s="141" t="s">
        <v>382</v>
      </c>
      <c r="CC55" s="141" t="s">
        <v>1069</v>
      </c>
      <c r="CD55" s="141"/>
      <c r="CE55" s="141"/>
      <c r="CF55" s="141"/>
      <c r="CG55" s="141"/>
      <c r="CH55" s="141"/>
      <c r="CI55" s="141"/>
      <c r="CJ55" s="141"/>
      <c r="CK55" s="141"/>
      <c r="CL55" s="141"/>
      <c r="CM55" s="141"/>
      <c r="CN55" s="141"/>
      <c r="CO55" s="141"/>
      <c r="CP55" s="141"/>
      <c r="CQ55" s="141"/>
      <c r="CR55" s="141"/>
      <c r="CS55" s="141"/>
      <c r="CT55" s="141"/>
      <c r="CU55" s="141"/>
      <c r="CV55" s="141"/>
      <c r="CW55" s="141"/>
      <c r="CX55" s="141"/>
      <c r="CY55" s="141"/>
      <c r="CZ55" s="141"/>
      <c r="DA55" s="173"/>
    </row>
    <row r="56" spans="2:105" x14ac:dyDescent="0.25">
      <c r="B56" s="172"/>
      <c r="C56" s="141" t="s">
        <v>1070</v>
      </c>
      <c r="D56" s="141" t="s">
        <v>1071</v>
      </c>
      <c r="E56" s="141" t="s">
        <v>1072</v>
      </c>
      <c r="F56" s="141" t="s">
        <v>1073</v>
      </c>
      <c r="G56" s="141"/>
      <c r="H56" s="141" t="s">
        <v>353</v>
      </c>
      <c r="I56" s="141"/>
      <c r="J56" s="141" t="s">
        <v>354</v>
      </c>
      <c r="K56" s="141" t="s">
        <v>590</v>
      </c>
      <c r="L56" s="141" t="s">
        <v>1074</v>
      </c>
      <c r="M56" s="141" t="s">
        <v>1075</v>
      </c>
      <c r="N56" s="141" t="s">
        <v>354</v>
      </c>
      <c r="O56" s="141" t="s">
        <v>369</v>
      </c>
      <c r="P56" s="141" t="s">
        <v>528</v>
      </c>
      <c r="Q56" s="141" t="s">
        <v>529</v>
      </c>
      <c r="R56" s="141" t="s">
        <v>361</v>
      </c>
      <c r="S56" s="141" t="s">
        <v>369</v>
      </c>
      <c r="T56" s="141" t="s">
        <v>885</v>
      </c>
      <c r="U56" s="141" t="s">
        <v>885</v>
      </c>
      <c r="V56" s="141"/>
      <c r="W56" s="141"/>
      <c r="X56" s="141"/>
      <c r="Y56" s="141"/>
      <c r="Z56" s="141"/>
      <c r="AA56" s="141"/>
      <c r="AB56" s="141"/>
      <c r="AC56" s="141"/>
      <c r="AD56" s="141"/>
      <c r="AE56" s="141"/>
      <c r="AF56" s="141"/>
      <c r="AG56" s="141"/>
      <c r="AH56" s="141"/>
      <c r="AI56" s="141"/>
      <c r="AJ56" s="141"/>
      <c r="AK56" s="141" t="s">
        <v>354</v>
      </c>
      <c r="AL56" s="141" t="s">
        <v>364</v>
      </c>
      <c r="AM56" s="141" t="s">
        <v>354</v>
      </c>
      <c r="AN56" s="141" t="s">
        <v>886</v>
      </c>
      <c r="AO56" s="141" t="s">
        <v>885</v>
      </c>
      <c r="AP56" s="141" t="s">
        <v>887</v>
      </c>
      <c r="AQ56" s="141" t="s">
        <v>888</v>
      </c>
      <c r="AR56" s="141" t="s">
        <v>889</v>
      </c>
      <c r="AS56" s="141" t="s">
        <v>490</v>
      </c>
      <c r="AT56" s="141"/>
      <c r="AU56" s="141" t="s">
        <v>1074</v>
      </c>
      <c r="AV56" s="141" t="s">
        <v>890</v>
      </c>
      <c r="AW56" s="141" t="s">
        <v>1076</v>
      </c>
      <c r="AX56" s="141" t="s">
        <v>892</v>
      </c>
      <c r="AY56" s="141" t="s">
        <v>1077</v>
      </c>
      <c r="AZ56" s="141" t="s">
        <v>774</v>
      </c>
      <c r="BA56" s="141" t="s">
        <v>1078</v>
      </c>
      <c r="BB56" s="141" t="s">
        <v>778</v>
      </c>
      <c r="BC56" s="141" t="s">
        <v>1079</v>
      </c>
      <c r="BD56" s="141" t="s">
        <v>779</v>
      </c>
      <c r="BE56" s="141" t="s">
        <v>1080</v>
      </c>
      <c r="BF56" s="141" t="s">
        <v>781</v>
      </c>
      <c r="BG56" s="141" t="s">
        <v>407</v>
      </c>
      <c r="BH56" s="141" t="s">
        <v>571</v>
      </c>
      <c r="BI56" s="141" t="s">
        <v>1081</v>
      </c>
      <c r="BJ56" s="141" t="s">
        <v>783</v>
      </c>
      <c r="BK56" s="141" t="s">
        <v>1082</v>
      </c>
      <c r="BL56" s="141" t="s">
        <v>900</v>
      </c>
      <c r="BM56" s="141" t="s">
        <v>1083</v>
      </c>
      <c r="BN56" s="141" t="s">
        <v>902</v>
      </c>
      <c r="BO56" s="141" t="s">
        <v>1084</v>
      </c>
      <c r="BP56" s="141" t="s">
        <v>904</v>
      </c>
      <c r="BQ56" s="141" t="s">
        <v>1085</v>
      </c>
      <c r="BR56" s="141" t="s">
        <v>906</v>
      </c>
      <c r="BS56" s="141" t="s">
        <v>1086</v>
      </c>
      <c r="BT56" s="141" t="s">
        <v>908</v>
      </c>
      <c r="BU56" s="141" t="s">
        <v>1087</v>
      </c>
      <c r="BV56" s="141" t="s">
        <v>910</v>
      </c>
      <c r="BW56" s="141" t="s">
        <v>1088</v>
      </c>
      <c r="BX56" s="141" t="s">
        <v>912</v>
      </c>
      <c r="BY56" s="141" t="s">
        <v>1089</v>
      </c>
      <c r="BZ56" s="141" t="s">
        <v>787</v>
      </c>
      <c r="CA56" s="141" t="s">
        <v>1090</v>
      </c>
      <c r="CB56" s="141" t="s">
        <v>382</v>
      </c>
      <c r="CC56" s="141" t="s">
        <v>1091</v>
      </c>
      <c r="CD56" s="141"/>
      <c r="CE56" s="141"/>
      <c r="CF56" s="141"/>
      <c r="CG56" s="141"/>
      <c r="CH56" s="141"/>
      <c r="CI56" s="141"/>
      <c r="CJ56" s="141"/>
      <c r="CK56" s="141"/>
      <c r="CL56" s="141"/>
      <c r="CM56" s="141"/>
      <c r="CN56" s="141"/>
      <c r="CO56" s="141"/>
      <c r="CP56" s="141"/>
      <c r="CQ56" s="141"/>
      <c r="CR56" s="141"/>
      <c r="CS56" s="141"/>
      <c r="CT56" s="141"/>
      <c r="CU56" s="141"/>
      <c r="CV56" s="141"/>
      <c r="CW56" s="141"/>
      <c r="CX56" s="141"/>
      <c r="CY56" s="141"/>
      <c r="CZ56" s="141"/>
      <c r="DA56" s="173"/>
    </row>
    <row r="57" spans="2:105" x14ac:dyDescent="0.25">
      <c r="B57" s="172"/>
      <c r="C57" s="141" t="s">
        <v>1092</v>
      </c>
      <c r="D57" s="141" t="s">
        <v>1093</v>
      </c>
      <c r="E57" s="141" t="s">
        <v>1094</v>
      </c>
      <c r="F57" s="141" t="s">
        <v>1095</v>
      </c>
      <c r="G57" s="141"/>
      <c r="H57" s="141" t="s">
        <v>353</v>
      </c>
      <c r="I57" s="141"/>
      <c r="J57" s="141" t="s">
        <v>354</v>
      </c>
      <c r="K57" s="141" t="s">
        <v>1096</v>
      </c>
      <c r="L57" s="141" t="s">
        <v>1097</v>
      </c>
      <c r="M57" s="141" t="s">
        <v>1098</v>
      </c>
      <c r="N57" s="141" t="s">
        <v>354</v>
      </c>
      <c r="O57" s="141" t="s">
        <v>391</v>
      </c>
      <c r="P57" s="141" t="s">
        <v>392</v>
      </c>
      <c r="Q57" s="141" t="s">
        <v>392</v>
      </c>
      <c r="R57" s="141" t="s">
        <v>361</v>
      </c>
      <c r="S57" s="141" t="s">
        <v>369</v>
      </c>
      <c r="T57" s="141" t="s">
        <v>885</v>
      </c>
      <c r="U57" s="141" t="s">
        <v>885</v>
      </c>
      <c r="V57" s="141"/>
      <c r="W57" s="141"/>
      <c r="X57" s="141"/>
      <c r="Y57" s="141"/>
      <c r="Z57" s="141"/>
      <c r="AA57" s="141"/>
      <c r="AB57" s="141"/>
      <c r="AC57" s="141"/>
      <c r="AD57" s="141"/>
      <c r="AE57" s="141"/>
      <c r="AF57" s="141"/>
      <c r="AG57" s="141"/>
      <c r="AH57" s="141"/>
      <c r="AI57" s="141"/>
      <c r="AJ57" s="141"/>
      <c r="AK57" s="141" t="s">
        <v>354</v>
      </c>
      <c r="AL57" s="141" t="s">
        <v>364</v>
      </c>
      <c r="AM57" s="141" t="s">
        <v>354</v>
      </c>
      <c r="AN57" s="141" t="s">
        <v>886</v>
      </c>
      <c r="AO57" s="141" t="s">
        <v>885</v>
      </c>
      <c r="AP57" s="141" t="s">
        <v>887</v>
      </c>
      <c r="AQ57" s="141" t="s">
        <v>888</v>
      </c>
      <c r="AR57" s="141" t="s">
        <v>889</v>
      </c>
      <c r="AS57" s="141" t="s">
        <v>485</v>
      </c>
      <c r="AT57" s="141"/>
      <c r="AU57" s="141" t="s">
        <v>1097</v>
      </c>
      <c r="AV57" s="141" t="s">
        <v>890</v>
      </c>
      <c r="AW57" s="141" t="s">
        <v>1099</v>
      </c>
      <c r="AX57" s="141" t="s">
        <v>892</v>
      </c>
      <c r="AY57" s="141" t="s">
        <v>1100</v>
      </c>
      <c r="AZ57" s="141" t="s">
        <v>774</v>
      </c>
      <c r="BA57" s="141" t="s">
        <v>1101</v>
      </c>
      <c r="BB57" s="141" t="s">
        <v>778</v>
      </c>
      <c r="BC57" s="141" t="s">
        <v>1102</v>
      </c>
      <c r="BD57" s="141" t="s">
        <v>779</v>
      </c>
      <c r="BE57" s="141" t="s">
        <v>1103</v>
      </c>
      <c r="BF57" s="141" t="s">
        <v>781</v>
      </c>
      <c r="BG57" s="141" t="s">
        <v>1104</v>
      </c>
      <c r="BH57" s="141" t="s">
        <v>571</v>
      </c>
      <c r="BI57" s="141" t="s">
        <v>1105</v>
      </c>
      <c r="BJ57" s="141" t="s">
        <v>783</v>
      </c>
      <c r="BK57" s="141" t="s">
        <v>1106</v>
      </c>
      <c r="BL57" s="141" t="s">
        <v>900</v>
      </c>
      <c r="BM57" s="141" t="s">
        <v>1107</v>
      </c>
      <c r="BN57" s="141" t="s">
        <v>902</v>
      </c>
      <c r="BO57" s="141" t="s">
        <v>1108</v>
      </c>
      <c r="BP57" s="141" t="s">
        <v>904</v>
      </c>
      <c r="BQ57" s="141" t="s">
        <v>1109</v>
      </c>
      <c r="BR57" s="141" t="s">
        <v>906</v>
      </c>
      <c r="BS57" s="141" t="s">
        <v>1110</v>
      </c>
      <c r="BT57" s="141" t="s">
        <v>908</v>
      </c>
      <c r="BU57" s="141" t="s">
        <v>1111</v>
      </c>
      <c r="BV57" s="141" t="s">
        <v>910</v>
      </c>
      <c r="BW57" s="141" t="s">
        <v>1112</v>
      </c>
      <c r="BX57" s="141" t="s">
        <v>912</v>
      </c>
      <c r="BY57" s="141" t="s">
        <v>1113</v>
      </c>
      <c r="BZ57" s="141" t="s">
        <v>787</v>
      </c>
      <c r="CA57" s="141" t="s">
        <v>1114</v>
      </c>
      <c r="CB57" s="141" t="s">
        <v>382</v>
      </c>
      <c r="CC57" s="141" t="s">
        <v>1115</v>
      </c>
      <c r="CD57" s="141"/>
      <c r="CE57" s="141"/>
      <c r="CF57" s="141"/>
      <c r="CG57" s="141"/>
      <c r="CH57" s="141"/>
      <c r="CI57" s="141"/>
      <c r="CJ57" s="141"/>
      <c r="CK57" s="141"/>
      <c r="CL57" s="141"/>
      <c r="CM57" s="141"/>
      <c r="CN57" s="141"/>
      <c r="CO57" s="141"/>
      <c r="CP57" s="141"/>
      <c r="CQ57" s="141"/>
      <c r="CR57" s="141"/>
      <c r="CS57" s="141"/>
      <c r="CT57" s="141"/>
      <c r="CU57" s="141"/>
      <c r="CV57" s="141"/>
      <c r="CW57" s="141"/>
      <c r="CX57" s="141"/>
      <c r="CY57" s="141"/>
      <c r="CZ57" s="141"/>
      <c r="DA57" s="173"/>
    </row>
    <row r="58" spans="2:105" x14ac:dyDescent="0.25">
      <c r="B58" s="172"/>
      <c r="C58" s="141"/>
      <c r="D58" s="141" t="s">
        <v>1116</v>
      </c>
      <c r="E58" s="141"/>
      <c r="F58" s="141" t="s">
        <v>466</v>
      </c>
      <c r="G58" s="141"/>
      <c r="H58" s="141" t="s">
        <v>353</v>
      </c>
      <c r="I58" s="141"/>
      <c r="J58" s="141" t="s">
        <v>354</v>
      </c>
      <c r="K58" s="141" t="s">
        <v>1117</v>
      </c>
      <c r="L58" s="141"/>
      <c r="M58" s="141"/>
      <c r="N58" s="141" t="s">
        <v>354</v>
      </c>
      <c r="O58" s="141"/>
      <c r="P58" s="141"/>
      <c r="Q58" s="141"/>
      <c r="R58" s="141"/>
      <c r="S58" s="141" t="s">
        <v>369</v>
      </c>
      <c r="T58" s="141" t="s">
        <v>885</v>
      </c>
      <c r="U58" s="141" t="s">
        <v>885</v>
      </c>
      <c r="V58" s="141"/>
      <c r="W58" s="141"/>
      <c r="X58" s="141"/>
      <c r="Y58" s="141"/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 t="s">
        <v>354</v>
      </c>
      <c r="AL58" s="141" t="s">
        <v>364</v>
      </c>
      <c r="AM58" s="141" t="s">
        <v>354</v>
      </c>
      <c r="AN58" s="141" t="s">
        <v>886</v>
      </c>
      <c r="AO58" s="141" t="s">
        <v>885</v>
      </c>
      <c r="AP58" s="141" t="s">
        <v>887</v>
      </c>
      <c r="AQ58" s="141" t="s">
        <v>888</v>
      </c>
      <c r="AR58" s="141" t="s">
        <v>889</v>
      </c>
      <c r="AS58" s="141"/>
      <c r="AT58" s="141"/>
      <c r="AU58" s="141"/>
      <c r="AV58" s="141"/>
      <c r="AW58" s="141"/>
      <c r="AX58" s="141"/>
      <c r="AY58" s="141"/>
      <c r="AZ58" s="141"/>
      <c r="BA58" s="141"/>
      <c r="BB58" s="141"/>
      <c r="BC58" s="141"/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/>
      <c r="BZ58" s="141"/>
      <c r="CA58" s="141"/>
      <c r="CB58" s="141"/>
      <c r="CC58" s="141"/>
      <c r="CD58" s="141"/>
      <c r="CE58" s="141"/>
      <c r="CF58" s="141"/>
      <c r="CG58" s="141"/>
      <c r="CH58" s="141"/>
      <c r="CI58" s="141"/>
      <c r="CJ58" s="141"/>
      <c r="CK58" s="141"/>
      <c r="CL58" s="141"/>
      <c r="CM58" s="141"/>
      <c r="CN58" s="141"/>
      <c r="CO58" s="141"/>
      <c r="CP58" s="141"/>
      <c r="CQ58" s="141"/>
      <c r="CR58" s="141"/>
      <c r="CS58" s="141"/>
      <c r="CT58" s="141"/>
      <c r="CU58" s="141"/>
      <c r="CV58" s="141"/>
      <c r="CW58" s="141"/>
      <c r="CX58" s="141"/>
      <c r="CY58" s="141"/>
      <c r="CZ58" s="141"/>
      <c r="DA58" s="173"/>
    </row>
    <row r="59" spans="2:105" x14ac:dyDescent="0.25">
      <c r="B59" s="172"/>
      <c r="C59" s="141"/>
      <c r="D59" s="141" t="s">
        <v>1118</v>
      </c>
      <c r="E59" s="141"/>
      <c r="F59" s="141" t="s">
        <v>466</v>
      </c>
      <c r="G59" s="141"/>
      <c r="H59" s="141" t="s">
        <v>353</v>
      </c>
      <c r="I59" s="141"/>
      <c r="J59" s="141" t="s">
        <v>354</v>
      </c>
      <c r="K59" s="141" t="s">
        <v>640</v>
      </c>
      <c r="L59" s="141"/>
      <c r="M59" s="141"/>
      <c r="N59" s="141" t="s">
        <v>354</v>
      </c>
      <c r="O59" s="141"/>
      <c r="P59" s="141"/>
      <c r="Q59" s="141"/>
      <c r="R59" s="141"/>
      <c r="S59" s="141" t="s">
        <v>369</v>
      </c>
      <c r="T59" s="141" t="s">
        <v>885</v>
      </c>
      <c r="U59" s="141" t="s">
        <v>885</v>
      </c>
      <c r="V59" s="141"/>
      <c r="W59" s="141"/>
      <c r="X59" s="141"/>
      <c r="Y59" s="141"/>
      <c r="Z59" s="141"/>
      <c r="AA59" s="141"/>
      <c r="AB59" s="141"/>
      <c r="AC59" s="141"/>
      <c r="AD59" s="141"/>
      <c r="AE59" s="141"/>
      <c r="AF59" s="141"/>
      <c r="AG59" s="141"/>
      <c r="AH59" s="141"/>
      <c r="AI59" s="141"/>
      <c r="AJ59" s="141"/>
      <c r="AK59" s="141" t="s">
        <v>354</v>
      </c>
      <c r="AL59" s="141" t="s">
        <v>364</v>
      </c>
      <c r="AM59" s="141" t="s">
        <v>354</v>
      </c>
      <c r="AN59" s="141" t="s">
        <v>886</v>
      </c>
      <c r="AO59" s="141" t="s">
        <v>885</v>
      </c>
      <c r="AP59" s="141" t="s">
        <v>887</v>
      </c>
      <c r="AQ59" s="141" t="s">
        <v>888</v>
      </c>
      <c r="AR59" s="141" t="s">
        <v>889</v>
      </c>
      <c r="AS59" s="141"/>
      <c r="AT59" s="141"/>
      <c r="AU59" s="141"/>
      <c r="AV59" s="141"/>
      <c r="AW59" s="141"/>
      <c r="AX59" s="141"/>
      <c r="AY59" s="141"/>
      <c r="AZ59" s="141"/>
      <c r="BA59" s="141"/>
      <c r="BB59" s="141"/>
      <c r="BC59" s="141"/>
      <c r="BD59" s="141"/>
      <c r="BE59" s="141"/>
      <c r="BF59" s="141"/>
      <c r="BG59" s="141"/>
      <c r="BH59" s="141"/>
      <c r="BI59" s="141"/>
      <c r="BJ59" s="141"/>
      <c r="BK59" s="141"/>
      <c r="BL59" s="141"/>
      <c r="BM59" s="141"/>
      <c r="BN59" s="141"/>
      <c r="BO59" s="141"/>
      <c r="BP59" s="141"/>
      <c r="BQ59" s="141"/>
      <c r="BR59" s="141"/>
      <c r="BS59" s="141"/>
      <c r="BT59" s="141"/>
      <c r="BU59" s="141"/>
      <c r="BV59" s="141"/>
      <c r="BW59" s="141"/>
      <c r="BX59" s="141"/>
      <c r="BY59" s="141"/>
      <c r="BZ59" s="141"/>
      <c r="CA59" s="141"/>
      <c r="CB59" s="141"/>
      <c r="CC59" s="141"/>
      <c r="CD59" s="141"/>
      <c r="CE59" s="141"/>
      <c r="CF59" s="141"/>
      <c r="CG59" s="141"/>
      <c r="CH59" s="141"/>
      <c r="CI59" s="141"/>
      <c r="CJ59" s="141"/>
      <c r="CK59" s="141"/>
      <c r="CL59" s="141"/>
      <c r="CM59" s="141"/>
      <c r="CN59" s="141"/>
      <c r="CO59" s="141"/>
      <c r="CP59" s="141"/>
      <c r="CQ59" s="141"/>
      <c r="CR59" s="141"/>
      <c r="CS59" s="141"/>
      <c r="CT59" s="141"/>
      <c r="CU59" s="141"/>
      <c r="CV59" s="141"/>
      <c r="CW59" s="141"/>
      <c r="CX59" s="141"/>
      <c r="CY59" s="141"/>
      <c r="CZ59" s="141"/>
      <c r="DA59" s="173"/>
    </row>
    <row r="60" spans="2:105" x14ac:dyDescent="0.25">
      <c r="B60" s="172"/>
      <c r="C60" s="141" t="s">
        <v>1119</v>
      </c>
      <c r="D60" s="141" t="s">
        <v>1120</v>
      </c>
      <c r="E60" s="141" t="s">
        <v>1121</v>
      </c>
      <c r="F60" s="141" t="s">
        <v>508</v>
      </c>
      <c r="G60" s="141"/>
      <c r="H60" s="141" t="s">
        <v>353</v>
      </c>
      <c r="I60" s="141"/>
      <c r="J60" s="141" t="s">
        <v>354</v>
      </c>
      <c r="K60" s="141" t="s">
        <v>729</v>
      </c>
      <c r="L60" s="141"/>
      <c r="M60" s="141"/>
      <c r="N60" s="141" t="s">
        <v>369</v>
      </c>
      <c r="O60" s="141" t="s">
        <v>369</v>
      </c>
      <c r="P60" s="141" t="s">
        <v>528</v>
      </c>
      <c r="Q60" s="141" t="s">
        <v>529</v>
      </c>
      <c r="R60" s="141" t="s">
        <v>361</v>
      </c>
      <c r="S60" s="141" t="s">
        <v>369</v>
      </c>
      <c r="T60" s="141" t="s">
        <v>885</v>
      </c>
      <c r="U60" s="141" t="s">
        <v>885</v>
      </c>
      <c r="V60" s="141"/>
      <c r="W60" s="141"/>
      <c r="X60" s="141"/>
      <c r="Y60" s="141"/>
      <c r="Z60" s="141"/>
      <c r="AA60" s="141"/>
      <c r="AB60" s="141"/>
      <c r="AC60" s="141"/>
      <c r="AD60" s="141"/>
      <c r="AE60" s="141"/>
      <c r="AF60" s="141"/>
      <c r="AG60" s="141"/>
      <c r="AH60" s="141"/>
      <c r="AI60" s="141"/>
      <c r="AJ60" s="141"/>
      <c r="AK60" s="141" t="s">
        <v>354</v>
      </c>
      <c r="AL60" s="141" t="s">
        <v>364</v>
      </c>
      <c r="AM60" s="141" t="s">
        <v>354</v>
      </c>
      <c r="AN60" s="141" t="s">
        <v>886</v>
      </c>
      <c r="AO60" s="141" t="s">
        <v>885</v>
      </c>
      <c r="AP60" s="141" t="s">
        <v>887</v>
      </c>
      <c r="AQ60" s="141" t="s">
        <v>888</v>
      </c>
      <c r="AR60" s="141" t="s">
        <v>889</v>
      </c>
      <c r="AS60" s="141"/>
      <c r="AT60" s="141"/>
      <c r="AU60" s="141"/>
      <c r="AV60" s="141"/>
      <c r="AW60" s="141"/>
      <c r="AX60" s="141"/>
      <c r="AY60" s="141"/>
      <c r="AZ60" s="141"/>
      <c r="BA60" s="141"/>
      <c r="BB60" s="141"/>
      <c r="BC60" s="141"/>
      <c r="BD60" s="141"/>
      <c r="BE60" s="141"/>
      <c r="BF60" s="141"/>
      <c r="BG60" s="141"/>
      <c r="BH60" s="141"/>
      <c r="BI60" s="141"/>
      <c r="BJ60" s="141"/>
      <c r="BK60" s="141"/>
      <c r="BL60" s="141"/>
      <c r="BM60" s="141"/>
      <c r="BN60" s="141"/>
      <c r="BO60" s="141"/>
      <c r="BP60" s="141"/>
      <c r="BQ60" s="141"/>
      <c r="BR60" s="141"/>
      <c r="BS60" s="141"/>
      <c r="BT60" s="141"/>
      <c r="BU60" s="141"/>
      <c r="BV60" s="141"/>
      <c r="BW60" s="141"/>
      <c r="BX60" s="141"/>
      <c r="BY60" s="141"/>
      <c r="BZ60" s="141"/>
      <c r="CA60" s="141"/>
      <c r="CB60" s="141"/>
      <c r="CC60" s="141"/>
      <c r="CD60" s="141"/>
      <c r="CE60" s="141"/>
      <c r="CF60" s="141"/>
      <c r="CG60" s="141"/>
      <c r="CH60" s="141"/>
      <c r="CI60" s="141"/>
      <c r="CJ60" s="141"/>
      <c r="CK60" s="141"/>
      <c r="CL60" s="141"/>
      <c r="CM60" s="141"/>
      <c r="CN60" s="141"/>
      <c r="CO60" s="141"/>
      <c r="CP60" s="141"/>
      <c r="CQ60" s="141"/>
      <c r="CR60" s="141"/>
      <c r="CS60" s="141"/>
      <c r="CT60" s="141"/>
      <c r="CU60" s="141"/>
      <c r="CV60" s="141"/>
      <c r="CW60" s="141"/>
      <c r="CX60" s="141"/>
      <c r="CY60" s="141"/>
      <c r="CZ60" s="141"/>
      <c r="DA60" s="173"/>
    </row>
    <row r="61" spans="2:105" x14ac:dyDescent="0.25">
      <c r="B61" s="172"/>
      <c r="C61" s="141" t="s">
        <v>1122</v>
      </c>
      <c r="D61" s="141" t="s">
        <v>1123</v>
      </c>
      <c r="E61" s="141" t="s">
        <v>1124</v>
      </c>
      <c r="F61" s="141" t="s">
        <v>1125</v>
      </c>
      <c r="G61" s="141"/>
      <c r="H61" s="141" t="s">
        <v>353</v>
      </c>
      <c r="I61" s="141"/>
      <c r="J61" s="141" t="s">
        <v>354</v>
      </c>
      <c r="K61" s="141" t="s">
        <v>1126</v>
      </c>
      <c r="L61" s="141" t="s">
        <v>1127</v>
      </c>
      <c r="M61" s="141" t="s">
        <v>1128</v>
      </c>
      <c r="N61" s="141" t="s">
        <v>354</v>
      </c>
      <c r="O61" s="141" t="s">
        <v>369</v>
      </c>
      <c r="P61" s="141" t="s">
        <v>528</v>
      </c>
      <c r="Q61" s="141" t="s">
        <v>529</v>
      </c>
      <c r="R61" s="141" t="s">
        <v>361</v>
      </c>
      <c r="S61" s="141" t="s">
        <v>368</v>
      </c>
      <c r="T61" s="141" t="s">
        <v>1129</v>
      </c>
      <c r="U61" s="141" t="s">
        <v>1129</v>
      </c>
      <c r="V61" s="141"/>
      <c r="W61" s="141"/>
      <c r="X61" s="141"/>
      <c r="Y61" s="141"/>
      <c r="Z61" s="141"/>
      <c r="AA61" s="141"/>
      <c r="AB61" s="141"/>
      <c r="AC61" s="141"/>
      <c r="AD61" s="141"/>
      <c r="AE61" s="141"/>
      <c r="AF61" s="141"/>
      <c r="AG61" s="141"/>
      <c r="AH61" s="141"/>
      <c r="AI61" s="141"/>
      <c r="AJ61" s="141"/>
      <c r="AK61" s="141" t="s">
        <v>354</v>
      </c>
      <c r="AL61" s="141" t="s">
        <v>364</v>
      </c>
      <c r="AM61" s="141" t="s">
        <v>354</v>
      </c>
      <c r="AN61" s="141" t="s">
        <v>367</v>
      </c>
      <c r="AO61" s="141" t="s">
        <v>1129</v>
      </c>
      <c r="AP61" s="141" t="s">
        <v>653</v>
      </c>
      <c r="AQ61" s="141" t="s">
        <v>654</v>
      </c>
      <c r="AR61" s="141" t="s">
        <v>408</v>
      </c>
      <c r="AS61" s="141" t="s">
        <v>369</v>
      </c>
      <c r="AT61" s="141"/>
      <c r="AU61" s="141" t="s">
        <v>1127</v>
      </c>
      <c r="AV61" s="141" t="s">
        <v>655</v>
      </c>
      <c r="AW61" s="141" t="s">
        <v>1130</v>
      </c>
      <c r="AX61" s="141" t="s">
        <v>657</v>
      </c>
      <c r="AY61" s="141" t="s">
        <v>1131</v>
      </c>
      <c r="AZ61" s="141" t="s">
        <v>659</v>
      </c>
      <c r="BA61" s="141" t="s">
        <v>1132</v>
      </c>
      <c r="BB61" s="141" t="s">
        <v>661</v>
      </c>
      <c r="BC61" s="141" t="s">
        <v>444</v>
      </c>
      <c r="BD61" s="141" t="s">
        <v>497</v>
      </c>
      <c r="BE61" s="141" t="s">
        <v>1133</v>
      </c>
      <c r="BF61" s="141" t="s">
        <v>378</v>
      </c>
      <c r="BG61" s="141" t="s">
        <v>1134</v>
      </c>
      <c r="BH61" s="141" t="s">
        <v>380</v>
      </c>
      <c r="BI61" s="141" t="s">
        <v>1039</v>
      </c>
      <c r="BJ61" s="141" t="s">
        <v>382</v>
      </c>
      <c r="BK61" s="141" t="s">
        <v>1135</v>
      </c>
      <c r="BL61" s="141"/>
      <c r="BM61" s="141"/>
      <c r="BN61" s="141"/>
      <c r="BO61" s="141"/>
      <c r="BP61" s="141"/>
      <c r="BQ61" s="141"/>
      <c r="BR61" s="141"/>
      <c r="BS61" s="141"/>
      <c r="BT61" s="141"/>
      <c r="BU61" s="141"/>
      <c r="BV61" s="141"/>
      <c r="BW61" s="141"/>
      <c r="BX61" s="141"/>
      <c r="BY61" s="141"/>
      <c r="BZ61" s="141"/>
      <c r="CA61" s="141"/>
      <c r="CB61" s="141"/>
      <c r="CC61" s="141"/>
      <c r="CD61" s="141"/>
      <c r="CE61" s="141"/>
      <c r="CF61" s="141"/>
      <c r="CG61" s="141"/>
      <c r="CH61" s="141"/>
      <c r="CI61" s="141"/>
      <c r="CJ61" s="141"/>
      <c r="CK61" s="141"/>
      <c r="CL61" s="141"/>
      <c r="CM61" s="141"/>
      <c r="CN61" s="141"/>
      <c r="CO61" s="141"/>
      <c r="CP61" s="141"/>
      <c r="CQ61" s="141"/>
      <c r="CR61" s="141"/>
      <c r="CS61" s="141"/>
      <c r="CT61" s="141"/>
      <c r="CU61" s="141"/>
      <c r="CV61" s="141"/>
      <c r="CW61" s="141"/>
      <c r="CX61" s="141"/>
      <c r="CY61" s="141"/>
      <c r="CZ61" s="141"/>
      <c r="DA61" s="173"/>
    </row>
    <row r="62" spans="2:105" x14ac:dyDescent="0.25">
      <c r="B62" s="172"/>
      <c r="C62" s="141" t="s">
        <v>1136</v>
      </c>
      <c r="D62" s="141" t="s">
        <v>1137</v>
      </c>
      <c r="E62" s="141" t="s">
        <v>1138</v>
      </c>
      <c r="F62" s="141" t="s">
        <v>1139</v>
      </c>
      <c r="G62" s="141"/>
      <c r="H62" s="141" t="s">
        <v>353</v>
      </c>
      <c r="I62" s="141"/>
      <c r="J62" s="141" t="s">
        <v>354</v>
      </c>
      <c r="K62" s="141" t="s">
        <v>1140</v>
      </c>
      <c r="L62" s="141" t="s">
        <v>1141</v>
      </c>
      <c r="M62" s="141" t="s">
        <v>1142</v>
      </c>
      <c r="N62" s="141" t="s">
        <v>354</v>
      </c>
      <c r="O62" s="141" t="s">
        <v>393</v>
      </c>
      <c r="P62" s="141" t="s">
        <v>424</v>
      </c>
      <c r="Q62" s="141" t="s">
        <v>425</v>
      </c>
      <c r="R62" s="141" t="s">
        <v>361</v>
      </c>
      <c r="S62" s="141" t="s">
        <v>368</v>
      </c>
      <c r="T62" s="141" t="s">
        <v>1129</v>
      </c>
      <c r="U62" s="141" t="s">
        <v>1129</v>
      </c>
      <c r="V62" s="141"/>
      <c r="W62" s="141"/>
      <c r="X62" s="141"/>
      <c r="Y62" s="141"/>
      <c r="Z62" s="141"/>
      <c r="AA62" s="141"/>
      <c r="AB62" s="141"/>
      <c r="AC62" s="141"/>
      <c r="AD62" s="141"/>
      <c r="AE62" s="141"/>
      <c r="AF62" s="141"/>
      <c r="AG62" s="141"/>
      <c r="AH62" s="141"/>
      <c r="AI62" s="141"/>
      <c r="AJ62" s="141"/>
      <c r="AK62" s="141" t="s">
        <v>354</v>
      </c>
      <c r="AL62" s="141" t="s">
        <v>364</v>
      </c>
      <c r="AM62" s="141" t="s">
        <v>354</v>
      </c>
      <c r="AN62" s="141" t="s">
        <v>367</v>
      </c>
      <c r="AO62" s="141" t="s">
        <v>1129</v>
      </c>
      <c r="AP62" s="141" t="s">
        <v>653</v>
      </c>
      <c r="AQ62" s="141" t="s">
        <v>654</v>
      </c>
      <c r="AR62" s="141" t="s">
        <v>408</v>
      </c>
      <c r="AS62" s="141" t="s">
        <v>393</v>
      </c>
      <c r="AT62" s="141"/>
      <c r="AU62" s="141" t="s">
        <v>1141</v>
      </c>
      <c r="AV62" s="141" t="s">
        <v>655</v>
      </c>
      <c r="AW62" s="141" t="s">
        <v>1143</v>
      </c>
      <c r="AX62" s="141" t="s">
        <v>657</v>
      </c>
      <c r="AY62" s="141" t="s">
        <v>1144</v>
      </c>
      <c r="AZ62" s="141" t="s">
        <v>659</v>
      </c>
      <c r="BA62" s="141" t="s">
        <v>1145</v>
      </c>
      <c r="BB62" s="141" t="s">
        <v>661</v>
      </c>
      <c r="BC62" s="141" t="s">
        <v>1146</v>
      </c>
      <c r="BD62" s="141" t="s">
        <v>497</v>
      </c>
      <c r="BE62" s="141" t="s">
        <v>1147</v>
      </c>
      <c r="BF62" s="141" t="s">
        <v>378</v>
      </c>
      <c r="BG62" s="141" t="s">
        <v>673</v>
      </c>
      <c r="BH62" s="141" t="s">
        <v>380</v>
      </c>
      <c r="BI62" s="141" t="s">
        <v>1148</v>
      </c>
      <c r="BJ62" s="141" t="s">
        <v>382</v>
      </c>
      <c r="BK62" s="141" t="s">
        <v>1149</v>
      </c>
      <c r="BL62" s="141"/>
      <c r="BM62" s="141"/>
      <c r="BN62" s="141"/>
      <c r="BO62" s="141"/>
      <c r="BP62" s="141"/>
      <c r="BQ62" s="141"/>
      <c r="BR62" s="141"/>
      <c r="BS62" s="141"/>
      <c r="BT62" s="141"/>
      <c r="BU62" s="141"/>
      <c r="BV62" s="141"/>
      <c r="BW62" s="141"/>
      <c r="BX62" s="141"/>
      <c r="BY62" s="141"/>
      <c r="BZ62" s="141"/>
      <c r="CA62" s="141"/>
      <c r="CB62" s="141"/>
      <c r="CC62" s="141"/>
      <c r="CD62" s="141"/>
      <c r="CE62" s="141"/>
      <c r="CF62" s="141"/>
      <c r="CG62" s="141"/>
      <c r="CH62" s="141"/>
      <c r="CI62" s="141"/>
      <c r="CJ62" s="141"/>
      <c r="CK62" s="141"/>
      <c r="CL62" s="141"/>
      <c r="CM62" s="141"/>
      <c r="CN62" s="141"/>
      <c r="CO62" s="141"/>
      <c r="CP62" s="141"/>
      <c r="CQ62" s="141"/>
      <c r="CR62" s="141"/>
      <c r="CS62" s="141"/>
      <c r="CT62" s="141"/>
      <c r="CU62" s="141"/>
      <c r="CV62" s="141"/>
      <c r="CW62" s="141"/>
      <c r="CX62" s="141"/>
      <c r="CY62" s="141"/>
      <c r="CZ62" s="141"/>
      <c r="DA62" s="173"/>
    </row>
    <row r="63" spans="2:105" x14ac:dyDescent="0.25">
      <c r="B63" s="172"/>
      <c r="C63" s="141" t="s">
        <v>1150</v>
      </c>
      <c r="D63" s="141" t="s">
        <v>1151</v>
      </c>
      <c r="E63" s="141" t="s">
        <v>764</v>
      </c>
      <c r="F63" s="141" t="s">
        <v>1152</v>
      </c>
      <c r="G63" s="141"/>
      <c r="H63" s="141" t="s">
        <v>353</v>
      </c>
      <c r="I63" s="141"/>
      <c r="J63" s="141" t="s">
        <v>354</v>
      </c>
      <c r="K63" s="141" t="s">
        <v>1153</v>
      </c>
      <c r="L63" s="141" t="s">
        <v>1154</v>
      </c>
      <c r="M63" s="141" t="s">
        <v>1155</v>
      </c>
      <c r="N63" s="141" t="s">
        <v>354</v>
      </c>
      <c r="O63" s="141" t="s">
        <v>393</v>
      </c>
      <c r="P63" s="141" t="s">
        <v>424</v>
      </c>
      <c r="Q63" s="141" t="s">
        <v>425</v>
      </c>
      <c r="R63" s="141" t="s">
        <v>361</v>
      </c>
      <c r="S63" s="141" t="s">
        <v>368</v>
      </c>
      <c r="T63" s="141" t="s">
        <v>1129</v>
      </c>
      <c r="U63" s="141" t="s">
        <v>1129</v>
      </c>
      <c r="V63" s="141"/>
      <c r="W63" s="141"/>
      <c r="X63" s="141"/>
      <c r="Y63" s="141"/>
      <c r="Z63" s="141"/>
      <c r="AA63" s="141"/>
      <c r="AB63" s="141"/>
      <c r="AC63" s="141"/>
      <c r="AD63" s="141"/>
      <c r="AE63" s="141"/>
      <c r="AF63" s="141"/>
      <c r="AG63" s="141"/>
      <c r="AH63" s="141"/>
      <c r="AI63" s="141"/>
      <c r="AJ63" s="141"/>
      <c r="AK63" s="141" t="s">
        <v>354</v>
      </c>
      <c r="AL63" s="141" t="s">
        <v>364</v>
      </c>
      <c r="AM63" s="141" t="s">
        <v>354</v>
      </c>
      <c r="AN63" s="141" t="s">
        <v>367</v>
      </c>
      <c r="AO63" s="141" t="s">
        <v>1129</v>
      </c>
      <c r="AP63" s="141" t="s">
        <v>653</v>
      </c>
      <c r="AQ63" s="141" t="s">
        <v>654</v>
      </c>
      <c r="AR63" s="141" t="s">
        <v>408</v>
      </c>
      <c r="AS63" s="141" t="s">
        <v>358</v>
      </c>
      <c r="AT63" s="141"/>
      <c r="AU63" s="141" t="s">
        <v>1154</v>
      </c>
      <c r="AV63" s="141" t="s">
        <v>655</v>
      </c>
      <c r="AW63" s="141" t="s">
        <v>1156</v>
      </c>
      <c r="AX63" s="141" t="s">
        <v>657</v>
      </c>
      <c r="AY63" s="141" t="s">
        <v>1157</v>
      </c>
      <c r="AZ63" s="141" t="s">
        <v>659</v>
      </c>
      <c r="BA63" s="141" t="s">
        <v>1158</v>
      </c>
      <c r="BB63" s="141" t="s">
        <v>661</v>
      </c>
      <c r="BC63" s="141" t="s">
        <v>1159</v>
      </c>
      <c r="BD63" s="141" t="s">
        <v>497</v>
      </c>
      <c r="BE63" s="141" t="s">
        <v>1160</v>
      </c>
      <c r="BF63" s="141" t="s">
        <v>378</v>
      </c>
      <c r="BG63" s="141" t="s">
        <v>1104</v>
      </c>
      <c r="BH63" s="141" t="s">
        <v>380</v>
      </c>
      <c r="BI63" s="141" t="s">
        <v>1161</v>
      </c>
      <c r="BJ63" s="141" t="s">
        <v>382</v>
      </c>
      <c r="BK63" s="141" t="s">
        <v>1162</v>
      </c>
      <c r="BL63" s="141"/>
      <c r="BM63" s="141"/>
      <c r="BN63" s="141"/>
      <c r="BO63" s="141"/>
      <c r="BP63" s="141"/>
      <c r="BQ63" s="141"/>
      <c r="BR63" s="141"/>
      <c r="BS63" s="141"/>
      <c r="BT63" s="141"/>
      <c r="BU63" s="141"/>
      <c r="BV63" s="141"/>
      <c r="BW63" s="141"/>
      <c r="BX63" s="141"/>
      <c r="BY63" s="141"/>
      <c r="BZ63" s="141"/>
      <c r="CA63" s="141"/>
      <c r="CB63" s="141"/>
      <c r="CC63" s="141"/>
      <c r="CD63" s="141"/>
      <c r="CE63" s="141"/>
      <c r="CF63" s="141"/>
      <c r="CG63" s="141"/>
      <c r="CH63" s="141"/>
      <c r="CI63" s="141"/>
      <c r="CJ63" s="141"/>
      <c r="CK63" s="141"/>
      <c r="CL63" s="141"/>
      <c r="CM63" s="141"/>
      <c r="CN63" s="141"/>
      <c r="CO63" s="141"/>
      <c r="CP63" s="141"/>
      <c r="CQ63" s="141"/>
      <c r="CR63" s="141"/>
      <c r="CS63" s="141"/>
      <c r="CT63" s="141"/>
      <c r="CU63" s="141"/>
      <c r="CV63" s="141"/>
      <c r="CW63" s="141"/>
      <c r="CX63" s="141"/>
      <c r="CY63" s="141"/>
      <c r="CZ63" s="141"/>
      <c r="DA63" s="173"/>
    </row>
    <row r="64" spans="2:105" x14ac:dyDescent="0.25">
      <c r="B64" s="172"/>
      <c r="C64" s="141" t="s">
        <v>1163</v>
      </c>
      <c r="D64" s="141" t="s">
        <v>1164</v>
      </c>
      <c r="E64" s="141" t="s">
        <v>1165</v>
      </c>
      <c r="F64" s="141" t="s">
        <v>919</v>
      </c>
      <c r="G64" s="141"/>
      <c r="H64" s="141" t="s">
        <v>353</v>
      </c>
      <c r="I64" s="141"/>
      <c r="J64" s="141" t="s">
        <v>354</v>
      </c>
      <c r="K64" s="141" t="s">
        <v>1166</v>
      </c>
      <c r="L64" s="141" t="s">
        <v>1167</v>
      </c>
      <c r="M64" s="141" t="s">
        <v>1168</v>
      </c>
      <c r="N64" s="141" t="s">
        <v>354</v>
      </c>
      <c r="O64" s="141" t="s">
        <v>393</v>
      </c>
      <c r="P64" s="141" t="s">
        <v>424</v>
      </c>
      <c r="Q64" s="141" t="s">
        <v>425</v>
      </c>
      <c r="R64" s="141" t="s">
        <v>361</v>
      </c>
      <c r="S64" s="141" t="s">
        <v>368</v>
      </c>
      <c r="T64" s="141" t="s">
        <v>1129</v>
      </c>
      <c r="U64" s="141" t="s">
        <v>1129</v>
      </c>
      <c r="V64" s="141"/>
      <c r="W64" s="141"/>
      <c r="X64" s="141"/>
      <c r="Y64" s="141"/>
      <c r="Z64" s="141"/>
      <c r="AA64" s="141"/>
      <c r="AB64" s="141"/>
      <c r="AC64" s="141"/>
      <c r="AD64" s="141"/>
      <c r="AE64" s="141"/>
      <c r="AF64" s="141"/>
      <c r="AG64" s="141"/>
      <c r="AH64" s="141"/>
      <c r="AI64" s="141"/>
      <c r="AJ64" s="141"/>
      <c r="AK64" s="141" t="s">
        <v>354</v>
      </c>
      <c r="AL64" s="141" t="s">
        <v>364</v>
      </c>
      <c r="AM64" s="141" t="s">
        <v>354</v>
      </c>
      <c r="AN64" s="141" t="s">
        <v>367</v>
      </c>
      <c r="AO64" s="141" t="s">
        <v>1129</v>
      </c>
      <c r="AP64" s="141" t="s">
        <v>653</v>
      </c>
      <c r="AQ64" s="141" t="s">
        <v>654</v>
      </c>
      <c r="AR64" s="141" t="s">
        <v>408</v>
      </c>
      <c r="AS64" s="141" t="s">
        <v>426</v>
      </c>
      <c r="AT64" s="141"/>
      <c r="AU64" s="141" t="s">
        <v>1167</v>
      </c>
      <c r="AV64" s="141" t="s">
        <v>655</v>
      </c>
      <c r="AW64" s="141" t="s">
        <v>1169</v>
      </c>
      <c r="AX64" s="141" t="s">
        <v>657</v>
      </c>
      <c r="AY64" s="141" t="s">
        <v>1170</v>
      </c>
      <c r="AZ64" s="141" t="s">
        <v>659</v>
      </c>
      <c r="BA64" s="141" t="s">
        <v>1171</v>
      </c>
      <c r="BB64" s="141" t="s">
        <v>661</v>
      </c>
      <c r="BC64" s="141" t="s">
        <v>1172</v>
      </c>
      <c r="BD64" s="141" t="s">
        <v>497</v>
      </c>
      <c r="BE64" s="141" t="s">
        <v>1173</v>
      </c>
      <c r="BF64" s="141" t="s">
        <v>378</v>
      </c>
      <c r="BG64" s="141" t="s">
        <v>1039</v>
      </c>
      <c r="BH64" s="141" t="s">
        <v>380</v>
      </c>
      <c r="BI64" s="141" t="s">
        <v>1174</v>
      </c>
      <c r="BJ64" s="141" t="s">
        <v>382</v>
      </c>
      <c r="BK64" s="141" t="s">
        <v>1175</v>
      </c>
      <c r="BL64" s="141"/>
      <c r="BM64" s="141"/>
      <c r="BN64" s="141"/>
      <c r="BO64" s="141"/>
      <c r="BP64" s="141"/>
      <c r="BQ64" s="141"/>
      <c r="BR64" s="141"/>
      <c r="BS64" s="141"/>
      <c r="BT64" s="141"/>
      <c r="BU64" s="141"/>
      <c r="BV64" s="141"/>
      <c r="BW64" s="141"/>
      <c r="BX64" s="141"/>
      <c r="BY64" s="141"/>
      <c r="BZ64" s="141"/>
      <c r="CA64" s="141"/>
      <c r="CB64" s="141"/>
      <c r="CC64" s="141"/>
      <c r="CD64" s="141"/>
      <c r="CE64" s="141"/>
      <c r="CF64" s="141"/>
      <c r="CG64" s="141"/>
      <c r="CH64" s="141"/>
      <c r="CI64" s="141"/>
      <c r="CJ64" s="141"/>
      <c r="CK64" s="141"/>
      <c r="CL64" s="141"/>
      <c r="CM64" s="141"/>
      <c r="CN64" s="141"/>
      <c r="CO64" s="141"/>
      <c r="CP64" s="141"/>
      <c r="CQ64" s="141"/>
      <c r="CR64" s="141"/>
      <c r="CS64" s="141"/>
      <c r="CT64" s="141"/>
      <c r="CU64" s="141"/>
      <c r="CV64" s="141"/>
      <c r="CW64" s="141"/>
      <c r="CX64" s="141"/>
      <c r="CY64" s="141"/>
      <c r="CZ64" s="141"/>
      <c r="DA64" s="173"/>
    </row>
    <row r="65" spans="2:105" x14ac:dyDescent="0.25">
      <c r="B65" s="172"/>
      <c r="C65" s="141" t="s">
        <v>1176</v>
      </c>
      <c r="D65" s="141" t="s">
        <v>1177</v>
      </c>
      <c r="E65" s="141" t="s">
        <v>1178</v>
      </c>
      <c r="F65" s="141" t="s">
        <v>1179</v>
      </c>
      <c r="G65" s="141"/>
      <c r="H65" s="141" t="s">
        <v>353</v>
      </c>
      <c r="I65" s="141"/>
      <c r="J65" s="141" t="s">
        <v>354</v>
      </c>
      <c r="K65" s="141" t="s">
        <v>1180</v>
      </c>
      <c r="L65" s="141" t="s">
        <v>1181</v>
      </c>
      <c r="M65" s="141" t="s">
        <v>1182</v>
      </c>
      <c r="N65" s="141" t="s">
        <v>354</v>
      </c>
      <c r="O65" s="141" t="s">
        <v>426</v>
      </c>
      <c r="P65" s="141" t="s">
        <v>454</v>
      </c>
      <c r="Q65" s="141" t="s">
        <v>455</v>
      </c>
      <c r="R65" s="141" t="s">
        <v>361</v>
      </c>
      <c r="S65" s="141" t="s">
        <v>368</v>
      </c>
      <c r="T65" s="141" t="s">
        <v>1129</v>
      </c>
      <c r="U65" s="141" t="s">
        <v>1129</v>
      </c>
      <c r="V65" s="141"/>
      <c r="W65" s="141"/>
      <c r="X65" s="141"/>
      <c r="Y65" s="141"/>
      <c r="Z65" s="141"/>
      <c r="AA65" s="141"/>
      <c r="AB65" s="141"/>
      <c r="AC65" s="141"/>
      <c r="AD65" s="141"/>
      <c r="AE65" s="141"/>
      <c r="AF65" s="141"/>
      <c r="AG65" s="141"/>
      <c r="AH65" s="141"/>
      <c r="AI65" s="141"/>
      <c r="AJ65" s="141"/>
      <c r="AK65" s="141" t="s">
        <v>354</v>
      </c>
      <c r="AL65" s="141" t="s">
        <v>364</v>
      </c>
      <c r="AM65" s="141" t="s">
        <v>354</v>
      </c>
      <c r="AN65" s="141" t="s">
        <v>367</v>
      </c>
      <c r="AO65" s="141" t="s">
        <v>1129</v>
      </c>
      <c r="AP65" s="141" t="s">
        <v>653</v>
      </c>
      <c r="AQ65" s="141" t="s">
        <v>654</v>
      </c>
      <c r="AR65" s="141" t="s">
        <v>408</v>
      </c>
      <c r="AS65" s="141" t="s">
        <v>441</v>
      </c>
      <c r="AT65" s="141"/>
      <c r="AU65" s="141" t="s">
        <v>1181</v>
      </c>
      <c r="AV65" s="141" t="s">
        <v>655</v>
      </c>
      <c r="AW65" s="141" t="s">
        <v>1183</v>
      </c>
      <c r="AX65" s="141" t="s">
        <v>657</v>
      </c>
      <c r="AY65" s="141" t="s">
        <v>1184</v>
      </c>
      <c r="AZ65" s="141" t="s">
        <v>659</v>
      </c>
      <c r="BA65" s="141" t="s">
        <v>1185</v>
      </c>
      <c r="BB65" s="141" t="s">
        <v>661</v>
      </c>
      <c r="BC65" s="141" t="s">
        <v>1186</v>
      </c>
      <c r="BD65" s="141" t="s">
        <v>497</v>
      </c>
      <c r="BE65" s="141" t="s">
        <v>1187</v>
      </c>
      <c r="BF65" s="141" t="s">
        <v>378</v>
      </c>
      <c r="BG65" s="141" t="s">
        <v>1188</v>
      </c>
      <c r="BH65" s="141" t="s">
        <v>380</v>
      </c>
      <c r="BI65" s="141" t="s">
        <v>1189</v>
      </c>
      <c r="BJ65" s="141" t="s">
        <v>382</v>
      </c>
      <c r="BK65" s="141" t="s">
        <v>1190</v>
      </c>
      <c r="BL65" s="141"/>
      <c r="BM65" s="141"/>
      <c r="BN65" s="141"/>
      <c r="BO65" s="141"/>
      <c r="BP65" s="141"/>
      <c r="BQ65" s="141"/>
      <c r="BR65" s="141"/>
      <c r="BS65" s="141"/>
      <c r="BT65" s="141"/>
      <c r="BU65" s="141"/>
      <c r="BV65" s="141"/>
      <c r="BW65" s="141"/>
      <c r="BX65" s="141"/>
      <c r="BY65" s="141"/>
      <c r="BZ65" s="141"/>
      <c r="CA65" s="141"/>
      <c r="CB65" s="141"/>
      <c r="CC65" s="141"/>
      <c r="CD65" s="141"/>
      <c r="CE65" s="141"/>
      <c r="CF65" s="141"/>
      <c r="CG65" s="141"/>
      <c r="CH65" s="141"/>
      <c r="CI65" s="141"/>
      <c r="CJ65" s="141"/>
      <c r="CK65" s="141"/>
      <c r="CL65" s="141"/>
      <c r="CM65" s="141"/>
      <c r="CN65" s="141"/>
      <c r="CO65" s="141"/>
      <c r="CP65" s="141"/>
      <c r="CQ65" s="141"/>
      <c r="CR65" s="141"/>
      <c r="CS65" s="141"/>
      <c r="CT65" s="141"/>
      <c r="CU65" s="141"/>
      <c r="CV65" s="141"/>
      <c r="CW65" s="141"/>
      <c r="CX65" s="141"/>
      <c r="CY65" s="141"/>
      <c r="CZ65" s="141"/>
      <c r="DA65" s="173"/>
    </row>
    <row r="66" spans="2:105" x14ac:dyDescent="0.25">
      <c r="B66" s="172"/>
      <c r="C66" s="141" t="s">
        <v>1191</v>
      </c>
      <c r="D66" s="141" t="s">
        <v>1192</v>
      </c>
      <c r="E66" s="141" t="s">
        <v>1193</v>
      </c>
      <c r="F66" s="141" t="s">
        <v>1194</v>
      </c>
      <c r="G66" s="141"/>
      <c r="H66" s="141" t="s">
        <v>353</v>
      </c>
      <c r="I66" s="141"/>
      <c r="J66" s="141" t="s">
        <v>354</v>
      </c>
      <c r="K66" s="141" t="s">
        <v>1195</v>
      </c>
      <c r="L66" s="141" t="s">
        <v>1196</v>
      </c>
      <c r="M66" s="141" t="s">
        <v>1197</v>
      </c>
      <c r="N66" s="141" t="s">
        <v>354</v>
      </c>
      <c r="O66" s="141" t="s">
        <v>408</v>
      </c>
      <c r="P66" s="141" t="s">
        <v>409</v>
      </c>
      <c r="Q66" s="141" t="s">
        <v>409</v>
      </c>
      <c r="R66" s="141" t="s">
        <v>361</v>
      </c>
      <c r="S66" s="141" t="s">
        <v>368</v>
      </c>
      <c r="T66" s="141" t="s">
        <v>1129</v>
      </c>
      <c r="U66" s="141" t="s">
        <v>1129</v>
      </c>
      <c r="V66" s="141"/>
      <c r="W66" s="141"/>
      <c r="X66" s="141"/>
      <c r="Y66" s="141"/>
      <c r="Z66" s="141"/>
      <c r="AA66" s="141"/>
      <c r="AB66" s="141"/>
      <c r="AC66" s="141"/>
      <c r="AD66" s="141"/>
      <c r="AE66" s="141"/>
      <c r="AF66" s="141"/>
      <c r="AG66" s="141"/>
      <c r="AH66" s="141"/>
      <c r="AI66" s="141"/>
      <c r="AJ66" s="141"/>
      <c r="AK66" s="141" t="s">
        <v>354</v>
      </c>
      <c r="AL66" s="141" t="s">
        <v>364</v>
      </c>
      <c r="AM66" s="141" t="s">
        <v>354</v>
      </c>
      <c r="AN66" s="141" t="s">
        <v>367</v>
      </c>
      <c r="AO66" s="141" t="s">
        <v>1129</v>
      </c>
      <c r="AP66" s="141" t="s">
        <v>653</v>
      </c>
      <c r="AQ66" s="141" t="s">
        <v>654</v>
      </c>
      <c r="AR66" s="141" t="s">
        <v>408</v>
      </c>
      <c r="AS66" s="141" t="s">
        <v>391</v>
      </c>
      <c r="AT66" s="141"/>
      <c r="AU66" s="141" t="s">
        <v>1196</v>
      </c>
      <c r="AV66" s="141" t="s">
        <v>655</v>
      </c>
      <c r="AW66" s="141" t="s">
        <v>1198</v>
      </c>
      <c r="AX66" s="141" t="s">
        <v>657</v>
      </c>
      <c r="AY66" s="141" t="s">
        <v>1199</v>
      </c>
      <c r="AZ66" s="141" t="s">
        <v>659</v>
      </c>
      <c r="BA66" s="141" t="s">
        <v>1200</v>
      </c>
      <c r="BB66" s="141" t="s">
        <v>661</v>
      </c>
      <c r="BC66" s="141" t="s">
        <v>1201</v>
      </c>
      <c r="BD66" s="141" t="s">
        <v>497</v>
      </c>
      <c r="BE66" s="141" t="s">
        <v>580</v>
      </c>
      <c r="BF66" s="141" t="s">
        <v>378</v>
      </c>
      <c r="BG66" s="141" t="s">
        <v>1202</v>
      </c>
      <c r="BH66" s="141" t="s">
        <v>380</v>
      </c>
      <c r="BI66" s="141" t="s">
        <v>1203</v>
      </c>
      <c r="BJ66" s="141" t="s">
        <v>382</v>
      </c>
      <c r="BK66" s="141" t="s">
        <v>1204</v>
      </c>
      <c r="BL66" s="141"/>
      <c r="BM66" s="141"/>
      <c r="BN66" s="141"/>
      <c r="BO66" s="141"/>
      <c r="BP66" s="141"/>
      <c r="BQ66" s="141"/>
      <c r="BR66" s="141"/>
      <c r="BS66" s="141"/>
      <c r="BT66" s="141"/>
      <c r="BU66" s="141"/>
      <c r="BV66" s="141"/>
      <c r="BW66" s="141"/>
      <c r="BX66" s="141"/>
      <c r="BY66" s="141"/>
      <c r="BZ66" s="141"/>
      <c r="CA66" s="141"/>
      <c r="CB66" s="141"/>
      <c r="CC66" s="141"/>
      <c r="CD66" s="141"/>
      <c r="CE66" s="141"/>
      <c r="CF66" s="141"/>
      <c r="CG66" s="141"/>
      <c r="CH66" s="141"/>
      <c r="CI66" s="141"/>
      <c r="CJ66" s="141"/>
      <c r="CK66" s="141"/>
      <c r="CL66" s="141"/>
      <c r="CM66" s="141"/>
      <c r="CN66" s="141"/>
      <c r="CO66" s="141"/>
      <c r="CP66" s="141"/>
      <c r="CQ66" s="141"/>
      <c r="CR66" s="141"/>
      <c r="CS66" s="141"/>
      <c r="CT66" s="141"/>
      <c r="CU66" s="141"/>
      <c r="CV66" s="141"/>
      <c r="CW66" s="141"/>
      <c r="CX66" s="141"/>
      <c r="CY66" s="141"/>
      <c r="CZ66" s="141"/>
      <c r="DA66" s="173"/>
    </row>
    <row r="67" spans="2:105" x14ac:dyDescent="0.25">
      <c r="B67" s="172"/>
      <c r="C67" s="141" t="s">
        <v>1205</v>
      </c>
      <c r="D67" s="141" t="s">
        <v>1206</v>
      </c>
      <c r="E67" s="141" t="s">
        <v>1207</v>
      </c>
      <c r="F67" s="141" t="s">
        <v>1208</v>
      </c>
      <c r="G67" s="141"/>
      <c r="H67" s="141" t="s">
        <v>353</v>
      </c>
      <c r="I67" s="141"/>
      <c r="J67" s="141" t="s">
        <v>354</v>
      </c>
      <c r="K67" s="141" t="s">
        <v>1209</v>
      </c>
      <c r="L67" s="141" t="s">
        <v>1210</v>
      </c>
      <c r="M67" s="141" t="s">
        <v>1211</v>
      </c>
      <c r="N67" s="141" t="s">
        <v>354</v>
      </c>
      <c r="O67" s="141" t="s">
        <v>369</v>
      </c>
      <c r="P67" s="141" t="s">
        <v>528</v>
      </c>
      <c r="Q67" s="141" t="s">
        <v>529</v>
      </c>
      <c r="R67" s="141" t="s">
        <v>361</v>
      </c>
      <c r="S67" s="141" t="s">
        <v>368</v>
      </c>
      <c r="T67" s="141" t="s">
        <v>1129</v>
      </c>
      <c r="U67" s="141" t="s">
        <v>1129</v>
      </c>
      <c r="V67" s="141"/>
      <c r="W67" s="141"/>
      <c r="X67" s="141"/>
      <c r="Y67" s="141"/>
      <c r="Z67" s="141"/>
      <c r="AA67" s="141"/>
      <c r="AB67" s="141"/>
      <c r="AC67" s="141"/>
      <c r="AD67" s="141"/>
      <c r="AE67" s="141"/>
      <c r="AF67" s="141"/>
      <c r="AG67" s="141"/>
      <c r="AH67" s="141"/>
      <c r="AI67" s="141"/>
      <c r="AJ67" s="141"/>
      <c r="AK67" s="141" t="s">
        <v>354</v>
      </c>
      <c r="AL67" s="141" t="s">
        <v>364</v>
      </c>
      <c r="AM67" s="141" t="s">
        <v>354</v>
      </c>
      <c r="AN67" s="141" t="s">
        <v>367</v>
      </c>
      <c r="AO67" s="141" t="s">
        <v>1129</v>
      </c>
      <c r="AP67" s="141" t="s">
        <v>653</v>
      </c>
      <c r="AQ67" s="141" t="s">
        <v>654</v>
      </c>
      <c r="AR67" s="141" t="s">
        <v>408</v>
      </c>
      <c r="AS67" s="141" t="s">
        <v>368</v>
      </c>
      <c r="AT67" s="141"/>
      <c r="AU67" s="141" t="s">
        <v>1210</v>
      </c>
      <c r="AV67" s="141" t="s">
        <v>655</v>
      </c>
      <c r="AW67" s="141" t="s">
        <v>1212</v>
      </c>
      <c r="AX67" s="141" t="s">
        <v>657</v>
      </c>
      <c r="AY67" s="141" t="s">
        <v>1213</v>
      </c>
      <c r="AZ67" s="141" t="s">
        <v>659</v>
      </c>
      <c r="BA67" s="141" t="s">
        <v>1214</v>
      </c>
      <c r="BB67" s="141" t="s">
        <v>661</v>
      </c>
      <c r="BC67" s="141" t="s">
        <v>1215</v>
      </c>
      <c r="BD67" s="141" t="s">
        <v>497</v>
      </c>
      <c r="BE67" s="141" t="s">
        <v>1162</v>
      </c>
      <c r="BF67" s="141" t="s">
        <v>378</v>
      </c>
      <c r="BG67" s="141" t="s">
        <v>1216</v>
      </c>
      <c r="BH67" s="141" t="s">
        <v>380</v>
      </c>
      <c r="BI67" s="141" t="s">
        <v>1217</v>
      </c>
      <c r="BJ67" s="141" t="s">
        <v>382</v>
      </c>
      <c r="BK67" s="141" t="s">
        <v>750</v>
      </c>
      <c r="BL67" s="141"/>
      <c r="BM67" s="141"/>
      <c r="BN67" s="141"/>
      <c r="BO67" s="141"/>
      <c r="BP67" s="141"/>
      <c r="BQ67" s="141"/>
      <c r="BR67" s="141"/>
      <c r="BS67" s="141"/>
      <c r="BT67" s="141"/>
      <c r="BU67" s="141"/>
      <c r="BV67" s="141"/>
      <c r="BW67" s="141"/>
      <c r="BX67" s="141"/>
      <c r="BY67" s="141"/>
      <c r="BZ67" s="141"/>
      <c r="CA67" s="141"/>
      <c r="CB67" s="141"/>
      <c r="CC67" s="141"/>
      <c r="CD67" s="141"/>
      <c r="CE67" s="141"/>
      <c r="CF67" s="141"/>
      <c r="CG67" s="141"/>
      <c r="CH67" s="141"/>
      <c r="CI67" s="141"/>
      <c r="CJ67" s="141"/>
      <c r="CK67" s="141"/>
      <c r="CL67" s="141"/>
      <c r="CM67" s="141"/>
      <c r="CN67" s="141"/>
      <c r="CO67" s="141"/>
      <c r="CP67" s="141"/>
      <c r="CQ67" s="141"/>
      <c r="CR67" s="141"/>
      <c r="CS67" s="141"/>
      <c r="CT67" s="141"/>
      <c r="CU67" s="141"/>
      <c r="CV67" s="141"/>
      <c r="CW67" s="141"/>
      <c r="CX67" s="141"/>
      <c r="CY67" s="141"/>
      <c r="CZ67" s="141"/>
      <c r="DA67" s="173"/>
    </row>
    <row r="68" spans="2:105" x14ac:dyDescent="0.25">
      <c r="B68" s="172"/>
      <c r="C68" s="141" t="s">
        <v>1218</v>
      </c>
      <c r="D68" s="141" t="s">
        <v>1219</v>
      </c>
      <c r="E68" s="141" t="s">
        <v>1220</v>
      </c>
      <c r="F68" s="141" t="s">
        <v>1221</v>
      </c>
      <c r="G68" s="141"/>
      <c r="H68" s="141" t="s">
        <v>353</v>
      </c>
      <c r="I68" s="141"/>
      <c r="J68" s="141" t="s">
        <v>354</v>
      </c>
      <c r="K68" s="141" t="s">
        <v>878</v>
      </c>
      <c r="L68" s="141" t="s">
        <v>1222</v>
      </c>
      <c r="M68" s="141" t="s">
        <v>1223</v>
      </c>
      <c r="N68" s="141" t="s">
        <v>354</v>
      </c>
      <c r="O68" s="141" t="s">
        <v>393</v>
      </c>
      <c r="P68" s="141" t="s">
        <v>424</v>
      </c>
      <c r="Q68" s="141" t="s">
        <v>425</v>
      </c>
      <c r="R68" s="141" t="s">
        <v>361</v>
      </c>
      <c r="S68" s="141" t="s">
        <v>368</v>
      </c>
      <c r="T68" s="141" t="s">
        <v>1129</v>
      </c>
      <c r="U68" s="141" t="s">
        <v>1129</v>
      </c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 t="s">
        <v>354</v>
      </c>
      <c r="AL68" s="141" t="s">
        <v>364</v>
      </c>
      <c r="AM68" s="141" t="s">
        <v>354</v>
      </c>
      <c r="AN68" s="141" t="s">
        <v>367</v>
      </c>
      <c r="AO68" s="141" t="s">
        <v>1129</v>
      </c>
      <c r="AP68" s="141" t="s">
        <v>653</v>
      </c>
      <c r="AQ68" s="141" t="s">
        <v>654</v>
      </c>
      <c r="AR68" s="141" t="s">
        <v>408</v>
      </c>
      <c r="AS68" s="141" t="s">
        <v>408</v>
      </c>
      <c r="AT68" s="141"/>
      <c r="AU68" s="141" t="s">
        <v>1222</v>
      </c>
      <c r="AV68" s="141" t="s">
        <v>655</v>
      </c>
      <c r="AW68" s="141" t="s">
        <v>1224</v>
      </c>
      <c r="AX68" s="141" t="s">
        <v>657</v>
      </c>
      <c r="AY68" s="141" t="s">
        <v>1225</v>
      </c>
      <c r="AZ68" s="141" t="s">
        <v>659</v>
      </c>
      <c r="BA68" s="141" t="s">
        <v>1226</v>
      </c>
      <c r="BB68" s="141" t="s">
        <v>661</v>
      </c>
      <c r="BC68" s="141" t="s">
        <v>1227</v>
      </c>
      <c r="BD68" s="141" t="s">
        <v>497</v>
      </c>
      <c r="BE68" s="141" t="s">
        <v>1228</v>
      </c>
      <c r="BF68" s="141" t="s">
        <v>378</v>
      </c>
      <c r="BG68" s="141" t="s">
        <v>1229</v>
      </c>
      <c r="BH68" s="141" t="s">
        <v>380</v>
      </c>
      <c r="BI68" s="141" t="s">
        <v>688</v>
      </c>
      <c r="BJ68" s="141" t="s">
        <v>382</v>
      </c>
      <c r="BK68" s="141" t="s">
        <v>1230</v>
      </c>
      <c r="BL68" s="141"/>
      <c r="BM68" s="141"/>
      <c r="BN68" s="141"/>
      <c r="BO68" s="141"/>
      <c r="BP68" s="141"/>
      <c r="BQ68" s="141"/>
      <c r="BR68" s="141"/>
      <c r="BS68" s="141"/>
      <c r="BT68" s="141"/>
      <c r="BU68" s="141"/>
      <c r="BV68" s="141"/>
      <c r="BW68" s="141"/>
      <c r="BX68" s="141"/>
      <c r="BY68" s="141"/>
      <c r="BZ68" s="141"/>
      <c r="CA68" s="141"/>
      <c r="CB68" s="141"/>
      <c r="CC68" s="141"/>
      <c r="CD68" s="141"/>
      <c r="CE68" s="141"/>
      <c r="CF68" s="141"/>
      <c r="CG68" s="141"/>
      <c r="CH68" s="141"/>
      <c r="CI68" s="141"/>
      <c r="CJ68" s="141"/>
      <c r="CK68" s="141"/>
      <c r="CL68" s="141"/>
      <c r="CM68" s="141"/>
      <c r="CN68" s="141"/>
      <c r="CO68" s="141"/>
      <c r="CP68" s="141"/>
      <c r="CQ68" s="141"/>
      <c r="CR68" s="141"/>
      <c r="CS68" s="141"/>
      <c r="CT68" s="141"/>
      <c r="CU68" s="141"/>
      <c r="CV68" s="141"/>
      <c r="CW68" s="141"/>
      <c r="CX68" s="141"/>
      <c r="CY68" s="141"/>
      <c r="CZ68" s="141"/>
      <c r="DA68" s="173"/>
    </row>
    <row r="69" spans="2:105" x14ac:dyDescent="0.25">
      <c r="B69" s="172"/>
      <c r="C69" s="141" t="s">
        <v>1231</v>
      </c>
      <c r="D69" s="141" t="s">
        <v>1232</v>
      </c>
      <c r="E69" s="141" t="s">
        <v>1233</v>
      </c>
      <c r="F69" s="141" t="s">
        <v>437</v>
      </c>
      <c r="G69" s="141"/>
      <c r="H69" s="141" t="s">
        <v>353</v>
      </c>
      <c r="I69" s="141"/>
      <c r="J69" s="141" t="s">
        <v>354</v>
      </c>
      <c r="K69" s="141" t="s">
        <v>1234</v>
      </c>
      <c r="L69" s="141" t="s">
        <v>1235</v>
      </c>
      <c r="M69" s="141" t="s">
        <v>1236</v>
      </c>
      <c r="N69" s="141" t="s">
        <v>354</v>
      </c>
      <c r="O69" s="141" t="s">
        <v>369</v>
      </c>
      <c r="P69" s="141" t="s">
        <v>528</v>
      </c>
      <c r="Q69" s="141" t="s">
        <v>529</v>
      </c>
      <c r="R69" s="141" t="s">
        <v>361</v>
      </c>
      <c r="S69" s="141" t="s">
        <v>368</v>
      </c>
      <c r="T69" s="141" t="s">
        <v>1129</v>
      </c>
      <c r="U69" s="141" t="s">
        <v>1129</v>
      </c>
      <c r="V69" s="141"/>
      <c r="W69" s="141"/>
      <c r="X69" s="141"/>
      <c r="Y69" s="141"/>
      <c r="Z69" s="141"/>
      <c r="AA69" s="141"/>
      <c r="AB69" s="141"/>
      <c r="AC69" s="141"/>
      <c r="AD69" s="141"/>
      <c r="AE69" s="141"/>
      <c r="AF69" s="141"/>
      <c r="AG69" s="141"/>
      <c r="AH69" s="141"/>
      <c r="AI69" s="141"/>
      <c r="AJ69" s="141"/>
      <c r="AK69" s="141" t="s">
        <v>354</v>
      </c>
      <c r="AL69" s="141" t="s">
        <v>364</v>
      </c>
      <c r="AM69" s="141" t="s">
        <v>354</v>
      </c>
      <c r="AN69" s="141" t="s">
        <v>367</v>
      </c>
      <c r="AO69" s="141" t="s">
        <v>1129</v>
      </c>
      <c r="AP69" s="141" t="s">
        <v>653</v>
      </c>
      <c r="AQ69" s="141" t="s">
        <v>654</v>
      </c>
      <c r="AR69" s="141" t="s">
        <v>408</v>
      </c>
      <c r="AS69" s="141" t="s">
        <v>490</v>
      </c>
      <c r="AT69" s="141"/>
      <c r="AU69" s="141" t="s">
        <v>1235</v>
      </c>
      <c r="AV69" s="141" t="s">
        <v>655</v>
      </c>
      <c r="AW69" s="141" t="s">
        <v>1237</v>
      </c>
      <c r="AX69" s="141" t="s">
        <v>657</v>
      </c>
      <c r="AY69" s="141" t="s">
        <v>1238</v>
      </c>
      <c r="AZ69" s="141" t="s">
        <v>659</v>
      </c>
      <c r="BA69" s="141" t="s">
        <v>1239</v>
      </c>
      <c r="BB69" s="141" t="s">
        <v>661</v>
      </c>
      <c r="BC69" s="141" t="s">
        <v>1240</v>
      </c>
      <c r="BD69" s="141" t="s">
        <v>497</v>
      </c>
      <c r="BE69" s="141" t="s">
        <v>1241</v>
      </c>
      <c r="BF69" s="141" t="s">
        <v>378</v>
      </c>
      <c r="BG69" s="141" t="s">
        <v>1242</v>
      </c>
      <c r="BH69" s="141" t="s">
        <v>380</v>
      </c>
      <c r="BI69" s="141" t="s">
        <v>1243</v>
      </c>
      <c r="BJ69" s="141" t="s">
        <v>382</v>
      </c>
      <c r="BK69" s="141" t="s">
        <v>1244</v>
      </c>
      <c r="BL69" s="141"/>
      <c r="BM69" s="141"/>
      <c r="BN69" s="141"/>
      <c r="BO69" s="141"/>
      <c r="BP69" s="141"/>
      <c r="BQ69" s="141"/>
      <c r="BR69" s="141"/>
      <c r="BS69" s="141"/>
      <c r="BT69" s="141"/>
      <c r="BU69" s="141"/>
      <c r="BV69" s="141"/>
      <c r="BW69" s="141"/>
      <c r="BX69" s="141"/>
      <c r="BY69" s="141"/>
      <c r="BZ69" s="141"/>
      <c r="CA69" s="141"/>
      <c r="CB69" s="141"/>
      <c r="CC69" s="141"/>
      <c r="CD69" s="141"/>
      <c r="CE69" s="141"/>
      <c r="CF69" s="141"/>
      <c r="CG69" s="141"/>
      <c r="CH69" s="141"/>
      <c r="CI69" s="141"/>
      <c r="CJ69" s="141"/>
      <c r="CK69" s="141"/>
      <c r="CL69" s="141"/>
      <c r="CM69" s="141"/>
      <c r="CN69" s="141"/>
      <c r="CO69" s="141"/>
      <c r="CP69" s="141"/>
      <c r="CQ69" s="141"/>
      <c r="CR69" s="141"/>
      <c r="CS69" s="141"/>
      <c r="CT69" s="141"/>
      <c r="CU69" s="141"/>
      <c r="CV69" s="141"/>
      <c r="CW69" s="141"/>
      <c r="CX69" s="141"/>
      <c r="CY69" s="141"/>
      <c r="CZ69" s="141"/>
      <c r="DA69" s="173"/>
    </row>
    <row r="70" spans="2:105" x14ac:dyDescent="0.25">
      <c r="B70" s="172"/>
      <c r="C70" s="141" t="s">
        <v>1245</v>
      </c>
      <c r="D70" s="141" t="s">
        <v>1246</v>
      </c>
      <c r="E70" s="141" t="s">
        <v>1247</v>
      </c>
      <c r="F70" s="141" t="s">
        <v>1248</v>
      </c>
      <c r="G70" s="141"/>
      <c r="H70" s="141" t="s">
        <v>353</v>
      </c>
      <c r="I70" s="141"/>
      <c r="J70" s="141" t="s">
        <v>354</v>
      </c>
      <c r="K70" s="141" t="s">
        <v>1117</v>
      </c>
      <c r="L70" s="141" t="s">
        <v>1249</v>
      </c>
      <c r="M70" s="141" t="s">
        <v>1250</v>
      </c>
      <c r="N70" s="141" t="s">
        <v>354</v>
      </c>
      <c r="O70" s="141" t="s">
        <v>369</v>
      </c>
      <c r="P70" s="141" t="s">
        <v>528</v>
      </c>
      <c r="Q70" s="141" t="s">
        <v>529</v>
      </c>
      <c r="R70" s="141" t="s">
        <v>361</v>
      </c>
      <c r="S70" s="141" t="s">
        <v>368</v>
      </c>
      <c r="T70" s="141" t="s">
        <v>1129</v>
      </c>
      <c r="U70" s="141" t="s">
        <v>1129</v>
      </c>
      <c r="V70" s="141"/>
      <c r="W70" s="141"/>
      <c r="X70" s="141"/>
      <c r="Y70" s="141"/>
      <c r="Z70" s="141"/>
      <c r="AA70" s="141"/>
      <c r="AB70" s="141"/>
      <c r="AC70" s="141"/>
      <c r="AD70" s="141"/>
      <c r="AE70" s="141"/>
      <c r="AF70" s="141"/>
      <c r="AG70" s="141"/>
      <c r="AH70" s="141"/>
      <c r="AI70" s="141"/>
      <c r="AJ70" s="141"/>
      <c r="AK70" s="141" t="s">
        <v>354</v>
      </c>
      <c r="AL70" s="141" t="s">
        <v>364</v>
      </c>
      <c r="AM70" s="141" t="s">
        <v>354</v>
      </c>
      <c r="AN70" s="141" t="s">
        <v>367</v>
      </c>
      <c r="AO70" s="141" t="s">
        <v>1129</v>
      </c>
      <c r="AP70" s="141" t="s">
        <v>653</v>
      </c>
      <c r="AQ70" s="141" t="s">
        <v>654</v>
      </c>
      <c r="AR70" s="141" t="s">
        <v>408</v>
      </c>
      <c r="AS70" s="141" t="s">
        <v>485</v>
      </c>
      <c r="AT70" s="141"/>
      <c r="AU70" s="141" t="s">
        <v>1249</v>
      </c>
      <c r="AV70" s="141" t="s">
        <v>655</v>
      </c>
      <c r="AW70" s="141" t="s">
        <v>1251</v>
      </c>
      <c r="AX70" s="141" t="s">
        <v>657</v>
      </c>
      <c r="AY70" s="141" t="s">
        <v>1252</v>
      </c>
      <c r="AZ70" s="141" t="s">
        <v>659</v>
      </c>
      <c r="BA70" s="141" t="s">
        <v>1253</v>
      </c>
      <c r="BB70" s="141" t="s">
        <v>661</v>
      </c>
      <c r="BC70" s="141" t="s">
        <v>1254</v>
      </c>
      <c r="BD70" s="141" t="s">
        <v>497</v>
      </c>
      <c r="BE70" s="141" t="s">
        <v>1255</v>
      </c>
      <c r="BF70" s="141" t="s">
        <v>378</v>
      </c>
      <c r="BG70" s="141" t="s">
        <v>1256</v>
      </c>
      <c r="BH70" s="141" t="s">
        <v>380</v>
      </c>
      <c r="BI70" s="141" t="s">
        <v>1257</v>
      </c>
      <c r="BJ70" s="141" t="s">
        <v>382</v>
      </c>
      <c r="BK70" s="141" t="s">
        <v>1258</v>
      </c>
      <c r="BL70" s="141"/>
      <c r="BM70" s="141"/>
      <c r="BN70" s="141"/>
      <c r="BO70" s="141"/>
      <c r="BP70" s="141"/>
      <c r="BQ70" s="141"/>
      <c r="BR70" s="141"/>
      <c r="BS70" s="141"/>
      <c r="BT70" s="141"/>
      <c r="BU70" s="141"/>
      <c r="BV70" s="141"/>
      <c r="BW70" s="141"/>
      <c r="BX70" s="141"/>
      <c r="BY70" s="141"/>
      <c r="BZ70" s="141"/>
      <c r="CA70" s="141"/>
      <c r="CB70" s="141"/>
      <c r="CC70" s="141"/>
      <c r="CD70" s="141"/>
      <c r="CE70" s="141"/>
      <c r="CF70" s="141"/>
      <c r="CG70" s="141"/>
      <c r="CH70" s="141"/>
      <c r="CI70" s="141"/>
      <c r="CJ70" s="141"/>
      <c r="CK70" s="141"/>
      <c r="CL70" s="141"/>
      <c r="CM70" s="141"/>
      <c r="CN70" s="141"/>
      <c r="CO70" s="141"/>
      <c r="CP70" s="141"/>
      <c r="CQ70" s="141"/>
      <c r="CR70" s="141"/>
      <c r="CS70" s="141"/>
      <c r="CT70" s="141"/>
      <c r="CU70" s="141"/>
      <c r="CV70" s="141"/>
      <c r="CW70" s="141"/>
      <c r="CX70" s="141"/>
      <c r="CY70" s="141"/>
      <c r="CZ70" s="141"/>
      <c r="DA70" s="173"/>
    </row>
    <row r="71" spans="2:105" x14ac:dyDescent="0.25">
      <c r="B71" s="172"/>
      <c r="C71" s="141" t="s">
        <v>1259</v>
      </c>
      <c r="D71" s="141" t="s">
        <v>1260</v>
      </c>
      <c r="E71" s="141" t="s">
        <v>1261</v>
      </c>
      <c r="F71" s="141" t="s">
        <v>1262</v>
      </c>
      <c r="G71" s="141"/>
      <c r="H71" s="141" t="s">
        <v>353</v>
      </c>
      <c r="I71" s="141"/>
      <c r="J71" s="141" t="s">
        <v>354</v>
      </c>
      <c r="K71" s="141" t="s">
        <v>1263</v>
      </c>
      <c r="L71" s="141" t="s">
        <v>1264</v>
      </c>
      <c r="M71" s="141" t="s">
        <v>957</v>
      </c>
      <c r="N71" s="141" t="s">
        <v>354</v>
      </c>
      <c r="O71" s="141" t="s">
        <v>358</v>
      </c>
      <c r="P71" s="141" t="s">
        <v>359</v>
      </c>
      <c r="Q71" s="141" t="s">
        <v>360</v>
      </c>
      <c r="R71" s="141" t="s">
        <v>361</v>
      </c>
      <c r="S71" s="141" t="s">
        <v>368</v>
      </c>
      <c r="T71" s="141" t="s">
        <v>1129</v>
      </c>
      <c r="U71" s="141" t="s">
        <v>1129</v>
      </c>
      <c r="V71" s="141"/>
      <c r="W71" s="141"/>
      <c r="X71" s="141"/>
      <c r="Y71" s="141"/>
      <c r="Z71" s="141"/>
      <c r="AA71" s="141"/>
      <c r="AB71" s="141"/>
      <c r="AC71" s="141"/>
      <c r="AD71" s="141"/>
      <c r="AE71" s="141"/>
      <c r="AF71" s="141"/>
      <c r="AG71" s="141"/>
      <c r="AH71" s="141"/>
      <c r="AI71" s="141"/>
      <c r="AJ71" s="141"/>
      <c r="AK71" s="141" t="s">
        <v>354</v>
      </c>
      <c r="AL71" s="141" t="s">
        <v>364</v>
      </c>
      <c r="AM71" s="141" t="s">
        <v>354</v>
      </c>
      <c r="AN71" s="141" t="s">
        <v>367</v>
      </c>
      <c r="AO71" s="141" t="s">
        <v>1129</v>
      </c>
      <c r="AP71" s="141" t="s">
        <v>653</v>
      </c>
      <c r="AQ71" s="141" t="s">
        <v>654</v>
      </c>
      <c r="AR71" s="141" t="s">
        <v>408</v>
      </c>
      <c r="AS71" s="141" t="s">
        <v>362</v>
      </c>
      <c r="AT71" s="141"/>
      <c r="AU71" s="141" t="s">
        <v>1264</v>
      </c>
      <c r="AV71" s="141" t="s">
        <v>655</v>
      </c>
      <c r="AW71" s="141" t="s">
        <v>1265</v>
      </c>
      <c r="AX71" s="141" t="s">
        <v>657</v>
      </c>
      <c r="AY71" s="141" t="s">
        <v>1266</v>
      </c>
      <c r="AZ71" s="141" t="s">
        <v>659</v>
      </c>
      <c r="BA71" s="141" t="s">
        <v>1267</v>
      </c>
      <c r="BB71" s="141" t="s">
        <v>661</v>
      </c>
      <c r="BC71" s="141" t="s">
        <v>1268</v>
      </c>
      <c r="BD71" s="141" t="s">
        <v>497</v>
      </c>
      <c r="BE71" s="141" t="s">
        <v>1269</v>
      </c>
      <c r="BF71" s="141" t="s">
        <v>378</v>
      </c>
      <c r="BG71" s="141" t="s">
        <v>1270</v>
      </c>
      <c r="BH71" s="141" t="s">
        <v>380</v>
      </c>
      <c r="BI71" s="141" t="s">
        <v>1271</v>
      </c>
      <c r="BJ71" s="141" t="s">
        <v>382</v>
      </c>
      <c r="BK71" s="141" t="s">
        <v>1272</v>
      </c>
      <c r="BL71" s="141"/>
      <c r="BM71" s="141"/>
      <c r="BN71" s="141"/>
      <c r="BO71" s="141"/>
      <c r="BP71" s="141"/>
      <c r="BQ71" s="141"/>
      <c r="BR71" s="141"/>
      <c r="BS71" s="141"/>
      <c r="BT71" s="141"/>
      <c r="BU71" s="141"/>
      <c r="BV71" s="141"/>
      <c r="BW71" s="141"/>
      <c r="BX71" s="141"/>
      <c r="BY71" s="141"/>
      <c r="BZ71" s="141"/>
      <c r="CA71" s="141"/>
      <c r="CB71" s="141"/>
      <c r="CC71" s="141"/>
      <c r="CD71" s="141"/>
      <c r="CE71" s="141"/>
      <c r="CF71" s="141"/>
      <c r="CG71" s="141"/>
      <c r="CH71" s="141"/>
      <c r="CI71" s="141"/>
      <c r="CJ71" s="141"/>
      <c r="CK71" s="141"/>
      <c r="CL71" s="141"/>
      <c r="CM71" s="141"/>
      <c r="CN71" s="141"/>
      <c r="CO71" s="141"/>
      <c r="CP71" s="141"/>
      <c r="CQ71" s="141"/>
      <c r="CR71" s="141"/>
      <c r="CS71" s="141"/>
      <c r="CT71" s="141"/>
      <c r="CU71" s="141"/>
      <c r="CV71" s="141"/>
      <c r="CW71" s="141"/>
      <c r="CX71" s="141"/>
      <c r="CY71" s="141"/>
      <c r="CZ71" s="141"/>
      <c r="DA71" s="173"/>
    </row>
    <row r="72" spans="2:105" x14ac:dyDescent="0.25">
      <c r="B72" s="172"/>
      <c r="C72" s="141" t="s">
        <v>1273</v>
      </c>
      <c r="D72" s="141" t="s">
        <v>1274</v>
      </c>
      <c r="E72" s="141" t="s">
        <v>1275</v>
      </c>
      <c r="F72" s="141" t="s">
        <v>1028</v>
      </c>
      <c r="G72" s="141"/>
      <c r="H72" s="141" t="s">
        <v>353</v>
      </c>
      <c r="I72" s="141"/>
      <c r="J72" s="141" t="s">
        <v>354</v>
      </c>
      <c r="K72" s="141" t="s">
        <v>1276</v>
      </c>
      <c r="L72" s="141" t="s">
        <v>1277</v>
      </c>
      <c r="M72" s="141" t="s">
        <v>1278</v>
      </c>
      <c r="N72" s="141" t="s">
        <v>354</v>
      </c>
      <c r="O72" s="141" t="s">
        <v>393</v>
      </c>
      <c r="P72" s="141" t="s">
        <v>424</v>
      </c>
      <c r="Q72" s="141" t="s">
        <v>425</v>
      </c>
      <c r="R72" s="141" t="s">
        <v>361</v>
      </c>
      <c r="S72" s="141" t="s">
        <v>368</v>
      </c>
      <c r="T72" s="141" t="s">
        <v>1129</v>
      </c>
      <c r="U72" s="141" t="s">
        <v>1129</v>
      </c>
      <c r="V72" s="141"/>
      <c r="W72" s="141"/>
      <c r="X72" s="141"/>
      <c r="Y72" s="141"/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 t="s">
        <v>354</v>
      </c>
      <c r="AL72" s="141" t="s">
        <v>364</v>
      </c>
      <c r="AM72" s="141" t="s">
        <v>354</v>
      </c>
      <c r="AN72" s="141" t="s">
        <v>367</v>
      </c>
      <c r="AO72" s="141" t="s">
        <v>1129</v>
      </c>
      <c r="AP72" s="141" t="s">
        <v>653</v>
      </c>
      <c r="AQ72" s="141" t="s">
        <v>654</v>
      </c>
      <c r="AR72" s="141" t="s">
        <v>408</v>
      </c>
      <c r="AS72" s="141" t="s">
        <v>1279</v>
      </c>
      <c r="AT72" s="141"/>
      <c r="AU72" s="141" t="s">
        <v>1277</v>
      </c>
      <c r="AV72" s="141" t="s">
        <v>655</v>
      </c>
      <c r="AW72" s="141" t="s">
        <v>1280</v>
      </c>
      <c r="AX72" s="141" t="s">
        <v>657</v>
      </c>
      <c r="AY72" s="141" t="s">
        <v>1281</v>
      </c>
      <c r="AZ72" s="141" t="s">
        <v>659</v>
      </c>
      <c r="BA72" s="141" t="s">
        <v>1282</v>
      </c>
      <c r="BB72" s="141" t="s">
        <v>661</v>
      </c>
      <c r="BC72" s="141" t="s">
        <v>1283</v>
      </c>
      <c r="BD72" s="141" t="s">
        <v>497</v>
      </c>
      <c r="BE72" s="141" t="s">
        <v>1284</v>
      </c>
      <c r="BF72" s="141" t="s">
        <v>378</v>
      </c>
      <c r="BG72" s="141" t="s">
        <v>1285</v>
      </c>
      <c r="BH72" s="141" t="s">
        <v>380</v>
      </c>
      <c r="BI72" s="141" t="s">
        <v>1286</v>
      </c>
      <c r="BJ72" s="141" t="s">
        <v>382</v>
      </c>
      <c r="BK72" s="141" t="s">
        <v>1287</v>
      </c>
      <c r="BL72" s="141"/>
      <c r="BM72" s="141"/>
      <c r="BN72" s="141"/>
      <c r="BO72" s="141"/>
      <c r="BP72" s="141"/>
      <c r="BQ72" s="141"/>
      <c r="BR72" s="141"/>
      <c r="BS72" s="141"/>
      <c r="BT72" s="141"/>
      <c r="BU72" s="141"/>
      <c r="BV72" s="141"/>
      <c r="BW72" s="141"/>
      <c r="BX72" s="141"/>
      <c r="BY72" s="141"/>
      <c r="BZ72" s="141"/>
      <c r="CA72" s="141"/>
      <c r="CB72" s="141"/>
      <c r="CC72" s="141"/>
      <c r="CD72" s="141"/>
      <c r="CE72" s="141"/>
      <c r="CF72" s="141"/>
      <c r="CG72" s="141"/>
      <c r="CH72" s="141"/>
      <c r="CI72" s="141"/>
      <c r="CJ72" s="141"/>
      <c r="CK72" s="141"/>
      <c r="CL72" s="141"/>
      <c r="CM72" s="141"/>
      <c r="CN72" s="141"/>
      <c r="CO72" s="141"/>
      <c r="CP72" s="141"/>
      <c r="CQ72" s="141"/>
      <c r="CR72" s="141"/>
      <c r="CS72" s="141"/>
      <c r="CT72" s="141"/>
      <c r="CU72" s="141"/>
      <c r="CV72" s="141"/>
      <c r="CW72" s="141"/>
      <c r="CX72" s="141"/>
      <c r="CY72" s="141"/>
      <c r="CZ72" s="141"/>
      <c r="DA72" s="173"/>
    </row>
    <row r="73" spans="2:105" x14ac:dyDescent="0.25">
      <c r="B73" s="172"/>
      <c r="C73" s="141" t="s">
        <v>1288</v>
      </c>
      <c r="D73" s="141" t="s">
        <v>1289</v>
      </c>
      <c r="E73" s="141" t="s">
        <v>403</v>
      </c>
      <c r="F73" s="141" t="s">
        <v>1290</v>
      </c>
      <c r="G73" s="141"/>
      <c r="H73" s="141" t="s">
        <v>353</v>
      </c>
      <c r="I73" s="141"/>
      <c r="J73" s="141" t="s">
        <v>354</v>
      </c>
      <c r="K73" s="141" t="s">
        <v>1291</v>
      </c>
      <c r="L73" s="141" t="s">
        <v>1292</v>
      </c>
      <c r="M73" s="141" t="s">
        <v>1293</v>
      </c>
      <c r="N73" s="141" t="s">
        <v>354</v>
      </c>
      <c r="O73" s="141" t="s">
        <v>408</v>
      </c>
      <c r="P73" s="141" t="s">
        <v>409</v>
      </c>
      <c r="Q73" s="141" t="s">
        <v>409</v>
      </c>
      <c r="R73" s="141" t="s">
        <v>361</v>
      </c>
      <c r="S73" s="141" t="s">
        <v>368</v>
      </c>
      <c r="T73" s="141" t="s">
        <v>1129</v>
      </c>
      <c r="U73" s="141" t="s">
        <v>1129</v>
      </c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 t="s">
        <v>354</v>
      </c>
      <c r="AL73" s="141" t="s">
        <v>364</v>
      </c>
      <c r="AM73" s="141" t="s">
        <v>354</v>
      </c>
      <c r="AN73" s="141" t="s">
        <v>367</v>
      </c>
      <c r="AO73" s="141" t="s">
        <v>1129</v>
      </c>
      <c r="AP73" s="141" t="s">
        <v>653</v>
      </c>
      <c r="AQ73" s="141" t="s">
        <v>654</v>
      </c>
      <c r="AR73" s="141" t="s">
        <v>408</v>
      </c>
      <c r="AS73" s="141" t="s">
        <v>1294</v>
      </c>
      <c r="AT73" s="141"/>
      <c r="AU73" s="141" t="s">
        <v>1292</v>
      </c>
      <c r="AV73" s="141" t="s">
        <v>655</v>
      </c>
      <c r="AW73" s="141" t="s">
        <v>1295</v>
      </c>
      <c r="AX73" s="141" t="s">
        <v>657</v>
      </c>
      <c r="AY73" s="141" t="s">
        <v>1296</v>
      </c>
      <c r="AZ73" s="141" t="s">
        <v>659</v>
      </c>
      <c r="BA73" s="141" t="s">
        <v>1297</v>
      </c>
      <c r="BB73" s="141" t="s">
        <v>661</v>
      </c>
      <c r="BC73" s="141" t="s">
        <v>1298</v>
      </c>
      <c r="BD73" s="141" t="s">
        <v>497</v>
      </c>
      <c r="BE73" s="141" t="s">
        <v>1299</v>
      </c>
      <c r="BF73" s="141" t="s">
        <v>378</v>
      </c>
      <c r="BG73" s="141" t="s">
        <v>1300</v>
      </c>
      <c r="BH73" s="141" t="s">
        <v>380</v>
      </c>
      <c r="BI73" s="141" t="s">
        <v>1301</v>
      </c>
      <c r="BJ73" s="141" t="s">
        <v>382</v>
      </c>
      <c r="BK73" s="141" t="s">
        <v>1302</v>
      </c>
      <c r="BL73" s="141"/>
      <c r="BM73" s="141"/>
      <c r="BN73" s="141"/>
      <c r="BO73" s="141"/>
      <c r="BP73" s="141"/>
      <c r="BQ73" s="141"/>
      <c r="BR73" s="141"/>
      <c r="BS73" s="141"/>
      <c r="BT73" s="141"/>
      <c r="BU73" s="141"/>
      <c r="BV73" s="141"/>
      <c r="BW73" s="141"/>
      <c r="BX73" s="141"/>
      <c r="BY73" s="141"/>
      <c r="BZ73" s="141"/>
      <c r="CA73" s="141"/>
      <c r="CB73" s="141"/>
      <c r="CC73" s="141"/>
      <c r="CD73" s="141"/>
      <c r="CE73" s="141"/>
      <c r="CF73" s="141"/>
      <c r="CG73" s="141"/>
      <c r="CH73" s="141"/>
      <c r="CI73" s="141"/>
      <c r="CJ73" s="141"/>
      <c r="CK73" s="141"/>
      <c r="CL73" s="141"/>
      <c r="CM73" s="141"/>
      <c r="CN73" s="141"/>
      <c r="CO73" s="141"/>
      <c r="CP73" s="141"/>
      <c r="CQ73" s="141"/>
      <c r="CR73" s="141"/>
      <c r="CS73" s="141"/>
      <c r="CT73" s="141"/>
      <c r="CU73" s="141"/>
      <c r="CV73" s="141"/>
      <c r="CW73" s="141"/>
      <c r="CX73" s="141"/>
      <c r="CY73" s="141"/>
      <c r="CZ73" s="141"/>
      <c r="DA73" s="173"/>
    </row>
    <row r="74" spans="2:105" x14ac:dyDescent="0.25">
      <c r="B74" s="172"/>
      <c r="C74" s="141" t="s">
        <v>1303</v>
      </c>
      <c r="D74" s="141" t="s">
        <v>501</v>
      </c>
      <c r="E74" s="141" t="s">
        <v>1304</v>
      </c>
      <c r="F74" s="141" t="s">
        <v>1305</v>
      </c>
      <c r="G74" s="141"/>
      <c r="H74" s="141" t="s">
        <v>353</v>
      </c>
      <c r="I74" s="141"/>
      <c r="J74" s="141" t="s">
        <v>354</v>
      </c>
      <c r="K74" s="141" t="s">
        <v>459</v>
      </c>
      <c r="L74" s="141" t="s">
        <v>1306</v>
      </c>
      <c r="M74" s="141" t="s">
        <v>1307</v>
      </c>
      <c r="N74" s="141" t="s">
        <v>354</v>
      </c>
      <c r="O74" s="141" t="s">
        <v>393</v>
      </c>
      <c r="P74" s="141" t="s">
        <v>424</v>
      </c>
      <c r="Q74" s="141" t="s">
        <v>425</v>
      </c>
      <c r="R74" s="141" t="s">
        <v>361</v>
      </c>
      <c r="S74" s="141" t="s">
        <v>368</v>
      </c>
      <c r="T74" s="141" t="s">
        <v>1129</v>
      </c>
      <c r="U74" s="141" t="s">
        <v>1129</v>
      </c>
      <c r="V74" s="141"/>
      <c r="W74" s="141"/>
      <c r="X74" s="141"/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 t="s">
        <v>354</v>
      </c>
      <c r="AL74" s="141" t="s">
        <v>364</v>
      </c>
      <c r="AM74" s="141" t="s">
        <v>354</v>
      </c>
      <c r="AN74" s="141" t="s">
        <v>367</v>
      </c>
      <c r="AO74" s="141" t="s">
        <v>1129</v>
      </c>
      <c r="AP74" s="141" t="s">
        <v>653</v>
      </c>
      <c r="AQ74" s="141" t="s">
        <v>654</v>
      </c>
      <c r="AR74" s="141" t="s">
        <v>408</v>
      </c>
      <c r="AS74" s="141" t="s">
        <v>1308</v>
      </c>
      <c r="AT74" s="141"/>
      <c r="AU74" s="141" t="s">
        <v>1306</v>
      </c>
      <c r="AV74" s="141" t="s">
        <v>655</v>
      </c>
      <c r="AW74" s="141" t="s">
        <v>1309</v>
      </c>
      <c r="AX74" s="141" t="s">
        <v>657</v>
      </c>
      <c r="AY74" s="141" t="s">
        <v>1310</v>
      </c>
      <c r="AZ74" s="141" t="s">
        <v>659</v>
      </c>
      <c r="BA74" s="141" t="s">
        <v>1311</v>
      </c>
      <c r="BB74" s="141" t="s">
        <v>661</v>
      </c>
      <c r="BC74" s="141" t="s">
        <v>1312</v>
      </c>
      <c r="BD74" s="141" t="s">
        <v>497</v>
      </c>
      <c r="BE74" s="141" t="s">
        <v>1313</v>
      </c>
      <c r="BF74" s="141" t="s">
        <v>378</v>
      </c>
      <c r="BG74" s="141" t="s">
        <v>1314</v>
      </c>
      <c r="BH74" s="141" t="s">
        <v>380</v>
      </c>
      <c r="BI74" s="141" t="s">
        <v>1315</v>
      </c>
      <c r="BJ74" s="141" t="s">
        <v>382</v>
      </c>
      <c r="BK74" s="141" t="s">
        <v>1316</v>
      </c>
      <c r="BL74" s="141"/>
      <c r="BM74" s="141"/>
      <c r="BN74" s="141"/>
      <c r="BO74" s="141"/>
      <c r="BP74" s="141"/>
      <c r="BQ74" s="141"/>
      <c r="BR74" s="141"/>
      <c r="BS74" s="141"/>
      <c r="BT74" s="141"/>
      <c r="BU74" s="141"/>
      <c r="BV74" s="141"/>
      <c r="BW74" s="141"/>
      <c r="BX74" s="141"/>
      <c r="BY74" s="141"/>
      <c r="BZ74" s="141"/>
      <c r="CA74" s="141"/>
      <c r="CB74" s="141"/>
      <c r="CC74" s="141"/>
      <c r="CD74" s="141"/>
      <c r="CE74" s="141"/>
      <c r="CF74" s="141"/>
      <c r="CG74" s="141"/>
      <c r="CH74" s="141"/>
      <c r="CI74" s="141"/>
      <c r="CJ74" s="141"/>
      <c r="CK74" s="141"/>
      <c r="CL74" s="141"/>
      <c r="CM74" s="141"/>
      <c r="CN74" s="141"/>
      <c r="CO74" s="141"/>
      <c r="CP74" s="141"/>
      <c r="CQ74" s="141"/>
      <c r="CR74" s="141"/>
      <c r="CS74" s="141"/>
      <c r="CT74" s="141"/>
      <c r="CU74" s="141"/>
      <c r="CV74" s="141"/>
      <c r="CW74" s="141"/>
      <c r="CX74" s="141"/>
      <c r="CY74" s="141"/>
      <c r="CZ74" s="141"/>
      <c r="DA74" s="173"/>
    </row>
    <row r="75" spans="2:105" x14ac:dyDescent="0.25">
      <c r="B75" s="172"/>
      <c r="C75" s="141" t="s">
        <v>1317</v>
      </c>
      <c r="D75" s="141" t="s">
        <v>1318</v>
      </c>
      <c r="E75" s="141" t="s">
        <v>1319</v>
      </c>
      <c r="F75" s="141" t="s">
        <v>1320</v>
      </c>
      <c r="G75" s="141"/>
      <c r="H75" s="141" t="s">
        <v>353</v>
      </c>
      <c r="I75" s="141"/>
      <c r="J75" s="141" t="s">
        <v>354</v>
      </c>
      <c r="K75" s="141" t="s">
        <v>1321</v>
      </c>
      <c r="L75" s="141" t="s">
        <v>1322</v>
      </c>
      <c r="M75" s="141" t="s">
        <v>1323</v>
      </c>
      <c r="N75" s="141" t="s">
        <v>354</v>
      </c>
      <c r="O75" s="141" t="s">
        <v>393</v>
      </c>
      <c r="P75" s="141" t="s">
        <v>424</v>
      </c>
      <c r="Q75" s="141" t="s">
        <v>425</v>
      </c>
      <c r="R75" s="141" t="s">
        <v>361</v>
      </c>
      <c r="S75" s="141" t="s">
        <v>368</v>
      </c>
      <c r="T75" s="141" t="s">
        <v>1129</v>
      </c>
      <c r="U75" s="141" t="s">
        <v>1129</v>
      </c>
      <c r="V75" s="141"/>
      <c r="W75" s="141"/>
      <c r="X75" s="141"/>
      <c r="Y75" s="141"/>
      <c r="Z75" s="141"/>
      <c r="AA75" s="141"/>
      <c r="AB75" s="141"/>
      <c r="AC75" s="141"/>
      <c r="AD75" s="141"/>
      <c r="AE75" s="141"/>
      <c r="AF75" s="141"/>
      <c r="AG75" s="141"/>
      <c r="AH75" s="141"/>
      <c r="AI75" s="141"/>
      <c r="AJ75" s="141"/>
      <c r="AK75" s="141" t="s">
        <v>354</v>
      </c>
      <c r="AL75" s="141" t="s">
        <v>364</v>
      </c>
      <c r="AM75" s="141" t="s">
        <v>354</v>
      </c>
      <c r="AN75" s="141" t="s">
        <v>367</v>
      </c>
      <c r="AO75" s="141" t="s">
        <v>1129</v>
      </c>
      <c r="AP75" s="141" t="s">
        <v>653</v>
      </c>
      <c r="AQ75" s="141" t="s">
        <v>654</v>
      </c>
      <c r="AR75" s="141" t="s">
        <v>408</v>
      </c>
      <c r="AS75" s="141" t="s">
        <v>1324</v>
      </c>
      <c r="AT75" s="141"/>
      <c r="AU75" s="141" t="s">
        <v>1322</v>
      </c>
      <c r="AV75" s="141" t="s">
        <v>655</v>
      </c>
      <c r="AW75" s="141" t="s">
        <v>1325</v>
      </c>
      <c r="AX75" s="141" t="s">
        <v>657</v>
      </c>
      <c r="AY75" s="141" t="s">
        <v>1326</v>
      </c>
      <c r="AZ75" s="141" t="s">
        <v>659</v>
      </c>
      <c r="BA75" s="141" t="s">
        <v>767</v>
      </c>
      <c r="BB75" s="141" t="s">
        <v>661</v>
      </c>
      <c r="BC75" s="141" t="s">
        <v>1327</v>
      </c>
      <c r="BD75" s="141" t="s">
        <v>497</v>
      </c>
      <c r="BE75" s="141" t="s">
        <v>1328</v>
      </c>
      <c r="BF75" s="141" t="s">
        <v>378</v>
      </c>
      <c r="BG75" s="141" t="s">
        <v>1329</v>
      </c>
      <c r="BH75" s="141" t="s">
        <v>380</v>
      </c>
      <c r="BI75" s="141" t="s">
        <v>1330</v>
      </c>
      <c r="BJ75" s="141" t="s">
        <v>382</v>
      </c>
      <c r="BK75" s="141" t="s">
        <v>1331</v>
      </c>
      <c r="BL75" s="141"/>
      <c r="BM75" s="141"/>
      <c r="BN75" s="141"/>
      <c r="BO75" s="141"/>
      <c r="BP75" s="141"/>
      <c r="BQ75" s="141"/>
      <c r="BR75" s="141"/>
      <c r="BS75" s="141"/>
      <c r="BT75" s="141"/>
      <c r="BU75" s="141"/>
      <c r="BV75" s="141"/>
      <c r="BW75" s="141"/>
      <c r="BX75" s="141"/>
      <c r="BY75" s="141"/>
      <c r="BZ75" s="141"/>
      <c r="CA75" s="141"/>
      <c r="CB75" s="141"/>
      <c r="CC75" s="141"/>
      <c r="CD75" s="141"/>
      <c r="CE75" s="141"/>
      <c r="CF75" s="141"/>
      <c r="CG75" s="141"/>
      <c r="CH75" s="141"/>
      <c r="CI75" s="141"/>
      <c r="CJ75" s="141"/>
      <c r="CK75" s="141"/>
      <c r="CL75" s="141"/>
      <c r="CM75" s="141"/>
      <c r="CN75" s="141"/>
      <c r="CO75" s="141"/>
      <c r="CP75" s="141"/>
      <c r="CQ75" s="141"/>
      <c r="CR75" s="141"/>
      <c r="CS75" s="141"/>
      <c r="CT75" s="141"/>
      <c r="CU75" s="141"/>
      <c r="CV75" s="141"/>
      <c r="CW75" s="141"/>
      <c r="CX75" s="141"/>
      <c r="CY75" s="141"/>
      <c r="CZ75" s="141"/>
      <c r="DA75" s="173"/>
    </row>
    <row r="76" spans="2:105" x14ac:dyDescent="0.25">
      <c r="B76" s="172"/>
      <c r="C76" s="141" t="s">
        <v>1332</v>
      </c>
      <c r="D76" s="141" t="s">
        <v>1333</v>
      </c>
      <c r="E76" s="141" t="s">
        <v>1334</v>
      </c>
      <c r="F76" s="141" t="s">
        <v>1335</v>
      </c>
      <c r="G76" s="141"/>
      <c r="H76" s="141" t="s">
        <v>353</v>
      </c>
      <c r="I76" s="141"/>
      <c r="J76" s="141" t="s">
        <v>354</v>
      </c>
      <c r="K76" s="141" t="s">
        <v>1336</v>
      </c>
      <c r="L76" s="141" t="s">
        <v>1337</v>
      </c>
      <c r="M76" s="141" t="s">
        <v>1338</v>
      </c>
      <c r="N76" s="141" t="s">
        <v>354</v>
      </c>
      <c r="O76" s="141" t="s">
        <v>369</v>
      </c>
      <c r="P76" s="141" t="s">
        <v>528</v>
      </c>
      <c r="Q76" s="141" t="s">
        <v>529</v>
      </c>
      <c r="R76" s="141" t="s">
        <v>361</v>
      </c>
      <c r="S76" s="141" t="s">
        <v>368</v>
      </c>
      <c r="T76" s="141" t="s">
        <v>1129</v>
      </c>
      <c r="U76" s="141" t="s">
        <v>1129</v>
      </c>
      <c r="V76" s="141"/>
      <c r="W76" s="141"/>
      <c r="X76" s="141"/>
      <c r="Y76" s="141"/>
      <c r="Z76" s="141"/>
      <c r="AA76" s="141"/>
      <c r="AB76" s="141"/>
      <c r="AC76" s="141"/>
      <c r="AD76" s="141"/>
      <c r="AE76" s="141"/>
      <c r="AF76" s="141"/>
      <c r="AG76" s="141"/>
      <c r="AH76" s="141"/>
      <c r="AI76" s="141"/>
      <c r="AJ76" s="141"/>
      <c r="AK76" s="141" t="s">
        <v>354</v>
      </c>
      <c r="AL76" s="141" t="s">
        <v>364</v>
      </c>
      <c r="AM76" s="141" t="s">
        <v>354</v>
      </c>
      <c r="AN76" s="141" t="s">
        <v>367</v>
      </c>
      <c r="AO76" s="141" t="s">
        <v>1129</v>
      </c>
      <c r="AP76" s="141" t="s">
        <v>653</v>
      </c>
      <c r="AQ76" s="141" t="s">
        <v>654</v>
      </c>
      <c r="AR76" s="141" t="s">
        <v>408</v>
      </c>
      <c r="AS76" s="141" t="s">
        <v>1339</v>
      </c>
      <c r="AT76" s="141"/>
      <c r="AU76" s="141" t="s">
        <v>1337</v>
      </c>
      <c r="AV76" s="141" t="s">
        <v>655</v>
      </c>
      <c r="AW76" s="141" t="s">
        <v>1340</v>
      </c>
      <c r="AX76" s="141" t="s">
        <v>657</v>
      </c>
      <c r="AY76" s="141" t="s">
        <v>1341</v>
      </c>
      <c r="AZ76" s="141" t="s">
        <v>659</v>
      </c>
      <c r="BA76" s="141" t="s">
        <v>1342</v>
      </c>
      <c r="BB76" s="141" t="s">
        <v>661</v>
      </c>
      <c r="BC76" s="141" t="s">
        <v>1343</v>
      </c>
      <c r="BD76" s="141" t="s">
        <v>497</v>
      </c>
      <c r="BE76" s="141" t="s">
        <v>1344</v>
      </c>
      <c r="BF76" s="141" t="s">
        <v>378</v>
      </c>
      <c r="BG76" s="141" t="s">
        <v>1345</v>
      </c>
      <c r="BH76" s="141" t="s">
        <v>380</v>
      </c>
      <c r="BI76" s="141" t="s">
        <v>1346</v>
      </c>
      <c r="BJ76" s="141" t="s">
        <v>382</v>
      </c>
      <c r="BK76" s="141" t="s">
        <v>1347</v>
      </c>
      <c r="BL76" s="141"/>
      <c r="BM76" s="141"/>
      <c r="BN76" s="141"/>
      <c r="BO76" s="141"/>
      <c r="BP76" s="141"/>
      <c r="BQ76" s="141"/>
      <c r="BR76" s="141"/>
      <c r="BS76" s="141"/>
      <c r="BT76" s="141"/>
      <c r="BU76" s="141"/>
      <c r="BV76" s="141"/>
      <c r="BW76" s="141"/>
      <c r="BX76" s="141"/>
      <c r="BY76" s="141"/>
      <c r="BZ76" s="141"/>
      <c r="CA76" s="141"/>
      <c r="CB76" s="141"/>
      <c r="CC76" s="141"/>
      <c r="CD76" s="141"/>
      <c r="CE76" s="141"/>
      <c r="CF76" s="141"/>
      <c r="CG76" s="141"/>
      <c r="CH76" s="141"/>
      <c r="CI76" s="141"/>
      <c r="CJ76" s="141"/>
      <c r="CK76" s="141"/>
      <c r="CL76" s="141"/>
      <c r="CM76" s="141"/>
      <c r="CN76" s="141"/>
      <c r="CO76" s="141"/>
      <c r="CP76" s="141"/>
      <c r="CQ76" s="141"/>
      <c r="CR76" s="141"/>
      <c r="CS76" s="141"/>
      <c r="CT76" s="141"/>
      <c r="CU76" s="141"/>
      <c r="CV76" s="141"/>
      <c r="CW76" s="141"/>
      <c r="CX76" s="141"/>
      <c r="CY76" s="141"/>
      <c r="CZ76" s="141"/>
      <c r="DA76" s="173"/>
    </row>
    <row r="77" spans="2:105" x14ac:dyDescent="0.25">
      <c r="B77" s="172"/>
      <c r="C77" s="141" t="s">
        <v>1348</v>
      </c>
      <c r="D77" s="141" t="s">
        <v>1349</v>
      </c>
      <c r="E77" s="141" t="s">
        <v>1350</v>
      </c>
      <c r="F77" s="141" t="s">
        <v>437</v>
      </c>
      <c r="G77" s="141"/>
      <c r="H77" s="141" t="s">
        <v>353</v>
      </c>
      <c r="I77" s="141"/>
      <c r="J77" s="141" t="s">
        <v>354</v>
      </c>
      <c r="K77" s="141" t="s">
        <v>1351</v>
      </c>
      <c r="L77" s="141" t="s">
        <v>1352</v>
      </c>
      <c r="M77" s="141" t="s">
        <v>1353</v>
      </c>
      <c r="N77" s="141" t="s">
        <v>354</v>
      </c>
      <c r="O77" s="141" t="s">
        <v>408</v>
      </c>
      <c r="P77" s="141" t="s">
        <v>409</v>
      </c>
      <c r="Q77" s="141" t="s">
        <v>409</v>
      </c>
      <c r="R77" s="141" t="s">
        <v>361</v>
      </c>
      <c r="S77" s="141" t="s">
        <v>368</v>
      </c>
      <c r="T77" s="141" t="s">
        <v>1129</v>
      </c>
      <c r="U77" s="141" t="s">
        <v>1129</v>
      </c>
      <c r="V77" s="141"/>
      <c r="W77" s="141"/>
      <c r="X77" s="141"/>
      <c r="Y77" s="141"/>
      <c r="Z77" s="141"/>
      <c r="AA77" s="141"/>
      <c r="AB77" s="141"/>
      <c r="AC77" s="141"/>
      <c r="AD77" s="141"/>
      <c r="AE77" s="141"/>
      <c r="AF77" s="141"/>
      <c r="AG77" s="141"/>
      <c r="AH77" s="141"/>
      <c r="AI77" s="141"/>
      <c r="AJ77" s="141"/>
      <c r="AK77" s="141" t="s">
        <v>354</v>
      </c>
      <c r="AL77" s="141" t="s">
        <v>364</v>
      </c>
      <c r="AM77" s="141" t="s">
        <v>354</v>
      </c>
      <c r="AN77" s="141" t="s">
        <v>367</v>
      </c>
      <c r="AO77" s="141" t="s">
        <v>1129</v>
      </c>
      <c r="AP77" s="141" t="s">
        <v>653</v>
      </c>
      <c r="AQ77" s="141" t="s">
        <v>654</v>
      </c>
      <c r="AR77" s="141" t="s">
        <v>408</v>
      </c>
      <c r="AS77" s="141" t="s">
        <v>889</v>
      </c>
      <c r="AT77" s="141"/>
      <c r="AU77" s="141" t="s">
        <v>1352</v>
      </c>
      <c r="AV77" s="141" t="s">
        <v>655</v>
      </c>
      <c r="AW77" s="141" t="s">
        <v>1354</v>
      </c>
      <c r="AX77" s="141" t="s">
        <v>657</v>
      </c>
      <c r="AY77" s="141" t="s">
        <v>1355</v>
      </c>
      <c r="AZ77" s="141" t="s">
        <v>659</v>
      </c>
      <c r="BA77" s="141" t="s">
        <v>1356</v>
      </c>
      <c r="BB77" s="141" t="s">
        <v>661</v>
      </c>
      <c r="BC77" s="141" t="s">
        <v>1357</v>
      </c>
      <c r="BD77" s="141" t="s">
        <v>497</v>
      </c>
      <c r="BE77" s="141" t="s">
        <v>1358</v>
      </c>
      <c r="BF77" s="141" t="s">
        <v>378</v>
      </c>
      <c r="BG77" s="141" t="s">
        <v>1359</v>
      </c>
      <c r="BH77" s="141" t="s">
        <v>380</v>
      </c>
      <c r="BI77" s="141" t="s">
        <v>1360</v>
      </c>
      <c r="BJ77" s="141" t="s">
        <v>382</v>
      </c>
      <c r="BK77" s="141" t="s">
        <v>986</v>
      </c>
      <c r="BL77" s="141"/>
      <c r="BM77" s="141"/>
      <c r="BN77" s="141"/>
      <c r="BO77" s="141"/>
      <c r="BP77" s="141"/>
      <c r="BQ77" s="141"/>
      <c r="BR77" s="141"/>
      <c r="BS77" s="141"/>
      <c r="BT77" s="141"/>
      <c r="BU77" s="141"/>
      <c r="BV77" s="141"/>
      <c r="BW77" s="141"/>
      <c r="BX77" s="141"/>
      <c r="BY77" s="141"/>
      <c r="BZ77" s="141"/>
      <c r="CA77" s="141"/>
      <c r="CB77" s="141"/>
      <c r="CC77" s="141"/>
      <c r="CD77" s="141"/>
      <c r="CE77" s="141"/>
      <c r="CF77" s="141"/>
      <c r="CG77" s="141"/>
      <c r="CH77" s="141"/>
      <c r="CI77" s="141"/>
      <c r="CJ77" s="141"/>
      <c r="CK77" s="141"/>
      <c r="CL77" s="141"/>
      <c r="CM77" s="141"/>
      <c r="CN77" s="141"/>
      <c r="CO77" s="141"/>
      <c r="CP77" s="141"/>
      <c r="CQ77" s="141"/>
      <c r="CR77" s="141"/>
      <c r="CS77" s="141"/>
      <c r="CT77" s="141"/>
      <c r="CU77" s="141"/>
      <c r="CV77" s="141"/>
      <c r="CW77" s="141"/>
      <c r="CX77" s="141"/>
      <c r="CY77" s="141"/>
      <c r="CZ77" s="141"/>
      <c r="DA77" s="173"/>
    </row>
    <row r="78" spans="2:105" x14ac:dyDescent="0.25">
      <c r="B78" s="172"/>
      <c r="C78" s="141" t="s">
        <v>1361</v>
      </c>
      <c r="D78" s="141" t="s">
        <v>774</v>
      </c>
      <c r="E78" s="141" t="s">
        <v>1362</v>
      </c>
      <c r="F78" s="141" t="s">
        <v>1363</v>
      </c>
      <c r="G78" s="141"/>
      <c r="H78" s="141" t="s">
        <v>353</v>
      </c>
      <c r="I78" s="141"/>
      <c r="J78" s="141" t="s">
        <v>354</v>
      </c>
      <c r="K78" s="141" t="s">
        <v>1364</v>
      </c>
      <c r="L78" s="141" t="s">
        <v>1365</v>
      </c>
      <c r="M78" s="141" t="s">
        <v>1366</v>
      </c>
      <c r="N78" s="141" t="s">
        <v>354</v>
      </c>
      <c r="O78" s="141" t="s">
        <v>393</v>
      </c>
      <c r="P78" s="141" t="s">
        <v>424</v>
      </c>
      <c r="Q78" s="141" t="s">
        <v>425</v>
      </c>
      <c r="R78" s="141" t="s">
        <v>361</v>
      </c>
      <c r="S78" s="141" t="s">
        <v>368</v>
      </c>
      <c r="T78" s="141" t="s">
        <v>1129</v>
      </c>
      <c r="U78" s="141" t="s">
        <v>1129</v>
      </c>
      <c r="V78" s="141"/>
      <c r="W78" s="141"/>
      <c r="X78" s="141"/>
      <c r="Y78" s="141"/>
      <c r="Z78" s="141"/>
      <c r="AA78" s="141"/>
      <c r="AB78" s="141"/>
      <c r="AC78" s="141"/>
      <c r="AD78" s="141"/>
      <c r="AE78" s="141"/>
      <c r="AF78" s="141"/>
      <c r="AG78" s="141"/>
      <c r="AH78" s="141"/>
      <c r="AI78" s="141"/>
      <c r="AJ78" s="141"/>
      <c r="AK78" s="141" t="s">
        <v>354</v>
      </c>
      <c r="AL78" s="141" t="s">
        <v>364</v>
      </c>
      <c r="AM78" s="141" t="s">
        <v>354</v>
      </c>
      <c r="AN78" s="141" t="s">
        <v>367</v>
      </c>
      <c r="AO78" s="141" t="s">
        <v>1129</v>
      </c>
      <c r="AP78" s="141" t="s">
        <v>653</v>
      </c>
      <c r="AQ78" s="141" t="s">
        <v>654</v>
      </c>
      <c r="AR78" s="141" t="s">
        <v>408</v>
      </c>
      <c r="AS78" s="141" t="s">
        <v>1367</v>
      </c>
      <c r="AT78" s="141"/>
      <c r="AU78" s="141" t="s">
        <v>1365</v>
      </c>
      <c r="AV78" s="141" t="s">
        <v>655</v>
      </c>
      <c r="AW78" s="141" t="s">
        <v>1368</v>
      </c>
      <c r="AX78" s="141" t="s">
        <v>657</v>
      </c>
      <c r="AY78" s="141" t="s">
        <v>1369</v>
      </c>
      <c r="AZ78" s="141" t="s">
        <v>659</v>
      </c>
      <c r="BA78" s="141" t="s">
        <v>1370</v>
      </c>
      <c r="BB78" s="141" t="s">
        <v>661</v>
      </c>
      <c r="BC78" s="141" t="s">
        <v>1371</v>
      </c>
      <c r="BD78" s="141" t="s">
        <v>497</v>
      </c>
      <c r="BE78" s="141" t="s">
        <v>1372</v>
      </c>
      <c r="BF78" s="141" t="s">
        <v>378</v>
      </c>
      <c r="BG78" s="141" t="s">
        <v>1373</v>
      </c>
      <c r="BH78" s="141" t="s">
        <v>380</v>
      </c>
      <c r="BI78" s="141" t="s">
        <v>1374</v>
      </c>
      <c r="BJ78" s="141" t="s">
        <v>382</v>
      </c>
      <c r="BK78" s="141" t="s">
        <v>1375</v>
      </c>
      <c r="BL78" s="141"/>
      <c r="BM78" s="141"/>
      <c r="BN78" s="141"/>
      <c r="BO78" s="141"/>
      <c r="BP78" s="141"/>
      <c r="BQ78" s="141"/>
      <c r="BR78" s="141"/>
      <c r="BS78" s="141"/>
      <c r="BT78" s="141"/>
      <c r="BU78" s="141"/>
      <c r="BV78" s="141"/>
      <c r="BW78" s="141"/>
      <c r="BX78" s="141"/>
      <c r="BY78" s="141"/>
      <c r="BZ78" s="141"/>
      <c r="CA78" s="141"/>
      <c r="CB78" s="141"/>
      <c r="CC78" s="141"/>
      <c r="CD78" s="141"/>
      <c r="CE78" s="141"/>
      <c r="CF78" s="141"/>
      <c r="CG78" s="141"/>
      <c r="CH78" s="141"/>
      <c r="CI78" s="141"/>
      <c r="CJ78" s="141"/>
      <c r="CK78" s="141"/>
      <c r="CL78" s="141"/>
      <c r="CM78" s="141"/>
      <c r="CN78" s="141"/>
      <c r="CO78" s="141"/>
      <c r="CP78" s="141"/>
      <c r="CQ78" s="141"/>
      <c r="CR78" s="141"/>
      <c r="CS78" s="141"/>
      <c r="CT78" s="141"/>
      <c r="CU78" s="141"/>
      <c r="CV78" s="141"/>
      <c r="CW78" s="141"/>
      <c r="CX78" s="141"/>
      <c r="CY78" s="141"/>
      <c r="CZ78" s="141"/>
      <c r="DA78" s="173"/>
    </row>
    <row r="79" spans="2:105" x14ac:dyDescent="0.25">
      <c r="B79" s="172"/>
      <c r="C79" s="141" t="s">
        <v>1376</v>
      </c>
      <c r="D79" s="141" t="s">
        <v>1377</v>
      </c>
      <c r="E79" s="141" t="s">
        <v>1378</v>
      </c>
      <c r="F79" s="141" t="s">
        <v>589</v>
      </c>
      <c r="G79" s="141"/>
      <c r="H79" s="141" t="s">
        <v>353</v>
      </c>
      <c r="I79" s="141"/>
      <c r="J79" s="141" t="s">
        <v>354</v>
      </c>
      <c r="K79" s="141" t="s">
        <v>472</v>
      </c>
      <c r="L79" s="141" t="s">
        <v>1379</v>
      </c>
      <c r="M79" s="141" t="s">
        <v>1047</v>
      </c>
      <c r="N79" s="141" t="s">
        <v>354</v>
      </c>
      <c r="O79" s="141" t="s">
        <v>393</v>
      </c>
      <c r="P79" s="141" t="s">
        <v>424</v>
      </c>
      <c r="Q79" s="141" t="s">
        <v>425</v>
      </c>
      <c r="R79" s="141" t="s">
        <v>361</v>
      </c>
      <c r="S79" s="141" t="s">
        <v>368</v>
      </c>
      <c r="T79" s="141" t="s">
        <v>1129</v>
      </c>
      <c r="U79" s="141" t="s">
        <v>1129</v>
      </c>
      <c r="V79" s="141"/>
      <c r="W79" s="141"/>
      <c r="X79" s="141"/>
      <c r="Y79" s="141"/>
      <c r="Z79" s="141"/>
      <c r="AA79" s="141"/>
      <c r="AB79" s="141"/>
      <c r="AC79" s="141"/>
      <c r="AD79" s="141"/>
      <c r="AE79" s="141"/>
      <c r="AF79" s="141"/>
      <c r="AG79" s="141"/>
      <c r="AH79" s="141"/>
      <c r="AI79" s="141"/>
      <c r="AJ79" s="141"/>
      <c r="AK79" s="141" t="s">
        <v>354</v>
      </c>
      <c r="AL79" s="141" t="s">
        <v>364</v>
      </c>
      <c r="AM79" s="141" t="s">
        <v>354</v>
      </c>
      <c r="AN79" s="141" t="s">
        <v>367</v>
      </c>
      <c r="AO79" s="141" t="s">
        <v>1129</v>
      </c>
      <c r="AP79" s="141" t="s">
        <v>653</v>
      </c>
      <c r="AQ79" s="141" t="s">
        <v>654</v>
      </c>
      <c r="AR79" s="141" t="s">
        <v>408</v>
      </c>
      <c r="AS79" s="141" t="s">
        <v>1380</v>
      </c>
      <c r="AT79" s="141"/>
      <c r="AU79" s="141" t="s">
        <v>1379</v>
      </c>
      <c r="AV79" s="141" t="s">
        <v>655</v>
      </c>
      <c r="AW79" s="141" t="s">
        <v>1381</v>
      </c>
      <c r="AX79" s="141" t="s">
        <v>657</v>
      </c>
      <c r="AY79" s="141" t="s">
        <v>1382</v>
      </c>
      <c r="AZ79" s="141" t="s">
        <v>659</v>
      </c>
      <c r="BA79" s="141" t="s">
        <v>1383</v>
      </c>
      <c r="BB79" s="141" t="s">
        <v>661</v>
      </c>
      <c r="BC79" s="141" t="s">
        <v>1384</v>
      </c>
      <c r="BD79" s="141" t="s">
        <v>497</v>
      </c>
      <c r="BE79" s="141" t="s">
        <v>1385</v>
      </c>
      <c r="BF79" s="141" t="s">
        <v>378</v>
      </c>
      <c r="BG79" s="141" t="s">
        <v>1386</v>
      </c>
      <c r="BH79" s="141" t="s">
        <v>380</v>
      </c>
      <c r="BI79" s="141" t="s">
        <v>1387</v>
      </c>
      <c r="BJ79" s="141" t="s">
        <v>382</v>
      </c>
      <c r="BK79" s="141" t="s">
        <v>1388</v>
      </c>
      <c r="BL79" s="141"/>
      <c r="BM79" s="141"/>
      <c r="BN79" s="141"/>
      <c r="BO79" s="141"/>
      <c r="BP79" s="141"/>
      <c r="BQ79" s="141"/>
      <c r="BR79" s="141"/>
      <c r="BS79" s="141"/>
      <c r="BT79" s="141"/>
      <c r="BU79" s="141"/>
      <c r="BV79" s="141"/>
      <c r="BW79" s="141"/>
      <c r="BX79" s="141"/>
      <c r="BY79" s="141"/>
      <c r="BZ79" s="141"/>
      <c r="CA79" s="141"/>
      <c r="CB79" s="141"/>
      <c r="CC79" s="141"/>
      <c r="CD79" s="141"/>
      <c r="CE79" s="141"/>
      <c r="CF79" s="141"/>
      <c r="CG79" s="141"/>
      <c r="CH79" s="141"/>
      <c r="CI79" s="141"/>
      <c r="CJ79" s="141"/>
      <c r="CK79" s="141"/>
      <c r="CL79" s="141"/>
      <c r="CM79" s="141"/>
      <c r="CN79" s="141"/>
      <c r="CO79" s="141"/>
      <c r="CP79" s="141"/>
      <c r="CQ79" s="141"/>
      <c r="CR79" s="141"/>
      <c r="CS79" s="141"/>
      <c r="CT79" s="141"/>
      <c r="CU79" s="141"/>
      <c r="CV79" s="141"/>
      <c r="CW79" s="141"/>
      <c r="CX79" s="141"/>
      <c r="CY79" s="141"/>
      <c r="CZ79" s="141"/>
      <c r="DA79" s="173"/>
    </row>
    <row r="80" spans="2:105" x14ac:dyDescent="0.25">
      <c r="B80" s="172"/>
      <c r="C80" s="141" t="s">
        <v>1389</v>
      </c>
      <c r="D80" s="141" t="s">
        <v>1390</v>
      </c>
      <c r="E80" s="141" t="s">
        <v>1391</v>
      </c>
      <c r="F80" s="141" t="s">
        <v>1392</v>
      </c>
      <c r="G80" s="141"/>
      <c r="H80" s="141" t="s">
        <v>353</v>
      </c>
      <c r="I80" s="141"/>
      <c r="J80" s="141" t="s">
        <v>354</v>
      </c>
      <c r="K80" s="141" t="s">
        <v>1393</v>
      </c>
      <c r="L80" s="141" t="s">
        <v>1394</v>
      </c>
      <c r="M80" s="141" t="s">
        <v>1395</v>
      </c>
      <c r="N80" s="141" t="s">
        <v>354</v>
      </c>
      <c r="O80" s="141" t="s">
        <v>369</v>
      </c>
      <c r="P80" s="141" t="s">
        <v>528</v>
      </c>
      <c r="Q80" s="141" t="s">
        <v>529</v>
      </c>
      <c r="R80" s="141" t="s">
        <v>361</v>
      </c>
      <c r="S80" s="141" t="s">
        <v>368</v>
      </c>
      <c r="T80" s="141" t="s">
        <v>1129</v>
      </c>
      <c r="U80" s="141" t="s">
        <v>1129</v>
      </c>
      <c r="V80" s="141"/>
      <c r="W80" s="141"/>
      <c r="X80" s="141"/>
      <c r="Y80" s="141"/>
      <c r="Z80" s="141"/>
      <c r="AA80" s="141"/>
      <c r="AB80" s="141"/>
      <c r="AC80" s="141"/>
      <c r="AD80" s="141"/>
      <c r="AE80" s="141"/>
      <c r="AF80" s="141"/>
      <c r="AG80" s="141"/>
      <c r="AH80" s="141"/>
      <c r="AI80" s="141"/>
      <c r="AJ80" s="141"/>
      <c r="AK80" s="141" t="s">
        <v>354</v>
      </c>
      <c r="AL80" s="141" t="s">
        <v>364</v>
      </c>
      <c r="AM80" s="141" t="s">
        <v>354</v>
      </c>
      <c r="AN80" s="141" t="s">
        <v>367</v>
      </c>
      <c r="AO80" s="141" t="s">
        <v>1129</v>
      </c>
      <c r="AP80" s="141" t="s">
        <v>653</v>
      </c>
      <c r="AQ80" s="141" t="s">
        <v>654</v>
      </c>
      <c r="AR80" s="141" t="s">
        <v>408</v>
      </c>
      <c r="AS80" s="141" t="s">
        <v>1396</v>
      </c>
      <c r="AT80" s="141"/>
      <c r="AU80" s="141" t="s">
        <v>1394</v>
      </c>
      <c r="AV80" s="141" t="s">
        <v>655</v>
      </c>
      <c r="AW80" s="141" t="s">
        <v>1397</v>
      </c>
      <c r="AX80" s="141" t="s">
        <v>657</v>
      </c>
      <c r="AY80" s="141" t="s">
        <v>1398</v>
      </c>
      <c r="AZ80" s="141" t="s">
        <v>659</v>
      </c>
      <c r="BA80" s="141" t="s">
        <v>1399</v>
      </c>
      <c r="BB80" s="141" t="s">
        <v>661</v>
      </c>
      <c r="BC80" s="141" t="s">
        <v>1400</v>
      </c>
      <c r="BD80" s="141" t="s">
        <v>497</v>
      </c>
      <c r="BE80" s="141" t="s">
        <v>1401</v>
      </c>
      <c r="BF80" s="141" t="s">
        <v>378</v>
      </c>
      <c r="BG80" s="141" t="s">
        <v>1402</v>
      </c>
      <c r="BH80" s="141" t="s">
        <v>380</v>
      </c>
      <c r="BI80" s="141" t="s">
        <v>1403</v>
      </c>
      <c r="BJ80" s="141" t="s">
        <v>382</v>
      </c>
      <c r="BK80" s="141" t="s">
        <v>1404</v>
      </c>
      <c r="BL80" s="141"/>
      <c r="BM80" s="141"/>
      <c r="BN80" s="141"/>
      <c r="BO80" s="141"/>
      <c r="BP80" s="141"/>
      <c r="BQ80" s="141"/>
      <c r="BR80" s="141"/>
      <c r="BS80" s="141"/>
      <c r="BT80" s="141"/>
      <c r="BU80" s="141"/>
      <c r="BV80" s="141"/>
      <c r="BW80" s="141"/>
      <c r="BX80" s="141"/>
      <c r="BY80" s="141"/>
      <c r="BZ80" s="141"/>
      <c r="CA80" s="141"/>
      <c r="CB80" s="141"/>
      <c r="CC80" s="141"/>
      <c r="CD80" s="141"/>
      <c r="CE80" s="141"/>
      <c r="CF80" s="141"/>
      <c r="CG80" s="141"/>
      <c r="CH80" s="141"/>
      <c r="CI80" s="141"/>
      <c r="CJ80" s="141"/>
      <c r="CK80" s="141"/>
      <c r="CL80" s="141"/>
      <c r="CM80" s="141"/>
      <c r="CN80" s="141"/>
      <c r="CO80" s="141"/>
      <c r="CP80" s="141"/>
      <c r="CQ80" s="141"/>
      <c r="CR80" s="141"/>
      <c r="CS80" s="141"/>
      <c r="CT80" s="141"/>
      <c r="CU80" s="141"/>
      <c r="CV80" s="141"/>
      <c r="CW80" s="141"/>
      <c r="CX80" s="141"/>
      <c r="CY80" s="141"/>
      <c r="CZ80" s="141"/>
      <c r="DA80" s="173"/>
    </row>
    <row r="81" spans="2:105" x14ac:dyDescent="0.25">
      <c r="B81" s="172"/>
      <c r="C81" s="141" t="s">
        <v>1405</v>
      </c>
      <c r="D81" s="141" t="s">
        <v>1406</v>
      </c>
      <c r="E81" s="141" t="s">
        <v>1233</v>
      </c>
      <c r="F81" s="141" t="s">
        <v>1335</v>
      </c>
      <c r="G81" s="141"/>
      <c r="H81" s="141" t="s">
        <v>353</v>
      </c>
      <c r="I81" s="141"/>
      <c r="J81" s="141" t="s">
        <v>354</v>
      </c>
      <c r="K81" s="141" t="s">
        <v>1407</v>
      </c>
      <c r="L81" s="141" t="s">
        <v>1408</v>
      </c>
      <c r="M81" s="141" t="s">
        <v>1409</v>
      </c>
      <c r="N81" s="141" t="s">
        <v>354</v>
      </c>
      <c r="O81" s="141" t="s">
        <v>393</v>
      </c>
      <c r="P81" s="141" t="s">
        <v>424</v>
      </c>
      <c r="Q81" s="141" t="s">
        <v>425</v>
      </c>
      <c r="R81" s="141" t="s">
        <v>361</v>
      </c>
      <c r="S81" s="141" t="s">
        <v>368</v>
      </c>
      <c r="T81" s="141" t="s">
        <v>1129</v>
      </c>
      <c r="U81" s="141" t="s">
        <v>1129</v>
      </c>
      <c r="V81" s="141"/>
      <c r="W81" s="141"/>
      <c r="X81" s="141"/>
      <c r="Y81" s="141"/>
      <c r="Z81" s="141"/>
      <c r="AA81" s="141"/>
      <c r="AB81" s="141"/>
      <c r="AC81" s="141"/>
      <c r="AD81" s="141"/>
      <c r="AE81" s="141"/>
      <c r="AF81" s="141"/>
      <c r="AG81" s="141"/>
      <c r="AH81" s="141"/>
      <c r="AI81" s="141"/>
      <c r="AJ81" s="141"/>
      <c r="AK81" s="141" t="s">
        <v>354</v>
      </c>
      <c r="AL81" s="141" t="s">
        <v>364</v>
      </c>
      <c r="AM81" s="141" t="s">
        <v>354</v>
      </c>
      <c r="AN81" s="141" t="s">
        <v>367</v>
      </c>
      <c r="AO81" s="141" t="s">
        <v>1129</v>
      </c>
      <c r="AP81" s="141" t="s">
        <v>653</v>
      </c>
      <c r="AQ81" s="141" t="s">
        <v>654</v>
      </c>
      <c r="AR81" s="141" t="s">
        <v>408</v>
      </c>
      <c r="AS81" s="141" t="s">
        <v>1410</v>
      </c>
      <c r="AT81" s="141"/>
      <c r="AU81" s="141" t="s">
        <v>1408</v>
      </c>
      <c r="AV81" s="141" t="s">
        <v>655</v>
      </c>
      <c r="AW81" s="141" t="s">
        <v>1411</v>
      </c>
      <c r="AX81" s="141" t="s">
        <v>657</v>
      </c>
      <c r="AY81" s="141" t="s">
        <v>1412</v>
      </c>
      <c r="AZ81" s="141" t="s">
        <v>659</v>
      </c>
      <c r="BA81" s="141" t="s">
        <v>1413</v>
      </c>
      <c r="BB81" s="141" t="s">
        <v>661</v>
      </c>
      <c r="BC81" s="141" t="s">
        <v>1414</v>
      </c>
      <c r="BD81" s="141" t="s">
        <v>497</v>
      </c>
      <c r="BE81" s="141" t="s">
        <v>1415</v>
      </c>
      <c r="BF81" s="141" t="s">
        <v>378</v>
      </c>
      <c r="BG81" s="141" t="s">
        <v>1416</v>
      </c>
      <c r="BH81" s="141" t="s">
        <v>380</v>
      </c>
      <c r="BI81" s="141" t="s">
        <v>1417</v>
      </c>
      <c r="BJ81" s="141" t="s">
        <v>382</v>
      </c>
      <c r="BK81" s="141" t="s">
        <v>1418</v>
      </c>
      <c r="BL81" s="141"/>
      <c r="BM81" s="141"/>
      <c r="BN81" s="141"/>
      <c r="BO81" s="141"/>
      <c r="BP81" s="141"/>
      <c r="BQ81" s="141"/>
      <c r="BR81" s="141"/>
      <c r="BS81" s="141"/>
      <c r="BT81" s="141"/>
      <c r="BU81" s="141"/>
      <c r="BV81" s="141"/>
      <c r="BW81" s="141"/>
      <c r="BX81" s="141"/>
      <c r="BY81" s="141"/>
      <c r="BZ81" s="141"/>
      <c r="CA81" s="141"/>
      <c r="CB81" s="141"/>
      <c r="CC81" s="141"/>
      <c r="CD81" s="141"/>
      <c r="CE81" s="141"/>
      <c r="CF81" s="141"/>
      <c r="CG81" s="141"/>
      <c r="CH81" s="141"/>
      <c r="CI81" s="141"/>
      <c r="CJ81" s="141"/>
      <c r="CK81" s="141"/>
      <c r="CL81" s="141"/>
      <c r="CM81" s="141"/>
      <c r="CN81" s="141"/>
      <c r="CO81" s="141"/>
      <c r="CP81" s="141"/>
      <c r="CQ81" s="141"/>
      <c r="CR81" s="141"/>
      <c r="CS81" s="141"/>
      <c r="CT81" s="141"/>
      <c r="CU81" s="141"/>
      <c r="CV81" s="141"/>
      <c r="CW81" s="141"/>
      <c r="CX81" s="141"/>
      <c r="CY81" s="141"/>
      <c r="CZ81" s="141"/>
      <c r="DA81" s="173"/>
    </row>
    <row r="82" spans="2:105" x14ac:dyDescent="0.25">
      <c r="B82" s="172"/>
      <c r="C82" s="141" t="s">
        <v>1419</v>
      </c>
      <c r="D82" s="141" t="s">
        <v>1420</v>
      </c>
      <c r="E82" s="141" t="s">
        <v>1421</v>
      </c>
      <c r="F82" s="141" t="s">
        <v>1422</v>
      </c>
      <c r="G82" s="141"/>
      <c r="H82" s="141" t="s">
        <v>353</v>
      </c>
      <c r="I82" s="141"/>
      <c r="J82" s="141" t="s">
        <v>354</v>
      </c>
      <c r="K82" s="141" t="s">
        <v>1423</v>
      </c>
      <c r="L82" s="141" t="s">
        <v>1424</v>
      </c>
      <c r="M82" s="141" t="s">
        <v>1425</v>
      </c>
      <c r="N82" s="141" t="s">
        <v>354</v>
      </c>
      <c r="O82" s="141" t="s">
        <v>393</v>
      </c>
      <c r="P82" s="141" t="s">
        <v>424</v>
      </c>
      <c r="Q82" s="141" t="s">
        <v>425</v>
      </c>
      <c r="R82" s="141" t="s">
        <v>361</v>
      </c>
      <c r="S82" s="141" t="s">
        <v>368</v>
      </c>
      <c r="T82" s="141" t="s">
        <v>1129</v>
      </c>
      <c r="U82" s="141" t="s">
        <v>1129</v>
      </c>
      <c r="V82" s="141"/>
      <c r="W82" s="141"/>
      <c r="X82" s="141"/>
      <c r="Y82" s="141"/>
      <c r="Z82" s="141"/>
      <c r="AA82" s="141"/>
      <c r="AB82" s="141"/>
      <c r="AC82" s="141"/>
      <c r="AD82" s="141"/>
      <c r="AE82" s="141"/>
      <c r="AF82" s="141"/>
      <c r="AG82" s="141"/>
      <c r="AH82" s="141"/>
      <c r="AI82" s="141"/>
      <c r="AJ82" s="141"/>
      <c r="AK82" s="141" t="s">
        <v>354</v>
      </c>
      <c r="AL82" s="141" t="s">
        <v>364</v>
      </c>
      <c r="AM82" s="141" t="s">
        <v>354</v>
      </c>
      <c r="AN82" s="141" t="s">
        <v>367</v>
      </c>
      <c r="AO82" s="141" t="s">
        <v>1129</v>
      </c>
      <c r="AP82" s="141" t="s">
        <v>653</v>
      </c>
      <c r="AQ82" s="141" t="s">
        <v>654</v>
      </c>
      <c r="AR82" s="141" t="s">
        <v>408</v>
      </c>
      <c r="AS82" s="141" t="s">
        <v>1426</v>
      </c>
      <c r="AT82" s="141"/>
      <c r="AU82" s="141" t="s">
        <v>1424</v>
      </c>
      <c r="AV82" s="141" t="s">
        <v>655</v>
      </c>
      <c r="AW82" s="141" t="s">
        <v>1427</v>
      </c>
      <c r="AX82" s="141" t="s">
        <v>657</v>
      </c>
      <c r="AY82" s="141" t="s">
        <v>1428</v>
      </c>
      <c r="AZ82" s="141" t="s">
        <v>659</v>
      </c>
      <c r="BA82" s="141" t="s">
        <v>1429</v>
      </c>
      <c r="BB82" s="141" t="s">
        <v>661</v>
      </c>
      <c r="BC82" s="141" t="s">
        <v>1430</v>
      </c>
      <c r="BD82" s="141" t="s">
        <v>497</v>
      </c>
      <c r="BE82" s="141" t="s">
        <v>1431</v>
      </c>
      <c r="BF82" s="141" t="s">
        <v>378</v>
      </c>
      <c r="BG82" s="141" t="s">
        <v>1432</v>
      </c>
      <c r="BH82" s="141" t="s">
        <v>380</v>
      </c>
      <c r="BI82" s="141" t="s">
        <v>1433</v>
      </c>
      <c r="BJ82" s="141" t="s">
        <v>382</v>
      </c>
      <c r="BK82" s="141" t="s">
        <v>1434</v>
      </c>
      <c r="BL82" s="141"/>
      <c r="BM82" s="141"/>
      <c r="BN82" s="141"/>
      <c r="BO82" s="141"/>
      <c r="BP82" s="141"/>
      <c r="BQ82" s="141"/>
      <c r="BR82" s="141"/>
      <c r="BS82" s="141"/>
      <c r="BT82" s="141"/>
      <c r="BU82" s="141"/>
      <c r="BV82" s="141"/>
      <c r="BW82" s="141"/>
      <c r="BX82" s="141"/>
      <c r="BY82" s="141"/>
      <c r="BZ82" s="141"/>
      <c r="CA82" s="141"/>
      <c r="CB82" s="141"/>
      <c r="CC82" s="141"/>
      <c r="CD82" s="141"/>
      <c r="CE82" s="141"/>
      <c r="CF82" s="141"/>
      <c r="CG82" s="141"/>
      <c r="CH82" s="141"/>
      <c r="CI82" s="141"/>
      <c r="CJ82" s="141"/>
      <c r="CK82" s="141"/>
      <c r="CL82" s="141"/>
      <c r="CM82" s="141"/>
      <c r="CN82" s="141"/>
      <c r="CO82" s="141"/>
      <c r="CP82" s="141"/>
      <c r="CQ82" s="141"/>
      <c r="CR82" s="141"/>
      <c r="CS82" s="141"/>
      <c r="CT82" s="141"/>
      <c r="CU82" s="141"/>
      <c r="CV82" s="141"/>
      <c r="CW82" s="141"/>
      <c r="CX82" s="141"/>
      <c r="CY82" s="141"/>
      <c r="CZ82" s="141"/>
      <c r="DA82" s="173"/>
    </row>
    <row r="83" spans="2:105" x14ac:dyDescent="0.25">
      <c r="B83" s="172"/>
      <c r="C83" s="141" t="s">
        <v>1435</v>
      </c>
      <c r="D83" s="141" t="s">
        <v>1436</v>
      </c>
      <c r="E83" s="141" t="s">
        <v>1437</v>
      </c>
      <c r="F83" s="141" t="s">
        <v>1438</v>
      </c>
      <c r="G83" s="141"/>
      <c r="H83" s="141" t="s">
        <v>353</v>
      </c>
      <c r="I83" s="141"/>
      <c r="J83" s="141" t="s">
        <v>354</v>
      </c>
      <c r="K83" s="141" t="s">
        <v>1439</v>
      </c>
      <c r="L83" s="141" t="s">
        <v>1440</v>
      </c>
      <c r="M83" s="141" t="s">
        <v>1441</v>
      </c>
      <c r="N83" s="141" t="s">
        <v>354</v>
      </c>
      <c r="O83" s="141" t="s">
        <v>393</v>
      </c>
      <c r="P83" s="141" t="s">
        <v>424</v>
      </c>
      <c r="Q83" s="141" t="s">
        <v>425</v>
      </c>
      <c r="R83" s="141" t="s">
        <v>361</v>
      </c>
      <c r="S83" s="141" t="s">
        <v>368</v>
      </c>
      <c r="T83" s="141" t="s">
        <v>1129</v>
      </c>
      <c r="U83" s="141" t="s">
        <v>1129</v>
      </c>
      <c r="V83" s="141"/>
      <c r="W83" s="141"/>
      <c r="X83" s="141"/>
      <c r="Y83" s="141"/>
      <c r="Z83" s="141"/>
      <c r="AA83" s="141"/>
      <c r="AB83" s="141"/>
      <c r="AC83" s="141"/>
      <c r="AD83" s="141"/>
      <c r="AE83" s="141"/>
      <c r="AF83" s="141"/>
      <c r="AG83" s="141"/>
      <c r="AH83" s="141"/>
      <c r="AI83" s="141"/>
      <c r="AJ83" s="141"/>
      <c r="AK83" s="141" t="s">
        <v>354</v>
      </c>
      <c r="AL83" s="141" t="s">
        <v>364</v>
      </c>
      <c r="AM83" s="141" t="s">
        <v>354</v>
      </c>
      <c r="AN83" s="141" t="s">
        <v>367</v>
      </c>
      <c r="AO83" s="141" t="s">
        <v>1129</v>
      </c>
      <c r="AP83" s="141" t="s">
        <v>653</v>
      </c>
      <c r="AQ83" s="141" t="s">
        <v>654</v>
      </c>
      <c r="AR83" s="141" t="s">
        <v>408</v>
      </c>
      <c r="AS83" s="141" t="s">
        <v>506</v>
      </c>
      <c r="AT83" s="141"/>
      <c r="AU83" s="141" t="s">
        <v>1440</v>
      </c>
      <c r="AV83" s="141" t="s">
        <v>655</v>
      </c>
      <c r="AW83" s="141" t="s">
        <v>1442</v>
      </c>
      <c r="AX83" s="141" t="s">
        <v>657</v>
      </c>
      <c r="AY83" s="141" t="s">
        <v>1443</v>
      </c>
      <c r="AZ83" s="141" t="s">
        <v>659</v>
      </c>
      <c r="BA83" s="141" t="s">
        <v>1444</v>
      </c>
      <c r="BB83" s="141" t="s">
        <v>661</v>
      </c>
      <c r="BC83" s="141" t="s">
        <v>1445</v>
      </c>
      <c r="BD83" s="141" t="s">
        <v>497</v>
      </c>
      <c r="BE83" s="141" t="s">
        <v>1446</v>
      </c>
      <c r="BF83" s="141" t="s">
        <v>378</v>
      </c>
      <c r="BG83" s="141" t="s">
        <v>1447</v>
      </c>
      <c r="BH83" s="141" t="s">
        <v>380</v>
      </c>
      <c r="BI83" s="141" t="s">
        <v>1448</v>
      </c>
      <c r="BJ83" s="141" t="s">
        <v>382</v>
      </c>
      <c r="BK83" s="141" t="s">
        <v>1449</v>
      </c>
      <c r="BL83" s="141"/>
      <c r="BM83" s="141"/>
      <c r="BN83" s="141"/>
      <c r="BO83" s="141"/>
      <c r="BP83" s="141"/>
      <c r="BQ83" s="141"/>
      <c r="BR83" s="141"/>
      <c r="BS83" s="141"/>
      <c r="BT83" s="141"/>
      <c r="BU83" s="141"/>
      <c r="BV83" s="141"/>
      <c r="BW83" s="141"/>
      <c r="BX83" s="141"/>
      <c r="BY83" s="141"/>
      <c r="BZ83" s="141"/>
      <c r="CA83" s="141"/>
      <c r="CB83" s="141"/>
      <c r="CC83" s="141"/>
      <c r="CD83" s="141"/>
      <c r="CE83" s="141"/>
      <c r="CF83" s="141"/>
      <c r="CG83" s="141"/>
      <c r="CH83" s="141"/>
      <c r="CI83" s="141"/>
      <c r="CJ83" s="141"/>
      <c r="CK83" s="141"/>
      <c r="CL83" s="141"/>
      <c r="CM83" s="141"/>
      <c r="CN83" s="141"/>
      <c r="CO83" s="141"/>
      <c r="CP83" s="141"/>
      <c r="CQ83" s="141"/>
      <c r="CR83" s="141"/>
      <c r="CS83" s="141"/>
      <c r="CT83" s="141"/>
      <c r="CU83" s="141"/>
      <c r="CV83" s="141"/>
      <c r="CW83" s="141"/>
      <c r="CX83" s="141"/>
      <c r="CY83" s="141"/>
      <c r="CZ83" s="141"/>
      <c r="DA83" s="173"/>
    </row>
    <row r="84" spans="2:105" x14ac:dyDescent="0.25">
      <c r="B84" s="172"/>
      <c r="C84" s="141" t="s">
        <v>1450</v>
      </c>
      <c r="D84" s="141" t="s">
        <v>1451</v>
      </c>
      <c r="E84" s="141" t="s">
        <v>1452</v>
      </c>
      <c r="F84" s="141" t="s">
        <v>1453</v>
      </c>
      <c r="G84" s="141"/>
      <c r="H84" s="141" t="s">
        <v>353</v>
      </c>
      <c r="I84" s="141"/>
      <c r="J84" s="141" t="s">
        <v>354</v>
      </c>
      <c r="K84" s="141" t="s">
        <v>1454</v>
      </c>
      <c r="L84" s="141" t="s">
        <v>1455</v>
      </c>
      <c r="M84" s="141" t="s">
        <v>1456</v>
      </c>
      <c r="N84" s="141" t="s">
        <v>354</v>
      </c>
      <c r="O84" s="141" t="s">
        <v>393</v>
      </c>
      <c r="P84" s="141" t="s">
        <v>424</v>
      </c>
      <c r="Q84" s="141" t="s">
        <v>425</v>
      </c>
      <c r="R84" s="141" t="s">
        <v>361</v>
      </c>
      <c r="S84" s="141" t="s">
        <v>368</v>
      </c>
      <c r="T84" s="141" t="s">
        <v>1129</v>
      </c>
      <c r="U84" s="141" t="s">
        <v>1129</v>
      </c>
      <c r="V84" s="141"/>
      <c r="W84" s="141"/>
      <c r="X84" s="141"/>
      <c r="Y84" s="141"/>
      <c r="Z84" s="141"/>
      <c r="AA84" s="141"/>
      <c r="AB84" s="141"/>
      <c r="AC84" s="141"/>
      <c r="AD84" s="141"/>
      <c r="AE84" s="141"/>
      <c r="AF84" s="141"/>
      <c r="AG84" s="141"/>
      <c r="AH84" s="141"/>
      <c r="AI84" s="141"/>
      <c r="AJ84" s="141"/>
      <c r="AK84" s="141" t="s">
        <v>354</v>
      </c>
      <c r="AL84" s="141" t="s">
        <v>364</v>
      </c>
      <c r="AM84" s="141" t="s">
        <v>354</v>
      </c>
      <c r="AN84" s="141" t="s">
        <v>367</v>
      </c>
      <c r="AO84" s="141" t="s">
        <v>1129</v>
      </c>
      <c r="AP84" s="141" t="s">
        <v>653</v>
      </c>
      <c r="AQ84" s="141" t="s">
        <v>654</v>
      </c>
      <c r="AR84" s="141" t="s">
        <v>408</v>
      </c>
      <c r="AS84" s="141" t="s">
        <v>886</v>
      </c>
      <c r="AT84" s="141"/>
      <c r="AU84" s="141" t="s">
        <v>1455</v>
      </c>
      <c r="AV84" s="141" t="s">
        <v>655</v>
      </c>
      <c r="AW84" s="141" t="s">
        <v>1457</v>
      </c>
      <c r="AX84" s="141" t="s">
        <v>657</v>
      </c>
      <c r="AY84" s="141" t="s">
        <v>1458</v>
      </c>
      <c r="AZ84" s="141" t="s">
        <v>659</v>
      </c>
      <c r="BA84" s="141" t="s">
        <v>1459</v>
      </c>
      <c r="BB84" s="141" t="s">
        <v>661</v>
      </c>
      <c r="BC84" s="141" t="s">
        <v>1460</v>
      </c>
      <c r="BD84" s="141" t="s">
        <v>497</v>
      </c>
      <c r="BE84" s="141" t="s">
        <v>1461</v>
      </c>
      <c r="BF84" s="141" t="s">
        <v>378</v>
      </c>
      <c r="BG84" s="141" t="s">
        <v>1462</v>
      </c>
      <c r="BH84" s="141" t="s">
        <v>380</v>
      </c>
      <c r="BI84" s="141" t="s">
        <v>1463</v>
      </c>
      <c r="BJ84" s="141" t="s">
        <v>382</v>
      </c>
      <c r="BK84" s="141" t="s">
        <v>1464</v>
      </c>
      <c r="BL84" s="141"/>
      <c r="BM84" s="141"/>
      <c r="BN84" s="141"/>
      <c r="BO84" s="141"/>
      <c r="BP84" s="141"/>
      <c r="BQ84" s="141"/>
      <c r="BR84" s="141"/>
      <c r="BS84" s="141"/>
      <c r="BT84" s="141"/>
      <c r="BU84" s="141"/>
      <c r="BV84" s="141"/>
      <c r="BW84" s="141"/>
      <c r="BX84" s="141"/>
      <c r="BY84" s="141"/>
      <c r="BZ84" s="141"/>
      <c r="CA84" s="141"/>
      <c r="CB84" s="141"/>
      <c r="CC84" s="141"/>
      <c r="CD84" s="141"/>
      <c r="CE84" s="141"/>
      <c r="CF84" s="141"/>
      <c r="CG84" s="141"/>
      <c r="CH84" s="141"/>
      <c r="CI84" s="141"/>
      <c r="CJ84" s="141"/>
      <c r="CK84" s="141"/>
      <c r="CL84" s="141"/>
      <c r="CM84" s="141"/>
      <c r="CN84" s="141"/>
      <c r="CO84" s="141"/>
      <c r="CP84" s="141"/>
      <c r="CQ84" s="141"/>
      <c r="CR84" s="141"/>
      <c r="CS84" s="141"/>
      <c r="CT84" s="141"/>
      <c r="CU84" s="141"/>
      <c r="CV84" s="141"/>
      <c r="CW84" s="141"/>
      <c r="CX84" s="141"/>
      <c r="CY84" s="141"/>
      <c r="CZ84" s="141"/>
      <c r="DA84" s="173"/>
    </row>
    <row r="85" spans="2:105" x14ac:dyDescent="0.25">
      <c r="B85" s="172"/>
      <c r="C85" s="141" t="s">
        <v>1465</v>
      </c>
      <c r="D85" s="141" t="s">
        <v>376</v>
      </c>
      <c r="E85" s="141" t="s">
        <v>1466</v>
      </c>
      <c r="F85" s="141" t="s">
        <v>1467</v>
      </c>
      <c r="G85" s="141"/>
      <c r="H85" s="141" t="s">
        <v>353</v>
      </c>
      <c r="I85" s="141"/>
      <c r="J85" s="141" t="s">
        <v>354</v>
      </c>
      <c r="K85" s="141" t="s">
        <v>1468</v>
      </c>
      <c r="L85" s="141" t="s">
        <v>1469</v>
      </c>
      <c r="M85" s="141" t="s">
        <v>1470</v>
      </c>
      <c r="N85" s="141" t="s">
        <v>354</v>
      </c>
      <c r="O85" s="141" t="s">
        <v>393</v>
      </c>
      <c r="P85" s="141" t="s">
        <v>424</v>
      </c>
      <c r="Q85" s="141" t="s">
        <v>425</v>
      </c>
      <c r="R85" s="141" t="s">
        <v>361</v>
      </c>
      <c r="S85" s="141" t="s">
        <v>368</v>
      </c>
      <c r="T85" s="141" t="s">
        <v>1129</v>
      </c>
      <c r="U85" s="141" t="s">
        <v>1129</v>
      </c>
      <c r="V85" s="141"/>
      <c r="W85" s="141"/>
      <c r="X85" s="141"/>
      <c r="Y85" s="141"/>
      <c r="Z85" s="141"/>
      <c r="AA85" s="141"/>
      <c r="AB85" s="141"/>
      <c r="AC85" s="141"/>
      <c r="AD85" s="141"/>
      <c r="AE85" s="141"/>
      <c r="AF85" s="141"/>
      <c r="AG85" s="141"/>
      <c r="AH85" s="141"/>
      <c r="AI85" s="141"/>
      <c r="AJ85" s="141"/>
      <c r="AK85" s="141" t="s">
        <v>354</v>
      </c>
      <c r="AL85" s="141" t="s">
        <v>364</v>
      </c>
      <c r="AM85" s="141" t="s">
        <v>354</v>
      </c>
      <c r="AN85" s="141" t="s">
        <v>367</v>
      </c>
      <c r="AO85" s="141" t="s">
        <v>1129</v>
      </c>
      <c r="AP85" s="141" t="s">
        <v>653</v>
      </c>
      <c r="AQ85" s="141" t="s">
        <v>654</v>
      </c>
      <c r="AR85" s="141" t="s">
        <v>408</v>
      </c>
      <c r="AS85" s="141" t="s">
        <v>1471</v>
      </c>
      <c r="AT85" s="141"/>
      <c r="AU85" s="141" t="s">
        <v>1469</v>
      </c>
      <c r="AV85" s="141" t="s">
        <v>655</v>
      </c>
      <c r="AW85" s="141" t="s">
        <v>1472</v>
      </c>
      <c r="AX85" s="141" t="s">
        <v>657</v>
      </c>
      <c r="AY85" s="141" t="s">
        <v>1473</v>
      </c>
      <c r="AZ85" s="141" t="s">
        <v>659</v>
      </c>
      <c r="BA85" s="141" t="s">
        <v>1474</v>
      </c>
      <c r="BB85" s="141" t="s">
        <v>661</v>
      </c>
      <c r="BC85" s="141" t="s">
        <v>1475</v>
      </c>
      <c r="BD85" s="141" t="s">
        <v>497</v>
      </c>
      <c r="BE85" s="141" t="s">
        <v>1476</v>
      </c>
      <c r="BF85" s="141" t="s">
        <v>378</v>
      </c>
      <c r="BG85" s="141" t="s">
        <v>1477</v>
      </c>
      <c r="BH85" s="141" t="s">
        <v>380</v>
      </c>
      <c r="BI85" s="141" t="s">
        <v>1478</v>
      </c>
      <c r="BJ85" s="141" t="s">
        <v>382</v>
      </c>
      <c r="BK85" s="141" t="s">
        <v>1479</v>
      </c>
      <c r="BL85" s="141"/>
      <c r="BM85" s="141"/>
      <c r="BN85" s="141"/>
      <c r="BO85" s="141"/>
      <c r="BP85" s="141"/>
      <c r="BQ85" s="141"/>
      <c r="BR85" s="141"/>
      <c r="BS85" s="141"/>
      <c r="BT85" s="141"/>
      <c r="BU85" s="141"/>
      <c r="BV85" s="141"/>
      <c r="BW85" s="141"/>
      <c r="BX85" s="141"/>
      <c r="BY85" s="141"/>
      <c r="BZ85" s="141"/>
      <c r="CA85" s="141"/>
      <c r="CB85" s="141"/>
      <c r="CC85" s="141"/>
      <c r="CD85" s="141"/>
      <c r="CE85" s="141"/>
      <c r="CF85" s="141"/>
      <c r="CG85" s="141"/>
      <c r="CH85" s="141"/>
      <c r="CI85" s="141"/>
      <c r="CJ85" s="141"/>
      <c r="CK85" s="141"/>
      <c r="CL85" s="141"/>
      <c r="CM85" s="141"/>
      <c r="CN85" s="141"/>
      <c r="CO85" s="141"/>
      <c r="CP85" s="141"/>
      <c r="CQ85" s="141"/>
      <c r="CR85" s="141"/>
      <c r="CS85" s="141"/>
      <c r="CT85" s="141"/>
      <c r="CU85" s="141"/>
      <c r="CV85" s="141"/>
      <c r="CW85" s="141"/>
      <c r="CX85" s="141"/>
      <c r="CY85" s="141"/>
      <c r="CZ85" s="141"/>
      <c r="DA85" s="173"/>
    </row>
    <row r="86" spans="2:105" x14ac:dyDescent="0.25">
      <c r="B86" s="172"/>
      <c r="C86" s="141" t="s">
        <v>1480</v>
      </c>
      <c r="D86" s="141" t="s">
        <v>1481</v>
      </c>
      <c r="E86" s="141" t="s">
        <v>739</v>
      </c>
      <c r="F86" s="141" t="s">
        <v>1482</v>
      </c>
      <c r="G86" s="141"/>
      <c r="H86" s="141" t="s">
        <v>353</v>
      </c>
      <c r="I86" s="141"/>
      <c r="J86" s="141" t="s">
        <v>354</v>
      </c>
      <c r="K86" s="141" t="s">
        <v>1483</v>
      </c>
      <c r="L86" s="141" t="s">
        <v>1484</v>
      </c>
      <c r="M86" s="141" t="s">
        <v>1485</v>
      </c>
      <c r="N86" s="141" t="s">
        <v>354</v>
      </c>
      <c r="O86" s="141" t="s">
        <v>393</v>
      </c>
      <c r="P86" s="141" t="s">
        <v>424</v>
      </c>
      <c r="Q86" s="141" t="s">
        <v>425</v>
      </c>
      <c r="R86" s="141" t="s">
        <v>361</v>
      </c>
      <c r="S86" s="141" t="s">
        <v>368</v>
      </c>
      <c r="T86" s="141" t="s">
        <v>1129</v>
      </c>
      <c r="U86" s="141" t="s">
        <v>1129</v>
      </c>
      <c r="V86" s="141"/>
      <c r="W86" s="141"/>
      <c r="X86" s="141"/>
      <c r="Y86" s="141"/>
      <c r="Z86" s="141"/>
      <c r="AA86" s="141"/>
      <c r="AB86" s="141"/>
      <c r="AC86" s="141"/>
      <c r="AD86" s="141"/>
      <c r="AE86" s="141"/>
      <c r="AF86" s="141"/>
      <c r="AG86" s="141"/>
      <c r="AH86" s="141"/>
      <c r="AI86" s="141"/>
      <c r="AJ86" s="141"/>
      <c r="AK86" s="141" t="s">
        <v>354</v>
      </c>
      <c r="AL86" s="141" t="s">
        <v>364</v>
      </c>
      <c r="AM86" s="141" t="s">
        <v>354</v>
      </c>
      <c r="AN86" s="141" t="s">
        <v>367</v>
      </c>
      <c r="AO86" s="141" t="s">
        <v>1129</v>
      </c>
      <c r="AP86" s="141" t="s">
        <v>653</v>
      </c>
      <c r="AQ86" s="141" t="s">
        <v>654</v>
      </c>
      <c r="AR86" s="141" t="s">
        <v>408</v>
      </c>
      <c r="AS86" s="141" t="s">
        <v>365</v>
      </c>
      <c r="AT86" s="141"/>
      <c r="AU86" s="141" t="s">
        <v>1484</v>
      </c>
      <c r="AV86" s="141" t="s">
        <v>655</v>
      </c>
      <c r="AW86" s="141" t="s">
        <v>1486</v>
      </c>
      <c r="AX86" s="141" t="s">
        <v>657</v>
      </c>
      <c r="AY86" s="141" t="s">
        <v>997</v>
      </c>
      <c r="AZ86" s="141" t="s">
        <v>659</v>
      </c>
      <c r="BA86" s="141" t="s">
        <v>1487</v>
      </c>
      <c r="BB86" s="141" t="s">
        <v>661</v>
      </c>
      <c r="BC86" s="141" t="s">
        <v>1488</v>
      </c>
      <c r="BD86" s="141" t="s">
        <v>497</v>
      </c>
      <c r="BE86" s="141" t="s">
        <v>1489</v>
      </c>
      <c r="BF86" s="141" t="s">
        <v>378</v>
      </c>
      <c r="BG86" s="141" t="s">
        <v>1490</v>
      </c>
      <c r="BH86" s="141" t="s">
        <v>380</v>
      </c>
      <c r="BI86" s="141" t="s">
        <v>1491</v>
      </c>
      <c r="BJ86" s="141" t="s">
        <v>382</v>
      </c>
      <c r="BK86" s="141" t="s">
        <v>1492</v>
      </c>
      <c r="BL86" s="141"/>
      <c r="BM86" s="141"/>
      <c r="BN86" s="141"/>
      <c r="BO86" s="141"/>
      <c r="BP86" s="141"/>
      <c r="BQ86" s="141"/>
      <c r="BR86" s="141"/>
      <c r="BS86" s="141"/>
      <c r="BT86" s="141"/>
      <c r="BU86" s="141"/>
      <c r="BV86" s="141"/>
      <c r="BW86" s="141"/>
      <c r="BX86" s="141"/>
      <c r="BY86" s="141"/>
      <c r="BZ86" s="141"/>
      <c r="CA86" s="141"/>
      <c r="CB86" s="141"/>
      <c r="CC86" s="141"/>
      <c r="CD86" s="141"/>
      <c r="CE86" s="141"/>
      <c r="CF86" s="141"/>
      <c r="CG86" s="141"/>
      <c r="CH86" s="141"/>
      <c r="CI86" s="141"/>
      <c r="CJ86" s="141"/>
      <c r="CK86" s="141"/>
      <c r="CL86" s="141"/>
      <c r="CM86" s="141"/>
      <c r="CN86" s="141"/>
      <c r="CO86" s="141"/>
      <c r="CP86" s="141"/>
      <c r="CQ86" s="141"/>
      <c r="CR86" s="141"/>
      <c r="CS86" s="141"/>
      <c r="CT86" s="141"/>
      <c r="CU86" s="141"/>
      <c r="CV86" s="141"/>
      <c r="CW86" s="141"/>
      <c r="CX86" s="141"/>
      <c r="CY86" s="141"/>
      <c r="CZ86" s="141"/>
      <c r="DA86" s="173"/>
    </row>
    <row r="87" spans="2:105" x14ac:dyDescent="0.25">
      <c r="B87" s="172"/>
      <c r="C87" s="141" t="s">
        <v>1493</v>
      </c>
      <c r="D87" s="141" t="s">
        <v>1494</v>
      </c>
      <c r="E87" s="141" t="s">
        <v>1495</v>
      </c>
      <c r="F87" s="141" t="s">
        <v>1496</v>
      </c>
      <c r="G87" s="141"/>
      <c r="H87" s="141" t="s">
        <v>353</v>
      </c>
      <c r="I87" s="141"/>
      <c r="J87" s="141" t="s">
        <v>354</v>
      </c>
      <c r="K87" s="141" t="s">
        <v>388</v>
      </c>
      <c r="L87" s="141" t="s">
        <v>1497</v>
      </c>
      <c r="M87" s="141" t="s">
        <v>1498</v>
      </c>
      <c r="N87" s="141" t="s">
        <v>354</v>
      </c>
      <c r="O87" s="141" t="s">
        <v>393</v>
      </c>
      <c r="P87" s="141" t="s">
        <v>424</v>
      </c>
      <c r="Q87" s="141" t="s">
        <v>425</v>
      </c>
      <c r="R87" s="141" t="s">
        <v>361</v>
      </c>
      <c r="S87" s="141" t="s">
        <v>368</v>
      </c>
      <c r="T87" s="141" t="s">
        <v>1129</v>
      </c>
      <c r="U87" s="141" t="s">
        <v>1129</v>
      </c>
      <c r="V87" s="141"/>
      <c r="W87" s="141"/>
      <c r="X87" s="141"/>
      <c r="Y87" s="141"/>
      <c r="Z87" s="141"/>
      <c r="AA87" s="141"/>
      <c r="AB87" s="141"/>
      <c r="AC87" s="141"/>
      <c r="AD87" s="141"/>
      <c r="AE87" s="141"/>
      <c r="AF87" s="141"/>
      <c r="AG87" s="141"/>
      <c r="AH87" s="141"/>
      <c r="AI87" s="141"/>
      <c r="AJ87" s="141"/>
      <c r="AK87" s="141" t="s">
        <v>354</v>
      </c>
      <c r="AL87" s="141" t="s">
        <v>364</v>
      </c>
      <c r="AM87" s="141" t="s">
        <v>354</v>
      </c>
      <c r="AN87" s="141" t="s">
        <v>367</v>
      </c>
      <c r="AO87" s="141" t="s">
        <v>1129</v>
      </c>
      <c r="AP87" s="141" t="s">
        <v>653</v>
      </c>
      <c r="AQ87" s="141" t="s">
        <v>654</v>
      </c>
      <c r="AR87" s="141" t="s">
        <v>408</v>
      </c>
      <c r="AS87" s="141" t="s">
        <v>487</v>
      </c>
      <c r="AT87" s="141"/>
      <c r="AU87" s="141" t="s">
        <v>1497</v>
      </c>
      <c r="AV87" s="141" t="s">
        <v>655</v>
      </c>
      <c r="AW87" s="141" t="s">
        <v>1499</v>
      </c>
      <c r="AX87" s="141" t="s">
        <v>657</v>
      </c>
      <c r="AY87" s="141" t="s">
        <v>1500</v>
      </c>
      <c r="AZ87" s="141" t="s">
        <v>659</v>
      </c>
      <c r="BA87" s="141" t="s">
        <v>1418</v>
      </c>
      <c r="BB87" s="141" t="s">
        <v>661</v>
      </c>
      <c r="BC87" s="141" t="s">
        <v>1501</v>
      </c>
      <c r="BD87" s="141" t="s">
        <v>497</v>
      </c>
      <c r="BE87" s="141" t="s">
        <v>1502</v>
      </c>
      <c r="BF87" s="141" t="s">
        <v>378</v>
      </c>
      <c r="BG87" s="141" t="s">
        <v>1503</v>
      </c>
      <c r="BH87" s="141" t="s">
        <v>380</v>
      </c>
      <c r="BI87" s="141" t="s">
        <v>1504</v>
      </c>
      <c r="BJ87" s="141" t="s">
        <v>382</v>
      </c>
      <c r="BK87" s="141" t="s">
        <v>1505</v>
      </c>
      <c r="BL87" s="141"/>
      <c r="BM87" s="141"/>
      <c r="BN87" s="141"/>
      <c r="BO87" s="141"/>
      <c r="BP87" s="141"/>
      <c r="BQ87" s="141"/>
      <c r="BR87" s="141"/>
      <c r="BS87" s="141"/>
      <c r="BT87" s="141"/>
      <c r="BU87" s="141"/>
      <c r="BV87" s="141"/>
      <c r="BW87" s="141"/>
      <c r="BX87" s="141"/>
      <c r="BY87" s="141"/>
      <c r="BZ87" s="141"/>
      <c r="CA87" s="141"/>
      <c r="CB87" s="141"/>
      <c r="CC87" s="141"/>
      <c r="CD87" s="141"/>
      <c r="CE87" s="141"/>
      <c r="CF87" s="141"/>
      <c r="CG87" s="141"/>
      <c r="CH87" s="141"/>
      <c r="CI87" s="141"/>
      <c r="CJ87" s="141"/>
      <c r="CK87" s="141"/>
      <c r="CL87" s="141"/>
      <c r="CM87" s="141"/>
      <c r="CN87" s="141"/>
      <c r="CO87" s="141"/>
      <c r="CP87" s="141"/>
      <c r="CQ87" s="141"/>
      <c r="CR87" s="141"/>
      <c r="CS87" s="141"/>
      <c r="CT87" s="141"/>
      <c r="CU87" s="141"/>
      <c r="CV87" s="141"/>
      <c r="CW87" s="141"/>
      <c r="CX87" s="141"/>
      <c r="CY87" s="141"/>
      <c r="CZ87" s="141"/>
      <c r="DA87" s="173"/>
    </row>
    <row r="88" spans="2:105" x14ac:dyDescent="0.25">
      <c r="B88" s="172"/>
      <c r="C88" s="141" t="s">
        <v>1506</v>
      </c>
      <c r="D88" s="141" t="s">
        <v>1507</v>
      </c>
      <c r="E88" s="141" t="s">
        <v>1508</v>
      </c>
      <c r="F88" s="141" t="s">
        <v>1509</v>
      </c>
      <c r="G88" s="141"/>
      <c r="H88" s="141" t="s">
        <v>353</v>
      </c>
      <c r="I88" s="141"/>
      <c r="J88" s="141" t="s">
        <v>354</v>
      </c>
      <c r="K88" s="141" t="s">
        <v>1510</v>
      </c>
      <c r="L88" s="141" t="s">
        <v>1511</v>
      </c>
      <c r="M88" s="141" t="s">
        <v>1512</v>
      </c>
      <c r="N88" s="141" t="s">
        <v>354</v>
      </c>
      <c r="O88" s="141" t="s">
        <v>393</v>
      </c>
      <c r="P88" s="141" t="s">
        <v>424</v>
      </c>
      <c r="Q88" s="141" t="s">
        <v>425</v>
      </c>
      <c r="R88" s="141" t="s">
        <v>361</v>
      </c>
      <c r="S88" s="141" t="s">
        <v>368</v>
      </c>
      <c r="T88" s="141" t="s">
        <v>1129</v>
      </c>
      <c r="U88" s="141" t="s">
        <v>1129</v>
      </c>
      <c r="V88" s="141"/>
      <c r="W88" s="141"/>
      <c r="X88" s="141"/>
      <c r="Y88" s="141"/>
      <c r="Z88" s="141"/>
      <c r="AA88" s="141"/>
      <c r="AB88" s="141"/>
      <c r="AC88" s="141"/>
      <c r="AD88" s="141"/>
      <c r="AE88" s="141"/>
      <c r="AF88" s="141"/>
      <c r="AG88" s="141"/>
      <c r="AH88" s="141"/>
      <c r="AI88" s="141"/>
      <c r="AJ88" s="141"/>
      <c r="AK88" s="141" t="s">
        <v>354</v>
      </c>
      <c r="AL88" s="141" t="s">
        <v>364</v>
      </c>
      <c r="AM88" s="141" t="s">
        <v>354</v>
      </c>
      <c r="AN88" s="141" t="s">
        <v>367</v>
      </c>
      <c r="AO88" s="141" t="s">
        <v>1129</v>
      </c>
      <c r="AP88" s="141" t="s">
        <v>653</v>
      </c>
      <c r="AQ88" s="141" t="s">
        <v>654</v>
      </c>
      <c r="AR88" s="141" t="s">
        <v>408</v>
      </c>
      <c r="AS88" s="141" t="s">
        <v>652</v>
      </c>
      <c r="AT88" s="141"/>
      <c r="AU88" s="141" t="s">
        <v>1511</v>
      </c>
      <c r="AV88" s="141" t="s">
        <v>655</v>
      </c>
      <c r="AW88" s="141" t="s">
        <v>1513</v>
      </c>
      <c r="AX88" s="141" t="s">
        <v>657</v>
      </c>
      <c r="AY88" s="141" t="s">
        <v>1514</v>
      </c>
      <c r="AZ88" s="141" t="s">
        <v>659</v>
      </c>
      <c r="BA88" s="141" t="s">
        <v>1515</v>
      </c>
      <c r="BB88" s="141" t="s">
        <v>661</v>
      </c>
      <c r="BC88" s="141" t="s">
        <v>1516</v>
      </c>
      <c r="BD88" s="141" t="s">
        <v>497</v>
      </c>
      <c r="BE88" s="141" t="s">
        <v>1517</v>
      </c>
      <c r="BF88" s="141" t="s">
        <v>378</v>
      </c>
      <c r="BG88" s="141" t="s">
        <v>1518</v>
      </c>
      <c r="BH88" s="141" t="s">
        <v>380</v>
      </c>
      <c r="BI88" s="141" t="s">
        <v>1519</v>
      </c>
      <c r="BJ88" s="141" t="s">
        <v>382</v>
      </c>
      <c r="BK88" s="141" t="s">
        <v>1520</v>
      </c>
      <c r="BL88" s="141"/>
      <c r="BM88" s="141"/>
      <c r="BN88" s="141"/>
      <c r="BO88" s="141"/>
      <c r="BP88" s="141"/>
      <c r="BQ88" s="141"/>
      <c r="BR88" s="141"/>
      <c r="BS88" s="141"/>
      <c r="BT88" s="141"/>
      <c r="BU88" s="141"/>
      <c r="BV88" s="141"/>
      <c r="BW88" s="141"/>
      <c r="BX88" s="141"/>
      <c r="BY88" s="141"/>
      <c r="BZ88" s="141"/>
      <c r="CA88" s="141"/>
      <c r="CB88" s="141"/>
      <c r="CC88" s="141"/>
      <c r="CD88" s="141"/>
      <c r="CE88" s="141"/>
      <c r="CF88" s="141"/>
      <c r="CG88" s="141"/>
      <c r="CH88" s="141"/>
      <c r="CI88" s="141"/>
      <c r="CJ88" s="141"/>
      <c r="CK88" s="141"/>
      <c r="CL88" s="141"/>
      <c r="CM88" s="141"/>
      <c r="CN88" s="141"/>
      <c r="CO88" s="141"/>
      <c r="CP88" s="141"/>
      <c r="CQ88" s="141"/>
      <c r="CR88" s="141"/>
      <c r="CS88" s="141"/>
      <c r="CT88" s="141"/>
      <c r="CU88" s="141"/>
      <c r="CV88" s="141"/>
      <c r="CW88" s="141"/>
      <c r="CX88" s="141"/>
      <c r="CY88" s="141"/>
      <c r="CZ88" s="141"/>
      <c r="DA88" s="173"/>
    </row>
    <row r="89" spans="2:105" x14ac:dyDescent="0.25">
      <c r="B89" s="172"/>
      <c r="C89" s="141" t="s">
        <v>1521</v>
      </c>
      <c r="D89" s="141" t="s">
        <v>497</v>
      </c>
      <c r="E89" s="141" t="s">
        <v>1522</v>
      </c>
      <c r="F89" s="141" t="s">
        <v>1523</v>
      </c>
      <c r="G89" s="141"/>
      <c r="H89" s="141" t="s">
        <v>353</v>
      </c>
      <c r="I89" s="141"/>
      <c r="J89" s="141" t="s">
        <v>354</v>
      </c>
      <c r="K89" s="141" t="s">
        <v>438</v>
      </c>
      <c r="L89" s="141" t="s">
        <v>1524</v>
      </c>
      <c r="M89" s="141" t="s">
        <v>1525</v>
      </c>
      <c r="N89" s="141" t="s">
        <v>354</v>
      </c>
      <c r="O89" s="141" t="s">
        <v>393</v>
      </c>
      <c r="P89" s="141" t="s">
        <v>424</v>
      </c>
      <c r="Q89" s="141" t="s">
        <v>425</v>
      </c>
      <c r="R89" s="141" t="s">
        <v>361</v>
      </c>
      <c r="S89" s="141" t="s">
        <v>368</v>
      </c>
      <c r="T89" s="141" t="s">
        <v>1129</v>
      </c>
      <c r="U89" s="141" t="s">
        <v>1129</v>
      </c>
      <c r="V89" s="141"/>
      <c r="W89" s="141"/>
      <c r="X89" s="141"/>
      <c r="Y89" s="141"/>
      <c r="Z89" s="141"/>
      <c r="AA89" s="141"/>
      <c r="AB89" s="141"/>
      <c r="AC89" s="141"/>
      <c r="AD89" s="141"/>
      <c r="AE89" s="141"/>
      <c r="AF89" s="141"/>
      <c r="AG89" s="141"/>
      <c r="AH89" s="141"/>
      <c r="AI89" s="141"/>
      <c r="AJ89" s="141"/>
      <c r="AK89" s="141" t="s">
        <v>354</v>
      </c>
      <c r="AL89" s="141" t="s">
        <v>364</v>
      </c>
      <c r="AM89" s="141" t="s">
        <v>354</v>
      </c>
      <c r="AN89" s="141" t="s">
        <v>367</v>
      </c>
      <c r="AO89" s="141" t="s">
        <v>1129</v>
      </c>
      <c r="AP89" s="141" t="s">
        <v>653</v>
      </c>
      <c r="AQ89" s="141" t="s">
        <v>654</v>
      </c>
      <c r="AR89" s="141" t="s">
        <v>408</v>
      </c>
      <c r="AS89" s="141" t="s">
        <v>769</v>
      </c>
      <c r="AT89" s="141"/>
      <c r="AU89" s="141" t="s">
        <v>1524</v>
      </c>
      <c r="AV89" s="141" t="s">
        <v>655</v>
      </c>
      <c r="AW89" s="141" t="s">
        <v>1526</v>
      </c>
      <c r="AX89" s="141" t="s">
        <v>657</v>
      </c>
      <c r="AY89" s="141" t="s">
        <v>1527</v>
      </c>
      <c r="AZ89" s="141" t="s">
        <v>659</v>
      </c>
      <c r="BA89" s="141" t="s">
        <v>1528</v>
      </c>
      <c r="BB89" s="141" t="s">
        <v>661</v>
      </c>
      <c r="BC89" s="141" t="s">
        <v>1529</v>
      </c>
      <c r="BD89" s="141" t="s">
        <v>497</v>
      </c>
      <c r="BE89" s="141" t="s">
        <v>1530</v>
      </c>
      <c r="BF89" s="141" t="s">
        <v>378</v>
      </c>
      <c r="BG89" s="141" t="s">
        <v>1531</v>
      </c>
      <c r="BH89" s="141" t="s">
        <v>380</v>
      </c>
      <c r="BI89" s="141" t="s">
        <v>1532</v>
      </c>
      <c r="BJ89" s="141" t="s">
        <v>382</v>
      </c>
      <c r="BK89" s="141" t="s">
        <v>1533</v>
      </c>
      <c r="BL89" s="141"/>
      <c r="BM89" s="141"/>
      <c r="BN89" s="141"/>
      <c r="BO89" s="141"/>
      <c r="BP89" s="141"/>
      <c r="BQ89" s="141"/>
      <c r="BR89" s="141"/>
      <c r="BS89" s="141"/>
      <c r="BT89" s="141"/>
      <c r="BU89" s="141"/>
      <c r="BV89" s="141"/>
      <c r="BW89" s="141"/>
      <c r="BX89" s="141"/>
      <c r="BY89" s="141"/>
      <c r="BZ89" s="141"/>
      <c r="CA89" s="141"/>
      <c r="CB89" s="141"/>
      <c r="CC89" s="141"/>
      <c r="CD89" s="141"/>
      <c r="CE89" s="141"/>
      <c r="CF89" s="141"/>
      <c r="CG89" s="141"/>
      <c r="CH89" s="141"/>
      <c r="CI89" s="141"/>
      <c r="CJ89" s="141"/>
      <c r="CK89" s="141"/>
      <c r="CL89" s="141"/>
      <c r="CM89" s="141"/>
      <c r="CN89" s="141"/>
      <c r="CO89" s="141"/>
      <c r="CP89" s="141"/>
      <c r="CQ89" s="141"/>
      <c r="CR89" s="141"/>
      <c r="CS89" s="141"/>
      <c r="CT89" s="141"/>
      <c r="CU89" s="141"/>
      <c r="CV89" s="141"/>
      <c r="CW89" s="141"/>
      <c r="CX89" s="141"/>
      <c r="CY89" s="141"/>
      <c r="CZ89" s="141"/>
      <c r="DA89" s="173"/>
    </row>
    <row r="90" spans="2:105" x14ac:dyDescent="0.25">
      <c r="B90" s="172"/>
      <c r="C90" s="141" t="s">
        <v>1534</v>
      </c>
      <c r="D90" s="141" t="s">
        <v>1535</v>
      </c>
      <c r="E90" s="141" t="s">
        <v>1536</v>
      </c>
      <c r="F90" s="141" t="s">
        <v>1262</v>
      </c>
      <c r="G90" s="141"/>
      <c r="H90" s="141" t="s">
        <v>353</v>
      </c>
      <c r="I90" s="141"/>
      <c r="J90" s="141" t="s">
        <v>354</v>
      </c>
      <c r="K90" s="141" t="s">
        <v>1537</v>
      </c>
      <c r="L90" s="141"/>
      <c r="M90" s="141"/>
      <c r="N90" s="141" t="s">
        <v>369</v>
      </c>
      <c r="O90" s="141" t="s">
        <v>393</v>
      </c>
      <c r="P90" s="141" t="s">
        <v>424</v>
      </c>
      <c r="Q90" s="141" t="s">
        <v>425</v>
      </c>
      <c r="R90" s="141" t="s">
        <v>361</v>
      </c>
      <c r="S90" s="141" t="s">
        <v>368</v>
      </c>
      <c r="T90" s="141" t="s">
        <v>1129</v>
      </c>
      <c r="U90" s="141" t="s">
        <v>1129</v>
      </c>
      <c r="V90" s="141"/>
      <c r="W90" s="141"/>
      <c r="X90" s="141"/>
      <c r="Y90" s="141"/>
      <c r="Z90" s="141"/>
      <c r="AA90" s="141"/>
      <c r="AB90" s="141"/>
      <c r="AC90" s="141"/>
      <c r="AD90" s="141"/>
      <c r="AE90" s="141"/>
      <c r="AF90" s="141"/>
      <c r="AG90" s="141"/>
      <c r="AH90" s="141"/>
      <c r="AI90" s="141"/>
      <c r="AJ90" s="141"/>
      <c r="AK90" s="141" t="s">
        <v>354</v>
      </c>
      <c r="AL90" s="141" t="s">
        <v>364</v>
      </c>
      <c r="AM90" s="141" t="s">
        <v>354</v>
      </c>
      <c r="AN90" s="141" t="s">
        <v>367</v>
      </c>
      <c r="AO90" s="141" t="s">
        <v>1129</v>
      </c>
      <c r="AP90" s="141" t="s">
        <v>653</v>
      </c>
      <c r="AQ90" s="141" t="s">
        <v>654</v>
      </c>
      <c r="AR90" s="141" t="s">
        <v>408</v>
      </c>
      <c r="AS90" s="141"/>
      <c r="AT90" s="141"/>
      <c r="AU90" s="141"/>
      <c r="AV90" s="141"/>
      <c r="AW90" s="141"/>
      <c r="AX90" s="141"/>
      <c r="AY90" s="141"/>
      <c r="AZ90" s="141"/>
      <c r="BA90" s="141"/>
      <c r="BB90" s="141"/>
      <c r="BC90" s="141"/>
      <c r="BD90" s="141"/>
      <c r="BE90" s="141"/>
      <c r="BF90" s="141"/>
      <c r="BG90" s="141"/>
      <c r="BH90" s="141"/>
      <c r="BI90" s="141"/>
      <c r="BJ90" s="141"/>
      <c r="BK90" s="141"/>
      <c r="BL90" s="141"/>
      <c r="BM90" s="141"/>
      <c r="BN90" s="141"/>
      <c r="BO90" s="141"/>
      <c r="BP90" s="141"/>
      <c r="BQ90" s="141"/>
      <c r="BR90" s="141"/>
      <c r="BS90" s="141"/>
      <c r="BT90" s="141"/>
      <c r="BU90" s="141"/>
      <c r="BV90" s="141"/>
      <c r="BW90" s="141"/>
      <c r="BX90" s="141"/>
      <c r="BY90" s="141"/>
      <c r="BZ90" s="141"/>
      <c r="CA90" s="141"/>
      <c r="CB90" s="141"/>
      <c r="CC90" s="141"/>
      <c r="CD90" s="141"/>
      <c r="CE90" s="141"/>
      <c r="CF90" s="141"/>
      <c r="CG90" s="141"/>
      <c r="CH90" s="141"/>
      <c r="CI90" s="141"/>
      <c r="CJ90" s="141"/>
      <c r="CK90" s="141"/>
      <c r="CL90" s="141"/>
      <c r="CM90" s="141"/>
      <c r="CN90" s="141"/>
      <c r="CO90" s="141"/>
      <c r="CP90" s="141"/>
      <c r="CQ90" s="141"/>
      <c r="CR90" s="141"/>
      <c r="CS90" s="141"/>
      <c r="CT90" s="141"/>
      <c r="CU90" s="141"/>
      <c r="CV90" s="141"/>
      <c r="CW90" s="141"/>
      <c r="CX90" s="141"/>
      <c r="CY90" s="141"/>
      <c r="CZ90" s="141"/>
      <c r="DA90" s="173"/>
    </row>
    <row r="91" spans="2:105" x14ac:dyDescent="0.25">
      <c r="B91" s="172"/>
      <c r="C91" s="141"/>
      <c r="D91" s="141" t="s">
        <v>1538</v>
      </c>
      <c r="E91" s="141"/>
      <c r="F91" s="141" t="s">
        <v>466</v>
      </c>
      <c r="G91" s="141"/>
      <c r="H91" s="141" t="s">
        <v>353</v>
      </c>
      <c r="I91" s="141"/>
      <c r="J91" s="141" t="s">
        <v>354</v>
      </c>
      <c r="K91" s="141" t="s">
        <v>1539</v>
      </c>
      <c r="L91" s="141"/>
      <c r="M91" s="141"/>
      <c r="N91" s="141" t="s">
        <v>354</v>
      </c>
      <c r="O91" s="141"/>
      <c r="P91" s="141"/>
      <c r="Q91" s="141"/>
      <c r="R91" s="141"/>
      <c r="S91" s="141" t="s">
        <v>368</v>
      </c>
      <c r="T91" s="141" t="s">
        <v>1129</v>
      </c>
      <c r="U91" s="141" t="s">
        <v>1129</v>
      </c>
      <c r="V91" s="141"/>
      <c r="W91" s="141"/>
      <c r="X91" s="141"/>
      <c r="Y91" s="141"/>
      <c r="Z91" s="141"/>
      <c r="AA91" s="141"/>
      <c r="AB91" s="141"/>
      <c r="AC91" s="141"/>
      <c r="AD91" s="141"/>
      <c r="AE91" s="141"/>
      <c r="AF91" s="141"/>
      <c r="AG91" s="141"/>
      <c r="AH91" s="141"/>
      <c r="AI91" s="141"/>
      <c r="AJ91" s="141"/>
      <c r="AK91" s="141" t="s">
        <v>354</v>
      </c>
      <c r="AL91" s="141" t="s">
        <v>364</v>
      </c>
      <c r="AM91" s="141" t="s">
        <v>354</v>
      </c>
      <c r="AN91" s="141" t="s">
        <v>367</v>
      </c>
      <c r="AO91" s="141" t="s">
        <v>1129</v>
      </c>
      <c r="AP91" s="141" t="s">
        <v>653</v>
      </c>
      <c r="AQ91" s="141" t="s">
        <v>654</v>
      </c>
      <c r="AR91" s="141" t="s">
        <v>408</v>
      </c>
      <c r="AS91" s="141"/>
      <c r="AT91" s="141"/>
      <c r="AU91" s="141"/>
      <c r="AV91" s="141"/>
      <c r="AW91" s="141"/>
      <c r="AX91" s="141"/>
      <c r="AY91" s="141"/>
      <c r="AZ91" s="141"/>
      <c r="BA91" s="141"/>
      <c r="BB91" s="141"/>
      <c r="BC91" s="141"/>
      <c r="BD91" s="141"/>
      <c r="BE91" s="141"/>
      <c r="BF91" s="141"/>
      <c r="BG91" s="141"/>
      <c r="BH91" s="141"/>
      <c r="BI91" s="141"/>
      <c r="BJ91" s="141"/>
      <c r="BK91" s="141"/>
      <c r="BL91" s="141"/>
      <c r="BM91" s="141"/>
      <c r="BN91" s="141"/>
      <c r="BO91" s="141"/>
      <c r="BP91" s="141"/>
      <c r="BQ91" s="141"/>
      <c r="BR91" s="141"/>
      <c r="BS91" s="141"/>
      <c r="BT91" s="141"/>
      <c r="BU91" s="141"/>
      <c r="BV91" s="141"/>
      <c r="BW91" s="141"/>
      <c r="BX91" s="141"/>
      <c r="BY91" s="141"/>
      <c r="BZ91" s="141"/>
      <c r="CA91" s="141"/>
      <c r="CB91" s="141"/>
      <c r="CC91" s="141"/>
      <c r="CD91" s="141"/>
      <c r="CE91" s="141"/>
      <c r="CF91" s="141"/>
      <c r="CG91" s="141"/>
      <c r="CH91" s="141"/>
      <c r="CI91" s="141"/>
      <c r="CJ91" s="141"/>
      <c r="CK91" s="141"/>
      <c r="CL91" s="141"/>
      <c r="CM91" s="141"/>
      <c r="CN91" s="141"/>
      <c r="CO91" s="141"/>
      <c r="CP91" s="141"/>
      <c r="CQ91" s="141"/>
      <c r="CR91" s="141"/>
      <c r="CS91" s="141"/>
      <c r="CT91" s="141"/>
      <c r="CU91" s="141"/>
      <c r="CV91" s="141"/>
      <c r="CW91" s="141"/>
      <c r="CX91" s="141"/>
      <c r="CY91" s="141"/>
      <c r="CZ91" s="141"/>
      <c r="DA91" s="173"/>
    </row>
    <row r="92" spans="2:105" x14ac:dyDescent="0.25">
      <c r="B92" s="172"/>
      <c r="C92" s="141" t="s">
        <v>1540</v>
      </c>
      <c r="D92" s="141" t="s">
        <v>1541</v>
      </c>
      <c r="E92" s="141" t="s">
        <v>1542</v>
      </c>
      <c r="F92" s="141" t="s">
        <v>740</v>
      </c>
      <c r="G92" s="141"/>
      <c r="H92" s="141" t="s">
        <v>353</v>
      </c>
      <c r="I92" s="141"/>
      <c r="J92" s="141" t="s">
        <v>354</v>
      </c>
      <c r="K92" s="141" t="s">
        <v>1543</v>
      </c>
      <c r="L92" s="141"/>
      <c r="M92" s="141"/>
      <c r="N92" s="141" t="s">
        <v>369</v>
      </c>
      <c r="O92" s="141" t="s">
        <v>393</v>
      </c>
      <c r="P92" s="141" t="s">
        <v>424</v>
      </c>
      <c r="Q92" s="141" t="s">
        <v>425</v>
      </c>
      <c r="R92" s="141" t="s">
        <v>361</v>
      </c>
      <c r="S92" s="141" t="s">
        <v>368</v>
      </c>
      <c r="T92" s="141" t="s">
        <v>1129</v>
      </c>
      <c r="U92" s="141" t="s">
        <v>1129</v>
      </c>
      <c r="V92" s="141"/>
      <c r="W92" s="141"/>
      <c r="X92" s="141"/>
      <c r="Y92" s="141"/>
      <c r="Z92" s="141"/>
      <c r="AA92" s="141"/>
      <c r="AB92" s="141"/>
      <c r="AC92" s="141"/>
      <c r="AD92" s="141"/>
      <c r="AE92" s="141"/>
      <c r="AF92" s="141"/>
      <c r="AG92" s="141"/>
      <c r="AH92" s="141"/>
      <c r="AI92" s="141"/>
      <c r="AJ92" s="141"/>
      <c r="AK92" s="141" t="s">
        <v>354</v>
      </c>
      <c r="AL92" s="141" t="s">
        <v>364</v>
      </c>
      <c r="AM92" s="141" t="s">
        <v>354</v>
      </c>
      <c r="AN92" s="141" t="s">
        <v>367</v>
      </c>
      <c r="AO92" s="141" t="s">
        <v>1129</v>
      </c>
      <c r="AP92" s="141" t="s">
        <v>653</v>
      </c>
      <c r="AQ92" s="141" t="s">
        <v>654</v>
      </c>
      <c r="AR92" s="141" t="s">
        <v>408</v>
      </c>
      <c r="AS92" s="141"/>
      <c r="AT92" s="141"/>
      <c r="AU92" s="141"/>
      <c r="AV92" s="141"/>
      <c r="AW92" s="141"/>
      <c r="AX92" s="141"/>
      <c r="AY92" s="141"/>
      <c r="AZ92" s="141"/>
      <c r="BA92" s="141"/>
      <c r="BB92" s="141"/>
      <c r="BC92" s="141"/>
      <c r="BD92" s="141"/>
      <c r="BE92" s="141"/>
      <c r="BF92" s="141"/>
      <c r="BG92" s="141"/>
      <c r="BH92" s="141"/>
      <c r="BI92" s="141"/>
      <c r="BJ92" s="141"/>
      <c r="BK92" s="141"/>
      <c r="BL92" s="141"/>
      <c r="BM92" s="141"/>
      <c r="BN92" s="141"/>
      <c r="BO92" s="141"/>
      <c r="BP92" s="141"/>
      <c r="BQ92" s="141"/>
      <c r="BR92" s="141"/>
      <c r="BS92" s="141"/>
      <c r="BT92" s="141"/>
      <c r="BU92" s="141"/>
      <c r="BV92" s="141"/>
      <c r="BW92" s="141"/>
      <c r="BX92" s="141"/>
      <c r="BY92" s="141"/>
      <c r="BZ92" s="141"/>
      <c r="CA92" s="141"/>
      <c r="CB92" s="141"/>
      <c r="CC92" s="141"/>
      <c r="CD92" s="141"/>
      <c r="CE92" s="141"/>
      <c r="CF92" s="141"/>
      <c r="CG92" s="141"/>
      <c r="CH92" s="141"/>
      <c r="CI92" s="141"/>
      <c r="CJ92" s="141"/>
      <c r="CK92" s="141"/>
      <c r="CL92" s="141"/>
      <c r="CM92" s="141"/>
      <c r="CN92" s="141"/>
      <c r="CO92" s="141"/>
      <c r="CP92" s="141"/>
      <c r="CQ92" s="141"/>
      <c r="CR92" s="141"/>
      <c r="CS92" s="141"/>
      <c r="CT92" s="141"/>
      <c r="CU92" s="141"/>
      <c r="CV92" s="141"/>
      <c r="CW92" s="141"/>
      <c r="CX92" s="141"/>
      <c r="CY92" s="141"/>
      <c r="CZ92" s="141"/>
      <c r="DA92" s="173"/>
    </row>
    <row r="93" spans="2:105" x14ac:dyDescent="0.25">
      <c r="B93" s="172"/>
      <c r="C93" s="141" t="s">
        <v>1544</v>
      </c>
      <c r="D93" s="141" t="s">
        <v>769</v>
      </c>
      <c r="E93" s="141" t="s">
        <v>1545</v>
      </c>
      <c r="F93" s="141" t="s">
        <v>1546</v>
      </c>
      <c r="G93" s="141"/>
      <c r="H93" s="141" t="s">
        <v>353</v>
      </c>
      <c r="I93" s="141"/>
      <c r="J93" s="141" t="s">
        <v>354</v>
      </c>
      <c r="K93" s="141" t="s">
        <v>1547</v>
      </c>
      <c r="L93" s="141"/>
      <c r="M93" s="141"/>
      <c r="N93" s="141" t="s">
        <v>393</v>
      </c>
      <c r="O93" s="141" t="s">
        <v>369</v>
      </c>
      <c r="P93" s="141" t="s">
        <v>528</v>
      </c>
      <c r="Q93" s="141" t="s">
        <v>529</v>
      </c>
      <c r="R93" s="141" t="s">
        <v>361</v>
      </c>
      <c r="S93" s="141" t="s">
        <v>368</v>
      </c>
      <c r="T93" s="141" t="s">
        <v>1129</v>
      </c>
      <c r="U93" s="141" t="s">
        <v>1129</v>
      </c>
      <c r="V93" s="141"/>
      <c r="W93" s="141"/>
      <c r="X93" s="141"/>
      <c r="Y93" s="141"/>
      <c r="Z93" s="141"/>
      <c r="AA93" s="141"/>
      <c r="AB93" s="141"/>
      <c r="AC93" s="141"/>
      <c r="AD93" s="141"/>
      <c r="AE93" s="141"/>
      <c r="AF93" s="141"/>
      <c r="AG93" s="141"/>
      <c r="AH93" s="141"/>
      <c r="AI93" s="141"/>
      <c r="AJ93" s="141"/>
      <c r="AK93" s="141" t="s">
        <v>354</v>
      </c>
      <c r="AL93" s="141" t="s">
        <v>364</v>
      </c>
      <c r="AM93" s="141" t="s">
        <v>354</v>
      </c>
      <c r="AN93" s="141" t="s">
        <v>367</v>
      </c>
      <c r="AO93" s="141" t="s">
        <v>1129</v>
      </c>
      <c r="AP93" s="141" t="s">
        <v>653</v>
      </c>
      <c r="AQ93" s="141" t="s">
        <v>654</v>
      </c>
      <c r="AR93" s="141" t="s">
        <v>408</v>
      </c>
      <c r="AS93" s="141"/>
      <c r="AT93" s="141"/>
      <c r="AU93" s="141"/>
      <c r="AV93" s="141"/>
      <c r="AW93" s="141"/>
      <c r="AX93" s="141"/>
      <c r="AY93" s="141"/>
      <c r="AZ93" s="141"/>
      <c r="BA93" s="141"/>
      <c r="BB93" s="141"/>
      <c r="BC93" s="141"/>
      <c r="BD93" s="141"/>
      <c r="BE93" s="141"/>
      <c r="BF93" s="141"/>
      <c r="BG93" s="141"/>
      <c r="BH93" s="141"/>
      <c r="BI93" s="141"/>
      <c r="BJ93" s="141"/>
      <c r="BK93" s="141"/>
      <c r="BL93" s="141"/>
      <c r="BM93" s="141"/>
      <c r="BN93" s="141"/>
      <c r="BO93" s="141"/>
      <c r="BP93" s="141"/>
      <c r="BQ93" s="141"/>
      <c r="BR93" s="141"/>
      <c r="BS93" s="141"/>
      <c r="BT93" s="141"/>
      <c r="BU93" s="141"/>
      <c r="BV93" s="141"/>
      <c r="BW93" s="141"/>
      <c r="BX93" s="141"/>
      <c r="BY93" s="141"/>
      <c r="BZ93" s="141"/>
      <c r="CA93" s="141"/>
      <c r="CB93" s="141"/>
      <c r="CC93" s="141"/>
      <c r="CD93" s="141"/>
      <c r="CE93" s="141"/>
      <c r="CF93" s="141"/>
      <c r="CG93" s="141"/>
      <c r="CH93" s="141"/>
      <c r="CI93" s="141"/>
      <c r="CJ93" s="141"/>
      <c r="CK93" s="141"/>
      <c r="CL93" s="141"/>
      <c r="CM93" s="141"/>
      <c r="CN93" s="141"/>
      <c r="CO93" s="141"/>
      <c r="CP93" s="141"/>
      <c r="CQ93" s="141"/>
      <c r="CR93" s="141"/>
      <c r="CS93" s="141"/>
      <c r="CT93" s="141"/>
      <c r="CU93" s="141"/>
      <c r="CV93" s="141"/>
      <c r="CW93" s="141"/>
      <c r="CX93" s="141"/>
      <c r="CY93" s="141"/>
      <c r="CZ93" s="141"/>
      <c r="DA93" s="173"/>
    </row>
    <row r="94" spans="2:105" x14ac:dyDescent="0.25">
      <c r="B94" s="172"/>
      <c r="C94" s="141" t="s">
        <v>1548</v>
      </c>
      <c r="D94" s="141" t="s">
        <v>1549</v>
      </c>
      <c r="E94" s="141" t="s">
        <v>619</v>
      </c>
      <c r="F94" s="141" t="s">
        <v>1550</v>
      </c>
      <c r="G94" s="141"/>
      <c r="H94" s="141" t="s">
        <v>353</v>
      </c>
      <c r="I94" s="141"/>
      <c r="J94" s="141" t="s">
        <v>354</v>
      </c>
      <c r="K94" s="141" t="s">
        <v>1551</v>
      </c>
      <c r="L94" s="141"/>
      <c r="M94" s="141"/>
      <c r="N94" s="141" t="s">
        <v>426</v>
      </c>
      <c r="O94" s="141" t="s">
        <v>393</v>
      </c>
      <c r="P94" s="141" t="s">
        <v>424</v>
      </c>
      <c r="Q94" s="141" t="s">
        <v>425</v>
      </c>
      <c r="R94" s="141" t="s">
        <v>361</v>
      </c>
      <c r="S94" s="141" t="s">
        <v>368</v>
      </c>
      <c r="T94" s="141" t="s">
        <v>1129</v>
      </c>
      <c r="U94" s="141" t="s">
        <v>1129</v>
      </c>
      <c r="V94" s="141"/>
      <c r="W94" s="141"/>
      <c r="X94" s="141"/>
      <c r="Y94" s="141"/>
      <c r="Z94" s="141"/>
      <c r="AA94" s="141"/>
      <c r="AB94" s="141"/>
      <c r="AC94" s="141"/>
      <c r="AD94" s="141"/>
      <c r="AE94" s="141"/>
      <c r="AF94" s="141"/>
      <c r="AG94" s="141"/>
      <c r="AH94" s="141"/>
      <c r="AI94" s="141"/>
      <c r="AJ94" s="141"/>
      <c r="AK94" s="141" t="s">
        <v>354</v>
      </c>
      <c r="AL94" s="141" t="s">
        <v>364</v>
      </c>
      <c r="AM94" s="141" t="s">
        <v>354</v>
      </c>
      <c r="AN94" s="141" t="s">
        <v>367</v>
      </c>
      <c r="AO94" s="141" t="s">
        <v>1129</v>
      </c>
      <c r="AP94" s="141" t="s">
        <v>653</v>
      </c>
      <c r="AQ94" s="141" t="s">
        <v>654</v>
      </c>
      <c r="AR94" s="141" t="s">
        <v>408</v>
      </c>
      <c r="AS94" s="141"/>
      <c r="AT94" s="141"/>
      <c r="AU94" s="141"/>
      <c r="AV94" s="141"/>
      <c r="AW94" s="141"/>
      <c r="AX94" s="141"/>
      <c r="AY94" s="141"/>
      <c r="AZ94" s="141"/>
      <c r="BA94" s="141"/>
      <c r="BB94" s="141"/>
      <c r="BC94" s="141"/>
      <c r="BD94" s="141"/>
      <c r="BE94" s="141"/>
      <c r="BF94" s="141"/>
      <c r="BG94" s="141"/>
      <c r="BH94" s="141"/>
      <c r="BI94" s="141"/>
      <c r="BJ94" s="141"/>
      <c r="BK94" s="141"/>
      <c r="BL94" s="141"/>
      <c r="BM94" s="141"/>
      <c r="BN94" s="141"/>
      <c r="BO94" s="141"/>
      <c r="BP94" s="141"/>
      <c r="BQ94" s="141"/>
      <c r="BR94" s="141"/>
      <c r="BS94" s="141"/>
      <c r="BT94" s="141"/>
      <c r="BU94" s="141"/>
      <c r="BV94" s="141"/>
      <c r="BW94" s="141"/>
      <c r="BX94" s="141"/>
      <c r="BY94" s="141"/>
      <c r="BZ94" s="141"/>
      <c r="CA94" s="141"/>
      <c r="CB94" s="141"/>
      <c r="CC94" s="141"/>
      <c r="CD94" s="141"/>
      <c r="CE94" s="141"/>
      <c r="CF94" s="141"/>
      <c r="CG94" s="141"/>
      <c r="CH94" s="141"/>
      <c r="CI94" s="141"/>
      <c r="CJ94" s="141"/>
      <c r="CK94" s="141"/>
      <c r="CL94" s="141"/>
      <c r="CM94" s="141"/>
      <c r="CN94" s="141"/>
      <c r="CO94" s="141"/>
      <c r="CP94" s="141"/>
      <c r="CQ94" s="141"/>
      <c r="CR94" s="141"/>
      <c r="CS94" s="141"/>
      <c r="CT94" s="141"/>
      <c r="CU94" s="141"/>
      <c r="CV94" s="141"/>
      <c r="CW94" s="141"/>
      <c r="CX94" s="141"/>
      <c r="CY94" s="141"/>
      <c r="CZ94" s="141"/>
      <c r="DA94" s="173"/>
    </row>
    <row r="95" spans="2:105" x14ac:dyDescent="0.25">
      <c r="B95" s="172"/>
      <c r="C95" s="141" t="s">
        <v>1552</v>
      </c>
      <c r="D95" s="141" t="s">
        <v>1553</v>
      </c>
      <c r="E95" s="141" t="s">
        <v>1554</v>
      </c>
      <c r="F95" s="141" t="s">
        <v>1555</v>
      </c>
      <c r="G95" s="141"/>
      <c r="H95" s="141" t="s">
        <v>353</v>
      </c>
      <c r="I95" s="141"/>
      <c r="J95" s="141" t="s">
        <v>354</v>
      </c>
      <c r="K95" s="141" t="s">
        <v>1556</v>
      </c>
      <c r="L95" s="141"/>
      <c r="M95" s="141"/>
      <c r="N95" s="141" t="s">
        <v>426</v>
      </c>
      <c r="O95" s="141" t="s">
        <v>362</v>
      </c>
      <c r="P95" s="141" t="s">
        <v>1557</v>
      </c>
      <c r="Q95" s="141" t="s">
        <v>1558</v>
      </c>
      <c r="R95" s="141" t="s">
        <v>361</v>
      </c>
      <c r="S95" s="141" t="s">
        <v>368</v>
      </c>
      <c r="T95" s="141" t="s">
        <v>1129</v>
      </c>
      <c r="U95" s="141" t="s">
        <v>1129</v>
      </c>
      <c r="V95" s="141"/>
      <c r="W95" s="141"/>
      <c r="X95" s="141"/>
      <c r="Y95" s="141"/>
      <c r="Z95" s="141"/>
      <c r="AA95" s="141"/>
      <c r="AB95" s="141"/>
      <c r="AC95" s="141"/>
      <c r="AD95" s="141"/>
      <c r="AE95" s="141"/>
      <c r="AF95" s="141"/>
      <c r="AG95" s="141"/>
      <c r="AH95" s="141"/>
      <c r="AI95" s="141"/>
      <c r="AJ95" s="141"/>
      <c r="AK95" s="141" t="s">
        <v>354</v>
      </c>
      <c r="AL95" s="141" t="s">
        <v>364</v>
      </c>
      <c r="AM95" s="141" t="s">
        <v>354</v>
      </c>
      <c r="AN95" s="141" t="s">
        <v>367</v>
      </c>
      <c r="AO95" s="141" t="s">
        <v>1129</v>
      </c>
      <c r="AP95" s="141" t="s">
        <v>653</v>
      </c>
      <c r="AQ95" s="141" t="s">
        <v>654</v>
      </c>
      <c r="AR95" s="141" t="s">
        <v>408</v>
      </c>
      <c r="AS95" s="141"/>
      <c r="AT95" s="141"/>
      <c r="AU95" s="141"/>
      <c r="AV95" s="141"/>
      <c r="AW95" s="141"/>
      <c r="AX95" s="141"/>
      <c r="AY95" s="141"/>
      <c r="AZ95" s="141"/>
      <c r="BA95" s="141"/>
      <c r="BB95" s="141"/>
      <c r="BC95" s="141"/>
      <c r="BD95" s="141"/>
      <c r="BE95" s="141"/>
      <c r="BF95" s="141"/>
      <c r="BG95" s="141"/>
      <c r="BH95" s="141"/>
      <c r="BI95" s="141"/>
      <c r="BJ95" s="141"/>
      <c r="BK95" s="141"/>
      <c r="BL95" s="141"/>
      <c r="BM95" s="141"/>
      <c r="BN95" s="141"/>
      <c r="BO95" s="141"/>
      <c r="BP95" s="141"/>
      <c r="BQ95" s="141"/>
      <c r="BR95" s="141"/>
      <c r="BS95" s="141"/>
      <c r="BT95" s="141"/>
      <c r="BU95" s="141"/>
      <c r="BV95" s="141"/>
      <c r="BW95" s="141"/>
      <c r="BX95" s="141"/>
      <c r="BY95" s="141"/>
      <c r="BZ95" s="141"/>
      <c r="CA95" s="141"/>
      <c r="CB95" s="141"/>
      <c r="CC95" s="141"/>
      <c r="CD95" s="141"/>
      <c r="CE95" s="141"/>
      <c r="CF95" s="141"/>
      <c r="CG95" s="141"/>
      <c r="CH95" s="141"/>
      <c r="CI95" s="141"/>
      <c r="CJ95" s="141"/>
      <c r="CK95" s="141"/>
      <c r="CL95" s="141"/>
      <c r="CM95" s="141"/>
      <c r="CN95" s="141"/>
      <c r="CO95" s="141"/>
      <c r="CP95" s="141"/>
      <c r="CQ95" s="141"/>
      <c r="CR95" s="141"/>
      <c r="CS95" s="141"/>
      <c r="CT95" s="141"/>
      <c r="CU95" s="141"/>
      <c r="CV95" s="141"/>
      <c r="CW95" s="141"/>
      <c r="CX95" s="141"/>
      <c r="CY95" s="141"/>
      <c r="CZ95" s="141"/>
      <c r="DA95" s="173"/>
    </row>
    <row r="96" spans="2:105" x14ac:dyDescent="0.25">
      <c r="B96" s="172"/>
      <c r="C96" s="141"/>
      <c r="D96" s="141" t="s">
        <v>1559</v>
      </c>
      <c r="E96" s="141"/>
      <c r="F96" s="141" t="s">
        <v>466</v>
      </c>
      <c r="G96" s="141"/>
      <c r="H96" s="141" t="s">
        <v>353</v>
      </c>
      <c r="I96" s="141"/>
      <c r="J96" s="141" t="s">
        <v>354</v>
      </c>
      <c r="K96" s="141" t="s">
        <v>1560</v>
      </c>
      <c r="L96" s="141"/>
      <c r="M96" s="141"/>
      <c r="N96" s="141" t="s">
        <v>354</v>
      </c>
      <c r="O96" s="141"/>
      <c r="P96" s="141"/>
      <c r="Q96" s="141"/>
      <c r="R96" s="141"/>
      <c r="S96" s="141" t="s">
        <v>368</v>
      </c>
      <c r="T96" s="141" t="s">
        <v>1129</v>
      </c>
      <c r="U96" s="141" t="s">
        <v>1129</v>
      </c>
      <c r="V96" s="141"/>
      <c r="W96" s="141"/>
      <c r="X96" s="141"/>
      <c r="Y96" s="141"/>
      <c r="Z96" s="141"/>
      <c r="AA96" s="141"/>
      <c r="AB96" s="141"/>
      <c r="AC96" s="141"/>
      <c r="AD96" s="141"/>
      <c r="AE96" s="141"/>
      <c r="AF96" s="141"/>
      <c r="AG96" s="141"/>
      <c r="AH96" s="141"/>
      <c r="AI96" s="141"/>
      <c r="AJ96" s="141"/>
      <c r="AK96" s="141" t="s">
        <v>354</v>
      </c>
      <c r="AL96" s="141" t="s">
        <v>364</v>
      </c>
      <c r="AM96" s="141" t="s">
        <v>354</v>
      </c>
      <c r="AN96" s="141" t="s">
        <v>367</v>
      </c>
      <c r="AO96" s="141" t="s">
        <v>1129</v>
      </c>
      <c r="AP96" s="141" t="s">
        <v>653</v>
      </c>
      <c r="AQ96" s="141" t="s">
        <v>654</v>
      </c>
      <c r="AR96" s="141" t="s">
        <v>408</v>
      </c>
      <c r="AS96" s="141"/>
      <c r="AT96" s="141"/>
      <c r="AU96" s="141"/>
      <c r="AV96" s="141"/>
      <c r="AW96" s="141"/>
      <c r="AX96" s="141"/>
      <c r="AY96" s="141"/>
      <c r="AZ96" s="141"/>
      <c r="BA96" s="141"/>
      <c r="BB96" s="141"/>
      <c r="BC96" s="141"/>
      <c r="BD96" s="141"/>
      <c r="BE96" s="141"/>
      <c r="BF96" s="141"/>
      <c r="BG96" s="141"/>
      <c r="BH96" s="141"/>
      <c r="BI96" s="141"/>
      <c r="BJ96" s="141"/>
      <c r="BK96" s="141"/>
      <c r="BL96" s="141"/>
      <c r="BM96" s="141"/>
      <c r="BN96" s="141"/>
      <c r="BO96" s="141"/>
      <c r="BP96" s="141"/>
      <c r="BQ96" s="141"/>
      <c r="BR96" s="141"/>
      <c r="BS96" s="141"/>
      <c r="BT96" s="141"/>
      <c r="BU96" s="141"/>
      <c r="BV96" s="141"/>
      <c r="BW96" s="141"/>
      <c r="BX96" s="141"/>
      <c r="BY96" s="141"/>
      <c r="BZ96" s="141"/>
      <c r="CA96" s="141"/>
      <c r="CB96" s="141"/>
      <c r="CC96" s="141"/>
      <c r="CD96" s="141"/>
      <c r="CE96" s="141"/>
      <c r="CF96" s="141"/>
      <c r="CG96" s="141"/>
      <c r="CH96" s="141"/>
      <c r="CI96" s="141"/>
      <c r="CJ96" s="141"/>
      <c r="CK96" s="141"/>
      <c r="CL96" s="141"/>
      <c r="CM96" s="141"/>
      <c r="CN96" s="141"/>
      <c r="CO96" s="141"/>
      <c r="CP96" s="141"/>
      <c r="CQ96" s="141"/>
      <c r="CR96" s="141"/>
      <c r="CS96" s="141"/>
      <c r="CT96" s="141"/>
      <c r="CU96" s="141"/>
      <c r="CV96" s="141"/>
      <c r="CW96" s="141"/>
      <c r="CX96" s="141"/>
      <c r="CY96" s="141"/>
      <c r="CZ96" s="141"/>
      <c r="DA96" s="173"/>
    </row>
    <row r="97" spans="2:105" x14ac:dyDescent="0.25">
      <c r="B97" s="172"/>
      <c r="C97" s="141" t="s">
        <v>1561</v>
      </c>
      <c r="D97" s="141" t="s">
        <v>1562</v>
      </c>
      <c r="E97" s="141" t="s">
        <v>699</v>
      </c>
      <c r="F97" s="141" t="s">
        <v>1028</v>
      </c>
      <c r="G97" s="141"/>
      <c r="H97" s="141" t="s">
        <v>353</v>
      </c>
      <c r="I97" s="141"/>
      <c r="J97" s="141" t="s">
        <v>354</v>
      </c>
      <c r="K97" s="141" t="s">
        <v>1563</v>
      </c>
      <c r="L97" s="141"/>
      <c r="M97" s="141"/>
      <c r="N97" s="141" t="s">
        <v>369</v>
      </c>
      <c r="O97" s="141" t="s">
        <v>393</v>
      </c>
      <c r="P97" s="141" t="s">
        <v>424</v>
      </c>
      <c r="Q97" s="141" t="s">
        <v>425</v>
      </c>
      <c r="R97" s="141" t="s">
        <v>361</v>
      </c>
      <c r="S97" s="141" t="s">
        <v>368</v>
      </c>
      <c r="T97" s="141" t="s">
        <v>1129</v>
      </c>
      <c r="U97" s="141" t="s">
        <v>1129</v>
      </c>
      <c r="V97" s="141"/>
      <c r="W97" s="141"/>
      <c r="X97" s="141"/>
      <c r="Y97" s="141"/>
      <c r="Z97" s="141"/>
      <c r="AA97" s="141"/>
      <c r="AB97" s="141"/>
      <c r="AC97" s="141"/>
      <c r="AD97" s="141"/>
      <c r="AE97" s="141"/>
      <c r="AF97" s="141"/>
      <c r="AG97" s="141"/>
      <c r="AH97" s="141"/>
      <c r="AI97" s="141"/>
      <c r="AJ97" s="141"/>
      <c r="AK97" s="141" t="s">
        <v>354</v>
      </c>
      <c r="AL97" s="141" t="s">
        <v>364</v>
      </c>
      <c r="AM97" s="141" t="s">
        <v>354</v>
      </c>
      <c r="AN97" s="141" t="s">
        <v>367</v>
      </c>
      <c r="AO97" s="141" t="s">
        <v>1129</v>
      </c>
      <c r="AP97" s="141" t="s">
        <v>653</v>
      </c>
      <c r="AQ97" s="141" t="s">
        <v>654</v>
      </c>
      <c r="AR97" s="141" t="s">
        <v>408</v>
      </c>
      <c r="AS97" s="141"/>
      <c r="AT97" s="141"/>
      <c r="AU97" s="141"/>
      <c r="AV97" s="141"/>
      <c r="AW97" s="141"/>
      <c r="AX97" s="141"/>
      <c r="AY97" s="141"/>
      <c r="AZ97" s="141"/>
      <c r="BA97" s="141"/>
      <c r="BB97" s="141"/>
      <c r="BC97" s="141"/>
      <c r="BD97" s="141"/>
      <c r="BE97" s="141"/>
      <c r="BF97" s="141"/>
      <c r="BG97" s="141"/>
      <c r="BH97" s="141"/>
      <c r="BI97" s="141"/>
      <c r="BJ97" s="141"/>
      <c r="BK97" s="141"/>
      <c r="BL97" s="141"/>
      <c r="BM97" s="141"/>
      <c r="BN97" s="141"/>
      <c r="BO97" s="141"/>
      <c r="BP97" s="141"/>
      <c r="BQ97" s="141"/>
      <c r="BR97" s="141"/>
      <c r="BS97" s="141"/>
      <c r="BT97" s="141"/>
      <c r="BU97" s="141"/>
      <c r="BV97" s="141"/>
      <c r="BW97" s="141"/>
      <c r="BX97" s="141"/>
      <c r="BY97" s="141"/>
      <c r="BZ97" s="141"/>
      <c r="CA97" s="141"/>
      <c r="CB97" s="141"/>
      <c r="CC97" s="141"/>
      <c r="CD97" s="141"/>
      <c r="CE97" s="141"/>
      <c r="CF97" s="141"/>
      <c r="CG97" s="141"/>
      <c r="CH97" s="141"/>
      <c r="CI97" s="141"/>
      <c r="CJ97" s="141"/>
      <c r="CK97" s="141"/>
      <c r="CL97" s="141"/>
      <c r="CM97" s="141"/>
      <c r="CN97" s="141"/>
      <c r="CO97" s="141"/>
      <c r="CP97" s="141"/>
      <c r="CQ97" s="141"/>
      <c r="CR97" s="141"/>
      <c r="CS97" s="141"/>
      <c r="CT97" s="141"/>
      <c r="CU97" s="141"/>
      <c r="CV97" s="141"/>
      <c r="CW97" s="141"/>
      <c r="CX97" s="141"/>
      <c r="CY97" s="141"/>
      <c r="CZ97" s="141"/>
      <c r="DA97" s="173"/>
    </row>
    <row r="98" spans="2:105" x14ac:dyDescent="0.25">
      <c r="B98" s="172"/>
      <c r="C98" s="141" t="s">
        <v>1564</v>
      </c>
      <c r="D98" s="141" t="s">
        <v>1565</v>
      </c>
      <c r="E98" s="141" t="s">
        <v>1566</v>
      </c>
      <c r="F98" s="141" t="s">
        <v>1005</v>
      </c>
      <c r="G98" s="141"/>
      <c r="H98" s="141" t="s">
        <v>353</v>
      </c>
      <c r="I98" s="141"/>
      <c r="J98" s="141" t="s">
        <v>354</v>
      </c>
      <c r="K98" s="141" t="s">
        <v>1567</v>
      </c>
      <c r="L98" s="141"/>
      <c r="M98" s="141"/>
      <c r="N98" s="141" t="s">
        <v>393</v>
      </c>
      <c r="O98" s="141" t="s">
        <v>393</v>
      </c>
      <c r="P98" s="141" t="s">
        <v>424</v>
      </c>
      <c r="Q98" s="141" t="s">
        <v>425</v>
      </c>
      <c r="R98" s="141" t="s">
        <v>361</v>
      </c>
      <c r="S98" s="141" t="s">
        <v>368</v>
      </c>
      <c r="T98" s="141" t="s">
        <v>1129</v>
      </c>
      <c r="U98" s="141" t="s">
        <v>1129</v>
      </c>
      <c r="V98" s="141"/>
      <c r="W98" s="141"/>
      <c r="X98" s="141"/>
      <c r="Y98" s="141"/>
      <c r="Z98" s="141"/>
      <c r="AA98" s="141"/>
      <c r="AB98" s="141"/>
      <c r="AC98" s="141"/>
      <c r="AD98" s="141"/>
      <c r="AE98" s="141"/>
      <c r="AF98" s="141"/>
      <c r="AG98" s="141"/>
      <c r="AH98" s="141"/>
      <c r="AI98" s="141"/>
      <c r="AJ98" s="141"/>
      <c r="AK98" s="141" t="s">
        <v>354</v>
      </c>
      <c r="AL98" s="141" t="s">
        <v>364</v>
      </c>
      <c r="AM98" s="141" t="s">
        <v>354</v>
      </c>
      <c r="AN98" s="141" t="s">
        <v>367</v>
      </c>
      <c r="AO98" s="141" t="s">
        <v>1129</v>
      </c>
      <c r="AP98" s="141" t="s">
        <v>653</v>
      </c>
      <c r="AQ98" s="141" t="s">
        <v>654</v>
      </c>
      <c r="AR98" s="141" t="s">
        <v>408</v>
      </c>
      <c r="AS98" s="141"/>
      <c r="AT98" s="141"/>
      <c r="AU98" s="141"/>
      <c r="AV98" s="141"/>
      <c r="AW98" s="141"/>
      <c r="AX98" s="141"/>
      <c r="AY98" s="141"/>
      <c r="AZ98" s="141"/>
      <c r="BA98" s="141"/>
      <c r="BB98" s="141"/>
      <c r="BC98" s="141"/>
      <c r="BD98" s="141"/>
      <c r="BE98" s="141"/>
      <c r="BF98" s="141"/>
      <c r="BG98" s="141"/>
      <c r="BH98" s="141"/>
      <c r="BI98" s="141"/>
      <c r="BJ98" s="141"/>
      <c r="BK98" s="141"/>
      <c r="BL98" s="141"/>
      <c r="BM98" s="141"/>
      <c r="BN98" s="141"/>
      <c r="BO98" s="141"/>
      <c r="BP98" s="141"/>
      <c r="BQ98" s="141"/>
      <c r="BR98" s="141"/>
      <c r="BS98" s="141"/>
      <c r="BT98" s="141"/>
      <c r="BU98" s="141"/>
      <c r="BV98" s="141"/>
      <c r="BW98" s="141"/>
      <c r="BX98" s="141"/>
      <c r="BY98" s="141"/>
      <c r="BZ98" s="141"/>
      <c r="CA98" s="141"/>
      <c r="CB98" s="141"/>
      <c r="CC98" s="141"/>
      <c r="CD98" s="141"/>
      <c r="CE98" s="141"/>
      <c r="CF98" s="141"/>
      <c r="CG98" s="141"/>
      <c r="CH98" s="141"/>
      <c r="CI98" s="141"/>
      <c r="CJ98" s="141"/>
      <c r="CK98" s="141"/>
      <c r="CL98" s="141"/>
      <c r="CM98" s="141"/>
      <c r="CN98" s="141"/>
      <c r="CO98" s="141"/>
      <c r="CP98" s="141"/>
      <c r="CQ98" s="141"/>
      <c r="CR98" s="141"/>
      <c r="CS98" s="141"/>
      <c r="CT98" s="141"/>
      <c r="CU98" s="141"/>
      <c r="CV98" s="141"/>
      <c r="CW98" s="141"/>
      <c r="CX98" s="141"/>
      <c r="CY98" s="141"/>
      <c r="CZ98" s="141"/>
      <c r="DA98" s="173"/>
    </row>
    <row r="99" spans="2:105" x14ac:dyDescent="0.25">
      <c r="B99" s="172"/>
      <c r="C99" s="141" t="s">
        <v>1568</v>
      </c>
      <c r="D99" s="141" t="s">
        <v>1569</v>
      </c>
      <c r="E99" s="141" t="s">
        <v>1570</v>
      </c>
      <c r="F99" s="141" t="s">
        <v>1571</v>
      </c>
      <c r="G99" s="141"/>
      <c r="H99" s="141" t="s">
        <v>353</v>
      </c>
      <c r="I99" s="141"/>
      <c r="J99" s="141" t="s">
        <v>354</v>
      </c>
      <c r="K99" s="141" t="s">
        <v>464</v>
      </c>
      <c r="L99" s="141" t="s">
        <v>1572</v>
      </c>
      <c r="M99" s="141" t="s">
        <v>1573</v>
      </c>
      <c r="N99" s="141" t="s">
        <v>354</v>
      </c>
      <c r="O99" s="141" t="s">
        <v>358</v>
      </c>
      <c r="P99" s="141" t="s">
        <v>359</v>
      </c>
      <c r="Q99" s="141" t="s">
        <v>360</v>
      </c>
      <c r="R99" s="141" t="s">
        <v>361</v>
      </c>
      <c r="S99" s="141" t="s">
        <v>391</v>
      </c>
      <c r="T99" s="141" t="s">
        <v>1574</v>
      </c>
      <c r="U99" s="141" t="s">
        <v>1574</v>
      </c>
      <c r="V99" s="141"/>
      <c r="W99" s="141"/>
      <c r="X99" s="141"/>
      <c r="Y99" s="141"/>
      <c r="Z99" s="141"/>
      <c r="AA99" s="141"/>
      <c r="AB99" s="141"/>
      <c r="AC99" s="141"/>
      <c r="AD99" s="141"/>
      <c r="AE99" s="141"/>
      <c r="AF99" s="141"/>
      <c r="AG99" s="141"/>
      <c r="AH99" s="141"/>
      <c r="AI99" s="141"/>
      <c r="AJ99" s="141"/>
      <c r="AK99" s="141" t="s">
        <v>354</v>
      </c>
      <c r="AL99" s="141" t="s">
        <v>364</v>
      </c>
      <c r="AM99" s="141" t="s">
        <v>354</v>
      </c>
      <c r="AN99" s="141" t="s">
        <v>900</v>
      </c>
      <c r="AO99" s="141" t="s">
        <v>1574</v>
      </c>
      <c r="AP99" s="141" t="s">
        <v>1575</v>
      </c>
      <c r="AQ99" s="141" t="s">
        <v>735</v>
      </c>
      <c r="AR99" s="141" t="s">
        <v>1294</v>
      </c>
      <c r="AS99" s="141" t="s">
        <v>369</v>
      </c>
      <c r="AT99" s="141"/>
      <c r="AU99" s="141" t="s">
        <v>1572</v>
      </c>
      <c r="AV99" s="141" t="s">
        <v>659</v>
      </c>
      <c r="AW99" s="141" t="s">
        <v>1576</v>
      </c>
      <c r="AX99" s="141" t="s">
        <v>1577</v>
      </c>
      <c r="AY99" s="141" t="s">
        <v>1578</v>
      </c>
      <c r="AZ99" s="141" t="s">
        <v>890</v>
      </c>
      <c r="BA99" s="141" t="s">
        <v>1579</v>
      </c>
      <c r="BB99" s="141" t="s">
        <v>892</v>
      </c>
      <c r="BC99" s="141" t="s">
        <v>1580</v>
      </c>
      <c r="BD99" s="141" t="s">
        <v>776</v>
      </c>
      <c r="BE99" s="141" t="s">
        <v>1581</v>
      </c>
      <c r="BF99" s="141" t="s">
        <v>778</v>
      </c>
      <c r="BG99" s="141" t="s">
        <v>1582</v>
      </c>
      <c r="BH99" s="141" t="s">
        <v>779</v>
      </c>
      <c r="BI99" s="141" t="s">
        <v>1583</v>
      </c>
      <c r="BJ99" s="141" t="s">
        <v>571</v>
      </c>
      <c r="BK99" s="141" t="s">
        <v>1584</v>
      </c>
      <c r="BL99" s="141" t="s">
        <v>783</v>
      </c>
      <c r="BM99" s="141" t="s">
        <v>1585</v>
      </c>
      <c r="BN99" s="141" t="s">
        <v>1586</v>
      </c>
      <c r="BO99" s="141" t="s">
        <v>1587</v>
      </c>
      <c r="BP99" s="141" t="s">
        <v>912</v>
      </c>
      <c r="BQ99" s="141" t="s">
        <v>1588</v>
      </c>
      <c r="BR99" s="141" t="s">
        <v>787</v>
      </c>
      <c r="BS99" s="141" t="s">
        <v>1589</v>
      </c>
      <c r="BT99" s="141" t="s">
        <v>382</v>
      </c>
      <c r="BU99" s="141" t="s">
        <v>721</v>
      </c>
      <c r="BV99" s="141"/>
      <c r="BW99" s="141"/>
      <c r="BX99" s="141"/>
      <c r="BY99" s="141"/>
      <c r="BZ99" s="141"/>
      <c r="CA99" s="141"/>
      <c r="CB99" s="141"/>
      <c r="CC99" s="141"/>
      <c r="CD99" s="141"/>
      <c r="CE99" s="141"/>
      <c r="CF99" s="141"/>
      <c r="CG99" s="141"/>
      <c r="CH99" s="141"/>
      <c r="CI99" s="141"/>
      <c r="CJ99" s="141"/>
      <c r="CK99" s="141"/>
      <c r="CL99" s="141"/>
      <c r="CM99" s="141"/>
      <c r="CN99" s="141"/>
      <c r="CO99" s="141"/>
      <c r="CP99" s="141"/>
      <c r="CQ99" s="141"/>
      <c r="CR99" s="141"/>
      <c r="CS99" s="141"/>
      <c r="CT99" s="141"/>
      <c r="CU99" s="141"/>
      <c r="CV99" s="141"/>
      <c r="CW99" s="141"/>
      <c r="CX99" s="141"/>
      <c r="CY99" s="141"/>
      <c r="CZ99" s="141"/>
      <c r="DA99" s="173"/>
    </row>
    <row r="100" spans="2:105" x14ac:dyDescent="0.25">
      <c r="B100" s="172"/>
      <c r="C100" s="141" t="s">
        <v>1590</v>
      </c>
      <c r="D100" s="141" t="s">
        <v>1279</v>
      </c>
      <c r="E100" s="141" t="s">
        <v>1591</v>
      </c>
      <c r="F100" s="141" t="s">
        <v>452</v>
      </c>
      <c r="G100" s="141"/>
      <c r="H100" s="141" t="s">
        <v>353</v>
      </c>
      <c r="I100" s="141"/>
      <c r="J100" s="141" t="s">
        <v>354</v>
      </c>
      <c r="K100" s="141" t="s">
        <v>1592</v>
      </c>
      <c r="L100" s="141" t="s">
        <v>1593</v>
      </c>
      <c r="M100" s="141" t="s">
        <v>1594</v>
      </c>
      <c r="N100" s="141" t="s">
        <v>354</v>
      </c>
      <c r="O100" s="141" t="s">
        <v>426</v>
      </c>
      <c r="P100" s="141" t="s">
        <v>454</v>
      </c>
      <c r="Q100" s="141" t="s">
        <v>455</v>
      </c>
      <c r="R100" s="141" t="s">
        <v>361</v>
      </c>
      <c r="S100" s="141" t="s">
        <v>391</v>
      </c>
      <c r="T100" s="141" t="s">
        <v>1574</v>
      </c>
      <c r="U100" s="141" t="s">
        <v>1574</v>
      </c>
      <c r="V100" s="141"/>
      <c r="W100" s="141"/>
      <c r="X100" s="141"/>
      <c r="Y100" s="141"/>
      <c r="Z100" s="141"/>
      <c r="AA100" s="141"/>
      <c r="AB100" s="141"/>
      <c r="AC100" s="141"/>
      <c r="AD100" s="141"/>
      <c r="AE100" s="141"/>
      <c r="AF100" s="141"/>
      <c r="AG100" s="141"/>
      <c r="AH100" s="141"/>
      <c r="AI100" s="141"/>
      <c r="AJ100" s="141"/>
      <c r="AK100" s="141" t="s">
        <v>354</v>
      </c>
      <c r="AL100" s="141" t="s">
        <v>364</v>
      </c>
      <c r="AM100" s="141" t="s">
        <v>354</v>
      </c>
      <c r="AN100" s="141" t="s">
        <v>900</v>
      </c>
      <c r="AO100" s="141" t="s">
        <v>1574</v>
      </c>
      <c r="AP100" s="141" t="s">
        <v>1575</v>
      </c>
      <c r="AQ100" s="141" t="s">
        <v>735</v>
      </c>
      <c r="AR100" s="141" t="s">
        <v>1294</v>
      </c>
      <c r="AS100" s="141" t="s">
        <v>393</v>
      </c>
      <c r="AT100" s="141"/>
      <c r="AU100" s="141" t="s">
        <v>1593</v>
      </c>
      <c r="AV100" s="141" t="s">
        <v>659</v>
      </c>
      <c r="AW100" s="141" t="s">
        <v>1595</v>
      </c>
      <c r="AX100" s="141" t="s">
        <v>1577</v>
      </c>
      <c r="AY100" s="141" t="s">
        <v>1596</v>
      </c>
      <c r="AZ100" s="141" t="s">
        <v>890</v>
      </c>
      <c r="BA100" s="141" t="s">
        <v>1597</v>
      </c>
      <c r="BB100" s="141" t="s">
        <v>892</v>
      </c>
      <c r="BC100" s="141" t="s">
        <v>1598</v>
      </c>
      <c r="BD100" s="141" t="s">
        <v>776</v>
      </c>
      <c r="BE100" s="141" t="s">
        <v>1599</v>
      </c>
      <c r="BF100" s="141" t="s">
        <v>778</v>
      </c>
      <c r="BG100" s="141" t="s">
        <v>1600</v>
      </c>
      <c r="BH100" s="141" t="s">
        <v>779</v>
      </c>
      <c r="BI100" s="141" t="s">
        <v>1601</v>
      </c>
      <c r="BJ100" s="141" t="s">
        <v>571</v>
      </c>
      <c r="BK100" s="141" t="s">
        <v>1602</v>
      </c>
      <c r="BL100" s="141" t="s">
        <v>783</v>
      </c>
      <c r="BM100" s="141" t="s">
        <v>1603</v>
      </c>
      <c r="BN100" s="141" t="s">
        <v>1586</v>
      </c>
      <c r="BO100" s="141" t="s">
        <v>1604</v>
      </c>
      <c r="BP100" s="141" t="s">
        <v>912</v>
      </c>
      <c r="BQ100" s="141" t="s">
        <v>1605</v>
      </c>
      <c r="BR100" s="141" t="s">
        <v>787</v>
      </c>
      <c r="BS100" s="141" t="s">
        <v>1606</v>
      </c>
      <c r="BT100" s="141" t="s">
        <v>382</v>
      </c>
      <c r="BU100" s="141" t="s">
        <v>994</v>
      </c>
      <c r="BV100" s="141"/>
      <c r="BW100" s="141"/>
      <c r="BX100" s="141"/>
      <c r="BY100" s="141"/>
      <c r="BZ100" s="141"/>
      <c r="CA100" s="141"/>
      <c r="CB100" s="141"/>
      <c r="CC100" s="141"/>
      <c r="CD100" s="141"/>
      <c r="CE100" s="141"/>
      <c r="CF100" s="141"/>
      <c r="CG100" s="141"/>
      <c r="CH100" s="141"/>
      <c r="CI100" s="141"/>
      <c r="CJ100" s="141"/>
      <c r="CK100" s="141"/>
      <c r="CL100" s="141"/>
      <c r="CM100" s="141"/>
      <c r="CN100" s="141"/>
      <c r="CO100" s="141"/>
      <c r="CP100" s="141"/>
      <c r="CQ100" s="141"/>
      <c r="CR100" s="141"/>
      <c r="CS100" s="141"/>
      <c r="CT100" s="141"/>
      <c r="CU100" s="141"/>
      <c r="CV100" s="141"/>
      <c r="CW100" s="141"/>
      <c r="CX100" s="141"/>
      <c r="CY100" s="141"/>
      <c r="CZ100" s="141"/>
      <c r="DA100" s="173"/>
    </row>
    <row r="101" spans="2:105" x14ac:dyDescent="0.25">
      <c r="B101" s="172"/>
      <c r="C101" s="141" t="s">
        <v>1607</v>
      </c>
      <c r="D101" s="141" t="s">
        <v>1608</v>
      </c>
      <c r="E101" s="141" t="s">
        <v>1609</v>
      </c>
      <c r="F101" s="141" t="s">
        <v>1208</v>
      </c>
      <c r="G101" s="141"/>
      <c r="H101" s="141" t="s">
        <v>353</v>
      </c>
      <c r="I101" s="141"/>
      <c r="J101" s="141" t="s">
        <v>354</v>
      </c>
      <c r="K101" s="141" t="s">
        <v>1610</v>
      </c>
      <c r="L101" s="141" t="s">
        <v>1611</v>
      </c>
      <c r="M101" s="141" t="s">
        <v>1612</v>
      </c>
      <c r="N101" s="141" t="s">
        <v>354</v>
      </c>
      <c r="O101" s="141" t="s">
        <v>358</v>
      </c>
      <c r="P101" s="141" t="s">
        <v>359</v>
      </c>
      <c r="Q101" s="141" t="s">
        <v>360</v>
      </c>
      <c r="R101" s="141" t="s">
        <v>361</v>
      </c>
      <c r="S101" s="141" t="s">
        <v>391</v>
      </c>
      <c r="T101" s="141" t="s">
        <v>1574</v>
      </c>
      <c r="U101" s="141" t="s">
        <v>1574</v>
      </c>
      <c r="V101" s="141"/>
      <c r="W101" s="141"/>
      <c r="X101" s="141"/>
      <c r="Y101" s="141"/>
      <c r="Z101" s="141"/>
      <c r="AA101" s="141"/>
      <c r="AB101" s="141"/>
      <c r="AC101" s="141"/>
      <c r="AD101" s="141"/>
      <c r="AE101" s="141"/>
      <c r="AF101" s="141"/>
      <c r="AG101" s="141"/>
      <c r="AH101" s="141"/>
      <c r="AI101" s="141"/>
      <c r="AJ101" s="141"/>
      <c r="AK101" s="141" t="s">
        <v>354</v>
      </c>
      <c r="AL101" s="141" t="s">
        <v>364</v>
      </c>
      <c r="AM101" s="141" t="s">
        <v>354</v>
      </c>
      <c r="AN101" s="141" t="s">
        <v>900</v>
      </c>
      <c r="AO101" s="141" t="s">
        <v>1574</v>
      </c>
      <c r="AP101" s="141" t="s">
        <v>1575</v>
      </c>
      <c r="AQ101" s="141" t="s">
        <v>735</v>
      </c>
      <c r="AR101" s="141" t="s">
        <v>1294</v>
      </c>
      <c r="AS101" s="141" t="s">
        <v>358</v>
      </c>
      <c r="AT101" s="141"/>
      <c r="AU101" s="141" t="s">
        <v>1611</v>
      </c>
      <c r="AV101" s="141" t="s">
        <v>659</v>
      </c>
      <c r="AW101" s="141" t="s">
        <v>1613</v>
      </c>
      <c r="AX101" s="141" t="s">
        <v>1577</v>
      </c>
      <c r="AY101" s="141" t="s">
        <v>1614</v>
      </c>
      <c r="AZ101" s="141" t="s">
        <v>890</v>
      </c>
      <c r="BA101" s="141" t="s">
        <v>1615</v>
      </c>
      <c r="BB101" s="141" t="s">
        <v>892</v>
      </c>
      <c r="BC101" s="141" t="s">
        <v>1616</v>
      </c>
      <c r="BD101" s="141" t="s">
        <v>776</v>
      </c>
      <c r="BE101" s="141" t="s">
        <v>1617</v>
      </c>
      <c r="BF101" s="141" t="s">
        <v>778</v>
      </c>
      <c r="BG101" s="141" t="s">
        <v>718</v>
      </c>
      <c r="BH101" s="141" t="s">
        <v>779</v>
      </c>
      <c r="BI101" s="141" t="s">
        <v>1618</v>
      </c>
      <c r="BJ101" s="141" t="s">
        <v>571</v>
      </c>
      <c r="BK101" s="141" t="s">
        <v>1619</v>
      </c>
      <c r="BL101" s="141" t="s">
        <v>783</v>
      </c>
      <c r="BM101" s="141" t="s">
        <v>1620</v>
      </c>
      <c r="BN101" s="141" t="s">
        <v>1586</v>
      </c>
      <c r="BO101" s="141" t="s">
        <v>612</v>
      </c>
      <c r="BP101" s="141" t="s">
        <v>912</v>
      </c>
      <c r="BQ101" s="141" t="s">
        <v>1621</v>
      </c>
      <c r="BR101" s="141" t="s">
        <v>787</v>
      </c>
      <c r="BS101" s="141" t="s">
        <v>1622</v>
      </c>
      <c r="BT101" s="141" t="s">
        <v>382</v>
      </c>
      <c r="BU101" s="141" t="s">
        <v>1623</v>
      </c>
      <c r="BV101" s="141"/>
      <c r="BW101" s="141"/>
      <c r="BX101" s="141"/>
      <c r="BY101" s="141"/>
      <c r="BZ101" s="141"/>
      <c r="CA101" s="141"/>
      <c r="CB101" s="141"/>
      <c r="CC101" s="141"/>
      <c r="CD101" s="141"/>
      <c r="CE101" s="141"/>
      <c r="CF101" s="141"/>
      <c r="CG101" s="141"/>
      <c r="CH101" s="141"/>
      <c r="CI101" s="141"/>
      <c r="CJ101" s="141"/>
      <c r="CK101" s="141"/>
      <c r="CL101" s="141"/>
      <c r="CM101" s="141"/>
      <c r="CN101" s="141"/>
      <c r="CO101" s="141"/>
      <c r="CP101" s="141"/>
      <c r="CQ101" s="141"/>
      <c r="CR101" s="141"/>
      <c r="CS101" s="141"/>
      <c r="CT101" s="141"/>
      <c r="CU101" s="141"/>
      <c r="CV101" s="141"/>
      <c r="CW101" s="141"/>
      <c r="CX101" s="141"/>
      <c r="CY101" s="141"/>
      <c r="CZ101" s="141"/>
      <c r="DA101" s="173"/>
    </row>
    <row r="102" spans="2:105" x14ac:dyDescent="0.25">
      <c r="B102" s="172"/>
      <c r="C102" s="141" t="s">
        <v>1624</v>
      </c>
      <c r="D102" s="141" t="s">
        <v>1625</v>
      </c>
      <c r="E102" s="141" t="s">
        <v>1626</v>
      </c>
      <c r="F102" s="141" t="s">
        <v>1073</v>
      </c>
      <c r="G102" s="141"/>
      <c r="H102" s="141" t="s">
        <v>353</v>
      </c>
      <c r="I102" s="141"/>
      <c r="J102" s="141" t="s">
        <v>354</v>
      </c>
      <c r="K102" s="141" t="s">
        <v>1627</v>
      </c>
      <c r="L102" s="141" t="s">
        <v>1628</v>
      </c>
      <c r="M102" s="141" t="s">
        <v>1629</v>
      </c>
      <c r="N102" s="141" t="s">
        <v>354</v>
      </c>
      <c r="O102" s="141" t="s">
        <v>485</v>
      </c>
      <c r="P102" s="141" t="s">
        <v>1630</v>
      </c>
      <c r="Q102" s="141" t="s">
        <v>1631</v>
      </c>
      <c r="R102" s="141" t="s">
        <v>361</v>
      </c>
      <c r="S102" s="141" t="s">
        <v>391</v>
      </c>
      <c r="T102" s="141" t="s">
        <v>1574</v>
      </c>
      <c r="U102" s="141" t="s">
        <v>1574</v>
      </c>
      <c r="V102" s="141"/>
      <c r="W102" s="141"/>
      <c r="X102" s="141"/>
      <c r="Y102" s="141"/>
      <c r="Z102" s="141"/>
      <c r="AA102" s="141"/>
      <c r="AB102" s="141"/>
      <c r="AC102" s="141"/>
      <c r="AD102" s="141"/>
      <c r="AE102" s="141"/>
      <c r="AF102" s="141"/>
      <c r="AG102" s="141"/>
      <c r="AH102" s="141"/>
      <c r="AI102" s="141"/>
      <c r="AJ102" s="141"/>
      <c r="AK102" s="141" t="s">
        <v>354</v>
      </c>
      <c r="AL102" s="141" t="s">
        <v>364</v>
      </c>
      <c r="AM102" s="141" t="s">
        <v>354</v>
      </c>
      <c r="AN102" s="141" t="s">
        <v>900</v>
      </c>
      <c r="AO102" s="141" t="s">
        <v>1574</v>
      </c>
      <c r="AP102" s="141" t="s">
        <v>1575</v>
      </c>
      <c r="AQ102" s="141" t="s">
        <v>735</v>
      </c>
      <c r="AR102" s="141" t="s">
        <v>1294</v>
      </c>
      <c r="AS102" s="141" t="s">
        <v>426</v>
      </c>
      <c r="AT102" s="141"/>
      <c r="AU102" s="141" t="s">
        <v>1628</v>
      </c>
      <c r="AV102" s="141" t="s">
        <v>659</v>
      </c>
      <c r="AW102" s="141" t="s">
        <v>1632</v>
      </c>
      <c r="AX102" s="141" t="s">
        <v>1577</v>
      </c>
      <c r="AY102" s="141" t="s">
        <v>1633</v>
      </c>
      <c r="AZ102" s="141" t="s">
        <v>890</v>
      </c>
      <c r="BA102" s="141" t="s">
        <v>1634</v>
      </c>
      <c r="BB102" s="141" t="s">
        <v>892</v>
      </c>
      <c r="BC102" s="141" t="s">
        <v>1635</v>
      </c>
      <c r="BD102" s="141" t="s">
        <v>776</v>
      </c>
      <c r="BE102" s="141" t="s">
        <v>1636</v>
      </c>
      <c r="BF102" s="141" t="s">
        <v>778</v>
      </c>
      <c r="BG102" s="141" t="s">
        <v>534</v>
      </c>
      <c r="BH102" s="141" t="s">
        <v>779</v>
      </c>
      <c r="BI102" s="141" t="s">
        <v>1618</v>
      </c>
      <c r="BJ102" s="141" t="s">
        <v>571</v>
      </c>
      <c r="BK102" s="141" t="s">
        <v>1637</v>
      </c>
      <c r="BL102" s="141" t="s">
        <v>783</v>
      </c>
      <c r="BM102" s="141" t="s">
        <v>1638</v>
      </c>
      <c r="BN102" s="141" t="s">
        <v>1586</v>
      </c>
      <c r="BO102" s="141" t="s">
        <v>1639</v>
      </c>
      <c r="BP102" s="141" t="s">
        <v>912</v>
      </c>
      <c r="BQ102" s="141" t="s">
        <v>1640</v>
      </c>
      <c r="BR102" s="141" t="s">
        <v>787</v>
      </c>
      <c r="BS102" s="141" t="s">
        <v>1623</v>
      </c>
      <c r="BT102" s="141" t="s">
        <v>382</v>
      </c>
      <c r="BU102" s="141" t="s">
        <v>1641</v>
      </c>
      <c r="BV102" s="141"/>
      <c r="BW102" s="141"/>
      <c r="BX102" s="141"/>
      <c r="BY102" s="141"/>
      <c r="BZ102" s="141"/>
      <c r="CA102" s="141"/>
      <c r="CB102" s="141"/>
      <c r="CC102" s="141"/>
      <c r="CD102" s="141"/>
      <c r="CE102" s="141"/>
      <c r="CF102" s="141"/>
      <c r="CG102" s="141"/>
      <c r="CH102" s="141"/>
      <c r="CI102" s="141"/>
      <c r="CJ102" s="141"/>
      <c r="CK102" s="141"/>
      <c r="CL102" s="141"/>
      <c r="CM102" s="141"/>
      <c r="CN102" s="141"/>
      <c r="CO102" s="141"/>
      <c r="CP102" s="141"/>
      <c r="CQ102" s="141"/>
      <c r="CR102" s="141"/>
      <c r="CS102" s="141"/>
      <c r="CT102" s="141"/>
      <c r="CU102" s="141"/>
      <c r="CV102" s="141"/>
      <c r="CW102" s="141"/>
      <c r="CX102" s="141"/>
      <c r="CY102" s="141"/>
      <c r="CZ102" s="141"/>
      <c r="DA102" s="173"/>
    </row>
    <row r="103" spans="2:105" x14ac:dyDescent="0.25">
      <c r="B103" s="172"/>
      <c r="C103" s="141" t="s">
        <v>1642</v>
      </c>
      <c r="D103" s="141" t="s">
        <v>1643</v>
      </c>
      <c r="E103" s="141" t="s">
        <v>1644</v>
      </c>
      <c r="F103" s="141" t="s">
        <v>1453</v>
      </c>
      <c r="G103" s="141"/>
      <c r="H103" s="141" t="s">
        <v>353</v>
      </c>
      <c r="I103" s="141"/>
      <c r="J103" s="141" t="s">
        <v>354</v>
      </c>
      <c r="K103" s="141" t="s">
        <v>1645</v>
      </c>
      <c r="L103" s="141" t="s">
        <v>1646</v>
      </c>
      <c r="M103" s="141" t="s">
        <v>1647</v>
      </c>
      <c r="N103" s="141" t="s">
        <v>354</v>
      </c>
      <c r="O103" s="141" t="s">
        <v>358</v>
      </c>
      <c r="P103" s="141" t="s">
        <v>359</v>
      </c>
      <c r="Q103" s="141" t="s">
        <v>360</v>
      </c>
      <c r="R103" s="141" t="s">
        <v>361</v>
      </c>
      <c r="S103" s="141" t="s">
        <v>391</v>
      </c>
      <c r="T103" s="141" t="s">
        <v>1574</v>
      </c>
      <c r="U103" s="141" t="s">
        <v>1574</v>
      </c>
      <c r="V103" s="141"/>
      <c r="W103" s="141"/>
      <c r="X103" s="141"/>
      <c r="Y103" s="141"/>
      <c r="Z103" s="141"/>
      <c r="AA103" s="141"/>
      <c r="AB103" s="141"/>
      <c r="AC103" s="141"/>
      <c r="AD103" s="141"/>
      <c r="AE103" s="141"/>
      <c r="AF103" s="141"/>
      <c r="AG103" s="141"/>
      <c r="AH103" s="141"/>
      <c r="AI103" s="141"/>
      <c r="AJ103" s="141"/>
      <c r="AK103" s="141" t="s">
        <v>354</v>
      </c>
      <c r="AL103" s="141" t="s">
        <v>364</v>
      </c>
      <c r="AM103" s="141" t="s">
        <v>354</v>
      </c>
      <c r="AN103" s="141" t="s">
        <v>900</v>
      </c>
      <c r="AO103" s="141" t="s">
        <v>1574</v>
      </c>
      <c r="AP103" s="141" t="s">
        <v>1575</v>
      </c>
      <c r="AQ103" s="141" t="s">
        <v>735</v>
      </c>
      <c r="AR103" s="141" t="s">
        <v>1294</v>
      </c>
      <c r="AS103" s="141" t="s">
        <v>441</v>
      </c>
      <c r="AT103" s="141"/>
      <c r="AU103" s="141" t="s">
        <v>1646</v>
      </c>
      <c r="AV103" s="141" t="s">
        <v>659</v>
      </c>
      <c r="AW103" s="141" t="s">
        <v>1648</v>
      </c>
      <c r="AX103" s="141" t="s">
        <v>1577</v>
      </c>
      <c r="AY103" s="141" t="s">
        <v>1649</v>
      </c>
      <c r="AZ103" s="141" t="s">
        <v>890</v>
      </c>
      <c r="BA103" s="141" t="s">
        <v>1650</v>
      </c>
      <c r="BB103" s="141" t="s">
        <v>892</v>
      </c>
      <c r="BC103" s="141" t="s">
        <v>1266</v>
      </c>
      <c r="BD103" s="141" t="s">
        <v>776</v>
      </c>
      <c r="BE103" s="141" t="s">
        <v>1651</v>
      </c>
      <c r="BF103" s="141" t="s">
        <v>778</v>
      </c>
      <c r="BG103" s="141" t="s">
        <v>812</v>
      </c>
      <c r="BH103" s="141" t="s">
        <v>779</v>
      </c>
      <c r="BI103" s="141" t="s">
        <v>1652</v>
      </c>
      <c r="BJ103" s="141" t="s">
        <v>571</v>
      </c>
      <c r="BK103" s="141" t="s">
        <v>1653</v>
      </c>
      <c r="BL103" s="141" t="s">
        <v>783</v>
      </c>
      <c r="BM103" s="141" t="s">
        <v>1654</v>
      </c>
      <c r="BN103" s="141" t="s">
        <v>1586</v>
      </c>
      <c r="BO103" s="141" t="s">
        <v>1655</v>
      </c>
      <c r="BP103" s="141" t="s">
        <v>912</v>
      </c>
      <c r="BQ103" s="141" t="s">
        <v>1656</v>
      </c>
      <c r="BR103" s="141" t="s">
        <v>787</v>
      </c>
      <c r="BS103" s="141" t="s">
        <v>1657</v>
      </c>
      <c r="BT103" s="141" t="s">
        <v>382</v>
      </c>
      <c r="BU103" s="141" t="s">
        <v>1658</v>
      </c>
      <c r="BV103" s="141"/>
      <c r="BW103" s="141"/>
      <c r="BX103" s="141"/>
      <c r="BY103" s="141"/>
      <c r="BZ103" s="141"/>
      <c r="CA103" s="141"/>
      <c r="CB103" s="141"/>
      <c r="CC103" s="141"/>
      <c r="CD103" s="141"/>
      <c r="CE103" s="141"/>
      <c r="CF103" s="141"/>
      <c r="CG103" s="141"/>
      <c r="CH103" s="141"/>
      <c r="CI103" s="141"/>
      <c r="CJ103" s="141"/>
      <c r="CK103" s="141"/>
      <c r="CL103" s="141"/>
      <c r="CM103" s="141"/>
      <c r="CN103" s="141"/>
      <c r="CO103" s="141"/>
      <c r="CP103" s="141"/>
      <c r="CQ103" s="141"/>
      <c r="CR103" s="141"/>
      <c r="CS103" s="141"/>
      <c r="CT103" s="141"/>
      <c r="CU103" s="141"/>
      <c r="CV103" s="141"/>
      <c r="CW103" s="141"/>
      <c r="CX103" s="141"/>
      <c r="CY103" s="141"/>
      <c r="CZ103" s="141"/>
      <c r="DA103" s="173"/>
    </row>
    <row r="104" spans="2:105" x14ac:dyDescent="0.25">
      <c r="B104" s="172"/>
      <c r="C104" s="141" t="s">
        <v>1659</v>
      </c>
      <c r="D104" s="141" t="s">
        <v>1660</v>
      </c>
      <c r="E104" s="141" t="s">
        <v>1661</v>
      </c>
      <c r="F104" s="141" t="s">
        <v>1662</v>
      </c>
      <c r="G104" s="141"/>
      <c r="H104" s="141" t="s">
        <v>353</v>
      </c>
      <c r="I104" s="141"/>
      <c r="J104" s="141" t="s">
        <v>354</v>
      </c>
      <c r="K104" s="141" t="s">
        <v>1663</v>
      </c>
      <c r="L104" s="141" t="s">
        <v>1664</v>
      </c>
      <c r="M104" s="141" t="s">
        <v>1665</v>
      </c>
      <c r="N104" s="141" t="s">
        <v>354</v>
      </c>
      <c r="O104" s="141" t="s">
        <v>408</v>
      </c>
      <c r="P104" s="141" t="s">
        <v>409</v>
      </c>
      <c r="Q104" s="141" t="s">
        <v>409</v>
      </c>
      <c r="R104" s="141" t="s">
        <v>361</v>
      </c>
      <c r="S104" s="141" t="s">
        <v>391</v>
      </c>
      <c r="T104" s="141" t="s">
        <v>1574</v>
      </c>
      <c r="U104" s="141" t="s">
        <v>1574</v>
      </c>
      <c r="V104" s="141"/>
      <c r="W104" s="141"/>
      <c r="X104" s="141"/>
      <c r="Y104" s="141"/>
      <c r="Z104" s="141"/>
      <c r="AA104" s="141"/>
      <c r="AB104" s="141"/>
      <c r="AC104" s="141"/>
      <c r="AD104" s="141"/>
      <c r="AE104" s="141"/>
      <c r="AF104" s="141"/>
      <c r="AG104" s="141"/>
      <c r="AH104" s="141"/>
      <c r="AI104" s="141"/>
      <c r="AJ104" s="141"/>
      <c r="AK104" s="141" t="s">
        <v>354</v>
      </c>
      <c r="AL104" s="141" t="s">
        <v>364</v>
      </c>
      <c r="AM104" s="141" t="s">
        <v>354</v>
      </c>
      <c r="AN104" s="141" t="s">
        <v>900</v>
      </c>
      <c r="AO104" s="141" t="s">
        <v>1574</v>
      </c>
      <c r="AP104" s="141" t="s">
        <v>1575</v>
      </c>
      <c r="AQ104" s="141" t="s">
        <v>735</v>
      </c>
      <c r="AR104" s="141" t="s">
        <v>1294</v>
      </c>
      <c r="AS104" s="141" t="s">
        <v>391</v>
      </c>
      <c r="AT104" s="141"/>
      <c r="AU104" s="141" t="s">
        <v>1664</v>
      </c>
      <c r="AV104" s="141" t="s">
        <v>659</v>
      </c>
      <c r="AW104" s="141" t="s">
        <v>1666</v>
      </c>
      <c r="AX104" s="141" t="s">
        <v>1577</v>
      </c>
      <c r="AY104" s="141" t="s">
        <v>1667</v>
      </c>
      <c r="AZ104" s="141" t="s">
        <v>890</v>
      </c>
      <c r="BA104" s="141" t="s">
        <v>1668</v>
      </c>
      <c r="BB104" s="141" t="s">
        <v>892</v>
      </c>
      <c r="BC104" s="141" t="s">
        <v>1669</v>
      </c>
      <c r="BD104" s="141" t="s">
        <v>776</v>
      </c>
      <c r="BE104" s="141" t="s">
        <v>745</v>
      </c>
      <c r="BF104" s="141" t="s">
        <v>778</v>
      </c>
      <c r="BG104" s="141" t="s">
        <v>1670</v>
      </c>
      <c r="BH104" s="141" t="s">
        <v>779</v>
      </c>
      <c r="BI104" s="141" t="s">
        <v>1585</v>
      </c>
      <c r="BJ104" s="141" t="s">
        <v>571</v>
      </c>
      <c r="BK104" s="141" t="s">
        <v>1671</v>
      </c>
      <c r="BL104" s="141" t="s">
        <v>783</v>
      </c>
      <c r="BM104" s="141" t="s">
        <v>1672</v>
      </c>
      <c r="BN104" s="141" t="s">
        <v>1586</v>
      </c>
      <c r="BO104" s="141" t="s">
        <v>1673</v>
      </c>
      <c r="BP104" s="141" t="s">
        <v>912</v>
      </c>
      <c r="BQ104" s="141" t="s">
        <v>1674</v>
      </c>
      <c r="BR104" s="141" t="s">
        <v>787</v>
      </c>
      <c r="BS104" s="141" t="s">
        <v>1675</v>
      </c>
      <c r="BT104" s="141" t="s">
        <v>382</v>
      </c>
      <c r="BU104" s="141" t="s">
        <v>1676</v>
      </c>
      <c r="BV104" s="141"/>
      <c r="BW104" s="141"/>
      <c r="BX104" s="141"/>
      <c r="BY104" s="141"/>
      <c r="BZ104" s="141"/>
      <c r="CA104" s="141"/>
      <c r="CB104" s="141"/>
      <c r="CC104" s="141"/>
      <c r="CD104" s="141"/>
      <c r="CE104" s="141"/>
      <c r="CF104" s="141"/>
      <c r="CG104" s="141"/>
      <c r="CH104" s="141"/>
      <c r="CI104" s="141"/>
      <c r="CJ104" s="141"/>
      <c r="CK104" s="141"/>
      <c r="CL104" s="141"/>
      <c r="CM104" s="141"/>
      <c r="CN104" s="141"/>
      <c r="CO104" s="141"/>
      <c r="CP104" s="141"/>
      <c r="CQ104" s="141"/>
      <c r="CR104" s="141"/>
      <c r="CS104" s="141"/>
      <c r="CT104" s="141"/>
      <c r="CU104" s="141"/>
      <c r="CV104" s="141"/>
      <c r="CW104" s="141"/>
      <c r="CX104" s="141"/>
      <c r="CY104" s="141"/>
      <c r="CZ104" s="141"/>
      <c r="DA104" s="173"/>
    </row>
    <row r="105" spans="2:105" x14ac:dyDescent="0.25">
      <c r="B105" s="172"/>
      <c r="C105" s="141" t="s">
        <v>1677</v>
      </c>
      <c r="D105" s="141" t="s">
        <v>1678</v>
      </c>
      <c r="E105" s="141" t="s">
        <v>1679</v>
      </c>
      <c r="F105" s="141" t="s">
        <v>437</v>
      </c>
      <c r="G105" s="141"/>
      <c r="H105" s="141" t="s">
        <v>353</v>
      </c>
      <c r="I105" s="141"/>
      <c r="J105" s="141" t="s">
        <v>354</v>
      </c>
      <c r="K105" s="141" t="s">
        <v>1680</v>
      </c>
      <c r="L105" s="141" t="s">
        <v>1681</v>
      </c>
      <c r="M105" s="141" t="s">
        <v>1063</v>
      </c>
      <c r="N105" s="141" t="s">
        <v>354</v>
      </c>
      <c r="O105" s="141" t="s">
        <v>369</v>
      </c>
      <c r="P105" s="141" t="s">
        <v>528</v>
      </c>
      <c r="Q105" s="141" t="s">
        <v>529</v>
      </c>
      <c r="R105" s="141" t="s">
        <v>361</v>
      </c>
      <c r="S105" s="141" t="s">
        <v>391</v>
      </c>
      <c r="T105" s="141" t="s">
        <v>1574</v>
      </c>
      <c r="U105" s="141" t="s">
        <v>1574</v>
      </c>
      <c r="V105" s="141"/>
      <c r="W105" s="141"/>
      <c r="X105" s="141"/>
      <c r="Y105" s="141"/>
      <c r="Z105" s="141"/>
      <c r="AA105" s="141"/>
      <c r="AB105" s="141"/>
      <c r="AC105" s="141"/>
      <c r="AD105" s="141"/>
      <c r="AE105" s="141"/>
      <c r="AF105" s="141"/>
      <c r="AG105" s="141"/>
      <c r="AH105" s="141"/>
      <c r="AI105" s="141"/>
      <c r="AJ105" s="141"/>
      <c r="AK105" s="141" t="s">
        <v>354</v>
      </c>
      <c r="AL105" s="141" t="s">
        <v>364</v>
      </c>
      <c r="AM105" s="141" t="s">
        <v>354</v>
      </c>
      <c r="AN105" s="141" t="s">
        <v>900</v>
      </c>
      <c r="AO105" s="141" t="s">
        <v>1574</v>
      </c>
      <c r="AP105" s="141" t="s">
        <v>1575</v>
      </c>
      <c r="AQ105" s="141" t="s">
        <v>735</v>
      </c>
      <c r="AR105" s="141" t="s">
        <v>1294</v>
      </c>
      <c r="AS105" s="141" t="s">
        <v>368</v>
      </c>
      <c r="AT105" s="141"/>
      <c r="AU105" s="141" t="s">
        <v>1681</v>
      </c>
      <c r="AV105" s="141" t="s">
        <v>659</v>
      </c>
      <c r="AW105" s="141" t="s">
        <v>1682</v>
      </c>
      <c r="AX105" s="141" t="s">
        <v>1577</v>
      </c>
      <c r="AY105" s="141" t="s">
        <v>1683</v>
      </c>
      <c r="AZ105" s="141" t="s">
        <v>890</v>
      </c>
      <c r="BA105" s="141" t="s">
        <v>1684</v>
      </c>
      <c r="BB105" s="141" t="s">
        <v>892</v>
      </c>
      <c r="BC105" s="141" t="s">
        <v>1685</v>
      </c>
      <c r="BD105" s="141" t="s">
        <v>776</v>
      </c>
      <c r="BE105" s="141" t="s">
        <v>1686</v>
      </c>
      <c r="BF105" s="141" t="s">
        <v>778</v>
      </c>
      <c r="BG105" s="141" t="s">
        <v>1687</v>
      </c>
      <c r="BH105" s="141" t="s">
        <v>779</v>
      </c>
      <c r="BI105" s="141" t="s">
        <v>1688</v>
      </c>
      <c r="BJ105" s="141" t="s">
        <v>571</v>
      </c>
      <c r="BK105" s="141" t="s">
        <v>1689</v>
      </c>
      <c r="BL105" s="141" t="s">
        <v>783</v>
      </c>
      <c r="BM105" s="141" t="s">
        <v>1690</v>
      </c>
      <c r="BN105" s="141" t="s">
        <v>1586</v>
      </c>
      <c r="BO105" s="141" t="s">
        <v>1691</v>
      </c>
      <c r="BP105" s="141" t="s">
        <v>912</v>
      </c>
      <c r="BQ105" s="141" t="s">
        <v>1692</v>
      </c>
      <c r="BR105" s="141" t="s">
        <v>787</v>
      </c>
      <c r="BS105" s="141" t="s">
        <v>1693</v>
      </c>
      <c r="BT105" s="141" t="s">
        <v>382</v>
      </c>
      <c r="BU105" s="141" t="s">
        <v>1694</v>
      </c>
      <c r="BV105" s="141"/>
      <c r="BW105" s="141"/>
      <c r="BX105" s="141"/>
      <c r="BY105" s="141"/>
      <c r="BZ105" s="141"/>
      <c r="CA105" s="141"/>
      <c r="CB105" s="141"/>
      <c r="CC105" s="141"/>
      <c r="CD105" s="141"/>
      <c r="CE105" s="141"/>
      <c r="CF105" s="141"/>
      <c r="CG105" s="141"/>
      <c r="CH105" s="141"/>
      <c r="CI105" s="141"/>
      <c r="CJ105" s="141"/>
      <c r="CK105" s="141"/>
      <c r="CL105" s="141"/>
      <c r="CM105" s="141"/>
      <c r="CN105" s="141"/>
      <c r="CO105" s="141"/>
      <c r="CP105" s="141"/>
      <c r="CQ105" s="141"/>
      <c r="CR105" s="141"/>
      <c r="CS105" s="141"/>
      <c r="CT105" s="141"/>
      <c r="CU105" s="141"/>
      <c r="CV105" s="141"/>
      <c r="CW105" s="141"/>
      <c r="CX105" s="141"/>
      <c r="CY105" s="141"/>
      <c r="CZ105" s="141"/>
      <c r="DA105" s="173"/>
    </row>
    <row r="106" spans="2:105" x14ac:dyDescent="0.25">
      <c r="B106" s="172"/>
      <c r="C106" s="141" t="s">
        <v>1695</v>
      </c>
      <c r="D106" s="141" t="s">
        <v>1696</v>
      </c>
      <c r="E106" s="141" t="s">
        <v>1697</v>
      </c>
      <c r="F106" s="141" t="s">
        <v>437</v>
      </c>
      <c r="G106" s="141"/>
      <c r="H106" s="141" t="s">
        <v>353</v>
      </c>
      <c r="I106" s="141"/>
      <c r="J106" s="141" t="s">
        <v>354</v>
      </c>
      <c r="K106" s="141" t="s">
        <v>1698</v>
      </c>
      <c r="L106" s="141" t="s">
        <v>1699</v>
      </c>
      <c r="M106" s="141" t="s">
        <v>1700</v>
      </c>
      <c r="N106" s="141" t="s">
        <v>354</v>
      </c>
      <c r="O106" s="141" t="s">
        <v>369</v>
      </c>
      <c r="P106" s="141" t="s">
        <v>528</v>
      </c>
      <c r="Q106" s="141" t="s">
        <v>529</v>
      </c>
      <c r="R106" s="141" t="s">
        <v>361</v>
      </c>
      <c r="S106" s="141" t="s">
        <v>391</v>
      </c>
      <c r="T106" s="141" t="s">
        <v>1574</v>
      </c>
      <c r="U106" s="141" t="s">
        <v>1574</v>
      </c>
      <c r="V106" s="141"/>
      <c r="W106" s="141"/>
      <c r="X106" s="141"/>
      <c r="Y106" s="141"/>
      <c r="Z106" s="141"/>
      <c r="AA106" s="141"/>
      <c r="AB106" s="141"/>
      <c r="AC106" s="141"/>
      <c r="AD106" s="141"/>
      <c r="AE106" s="141"/>
      <c r="AF106" s="141"/>
      <c r="AG106" s="141"/>
      <c r="AH106" s="141"/>
      <c r="AI106" s="141"/>
      <c r="AJ106" s="141"/>
      <c r="AK106" s="141" t="s">
        <v>354</v>
      </c>
      <c r="AL106" s="141" t="s">
        <v>364</v>
      </c>
      <c r="AM106" s="141" t="s">
        <v>354</v>
      </c>
      <c r="AN106" s="141" t="s">
        <v>900</v>
      </c>
      <c r="AO106" s="141" t="s">
        <v>1574</v>
      </c>
      <c r="AP106" s="141" t="s">
        <v>1575</v>
      </c>
      <c r="AQ106" s="141" t="s">
        <v>735</v>
      </c>
      <c r="AR106" s="141" t="s">
        <v>1294</v>
      </c>
      <c r="AS106" s="141" t="s">
        <v>408</v>
      </c>
      <c r="AT106" s="141"/>
      <c r="AU106" s="141" t="s">
        <v>1699</v>
      </c>
      <c r="AV106" s="141" t="s">
        <v>659</v>
      </c>
      <c r="AW106" s="141" t="s">
        <v>1701</v>
      </c>
      <c r="AX106" s="141" t="s">
        <v>1577</v>
      </c>
      <c r="AY106" s="141" t="s">
        <v>1702</v>
      </c>
      <c r="AZ106" s="141" t="s">
        <v>890</v>
      </c>
      <c r="BA106" s="141" t="s">
        <v>1703</v>
      </c>
      <c r="BB106" s="141" t="s">
        <v>892</v>
      </c>
      <c r="BC106" s="141" t="s">
        <v>398</v>
      </c>
      <c r="BD106" s="141" t="s">
        <v>776</v>
      </c>
      <c r="BE106" s="141" t="s">
        <v>1704</v>
      </c>
      <c r="BF106" s="141" t="s">
        <v>778</v>
      </c>
      <c r="BG106" s="141" t="s">
        <v>782</v>
      </c>
      <c r="BH106" s="141" t="s">
        <v>779</v>
      </c>
      <c r="BI106" s="141" t="s">
        <v>1705</v>
      </c>
      <c r="BJ106" s="141" t="s">
        <v>571</v>
      </c>
      <c r="BK106" s="141" t="s">
        <v>1706</v>
      </c>
      <c r="BL106" s="141" t="s">
        <v>783</v>
      </c>
      <c r="BM106" s="141" t="s">
        <v>1707</v>
      </c>
      <c r="BN106" s="141" t="s">
        <v>1586</v>
      </c>
      <c r="BO106" s="141" t="s">
        <v>1708</v>
      </c>
      <c r="BP106" s="141" t="s">
        <v>912</v>
      </c>
      <c r="BQ106" s="141" t="s">
        <v>722</v>
      </c>
      <c r="BR106" s="141" t="s">
        <v>787</v>
      </c>
      <c r="BS106" s="141" t="s">
        <v>997</v>
      </c>
      <c r="BT106" s="141" t="s">
        <v>382</v>
      </c>
      <c r="BU106" s="141" t="s">
        <v>476</v>
      </c>
      <c r="BV106" s="141"/>
      <c r="BW106" s="141"/>
      <c r="BX106" s="141"/>
      <c r="BY106" s="141"/>
      <c r="BZ106" s="141"/>
      <c r="CA106" s="141"/>
      <c r="CB106" s="141"/>
      <c r="CC106" s="141"/>
      <c r="CD106" s="141"/>
      <c r="CE106" s="141"/>
      <c r="CF106" s="141"/>
      <c r="CG106" s="141"/>
      <c r="CH106" s="141"/>
      <c r="CI106" s="141"/>
      <c r="CJ106" s="141"/>
      <c r="CK106" s="141"/>
      <c r="CL106" s="141"/>
      <c r="CM106" s="141"/>
      <c r="CN106" s="141"/>
      <c r="CO106" s="141"/>
      <c r="CP106" s="141"/>
      <c r="CQ106" s="141"/>
      <c r="CR106" s="141"/>
      <c r="CS106" s="141"/>
      <c r="CT106" s="141"/>
      <c r="CU106" s="141"/>
      <c r="CV106" s="141"/>
      <c r="CW106" s="141"/>
      <c r="CX106" s="141"/>
      <c r="CY106" s="141"/>
      <c r="CZ106" s="141"/>
      <c r="DA106" s="173"/>
    </row>
    <row r="107" spans="2:105" x14ac:dyDescent="0.25">
      <c r="B107" s="172"/>
      <c r="C107" s="141" t="s">
        <v>1709</v>
      </c>
      <c r="D107" s="141" t="s">
        <v>1710</v>
      </c>
      <c r="E107" s="141" t="s">
        <v>1711</v>
      </c>
      <c r="F107" s="141" t="s">
        <v>1712</v>
      </c>
      <c r="G107" s="141"/>
      <c r="H107" s="141" t="s">
        <v>353</v>
      </c>
      <c r="I107" s="141"/>
      <c r="J107" s="141" t="s">
        <v>354</v>
      </c>
      <c r="K107" s="141" t="s">
        <v>1713</v>
      </c>
      <c r="L107" s="141" t="s">
        <v>1714</v>
      </c>
      <c r="M107" s="141" t="s">
        <v>1715</v>
      </c>
      <c r="N107" s="141" t="s">
        <v>354</v>
      </c>
      <c r="O107" s="141" t="s">
        <v>369</v>
      </c>
      <c r="P107" s="141" t="s">
        <v>528</v>
      </c>
      <c r="Q107" s="141" t="s">
        <v>529</v>
      </c>
      <c r="R107" s="141" t="s">
        <v>361</v>
      </c>
      <c r="S107" s="141" t="s">
        <v>391</v>
      </c>
      <c r="T107" s="141" t="s">
        <v>1574</v>
      </c>
      <c r="U107" s="141" t="s">
        <v>1574</v>
      </c>
      <c r="V107" s="141"/>
      <c r="W107" s="141"/>
      <c r="X107" s="141"/>
      <c r="Y107" s="141"/>
      <c r="Z107" s="141"/>
      <c r="AA107" s="141"/>
      <c r="AB107" s="141"/>
      <c r="AC107" s="141"/>
      <c r="AD107" s="141"/>
      <c r="AE107" s="141"/>
      <c r="AF107" s="141"/>
      <c r="AG107" s="141"/>
      <c r="AH107" s="141"/>
      <c r="AI107" s="141"/>
      <c r="AJ107" s="141"/>
      <c r="AK107" s="141" t="s">
        <v>354</v>
      </c>
      <c r="AL107" s="141" t="s">
        <v>364</v>
      </c>
      <c r="AM107" s="141" t="s">
        <v>354</v>
      </c>
      <c r="AN107" s="141" t="s">
        <v>900</v>
      </c>
      <c r="AO107" s="141" t="s">
        <v>1574</v>
      </c>
      <c r="AP107" s="141" t="s">
        <v>1575</v>
      </c>
      <c r="AQ107" s="141" t="s">
        <v>735</v>
      </c>
      <c r="AR107" s="141" t="s">
        <v>1294</v>
      </c>
      <c r="AS107" s="141" t="s">
        <v>490</v>
      </c>
      <c r="AT107" s="141"/>
      <c r="AU107" s="141" t="s">
        <v>1714</v>
      </c>
      <c r="AV107" s="141" t="s">
        <v>659</v>
      </c>
      <c r="AW107" s="141" t="s">
        <v>1716</v>
      </c>
      <c r="AX107" s="141" t="s">
        <v>1577</v>
      </c>
      <c r="AY107" s="141" t="s">
        <v>1717</v>
      </c>
      <c r="AZ107" s="141" t="s">
        <v>890</v>
      </c>
      <c r="BA107" s="141" t="s">
        <v>1718</v>
      </c>
      <c r="BB107" s="141" t="s">
        <v>892</v>
      </c>
      <c r="BC107" s="141" t="s">
        <v>969</v>
      </c>
      <c r="BD107" s="141" t="s">
        <v>776</v>
      </c>
      <c r="BE107" s="141" t="s">
        <v>929</v>
      </c>
      <c r="BF107" s="141" t="s">
        <v>778</v>
      </c>
      <c r="BG107" s="141" t="s">
        <v>1719</v>
      </c>
      <c r="BH107" s="141" t="s">
        <v>779</v>
      </c>
      <c r="BI107" s="141" t="s">
        <v>1720</v>
      </c>
      <c r="BJ107" s="141" t="s">
        <v>571</v>
      </c>
      <c r="BK107" s="141" t="s">
        <v>1721</v>
      </c>
      <c r="BL107" s="141" t="s">
        <v>783</v>
      </c>
      <c r="BM107" s="141" t="s">
        <v>1722</v>
      </c>
      <c r="BN107" s="141" t="s">
        <v>1586</v>
      </c>
      <c r="BO107" s="141" t="s">
        <v>884</v>
      </c>
      <c r="BP107" s="141" t="s">
        <v>912</v>
      </c>
      <c r="BQ107" s="141" t="s">
        <v>1723</v>
      </c>
      <c r="BR107" s="141" t="s">
        <v>787</v>
      </c>
      <c r="BS107" s="141" t="s">
        <v>1724</v>
      </c>
      <c r="BT107" s="141" t="s">
        <v>382</v>
      </c>
      <c r="BU107" s="141" t="s">
        <v>1725</v>
      </c>
      <c r="BV107" s="141"/>
      <c r="BW107" s="141"/>
      <c r="BX107" s="141"/>
      <c r="BY107" s="141"/>
      <c r="BZ107" s="141"/>
      <c r="CA107" s="141"/>
      <c r="CB107" s="141"/>
      <c r="CC107" s="141"/>
      <c r="CD107" s="141"/>
      <c r="CE107" s="141"/>
      <c r="CF107" s="141"/>
      <c r="CG107" s="141"/>
      <c r="CH107" s="141"/>
      <c r="CI107" s="141"/>
      <c r="CJ107" s="141"/>
      <c r="CK107" s="141"/>
      <c r="CL107" s="141"/>
      <c r="CM107" s="141"/>
      <c r="CN107" s="141"/>
      <c r="CO107" s="141"/>
      <c r="CP107" s="141"/>
      <c r="CQ107" s="141"/>
      <c r="CR107" s="141"/>
      <c r="CS107" s="141"/>
      <c r="CT107" s="141"/>
      <c r="CU107" s="141"/>
      <c r="CV107" s="141"/>
      <c r="CW107" s="141"/>
      <c r="CX107" s="141"/>
      <c r="CY107" s="141"/>
      <c r="CZ107" s="141"/>
      <c r="DA107" s="173"/>
    </row>
    <row r="108" spans="2:105" x14ac:dyDescent="0.25">
      <c r="B108" s="172"/>
      <c r="C108" s="141" t="s">
        <v>1726</v>
      </c>
      <c r="D108" s="141" t="s">
        <v>1727</v>
      </c>
      <c r="E108" s="141" t="s">
        <v>462</v>
      </c>
      <c r="F108" s="141" t="s">
        <v>1728</v>
      </c>
      <c r="G108" s="141"/>
      <c r="H108" s="141" t="s">
        <v>353</v>
      </c>
      <c r="I108" s="141"/>
      <c r="J108" s="141" t="s">
        <v>354</v>
      </c>
      <c r="K108" s="141" t="s">
        <v>1729</v>
      </c>
      <c r="L108" s="141" t="s">
        <v>1730</v>
      </c>
      <c r="M108" s="141" t="s">
        <v>1731</v>
      </c>
      <c r="N108" s="141" t="s">
        <v>354</v>
      </c>
      <c r="O108" s="141" t="s">
        <v>393</v>
      </c>
      <c r="P108" s="141" t="s">
        <v>424</v>
      </c>
      <c r="Q108" s="141" t="s">
        <v>425</v>
      </c>
      <c r="R108" s="141" t="s">
        <v>361</v>
      </c>
      <c r="S108" s="141" t="s">
        <v>391</v>
      </c>
      <c r="T108" s="141" t="s">
        <v>1574</v>
      </c>
      <c r="U108" s="141" t="s">
        <v>1574</v>
      </c>
      <c r="V108" s="141"/>
      <c r="W108" s="141"/>
      <c r="X108" s="141"/>
      <c r="Y108" s="141"/>
      <c r="Z108" s="141"/>
      <c r="AA108" s="141"/>
      <c r="AB108" s="141"/>
      <c r="AC108" s="141"/>
      <c r="AD108" s="141"/>
      <c r="AE108" s="141"/>
      <c r="AF108" s="141"/>
      <c r="AG108" s="141"/>
      <c r="AH108" s="141"/>
      <c r="AI108" s="141"/>
      <c r="AJ108" s="141"/>
      <c r="AK108" s="141" t="s">
        <v>354</v>
      </c>
      <c r="AL108" s="141" t="s">
        <v>364</v>
      </c>
      <c r="AM108" s="141" t="s">
        <v>354</v>
      </c>
      <c r="AN108" s="141" t="s">
        <v>900</v>
      </c>
      <c r="AO108" s="141" t="s">
        <v>1574</v>
      </c>
      <c r="AP108" s="141" t="s">
        <v>1575</v>
      </c>
      <c r="AQ108" s="141" t="s">
        <v>735</v>
      </c>
      <c r="AR108" s="141" t="s">
        <v>1294</v>
      </c>
      <c r="AS108" s="141" t="s">
        <v>485</v>
      </c>
      <c r="AT108" s="141"/>
      <c r="AU108" s="141" t="s">
        <v>1730</v>
      </c>
      <c r="AV108" s="141" t="s">
        <v>659</v>
      </c>
      <c r="AW108" s="141" t="s">
        <v>1732</v>
      </c>
      <c r="AX108" s="141" t="s">
        <v>1577</v>
      </c>
      <c r="AY108" s="141" t="s">
        <v>689</v>
      </c>
      <c r="AZ108" s="141" t="s">
        <v>890</v>
      </c>
      <c r="BA108" s="141" t="s">
        <v>1733</v>
      </c>
      <c r="BB108" s="141" t="s">
        <v>892</v>
      </c>
      <c r="BC108" s="141" t="s">
        <v>1734</v>
      </c>
      <c r="BD108" s="141" t="s">
        <v>776</v>
      </c>
      <c r="BE108" s="141" t="s">
        <v>563</v>
      </c>
      <c r="BF108" s="141" t="s">
        <v>778</v>
      </c>
      <c r="BG108" s="141" t="s">
        <v>1584</v>
      </c>
      <c r="BH108" s="141" t="s">
        <v>779</v>
      </c>
      <c r="BI108" s="141" t="s">
        <v>1735</v>
      </c>
      <c r="BJ108" s="141" t="s">
        <v>571</v>
      </c>
      <c r="BK108" s="141" t="s">
        <v>1736</v>
      </c>
      <c r="BL108" s="141" t="s">
        <v>783</v>
      </c>
      <c r="BM108" s="141" t="s">
        <v>1737</v>
      </c>
      <c r="BN108" s="141" t="s">
        <v>1586</v>
      </c>
      <c r="BO108" s="141" t="s">
        <v>1738</v>
      </c>
      <c r="BP108" s="141" t="s">
        <v>912</v>
      </c>
      <c r="BQ108" s="141" t="s">
        <v>1739</v>
      </c>
      <c r="BR108" s="141" t="s">
        <v>787</v>
      </c>
      <c r="BS108" s="141" t="s">
        <v>1740</v>
      </c>
      <c r="BT108" s="141" t="s">
        <v>382</v>
      </c>
      <c r="BU108" s="141" t="s">
        <v>1741</v>
      </c>
      <c r="BV108" s="141"/>
      <c r="BW108" s="141"/>
      <c r="BX108" s="141"/>
      <c r="BY108" s="141"/>
      <c r="BZ108" s="141"/>
      <c r="CA108" s="141"/>
      <c r="CB108" s="141"/>
      <c r="CC108" s="141"/>
      <c r="CD108" s="141"/>
      <c r="CE108" s="141"/>
      <c r="CF108" s="141"/>
      <c r="CG108" s="141"/>
      <c r="CH108" s="141"/>
      <c r="CI108" s="141"/>
      <c r="CJ108" s="141"/>
      <c r="CK108" s="141"/>
      <c r="CL108" s="141"/>
      <c r="CM108" s="141"/>
      <c r="CN108" s="141"/>
      <c r="CO108" s="141"/>
      <c r="CP108" s="141"/>
      <c r="CQ108" s="141"/>
      <c r="CR108" s="141"/>
      <c r="CS108" s="141"/>
      <c r="CT108" s="141"/>
      <c r="CU108" s="141"/>
      <c r="CV108" s="141"/>
      <c r="CW108" s="141"/>
      <c r="CX108" s="141"/>
      <c r="CY108" s="141"/>
      <c r="CZ108" s="141"/>
      <c r="DA108" s="173"/>
    </row>
    <row r="109" spans="2:105" x14ac:dyDescent="0.25">
      <c r="B109" s="172"/>
      <c r="C109" s="141" t="s">
        <v>1742</v>
      </c>
      <c r="D109" s="141" t="s">
        <v>1743</v>
      </c>
      <c r="E109" s="141" t="s">
        <v>1744</v>
      </c>
      <c r="F109" s="141" t="s">
        <v>1028</v>
      </c>
      <c r="G109" s="141"/>
      <c r="H109" s="141" t="s">
        <v>353</v>
      </c>
      <c r="I109" s="141"/>
      <c r="J109" s="141" t="s">
        <v>354</v>
      </c>
      <c r="K109" s="141" t="s">
        <v>1745</v>
      </c>
      <c r="L109" s="141" t="s">
        <v>1746</v>
      </c>
      <c r="M109" s="141" t="s">
        <v>1747</v>
      </c>
      <c r="N109" s="141" t="s">
        <v>354</v>
      </c>
      <c r="O109" s="141" t="s">
        <v>393</v>
      </c>
      <c r="P109" s="141" t="s">
        <v>424</v>
      </c>
      <c r="Q109" s="141" t="s">
        <v>425</v>
      </c>
      <c r="R109" s="141" t="s">
        <v>361</v>
      </c>
      <c r="S109" s="141" t="s">
        <v>391</v>
      </c>
      <c r="T109" s="141" t="s">
        <v>1574</v>
      </c>
      <c r="U109" s="141" t="s">
        <v>1574</v>
      </c>
      <c r="V109" s="141"/>
      <c r="W109" s="141"/>
      <c r="X109" s="141"/>
      <c r="Y109" s="141"/>
      <c r="Z109" s="141"/>
      <c r="AA109" s="141"/>
      <c r="AB109" s="141"/>
      <c r="AC109" s="141"/>
      <c r="AD109" s="141"/>
      <c r="AE109" s="141"/>
      <c r="AF109" s="141"/>
      <c r="AG109" s="141"/>
      <c r="AH109" s="141"/>
      <c r="AI109" s="141"/>
      <c r="AJ109" s="141"/>
      <c r="AK109" s="141" t="s">
        <v>354</v>
      </c>
      <c r="AL109" s="141" t="s">
        <v>364</v>
      </c>
      <c r="AM109" s="141" t="s">
        <v>354</v>
      </c>
      <c r="AN109" s="141" t="s">
        <v>900</v>
      </c>
      <c r="AO109" s="141" t="s">
        <v>1574</v>
      </c>
      <c r="AP109" s="141" t="s">
        <v>1575</v>
      </c>
      <c r="AQ109" s="141" t="s">
        <v>735</v>
      </c>
      <c r="AR109" s="141" t="s">
        <v>1294</v>
      </c>
      <c r="AS109" s="141" t="s">
        <v>362</v>
      </c>
      <c r="AT109" s="141"/>
      <c r="AU109" s="141" t="s">
        <v>1746</v>
      </c>
      <c r="AV109" s="141" t="s">
        <v>659</v>
      </c>
      <c r="AW109" s="141" t="s">
        <v>1748</v>
      </c>
      <c r="AX109" s="141" t="s">
        <v>1577</v>
      </c>
      <c r="AY109" s="141" t="s">
        <v>1749</v>
      </c>
      <c r="AZ109" s="141" t="s">
        <v>890</v>
      </c>
      <c r="BA109" s="141" t="s">
        <v>1750</v>
      </c>
      <c r="BB109" s="141" t="s">
        <v>892</v>
      </c>
      <c r="BC109" s="141" t="s">
        <v>413</v>
      </c>
      <c r="BD109" s="141" t="s">
        <v>776</v>
      </c>
      <c r="BE109" s="141" t="s">
        <v>1751</v>
      </c>
      <c r="BF109" s="141" t="s">
        <v>778</v>
      </c>
      <c r="BG109" s="141" t="s">
        <v>1752</v>
      </c>
      <c r="BH109" s="141" t="s">
        <v>779</v>
      </c>
      <c r="BI109" s="141" t="s">
        <v>1753</v>
      </c>
      <c r="BJ109" s="141" t="s">
        <v>571</v>
      </c>
      <c r="BK109" s="141" t="s">
        <v>1754</v>
      </c>
      <c r="BL109" s="141" t="s">
        <v>783</v>
      </c>
      <c r="BM109" s="141" t="s">
        <v>1755</v>
      </c>
      <c r="BN109" s="141" t="s">
        <v>1586</v>
      </c>
      <c r="BO109" s="141" t="s">
        <v>1756</v>
      </c>
      <c r="BP109" s="141" t="s">
        <v>912</v>
      </c>
      <c r="BQ109" s="141" t="s">
        <v>1757</v>
      </c>
      <c r="BR109" s="141" t="s">
        <v>787</v>
      </c>
      <c r="BS109" s="141" t="s">
        <v>1351</v>
      </c>
      <c r="BT109" s="141" t="s">
        <v>382</v>
      </c>
      <c r="BU109" s="141" t="s">
        <v>1758</v>
      </c>
      <c r="BV109" s="141"/>
      <c r="BW109" s="141"/>
      <c r="BX109" s="141"/>
      <c r="BY109" s="141"/>
      <c r="BZ109" s="141"/>
      <c r="CA109" s="141"/>
      <c r="CB109" s="141"/>
      <c r="CC109" s="141"/>
      <c r="CD109" s="141"/>
      <c r="CE109" s="141"/>
      <c r="CF109" s="141"/>
      <c r="CG109" s="141"/>
      <c r="CH109" s="141"/>
      <c r="CI109" s="141"/>
      <c r="CJ109" s="141"/>
      <c r="CK109" s="141"/>
      <c r="CL109" s="141"/>
      <c r="CM109" s="141"/>
      <c r="CN109" s="141"/>
      <c r="CO109" s="141"/>
      <c r="CP109" s="141"/>
      <c r="CQ109" s="141"/>
      <c r="CR109" s="141"/>
      <c r="CS109" s="141"/>
      <c r="CT109" s="141"/>
      <c r="CU109" s="141"/>
      <c r="CV109" s="141"/>
      <c r="CW109" s="141"/>
      <c r="CX109" s="141"/>
      <c r="CY109" s="141"/>
      <c r="CZ109" s="141"/>
      <c r="DA109" s="173"/>
    </row>
    <row r="110" spans="2:105" x14ac:dyDescent="0.25">
      <c r="B110" s="172"/>
      <c r="C110" s="141" t="s">
        <v>1759</v>
      </c>
      <c r="D110" s="141" t="s">
        <v>1760</v>
      </c>
      <c r="E110" s="141" t="s">
        <v>1761</v>
      </c>
      <c r="F110" s="141" t="s">
        <v>1762</v>
      </c>
      <c r="G110" s="141"/>
      <c r="H110" s="141" t="s">
        <v>353</v>
      </c>
      <c r="I110" s="141"/>
      <c r="J110" s="141" t="s">
        <v>354</v>
      </c>
      <c r="K110" s="141" t="s">
        <v>1763</v>
      </c>
      <c r="L110" s="141" t="s">
        <v>1764</v>
      </c>
      <c r="M110" s="141" t="s">
        <v>1765</v>
      </c>
      <c r="N110" s="141" t="s">
        <v>354</v>
      </c>
      <c r="O110" s="141" t="s">
        <v>408</v>
      </c>
      <c r="P110" s="141" t="s">
        <v>409</v>
      </c>
      <c r="Q110" s="141" t="s">
        <v>409</v>
      </c>
      <c r="R110" s="141" t="s">
        <v>361</v>
      </c>
      <c r="S110" s="141" t="s">
        <v>391</v>
      </c>
      <c r="T110" s="141" t="s">
        <v>1574</v>
      </c>
      <c r="U110" s="141" t="s">
        <v>1574</v>
      </c>
      <c r="V110" s="141"/>
      <c r="W110" s="141"/>
      <c r="X110" s="141"/>
      <c r="Y110" s="141"/>
      <c r="Z110" s="141"/>
      <c r="AA110" s="141"/>
      <c r="AB110" s="141"/>
      <c r="AC110" s="141"/>
      <c r="AD110" s="141"/>
      <c r="AE110" s="141"/>
      <c r="AF110" s="141"/>
      <c r="AG110" s="141"/>
      <c r="AH110" s="141"/>
      <c r="AI110" s="141"/>
      <c r="AJ110" s="141"/>
      <c r="AK110" s="141" t="s">
        <v>354</v>
      </c>
      <c r="AL110" s="141" t="s">
        <v>364</v>
      </c>
      <c r="AM110" s="141" t="s">
        <v>354</v>
      </c>
      <c r="AN110" s="141" t="s">
        <v>900</v>
      </c>
      <c r="AO110" s="141" t="s">
        <v>1574</v>
      </c>
      <c r="AP110" s="141" t="s">
        <v>1575</v>
      </c>
      <c r="AQ110" s="141" t="s">
        <v>735</v>
      </c>
      <c r="AR110" s="141" t="s">
        <v>1294</v>
      </c>
      <c r="AS110" s="141" t="s">
        <v>1279</v>
      </c>
      <c r="AT110" s="141"/>
      <c r="AU110" s="141" t="s">
        <v>1764</v>
      </c>
      <c r="AV110" s="141" t="s">
        <v>659</v>
      </c>
      <c r="AW110" s="141" t="s">
        <v>1766</v>
      </c>
      <c r="AX110" s="141" t="s">
        <v>1577</v>
      </c>
      <c r="AY110" s="141" t="s">
        <v>1767</v>
      </c>
      <c r="AZ110" s="141" t="s">
        <v>890</v>
      </c>
      <c r="BA110" s="141" t="s">
        <v>1768</v>
      </c>
      <c r="BB110" s="141" t="s">
        <v>892</v>
      </c>
      <c r="BC110" s="141" t="s">
        <v>1769</v>
      </c>
      <c r="BD110" s="141" t="s">
        <v>776</v>
      </c>
      <c r="BE110" s="141" t="s">
        <v>1770</v>
      </c>
      <c r="BF110" s="141" t="s">
        <v>778</v>
      </c>
      <c r="BG110" s="141" t="s">
        <v>1771</v>
      </c>
      <c r="BH110" s="141" t="s">
        <v>779</v>
      </c>
      <c r="BI110" s="141" t="s">
        <v>1187</v>
      </c>
      <c r="BJ110" s="141" t="s">
        <v>571</v>
      </c>
      <c r="BK110" s="141" t="s">
        <v>1772</v>
      </c>
      <c r="BL110" s="141" t="s">
        <v>783</v>
      </c>
      <c r="BM110" s="141" t="s">
        <v>1773</v>
      </c>
      <c r="BN110" s="141" t="s">
        <v>1586</v>
      </c>
      <c r="BO110" s="141" t="s">
        <v>1774</v>
      </c>
      <c r="BP110" s="141" t="s">
        <v>912</v>
      </c>
      <c r="BQ110" s="141" t="s">
        <v>1775</v>
      </c>
      <c r="BR110" s="141" t="s">
        <v>787</v>
      </c>
      <c r="BS110" s="141" t="s">
        <v>1776</v>
      </c>
      <c r="BT110" s="141" t="s">
        <v>382</v>
      </c>
      <c r="BU110" s="141" t="s">
        <v>1777</v>
      </c>
      <c r="BV110" s="141"/>
      <c r="BW110" s="141"/>
      <c r="BX110" s="141"/>
      <c r="BY110" s="141"/>
      <c r="BZ110" s="141"/>
      <c r="CA110" s="141"/>
      <c r="CB110" s="141"/>
      <c r="CC110" s="141"/>
      <c r="CD110" s="141"/>
      <c r="CE110" s="141"/>
      <c r="CF110" s="141"/>
      <c r="CG110" s="141"/>
      <c r="CH110" s="141"/>
      <c r="CI110" s="141"/>
      <c r="CJ110" s="141"/>
      <c r="CK110" s="141"/>
      <c r="CL110" s="141"/>
      <c r="CM110" s="141"/>
      <c r="CN110" s="141"/>
      <c r="CO110" s="141"/>
      <c r="CP110" s="141"/>
      <c r="CQ110" s="141"/>
      <c r="CR110" s="141"/>
      <c r="CS110" s="141"/>
      <c r="CT110" s="141"/>
      <c r="CU110" s="141"/>
      <c r="CV110" s="141"/>
      <c r="CW110" s="141"/>
      <c r="CX110" s="141"/>
      <c r="CY110" s="141"/>
      <c r="CZ110" s="141"/>
      <c r="DA110" s="173"/>
    </row>
    <row r="111" spans="2:105" x14ac:dyDescent="0.25">
      <c r="B111" s="172"/>
      <c r="C111" s="141" t="s">
        <v>1778</v>
      </c>
      <c r="D111" s="141" t="s">
        <v>1779</v>
      </c>
      <c r="E111" s="141" t="s">
        <v>523</v>
      </c>
      <c r="F111" s="141" t="s">
        <v>1028</v>
      </c>
      <c r="G111" s="141"/>
      <c r="H111" s="141" t="s">
        <v>353</v>
      </c>
      <c r="I111" s="141"/>
      <c r="J111" s="141" t="s">
        <v>354</v>
      </c>
      <c r="K111" s="141" t="s">
        <v>1780</v>
      </c>
      <c r="L111" s="141" t="s">
        <v>1781</v>
      </c>
      <c r="M111" s="141" t="s">
        <v>1782</v>
      </c>
      <c r="N111" s="141" t="s">
        <v>354</v>
      </c>
      <c r="O111" s="141" t="s">
        <v>369</v>
      </c>
      <c r="P111" s="141" t="s">
        <v>528</v>
      </c>
      <c r="Q111" s="141" t="s">
        <v>529</v>
      </c>
      <c r="R111" s="141" t="s">
        <v>361</v>
      </c>
      <c r="S111" s="141" t="s">
        <v>391</v>
      </c>
      <c r="T111" s="141" t="s">
        <v>1574</v>
      </c>
      <c r="U111" s="141" t="s">
        <v>1574</v>
      </c>
      <c r="V111" s="141"/>
      <c r="W111" s="141"/>
      <c r="X111" s="141"/>
      <c r="Y111" s="141"/>
      <c r="Z111" s="141"/>
      <c r="AA111" s="141"/>
      <c r="AB111" s="141"/>
      <c r="AC111" s="141"/>
      <c r="AD111" s="141"/>
      <c r="AE111" s="141"/>
      <c r="AF111" s="141"/>
      <c r="AG111" s="141"/>
      <c r="AH111" s="141"/>
      <c r="AI111" s="141"/>
      <c r="AJ111" s="141"/>
      <c r="AK111" s="141" t="s">
        <v>354</v>
      </c>
      <c r="AL111" s="141" t="s">
        <v>364</v>
      </c>
      <c r="AM111" s="141" t="s">
        <v>354</v>
      </c>
      <c r="AN111" s="141" t="s">
        <v>900</v>
      </c>
      <c r="AO111" s="141" t="s">
        <v>1574</v>
      </c>
      <c r="AP111" s="141" t="s">
        <v>1575</v>
      </c>
      <c r="AQ111" s="141" t="s">
        <v>735</v>
      </c>
      <c r="AR111" s="141" t="s">
        <v>1294</v>
      </c>
      <c r="AS111" s="141" t="s">
        <v>1294</v>
      </c>
      <c r="AT111" s="141"/>
      <c r="AU111" s="141" t="s">
        <v>1781</v>
      </c>
      <c r="AV111" s="141" t="s">
        <v>659</v>
      </c>
      <c r="AW111" s="141" t="s">
        <v>1783</v>
      </c>
      <c r="AX111" s="141" t="s">
        <v>1577</v>
      </c>
      <c r="AY111" s="141" t="s">
        <v>1784</v>
      </c>
      <c r="AZ111" s="141" t="s">
        <v>890</v>
      </c>
      <c r="BA111" s="141" t="s">
        <v>397</v>
      </c>
      <c r="BB111" s="141" t="s">
        <v>892</v>
      </c>
      <c r="BC111" s="141" t="s">
        <v>1785</v>
      </c>
      <c r="BD111" s="141" t="s">
        <v>776</v>
      </c>
      <c r="BE111" s="141" t="s">
        <v>1786</v>
      </c>
      <c r="BF111" s="141" t="s">
        <v>778</v>
      </c>
      <c r="BG111" s="141" t="s">
        <v>1787</v>
      </c>
      <c r="BH111" s="141" t="s">
        <v>779</v>
      </c>
      <c r="BI111" s="141" t="s">
        <v>1788</v>
      </c>
      <c r="BJ111" s="141" t="s">
        <v>571</v>
      </c>
      <c r="BK111" s="141" t="s">
        <v>1789</v>
      </c>
      <c r="BL111" s="141" t="s">
        <v>783</v>
      </c>
      <c r="BM111" s="141" t="s">
        <v>1790</v>
      </c>
      <c r="BN111" s="141" t="s">
        <v>1586</v>
      </c>
      <c r="BO111" s="141" t="s">
        <v>1791</v>
      </c>
      <c r="BP111" s="141" t="s">
        <v>912</v>
      </c>
      <c r="BQ111" s="141" t="s">
        <v>1792</v>
      </c>
      <c r="BR111" s="141" t="s">
        <v>787</v>
      </c>
      <c r="BS111" s="141" t="s">
        <v>1793</v>
      </c>
      <c r="BT111" s="141" t="s">
        <v>382</v>
      </c>
      <c r="BU111" s="141" t="s">
        <v>1794</v>
      </c>
      <c r="BV111" s="141"/>
      <c r="BW111" s="141"/>
      <c r="BX111" s="141"/>
      <c r="BY111" s="141"/>
      <c r="BZ111" s="141"/>
      <c r="CA111" s="141"/>
      <c r="CB111" s="141"/>
      <c r="CC111" s="141"/>
      <c r="CD111" s="141"/>
      <c r="CE111" s="141"/>
      <c r="CF111" s="141"/>
      <c r="CG111" s="141"/>
      <c r="CH111" s="141"/>
      <c r="CI111" s="141"/>
      <c r="CJ111" s="141"/>
      <c r="CK111" s="141"/>
      <c r="CL111" s="141"/>
      <c r="CM111" s="141"/>
      <c r="CN111" s="141"/>
      <c r="CO111" s="141"/>
      <c r="CP111" s="141"/>
      <c r="CQ111" s="141"/>
      <c r="CR111" s="141"/>
      <c r="CS111" s="141"/>
      <c r="CT111" s="141"/>
      <c r="CU111" s="141"/>
      <c r="CV111" s="141"/>
      <c r="CW111" s="141"/>
      <c r="CX111" s="141"/>
      <c r="CY111" s="141"/>
      <c r="CZ111" s="141"/>
      <c r="DA111" s="173"/>
    </row>
    <row r="112" spans="2:105" x14ac:dyDescent="0.25">
      <c r="B112" s="172"/>
      <c r="C112" s="141" t="s">
        <v>1795</v>
      </c>
      <c r="D112" s="141" t="s">
        <v>892</v>
      </c>
      <c r="E112" s="141" t="s">
        <v>1796</v>
      </c>
      <c r="F112" s="141" t="s">
        <v>604</v>
      </c>
      <c r="G112" s="141"/>
      <c r="H112" s="141" t="s">
        <v>353</v>
      </c>
      <c r="I112" s="141"/>
      <c r="J112" s="141" t="s">
        <v>354</v>
      </c>
      <c r="K112" s="141" t="s">
        <v>1797</v>
      </c>
      <c r="L112" s="141" t="s">
        <v>1798</v>
      </c>
      <c r="M112" s="141" t="s">
        <v>1799</v>
      </c>
      <c r="N112" s="141" t="s">
        <v>354</v>
      </c>
      <c r="O112" s="141" t="s">
        <v>369</v>
      </c>
      <c r="P112" s="141" t="s">
        <v>528</v>
      </c>
      <c r="Q112" s="141" t="s">
        <v>529</v>
      </c>
      <c r="R112" s="141" t="s">
        <v>361</v>
      </c>
      <c r="S112" s="141" t="s">
        <v>391</v>
      </c>
      <c r="T112" s="141" t="s">
        <v>1574</v>
      </c>
      <c r="U112" s="141" t="s">
        <v>1574</v>
      </c>
      <c r="V112" s="141"/>
      <c r="W112" s="141"/>
      <c r="X112" s="141"/>
      <c r="Y112" s="141"/>
      <c r="Z112" s="141"/>
      <c r="AA112" s="141"/>
      <c r="AB112" s="141"/>
      <c r="AC112" s="141"/>
      <c r="AD112" s="141"/>
      <c r="AE112" s="141"/>
      <c r="AF112" s="141"/>
      <c r="AG112" s="141"/>
      <c r="AH112" s="141"/>
      <c r="AI112" s="141"/>
      <c r="AJ112" s="141"/>
      <c r="AK112" s="141" t="s">
        <v>354</v>
      </c>
      <c r="AL112" s="141" t="s">
        <v>364</v>
      </c>
      <c r="AM112" s="141" t="s">
        <v>354</v>
      </c>
      <c r="AN112" s="141" t="s">
        <v>900</v>
      </c>
      <c r="AO112" s="141" t="s">
        <v>1574</v>
      </c>
      <c r="AP112" s="141" t="s">
        <v>1575</v>
      </c>
      <c r="AQ112" s="141" t="s">
        <v>735</v>
      </c>
      <c r="AR112" s="141" t="s">
        <v>1294</v>
      </c>
      <c r="AS112" s="141" t="s">
        <v>1308</v>
      </c>
      <c r="AT112" s="141"/>
      <c r="AU112" s="141" t="s">
        <v>1798</v>
      </c>
      <c r="AV112" s="141" t="s">
        <v>659</v>
      </c>
      <c r="AW112" s="141" t="s">
        <v>1800</v>
      </c>
      <c r="AX112" s="141" t="s">
        <v>1577</v>
      </c>
      <c r="AY112" s="141" t="s">
        <v>1801</v>
      </c>
      <c r="AZ112" s="141" t="s">
        <v>890</v>
      </c>
      <c r="BA112" s="141" t="s">
        <v>1802</v>
      </c>
      <c r="BB112" s="141" t="s">
        <v>892</v>
      </c>
      <c r="BC112" s="141" t="s">
        <v>1803</v>
      </c>
      <c r="BD112" s="141" t="s">
        <v>776</v>
      </c>
      <c r="BE112" s="141" t="s">
        <v>1804</v>
      </c>
      <c r="BF112" s="141" t="s">
        <v>778</v>
      </c>
      <c r="BG112" s="141" t="s">
        <v>1805</v>
      </c>
      <c r="BH112" s="141" t="s">
        <v>779</v>
      </c>
      <c r="BI112" s="141" t="s">
        <v>581</v>
      </c>
      <c r="BJ112" s="141" t="s">
        <v>571</v>
      </c>
      <c r="BK112" s="141" t="s">
        <v>1414</v>
      </c>
      <c r="BL112" s="141" t="s">
        <v>783</v>
      </c>
      <c r="BM112" s="141" t="s">
        <v>1806</v>
      </c>
      <c r="BN112" s="141" t="s">
        <v>1586</v>
      </c>
      <c r="BO112" s="141" t="s">
        <v>1807</v>
      </c>
      <c r="BP112" s="141" t="s">
        <v>912</v>
      </c>
      <c r="BQ112" s="141" t="s">
        <v>1808</v>
      </c>
      <c r="BR112" s="141" t="s">
        <v>787</v>
      </c>
      <c r="BS112" s="141" t="s">
        <v>1809</v>
      </c>
      <c r="BT112" s="141" t="s">
        <v>382</v>
      </c>
      <c r="BU112" s="141" t="s">
        <v>1810</v>
      </c>
      <c r="BV112" s="141"/>
      <c r="BW112" s="141"/>
      <c r="BX112" s="141"/>
      <c r="BY112" s="141"/>
      <c r="BZ112" s="141"/>
      <c r="CA112" s="141"/>
      <c r="CB112" s="141"/>
      <c r="CC112" s="141"/>
      <c r="CD112" s="141"/>
      <c r="CE112" s="141"/>
      <c r="CF112" s="141"/>
      <c r="CG112" s="141"/>
      <c r="CH112" s="141"/>
      <c r="CI112" s="141"/>
      <c r="CJ112" s="141"/>
      <c r="CK112" s="141"/>
      <c r="CL112" s="141"/>
      <c r="CM112" s="141"/>
      <c r="CN112" s="141"/>
      <c r="CO112" s="141"/>
      <c r="CP112" s="141"/>
      <c r="CQ112" s="141"/>
      <c r="CR112" s="141"/>
      <c r="CS112" s="141"/>
      <c r="CT112" s="141"/>
      <c r="CU112" s="141"/>
      <c r="CV112" s="141"/>
      <c r="CW112" s="141"/>
      <c r="CX112" s="141"/>
      <c r="CY112" s="141"/>
      <c r="CZ112" s="141"/>
      <c r="DA112" s="173"/>
    </row>
    <row r="113" spans="2:105" x14ac:dyDescent="0.25">
      <c r="B113" s="172"/>
      <c r="C113" s="141" t="s">
        <v>1811</v>
      </c>
      <c r="D113" s="141" t="s">
        <v>1410</v>
      </c>
      <c r="E113" s="141" t="s">
        <v>1812</v>
      </c>
      <c r="F113" s="141" t="s">
        <v>508</v>
      </c>
      <c r="G113" s="141"/>
      <c r="H113" s="141" t="s">
        <v>353</v>
      </c>
      <c r="I113" s="141"/>
      <c r="J113" s="141" t="s">
        <v>354</v>
      </c>
      <c r="K113" s="141" t="s">
        <v>1813</v>
      </c>
      <c r="L113" s="141" t="s">
        <v>1814</v>
      </c>
      <c r="M113" s="141" t="s">
        <v>1815</v>
      </c>
      <c r="N113" s="141" t="s">
        <v>354</v>
      </c>
      <c r="O113" s="141" t="s">
        <v>358</v>
      </c>
      <c r="P113" s="141" t="s">
        <v>359</v>
      </c>
      <c r="Q113" s="141" t="s">
        <v>360</v>
      </c>
      <c r="R113" s="141" t="s">
        <v>361</v>
      </c>
      <c r="S113" s="141" t="s">
        <v>391</v>
      </c>
      <c r="T113" s="141" t="s">
        <v>1574</v>
      </c>
      <c r="U113" s="141" t="s">
        <v>1574</v>
      </c>
      <c r="V113" s="141"/>
      <c r="W113" s="141"/>
      <c r="X113" s="141"/>
      <c r="Y113" s="141"/>
      <c r="Z113" s="141"/>
      <c r="AA113" s="141"/>
      <c r="AB113" s="141"/>
      <c r="AC113" s="141"/>
      <c r="AD113" s="141"/>
      <c r="AE113" s="141"/>
      <c r="AF113" s="141"/>
      <c r="AG113" s="141"/>
      <c r="AH113" s="141"/>
      <c r="AI113" s="141"/>
      <c r="AJ113" s="141"/>
      <c r="AK113" s="141" t="s">
        <v>354</v>
      </c>
      <c r="AL113" s="141" t="s">
        <v>364</v>
      </c>
      <c r="AM113" s="141" t="s">
        <v>354</v>
      </c>
      <c r="AN113" s="141" t="s">
        <v>900</v>
      </c>
      <c r="AO113" s="141" t="s">
        <v>1574</v>
      </c>
      <c r="AP113" s="141" t="s">
        <v>1575</v>
      </c>
      <c r="AQ113" s="141" t="s">
        <v>735</v>
      </c>
      <c r="AR113" s="141" t="s">
        <v>1294</v>
      </c>
      <c r="AS113" s="141" t="s">
        <v>1324</v>
      </c>
      <c r="AT113" s="141"/>
      <c r="AU113" s="141" t="s">
        <v>1814</v>
      </c>
      <c r="AV113" s="141" t="s">
        <v>659</v>
      </c>
      <c r="AW113" s="141" t="s">
        <v>1816</v>
      </c>
      <c r="AX113" s="141" t="s">
        <v>1577</v>
      </c>
      <c r="AY113" s="141" t="s">
        <v>1817</v>
      </c>
      <c r="AZ113" s="141" t="s">
        <v>890</v>
      </c>
      <c r="BA113" s="141" t="s">
        <v>1818</v>
      </c>
      <c r="BB113" s="141" t="s">
        <v>892</v>
      </c>
      <c r="BC113" s="141" t="s">
        <v>1819</v>
      </c>
      <c r="BD113" s="141" t="s">
        <v>776</v>
      </c>
      <c r="BE113" s="141" t="s">
        <v>1820</v>
      </c>
      <c r="BF113" s="141" t="s">
        <v>778</v>
      </c>
      <c r="BG113" s="141" t="s">
        <v>1821</v>
      </c>
      <c r="BH113" s="141" t="s">
        <v>779</v>
      </c>
      <c r="BI113" s="141" t="s">
        <v>1822</v>
      </c>
      <c r="BJ113" s="141" t="s">
        <v>571</v>
      </c>
      <c r="BK113" s="141" t="s">
        <v>1823</v>
      </c>
      <c r="BL113" s="141" t="s">
        <v>783</v>
      </c>
      <c r="BM113" s="141" t="s">
        <v>1824</v>
      </c>
      <c r="BN113" s="141" t="s">
        <v>1586</v>
      </c>
      <c r="BO113" s="141" t="s">
        <v>1825</v>
      </c>
      <c r="BP113" s="141" t="s">
        <v>912</v>
      </c>
      <c r="BQ113" s="141" t="s">
        <v>1826</v>
      </c>
      <c r="BR113" s="141" t="s">
        <v>787</v>
      </c>
      <c r="BS113" s="141" t="s">
        <v>1827</v>
      </c>
      <c r="BT113" s="141" t="s">
        <v>382</v>
      </c>
      <c r="BU113" s="141" t="s">
        <v>1828</v>
      </c>
      <c r="BV113" s="141"/>
      <c r="BW113" s="141"/>
      <c r="BX113" s="141"/>
      <c r="BY113" s="141"/>
      <c r="BZ113" s="141"/>
      <c r="CA113" s="141"/>
      <c r="CB113" s="141"/>
      <c r="CC113" s="141"/>
      <c r="CD113" s="141"/>
      <c r="CE113" s="141"/>
      <c r="CF113" s="141"/>
      <c r="CG113" s="141"/>
      <c r="CH113" s="141"/>
      <c r="CI113" s="141"/>
      <c r="CJ113" s="141"/>
      <c r="CK113" s="141"/>
      <c r="CL113" s="141"/>
      <c r="CM113" s="141"/>
      <c r="CN113" s="141"/>
      <c r="CO113" s="141"/>
      <c r="CP113" s="141"/>
      <c r="CQ113" s="141"/>
      <c r="CR113" s="141"/>
      <c r="CS113" s="141"/>
      <c r="CT113" s="141"/>
      <c r="CU113" s="141"/>
      <c r="CV113" s="141"/>
      <c r="CW113" s="141"/>
      <c r="CX113" s="141"/>
      <c r="CY113" s="141"/>
      <c r="CZ113" s="141"/>
      <c r="DA113" s="173"/>
    </row>
    <row r="114" spans="2:105" x14ac:dyDescent="0.25">
      <c r="B114" s="172"/>
      <c r="C114" s="141" t="s">
        <v>1829</v>
      </c>
      <c r="D114" s="141" t="s">
        <v>652</v>
      </c>
      <c r="E114" s="141" t="s">
        <v>1830</v>
      </c>
      <c r="F114" s="141" t="s">
        <v>1831</v>
      </c>
      <c r="G114" s="141"/>
      <c r="H114" s="141" t="s">
        <v>353</v>
      </c>
      <c r="I114" s="141"/>
      <c r="J114" s="141" t="s">
        <v>354</v>
      </c>
      <c r="K114" s="141" t="s">
        <v>1832</v>
      </c>
      <c r="L114" s="141" t="s">
        <v>1833</v>
      </c>
      <c r="M114" s="141" t="s">
        <v>1834</v>
      </c>
      <c r="N114" s="141" t="s">
        <v>354</v>
      </c>
      <c r="O114" s="141" t="s">
        <v>391</v>
      </c>
      <c r="P114" s="141" t="s">
        <v>392</v>
      </c>
      <c r="Q114" s="141" t="s">
        <v>392</v>
      </c>
      <c r="R114" s="141" t="s">
        <v>361</v>
      </c>
      <c r="S114" s="141" t="s">
        <v>391</v>
      </c>
      <c r="T114" s="141" t="s">
        <v>1574</v>
      </c>
      <c r="U114" s="141" t="s">
        <v>1574</v>
      </c>
      <c r="V114" s="141"/>
      <c r="W114" s="141"/>
      <c r="X114" s="141"/>
      <c r="Y114" s="141"/>
      <c r="Z114" s="141"/>
      <c r="AA114" s="141"/>
      <c r="AB114" s="141"/>
      <c r="AC114" s="141"/>
      <c r="AD114" s="141"/>
      <c r="AE114" s="141"/>
      <c r="AF114" s="141"/>
      <c r="AG114" s="141"/>
      <c r="AH114" s="141"/>
      <c r="AI114" s="141"/>
      <c r="AJ114" s="141"/>
      <c r="AK114" s="141" t="s">
        <v>354</v>
      </c>
      <c r="AL114" s="141" t="s">
        <v>364</v>
      </c>
      <c r="AM114" s="141" t="s">
        <v>354</v>
      </c>
      <c r="AN114" s="141" t="s">
        <v>900</v>
      </c>
      <c r="AO114" s="141" t="s">
        <v>1574</v>
      </c>
      <c r="AP114" s="141" t="s">
        <v>1575</v>
      </c>
      <c r="AQ114" s="141" t="s">
        <v>735</v>
      </c>
      <c r="AR114" s="141" t="s">
        <v>1294</v>
      </c>
      <c r="AS114" s="141" t="s">
        <v>1339</v>
      </c>
      <c r="AT114" s="141"/>
      <c r="AU114" s="141" t="s">
        <v>1833</v>
      </c>
      <c r="AV114" s="141" t="s">
        <v>659</v>
      </c>
      <c r="AW114" s="141" t="s">
        <v>1835</v>
      </c>
      <c r="AX114" s="141" t="s">
        <v>1577</v>
      </c>
      <c r="AY114" s="141" t="s">
        <v>1836</v>
      </c>
      <c r="AZ114" s="141" t="s">
        <v>890</v>
      </c>
      <c r="BA114" s="141" t="s">
        <v>1837</v>
      </c>
      <c r="BB114" s="141" t="s">
        <v>892</v>
      </c>
      <c r="BC114" s="141" t="s">
        <v>784</v>
      </c>
      <c r="BD114" s="141" t="s">
        <v>776</v>
      </c>
      <c r="BE114" s="141" t="s">
        <v>1838</v>
      </c>
      <c r="BF114" s="141" t="s">
        <v>778</v>
      </c>
      <c r="BG114" s="141" t="s">
        <v>1839</v>
      </c>
      <c r="BH114" s="141" t="s">
        <v>779</v>
      </c>
      <c r="BI114" s="141" t="s">
        <v>1840</v>
      </c>
      <c r="BJ114" s="141" t="s">
        <v>571</v>
      </c>
      <c r="BK114" s="141" t="s">
        <v>1841</v>
      </c>
      <c r="BL114" s="141" t="s">
        <v>783</v>
      </c>
      <c r="BM114" s="141" t="s">
        <v>1842</v>
      </c>
      <c r="BN114" s="141" t="s">
        <v>1586</v>
      </c>
      <c r="BO114" s="141" t="s">
        <v>1084</v>
      </c>
      <c r="BP114" s="141" t="s">
        <v>912</v>
      </c>
      <c r="BQ114" s="141" t="s">
        <v>1843</v>
      </c>
      <c r="BR114" s="141" t="s">
        <v>787</v>
      </c>
      <c r="BS114" s="141" t="s">
        <v>1844</v>
      </c>
      <c r="BT114" s="141" t="s">
        <v>382</v>
      </c>
      <c r="BU114" s="141" t="s">
        <v>1845</v>
      </c>
      <c r="BV114" s="141"/>
      <c r="BW114" s="141"/>
      <c r="BX114" s="141"/>
      <c r="BY114" s="141"/>
      <c r="BZ114" s="141"/>
      <c r="CA114" s="141"/>
      <c r="CB114" s="141"/>
      <c r="CC114" s="141"/>
      <c r="CD114" s="141"/>
      <c r="CE114" s="141"/>
      <c r="CF114" s="141"/>
      <c r="CG114" s="141"/>
      <c r="CH114" s="141"/>
      <c r="CI114" s="141"/>
      <c r="CJ114" s="141"/>
      <c r="CK114" s="141"/>
      <c r="CL114" s="141"/>
      <c r="CM114" s="141"/>
      <c r="CN114" s="141"/>
      <c r="CO114" s="141"/>
      <c r="CP114" s="141"/>
      <c r="CQ114" s="141"/>
      <c r="CR114" s="141"/>
      <c r="CS114" s="141"/>
      <c r="CT114" s="141"/>
      <c r="CU114" s="141"/>
      <c r="CV114" s="141"/>
      <c r="CW114" s="141"/>
      <c r="CX114" s="141"/>
      <c r="CY114" s="141"/>
      <c r="CZ114" s="141"/>
      <c r="DA114" s="173"/>
    </row>
    <row r="115" spans="2:105" x14ac:dyDescent="0.25">
      <c r="B115" s="172"/>
      <c r="C115" s="141" t="s">
        <v>1846</v>
      </c>
      <c r="D115" s="141" t="s">
        <v>1847</v>
      </c>
      <c r="E115" s="141" t="s">
        <v>1848</v>
      </c>
      <c r="F115" s="141" t="s">
        <v>1849</v>
      </c>
      <c r="G115" s="141"/>
      <c r="H115" s="141" t="s">
        <v>353</v>
      </c>
      <c r="I115" s="141"/>
      <c r="J115" s="141" t="s">
        <v>354</v>
      </c>
      <c r="K115" s="141" t="s">
        <v>1850</v>
      </c>
      <c r="L115" s="141" t="s">
        <v>1851</v>
      </c>
      <c r="M115" s="141" t="s">
        <v>1852</v>
      </c>
      <c r="N115" s="141" t="s">
        <v>354</v>
      </c>
      <c r="O115" s="141" t="s">
        <v>369</v>
      </c>
      <c r="P115" s="141" t="s">
        <v>528</v>
      </c>
      <c r="Q115" s="141" t="s">
        <v>529</v>
      </c>
      <c r="R115" s="141" t="s">
        <v>361</v>
      </c>
      <c r="S115" s="141" t="s">
        <v>391</v>
      </c>
      <c r="T115" s="141" t="s">
        <v>1574</v>
      </c>
      <c r="U115" s="141" t="s">
        <v>1574</v>
      </c>
      <c r="V115" s="141"/>
      <c r="W115" s="141"/>
      <c r="X115" s="141"/>
      <c r="Y115" s="141"/>
      <c r="Z115" s="141"/>
      <c r="AA115" s="141"/>
      <c r="AB115" s="141"/>
      <c r="AC115" s="141"/>
      <c r="AD115" s="141"/>
      <c r="AE115" s="141"/>
      <c r="AF115" s="141"/>
      <c r="AG115" s="141"/>
      <c r="AH115" s="141"/>
      <c r="AI115" s="141"/>
      <c r="AJ115" s="141"/>
      <c r="AK115" s="141" t="s">
        <v>354</v>
      </c>
      <c r="AL115" s="141" t="s">
        <v>364</v>
      </c>
      <c r="AM115" s="141" t="s">
        <v>354</v>
      </c>
      <c r="AN115" s="141" t="s">
        <v>900</v>
      </c>
      <c r="AO115" s="141" t="s">
        <v>1574</v>
      </c>
      <c r="AP115" s="141" t="s">
        <v>1575</v>
      </c>
      <c r="AQ115" s="141" t="s">
        <v>735</v>
      </c>
      <c r="AR115" s="141" t="s">
        <v>1294</v>
      </c>
      <c r="AS115" s="141" t="s">
        <v>889</v>
      </c>
      <c r="AT115" s="141"/>
      <c r="AU115" s="141" t="s">
        <v>1851</v>
      </c>
      <c r="AV115" s="141" t="s">
        <v>659</v>
      </c>
      <c r="AW115" s="141" t="s">
        <v>1212</v>
      </c>
      <c r="AX115" s="141" t="s">
        <v>1577</v>
      </c>
      <c r="AY115" s="141" t="s">
        <v>1853</v>
      </c>
      <c r="AZ115" s="141" t="s">
        <v>890</v>
      </c>
      <c r="BA115" s="141" t="s">
        <v>1854</v>
      </c>
      <c r="BB115" s="141" t="s">
        <v>892</v>
      </c>
      <c r="BC115" s="141" t="s">
        <v>1855</v>
      </c>
      <c r="BD115" s="141" t="s">
        <v>776</v>
      </c>
      <c r="BE115" s="141" t="s">
        <v>1856</v>
      </c>
      <c r="BF115" s="141" t="s">
        <v>778</v>
      </c>
      <c r="BG115" s="141" t="s">
        <v>1857</v>
      </c>
      <c r="BH115" s="141" t="s">
        <v>779</v>
      </c>
      <c r="BI115" s="141" t="s">
        <v>1858</v>
      </c>
      <c r="BJ115" s="141" t="s">
        <v>571</v>
      </c>
      <c r="BK115" s="141" t="s">
        <v>1256</v>
      </c>
      <c r="BL115" s="141" t="s">
        <v>783</v>
      </c>
      <c r="BM115" s="141" t="s">
        <v>1859</v>
      </c>
      <c r="BN115" s="141" t="s">
        <v>1586</v>
      </c>
      <c r="BO115" s="141" t="s">
        <v>1860</v>
      </c>
      <c r="BP115" s="141" t="s">
        <v>912</v>
      </c>
      <c r="BQ115" s="141" t="s">
        <v>1861</v>
      </c>
      <c r="BR115" s="141" t="s">
        <v>787</v>
      </c>
      <c r="BS115" s="141" t="s">
        <v>1360</v>
      </c>
      <c r="BT115" s="141" t="s">
        <v>382</v>
      </c>
      <c r="BU115" s="141" t="s">
        <v>1862</v>
      </c>
      <c r="BV115" s="141"/>
      <c r="BW115" s="141"/>
      <c r="BX115" s="141"/>
      <c r="BY115" s="141"/>
      <c r="BZ115" s="141"/>
      <c r="CA115" s="141"/>
      <c r="CB115" s="141"/>
      <c r="CC115" s="141"/>
      <c r="CD115" s="141"/>
      <c r="CE115" s="141"/>
      <c r="CF115" s="141"/>
      <c r="CG115" s="141"/>
      <c r="CH115" s="141"/>
      <c r="CI115" s="141"/>
      <c r="CJ115" s="141"/>
      <c r="CK115" s="141"/>
      <c r="CL115" s="141"/>
      <c r="CM115" s="141"/>
      <c r="CN115" s="141"/>
      <c r="CO115" s="141"/>
      <c r="CP115" s="141"/>
      <c r="CQ115" s="141"/>
      <c r="CR115" s="141"/>
      <c r="CS115" s="141"/>
      <c r="CT115" s="141"/>
      <c r="CU115" s="141"/>
      <c r="CV115" s="141"/>
      <c r="CW115" s="141"/>
      <c r="CX115" s="141"/>
      <c r="CY115" s="141"/>
      <c r="CZ115" s="141"/>
      <c r="DA115" s="173"/>
    </row>
    <row r="116" spans="2:105" x14ac:dyDescent="0.25">
      <c r="B116" s="172"/>
      <c r="C116" s="141" t="s">
        <v>1863</v>
      </c>
      <c r="D116" s="141" t="s">
        <v>1864</v>
      </c>
      <c r="E116" s="141" t="s">
        <v>1865</v>
      </c>
      <c r="F116" s="141" t="s">
        <v>1866</v>
      </c>
      <c r="G116" s="141"/>
      <c r="H116" s="141" t="s">
        <v>353</v>
      </c>
      <c r="I116" s="141"/>
      <c r="J116" s="141" t="s">
        <v>354</v>
      </c>
      <c r="K116" s="141" t="s">
        <v>1867</v>
      </c>
      <c r="L116" s="141" t="s">
        <v>1868</v>
      </c>
      <c r="M116" s="141" t="s">
        <v>1869</v>
      </c>
      <c r="N116" s="141" t="s">
        <v>354</v>
      </c>
      <c r="O116" s="141" t="s">
        <v>391</v>
      </c>
      <c r="P116" s="141" t="s">
        <v>392</v>
      </c>
      <c r="Q116" s="141" t="s">
        <v>392</v>
      </c>
      <c r="R116" s="141" t="s">
        <v>361</v>
      </c>
      <c r="S116" s="141" t="s">
        <v>391</v>
      </c>
      <c r="T116" s="141" t="s">
        <v>1574</v>
      </c>
      <c r="U116" s="141" t="s">
        <v>1574</v>
      </c>
      <c r="V116" s="141"/>
      <c r="W116" s="141"/>
      <c r="X116" s="141"/>
      <c r="Y116" s="141"/>
      <c r="Z116" s="141"/>
      <c r="AA116" s="141"/>
      <c r="AB116" s="141"/>
      <c r="AC116" s="141"/>
      <c r="AD116" s="141"/>
      <c r="AE116" s="141"/>
      <c r="AF116" s="141"/>
      <c r="AG116" s="141"/>
      <c r="AH116" s="141"/>
      <c r="AI116" s="141"/>
      <c r="AJ116" s="141"/>
      <c r="AK116" s="141" t="s">
        <v>354</v>
      </c>
      <c r="AL116" s="141" t="s">
        <v>364</v>
      </c>
      <c r="AM116" s="141" t="s">
        <v>354</v>
      </c>
      <c r="AN116" s="141" t="s">
        <v>900</v>
      </c>
      <c r="AO116" s="141" t="s">
        <v>1574</v>
      </c>
      <c r="AP116" s="141" t="s">
        <v>1575</v>
      </c>
      <c r="AQ116" s="141" t="s">
        <v>735</v>
      </c>
      <c r="AR116" s="141" t="s">
        <v>1294</v>
      </c>
      <c r="AS116" s="141" t="s">
        <v>1367</v>
      </c>
      <c r="AT116" s="141"/>
      <c r="AU116" s="141" t="s">
        <v>1868</v>
      </c>
      <c r="AV116" s="141" t="s">
        <v>659</v>
      </c>
      <c r="AW116" s="141" t="s">
        <v>1870</v>
      </c>
      <c r="AX116" s="141" t="s">
        <v>1577</v>
      </c>
      <c r="AY116" s="141" t="s">
        <v>1871</v>
      </c>
      <c r="AZ116" s="141" t="s">
        <v>890</v>
      </c>
      <c r="BA116" s="141" t="s">
        <v>1872</v>
      </c>
      <c r="BB116" s="141" t="s">
        <v>892</v>
      </c>
      <c r="BC116" s="141" t="s">
        <v>1873</v>
      </c>
      <c r="BD116" s="141" t="s">
        <v>776</v>
      </c>
      <c r="BE116" s="141" t="s">
        <v>1874</v>
      </c>
      <c r="BF116" s="141" t="s">
        <v>778</v>
      </c>
      <c r="BG116" s="141" t="s">
        <v>1202</v>
      </c>
      <c r="BH116" s="141" t="s">
        <v>779</v>
      </c>
      <c r="BI116" s="141" t="s">
        <v>1875</v>
      </c>
      <c r="BJ116" s="141" t="s">
        <v>571</v>
      </c>
      <c r="BK116" s="141" t="s">
        <v>934</v>
      </c>
      <c r="BL116" s="141" t="s">
        <v>783</v>
      </c>
      <c r="BM116" s="141" t="s">
        <v>1513</v>
      </c>
      <c r="BN116" s="141" t="s">
        <v>1586</v>
      </c>
      <c r="BO116" s="141" t="s">
        <v>1876</v>
      </c>
      <c r="BP116" s="141" t="s">
        <v>912</v>
      </c>
      <c r="BQ116" s="141" t="s">
        <v>1877</v>
      </c>
      <c r="BR116" s="141" t="s">
        <v>787</v>
      </c>
      <c r="BS116" s="141" t="s">
        <v>1878</v>
      </c>
      <c r="BT116" s="141" t="s">
        <v>382</v>
      </c>
      <c r="BU116" s="141" t="s">
        <v>1879</v>
      </c>
      <c r="BV116" s="141"/>
      <c r="BW116" s="141"/>
      <c r="BX116" s="141"/>
      <c r="BY116" s="141"/>
      <c r="BZ116" s="141"/>
      <c r="CA116" s="141"/>
      <c r="CB116" s="141"/>
      <c r="CC116" s="141"/>
      <c r="CD116" s="141"/>
      <c r="CE116" s="141"/>
      <c r="CF116" s="141"/>
      <c r="CG116" s="141"/>
      <c r="CH116" s="141"/>
      <c r="CI116" s="141"/>
      <c r="CJ116" s="141"/>
      <c r="CK116" s="141"/>
      <c r="CL116" s="141"/>
      <c r="CM116" s="141"/>
      <c r="CN116" s="141"/>
      <c r="CO116" s="141"/>
      <c r="CP116" s="141"/>
      <c r="CQ116" s="141"/>
      <c r="CR116" s="141"/>
      <c r="CS116" s="141"/>
      <c r="CT116" s="141"/>
      <c r="CU116" s="141"/>
      <c r="CV116" s="141"/>
      <c r="CW116" s="141"/>
      <c r="CX116" s="141"/>
      <c r="CY116" s="141"/>
      <c r="CZ116" s="141"/>
      <c r="DA116" s="173"/>
    </row>
    <row r="117" spans="2:105" x14ac:dyDescent="0.25">
      <c r="B117" s="172"/>
      <c r="C117" s="141" t="s">
        <v>1880</v>
      </c>
      <c r="D117" s="141" t="s">
        <v>1881</v>
      </c>
      <c r="E117" s="141" t="s">
        <v>1882</v>
      </c>
      <c r="F117" s="141" t="s">
        <v>1248</v>
      </c>
      <c r="G117" s="141"/>
      <c r="H117" s="141" t="s">
        <v>353</v>
      </c>
      <c r="I117" s="141"/>
      <c r="J117" s="141" t="s">
        <v>354</v>
      </c>
      <c r="K117" s="141" t="s">
        <v>1883</v>
      </c>
      <c r="L117" s="141" t="s">
        <v>1884</v>
      </c>
      <c r="M117" s="141" t="s">
        <v>1885</v>
      </c>
      <c r="N117" s="141" t="s">
        <v>354</v>
      </c>
      <c r="O117" s="141" t="s">
        <v>391</v>
      </c>
      <c r="P117" s="141" t="s">
        <v>392</v>
      </c>
      <c r="Q117" s="141" t="s">
        <v>392</v>
      </c>
      <c r="R117" s="141" t="s">
        <v>361</v>
      </c>
      <c r="S117" s="141" t="s">
        <v>391</v>
      </c>
      <c r="T117" s="141" t="s">
        <v>1574</v>
      </c>
      <c r="U117" s="141" t="s">
        <v>1574</v>
      </c>
      <c r="V117" s="141"/>
      <c r="W117" s="141"/>
      <c r="X117" s="141"/>
      <c r="Y117" s="141"/>
      <c r="Z117" s="141"/>
      <c r="AA117" s="141"/>
      <c r="AB117" s="141"/>
      <c r="AC117" s="141"/>
      <c r="AD117" s="141"/>
      <c r="AE117" s="141"/>
      <c r="AF117" s="141"/>
      <c r="AG117" s="141"/>
      <c r="AH117" s="141"/>
      <c r="AI117" s="141"/>
      <c r="AJ117" s="141"/>
      <c r="AK117" s="141" t="s">
        <v>354</v>
      </c>
      <c r="AL117" s="141" t="s">
        <v>364</v>
      </c>
      <c r="AM117" s="141" t="s">
        <v>354</v>
      </c>
      <c r="AN117" s="141" t="s">
        <v>900</v>
      </c>
      <c r="AO117" s="141" t="s">
        <v>1574</v>
      </c>
      <c r="AP117" s="141" t="s">
        <v>1575</v>
      </c>
      <c r="AQ117" s="141" t="s">
        <v>735</v>
      </c>
      <c r="AR117" s="141" t="s">
        <v>1294</v>
      </c>
      <c r="AS117" s="141" t="s">
        <v>1380</v>
      </c>
      <c r="AT117" s="141"/>
      <c r="AU117" s="141" t="s">
        <v>1884</v>
      </c>
      <c r="AV117" s="141" t="s">
        <v>659</v>
      </c>
      <c r="AW117" s="141" t="s">
        <v>1886</v>
      </c>
      <c r="AX117" s="141" t="s">
        <v>1577</v>
      </c>
      <c r="AY117" s="141" t="s">
        <v>1887</v>
      </c>
      <c r="AZ117" s="141" t="s">
        <v>890</v>
      </c>
      <c r="BA117" s="141" t="s">
        <v>1888</v>
      </c>
      <c r="BB117" s="141" t="s">
        <v>892</v>
      </c>
      <c r="BC117" s="141" t="s">
        <v>1889</v>
      </c>
      <c r="BD117" s="141" t="s">
        <v>776</v>
      </c>
      <c r="BE117" s="141" t="s">
        <v>1890</v>
      </c>
      <c r="BF117" s="141" t="s">
        <v>778</v>
      </c>
      <c r="BG117" s="141" t="s">
        <v>1891</v>
      </c>
      <c r="BH117" s="141" t="s">
        <v>779</v>
      </c>
      <c r="BI117" s="141" t="s">
        <v>1892</v>
      </c>
      <c r="BJ117" s="141" t="s">
        <v>571</v>
      </c>
      <c r="BK117" s="141" t="s">
        <v>1893</v>
      </c>
      <c r="BL117" s="141" t="s">
        <v>783</v>
      </c>
      <c r="BM117" s="141" t="s">
        <v>1894</v>
      </c>
      <c r="BN117" s="141" t="s">
        <v>1586</v>
      </c>
      <c r="BO117" s="141" t="s">
        <v>1895</v>
      </c>
      <c r="BP117" s="141" t="s">
        <v>912</v>
      </c>
      <c r="BQ117" s="141" t="s">
        <v>1896</v>
      </c>
      <c r="BR117" s="141" t="s">
        <v>787</v>
      </c>
      <c r="BS117" s="141" t="s">
        <v>1897</v>
      </c>
      <c r="BT117" s="141" t="s">
        <v>382</v>
      </c>
      <c r="BU117" s="141" t="s">
        <v>1470</v>
      </c>
      <c r="BV117" s="141"/>
      <c r="BW117" s="141"/>
      <c r="BX117" s="141"/>
      <c r="BY117" s="141"/>
      <c r="BZ117" s="141"/>
      <c r="CA117" s="141"/>
      <c r="CB117" s="141"/>
      <c r="CC117" s="141"/>
      <c r="CD117" s="141"/>
      <c r="CE117" s="141"/>
      <c r="CF117" s="141"/>
      <c r="CG117" s="141"/>
      <c r="CH117" s="141"/>
      <c r="CI117" s="141"/>
      <c r="CJ117" s="141"/>
      <c r="CK117" s="141"/>
      <c r="CL117" s="141"/>
      <c r="CM117" s="141"/>
      <c r="CN117" s="141"/>
      <c r="CO117" s="141"/>
      <c r="CP117" s="141"/>
      <c r="CQ117" s="141"/>
      <c r="CR117" s="141"/>
      <c r="CS117" s="141"/>
      <c r="CT117" s="141"/>
      <c r="CU117" s="141"/>
      <c r="CV117" s="141"/>
      <c r="CW117" s="141"/>
      <c r="CX117" s="141"/>
      <c r="CY117" s="141"/>
      <c r="CZ117" s="141"/>
      <c r="DA117" s="173"/>
    </row>
    <row r="118" spans="2:105" x14ac:dyDescent="0.25">
      <c r="B118" s="172"/>
      <c r="C118" s="141"/>
      <c r="D118" s="141" t="s">
        <v>1898</v>
      </c>
      <c r="E118" s="141"/>
      <c r="F118" s="141" t="s">
        <v>466</v>
      </c>
      <c r="G118" s="141"/>
      <c r="H118" s="141" t="s">
        <v>353</v>
      </c>
      <c r="I118" s="141"/>
      <c r="J118" s="141" t="s">
        <v>354</v>
      </c>
      <c r="K118" s="141" t="s">
        <v>1899</v>
      </c>
      <c r="L118" s="141"/>
      <c r="M118" s="141"/>
      <c r="N118" s="141" t="s">
        <v>354</v>
      </c>
      <c r="O118" s="141"/>
      <c r="P118" s="141"/>
      <c r="Q118" s="141"/>
      <c r="R118" s="141"/>
      <c r="S118" s="141" t="s">
        <v>391</v>
      </c>
      <c r="T118" s="141" t="s">
        <v>1574</v>
      </c>
      <c r="U118" s="141" t="s">
        <v>1574</v>
      </c>
      <c r="V118" s="141"/>
      <c r="W118" s="141"/>
      <c r="X118" s="141"/>
      <c r="Y118" s="141"/>
      <c r="Z118" s="141"/>
      <c r="AA118" s="141"/>
      <c r="AB118" s="141"/>
      <c r="AC118" s="141"/>
      <c r="AD118" s="141"/>
      <c r="AE118" s="141"/>
      <c r="AF118" s="141"/>
      <c r="AG118" s="141"/>
      <c r="AH118" s="141"/>
      <c r="AI118" s="141"/>
      <c r="AJ118" s="141"/>
      <c r="AK118" s="141" t="s">
        <v>354</v>
      </c>
      <c r="AL118" s="141" t="s">
        <v>364</v>
      </c>
      <c r="AM118" s="141" t="s">
        <v>354</v>
      </c>
      <c r="AN118" s="141" t="s">
        <v>900</v>
      </c>
      <c r="AO118" s="141" t="s">
        <v>1574</v>
      </c>
      <c r="AP118" s="141" t="s">
        <v>1575</v>
      </c>
      <c r="AQ118" s="141" t="s">
        <v>735</v>
      </c>
      <c r="AR118" s="141" t="s">
        <v>1294</v>
      </c>
      <c r="AS118" s="141"/>
      <c r="AT118" s="141"/>
      <c r="AU118" s="141"/>
      <c r="AV118" s="141"/>
      <c r="AW118" s="141"/>
      <c r="AX118" s="141"/>
      <c r="AY118" s="141"/>
      <c r="AZ118" s="141"/>
      <c r="BA118" s="141"/>
      <c r="BB118" s="141"/>
      <c r="BC118" s="141"/>
      <c r="BD118" s="141"/>
      <c r="BE118" s="141"/>
      <c r="BF118" s="141"/>
      <c r="BG118" s="141"/>
      <c r="BH118" s="141"/>
      <c r="BI118" s="141"/>
      <c r="BJ118" s="141"/>
      <c r="BK118" s="141"/>
      <c r="BL118" s="141"/>
      <c r="BM118" s="141"/>
      <c r="BN118" s="141"/>
      <c r="BO118" s="141"/>
      <c r="BP118" s="141"/>
      <c r="BQ118" s="141"/>
      <c r="BR118" s="141"/>
      <c r="BS118" s="141"/>
      <c r="BT118" s="141"/>
      <c r="BU118" s="141"/>
      <c r="BV118" s="141"/>
      <c r="BW118" s="141"/>
      <c r="BX118" s="141"/>
      <c r="BY118" s="141"/>
      <c r="BZ118" s="141"/>
      <c r="CA118" s="141"/>
      <c r="CB118" s="141"/>
      <c r="CC118" s="141"/>
      <c r="CD118" s="141"/>
      <c r="CE118" s="141"/>
      <c r="CF118" s="141"/>
      <c r="CG118" s="141"/>
      <c r="CH118" s="141"/>
      <c r="CI118" s="141"/>
      <c r="CJ118" s="141"/>
      <c r="CK118" s="141"/>
      <c r="CL118" s="141"/>
      <c r="CM118" s="141"/>
      <c r="CN118" s="141"/>
      <c r="CO118" s="141"/>
      <c r="CP118" s="141"/>
      <c r="CQ118" s="141"/>
      <c r="CR118" s="141"/>
      <c r="CS118" s="141"/>
      <c r="CT118" s="141"/>
      <c r="CU118" s="141"/>
      <c r="CV118" s="141"/>
      <c r="CW118" s="141"/>
      <c r="CX118" s="141"/>
      <c r="CY118" s="141"/>
      <c r="CZ118" s="141"/>
      <c r="DA118" s="173"/>
    </row>
    <row r="119" spans="2:105" x14ac:dyDescent="0.25">
      <c r="B119" s="172"/>
      <c r="C119" s="141" t="s">
        <v>1900</v>
      </c>
      <c r="D119" s="141" t="s">
        <v>1901</v>
      </c>
      <c r="E119" s="141" t="s">
        <v>1902</v>
      </c>
      <c r="F119" s="141" t="s">
        <v>1903</v>
      </c>
      <c r="G119" s="141"/>
      <c r="H119" s="141" t="s">
        <v>353</v>
      </c>
      <c r="I119" s="141"/>
      <c r="J119" s="141" t="s">
        <v>354</v>
      </c>
      <c r="K119" s="141" t="s">
        <v>1415</v>
      </c>
      <c r="L119" s="141"/>
      <c r="M119" s="141"/>
      <c r="N119" s="141" t="s">
        <v>369</v>
      </c>
      <c r="O119" s="141" t="s">
        <v>391</v>
      </c>
      <c r="P119" s="141" t="s">
        <v>392</v>
      </c>
      <c r="Q119" s="141" t="s">
        <v>392</v>
      </c>
      <c r="R119" s="141" t="s">
        <v>361</v>
      </c>
      <c r="S119" s="141" t="s">
        <v>391</v>
      </c>
      <c r="T119" s="141" t="s">
        <v>1574</v>
      </c>
      <c r="U119" s="141" t="s">
        <v>1574</v>
      </c>
      <c r="V119" s="141"/>
      <c r="W119" s="141"/>
      <c r="X119" s="141"/>
      <c r="Y119" s="141"/>
      <c r="Z119" s="141"/>
      <c r="AA119" s="141"/>
      <c r="AB119" s="141"/>
      <c r="AC119" s="141"/>
      <c r="AD119" s="141"/>
      <c r="AE119" s="141"/>
      <c r="AF119" s="141"/>
      <c r="AG119" s="141"/>
      <c r="AH119" s="141"/>
      <c r="AI119" s="141"/>
      <c r="AJ119" s="141"/>
      <c r="AK119" s="141" t="s">
        <v>354</v>
      </c>
      <c r="AL119" s="141" t="s">
        <v>364</v>
      </c>
      <c r="AM119" s="141" t="s">
        <v>354</v>
      </c>
      <c r="AN119" s="141" t="s">
        <v>900</v>
      </c>
      <c r="AO119" s="141" t="s">
        <v>1574</v>
      </c>
      <c r="AP119" s="141" t="s">
        <v>1575</v>
      </c>
      <c r="AQ119" s="141" t="s">
        <v>735</v>
      </c>
      <c r="AR119" s="141" t="s">
        <v>1294</v>
      </c>
      <c r="AS119" s="141"/>
      <c r="AT119" s="141"/>
      <c r="AU119" s="141"/>
      <c r="AV119" s="141"/>
      <c r="AW119" s="141"/>
      <c r="AX119" s="141"/>
      <c r="AY119" s="141"/>
      <c r="AZ119" s="141"/>
      <c r="BA119" s="141"/>
      <c r="BB119" s="141"/>
      <c r="BC119" s="141"/>
      <c r="BD119" s="141"/>
      <c r="BE119" s="141"/>
      <c r="BF119" s="141"/>
      <c r="BG119" s="141"/>
      <c r="BH119" s="141"/>
      <c r="BI119" s="141"/>
      <c r="BJ119" s="141"/>
      <c r="BK119" s="141"/>
      <c r="BL119" s="141"/>
      <c r="BM119" s="141"/>
      <c r="BN119" s="141"/>
      <c r="BO119" s="141"/>
      <c r="BP119" s="141"/>
      <c r="BQ119" s="141"/>
      <c r="BR119" s="141"/>
      <c r="BS119" s="141"/>
      <c r="BT119" s="141"/>
      <c r="BU119" s="141"/>
      <c r="BV119" s="141"/>
      <c r="BW119" s="141"/>
      <c r="BX119" s="141"/>
      <c r="BY119" s="141"/>
      <c r="BZ119" s="141"/>
      <c r="CA119" s="141"/>
      <c r="CB119" s="141"/>
      <c r="CC119" s="141"/>
      <c r="CD119" s="141"/>
      <c r="CE119" s="141"/>
      <c r="CF119" s="141"/>
      <c r="CG119" s="141"/>
      <c r="CH119" s="141"/>
      <c r="CI119" s="141"/>
      <c r="CJ119" s="141"/>
      <c r="CK119" s="141"/>
      <c r="CL119" s="141"/>
      <c r="CM119" s="141"/>
      <c r="CN119" s="141"/>
      <c r="CO119" s="141"/>
      <c r="CP119" s="141"/>
      <c r="CQ119" s="141"/>
      <c r="CR119" s="141"/>
      <c r="CS119" s="141"/>
      <c r="CT119" s="141"/>
      <c r="CU119" s="141"/>
      <c r="CV119" s="141"/>
      <c r="CW119" s="141"/>
      <c r="CX119" s="141"/>
      <c r="CY119" s="141"/>
      <c r="CZ119" s="141"/>
      <c r="DA119" s="173"/>
    </row>
    <row r="120" spans="2:105" x14ac:dyDescent="0.25">
      <c r="B120" s="172"/>
      <c r="C120" s="141" t="s">
        <v>1904</v>
      </c>
      <c r="D120" s="141" t="s">
        <v>374</v>
      </c>
      <c r="E120" s="141" t="s">
        <v>764</v>
      </c>
      <c r="F120" s="141" t="s">
        <v>1866</v>
      </c>
      <c r="G120" s="141"/>
      <c r="H120" s="141" t="s">
        <v>353</v>
      </c>
      <c r="I120" s="141"/>
      <c r="J120" s="141" t="s">
        <v>354</v>
      </c>
      <c r="K120" s="141" t="s">
        <v>1905</v>
      </c>
      <c r="L120" s="141" t="s">
        <v>1906</v>
      </c>
      <c r="M120" s="141" t="s">
        <v>1907</v>
      </c>
      <c r="N120" s="141" t="s">
        <v>354</v>
      </c>
      <c r="O120" s="141" t="s">
        <v>393</v>
      </c>
      <c r="P120" s="141" t="s">
        <v>424</v>
      </c>
      <c r="Q120" s="141" t="s">
        <v>425</v>
      </c>
      <c r="R120" s="141" t="s">
        <v>361</v>
      </c>
      <c r="S120" s="141" t="s">
        <v>441</v>
      </c>
      <c r="T120" s="141" t="s">
        <v>1908</v>
      </c>
      <c r="U120" s="141" t="s">
        <v>1908</v>
      </c>
      <c r="V120" s="141"/>
      <c r="W120" s="141"/>
      <c r="X120" s="141"/>
      <c r="Y120" s="141"/>
      <c r="Z120" s="141"/>
      <c r="AA120" s="141"/>
      <c r="AB120" s="141"/>
      <c r="AC120" s="141"/>
      <c r="AD120" s="141"/>
      <c r="AE120" s="141"/>
      <c r="AF120" s="141"/>
      <c r="AG120" s="141"/>
      <c r="AH120" s="141"/>
      <c r="AI120" s="141"/>
      <c r="AJ120" s="141"/>
      <c r="AK120" s="141" t="s">
        <v>354</v>
      </c>
      <c r="AL120" s="141" t="s">
        <v>364</v>
      </c>
      <c r="AM120" s="141" t="s">
        <v>354</v>
      </c>
      <c r="AN120" s="141" t="s">
        <v>904</v>
      </c>
      <c r="AO120" s="141" t="s">
        <v>1908</v>
      </c>
      <c r="AP120" s="141" t="s">
        <v>1909</v>
      </c>
      <c r="AQ120" s="141" t="s">
        <v>1910</v>
      </c>
      <c r="AR120" s="141" t="s">
        <v>408</v>
      </c>
      <c r="AS120" s="141" t="s">
        <v>369</v>
      </c>
      <c r="AT120" s="141"/>
      <c r="AU120" s="141" t="s">
        <v>1906</v>
      </c>
      <c r="AV120" s="141" t="s">
        <v>763</v>
      </c>
      <c r="AW120" s="141" t="s">
        <v>1911</v>
      </c>
      <c r="AX120" s="141" t="s">
        <v>1881</v>
      </c>
      <c r="AY120" s="141" t="s">
        <v>1912</v>
      </c>
      <c r="AZ120" s="141" t="s">
        <v>774</v>
      </c>
      <c r="BA120" s="141" t="s">
        <v>1913</v>
      </c>
      <c r="BB120" s="141" t="s">
        <v>776</v>
      </c>
      <c r="BC120" s="141" t="s">
        <v>1914</v>
      </c>
      <c r="BD120" s="141" t="s">
        <v>778</v>
      </c>
      <c r="BE120" s="141" t="s">
        <v>1915</v>
      </c>
      <c r="BF120" s="141" t="s">
        <v>890</v>
      </c>
      <c r="BG120" s="141" t="s">
        <v>1226</v>
      </c>
      <c r="BH120" s="141" t="s">
        <v>912</v>
      </c>
      <c r="BI120" s="141" t="s">
        <v>1916</v>
      </c>
      <c r="BJ120" s="141" t="s">
        <v>382</v>
      </c>
      <c r="BK120" s="141" t="s">
        <v>1917</v>
      </c>
      <c r="BL120" s="141"/>
      <c r="BM120" s="141"/>
      <c r="BN120" s="141"/>
      <c r="BO120" s="141"/>
      <c r="BP120" s="141"/>
      <c r="BQ120" s="141"/>
      <c r="BR120" s="141"/>
      <c r="BS120" s="141"/>
      <c r="BT120" s="141"/>
      <c r="BU120" s="141"/>
      <c r="BV120" s="141"/>
      <c r="BW120" s="141"/>
      <c r="BX120" s="141"/>
      <c r="BY120" s="141"/>
      <c r="BZ120" s="141"/>
      <c r="CA120" s="141"/>
      <c r="CB120" s="141"/>
      <c r="CC120" s="141"/>
      <c r="CD120" s="141"/>
      <c r="CE120" s="141"/>
      <c r="CF120" s="141"/>
      <c r="CG120" s="141"/>
      <c r="CH120" s="141"/>
      <c r="CI120" s="141"/>
      <c r="CJ120" s="141"/>
      <c r="CK120" s="141"/>
      <c r="CL120" s="141"/>
      <c r="CM120" s="141"/>
      <c r="CN120" s="141"/>
      <c r="CO120" s="141"/>
      <c r="CP120" s="141"/>
      <c r="CQ120" s="141"/>
      <c r="CR120" s="141"/>
      <c r="CS120" s="141"/>
      <c r="CT120" s="141"/>
      <c r="CU120" s="141"/>
      <c r="CV120" s="141"/>
      <c r="CW120" s="141"/>
      <c r="CX120" s="141"/>
      <c r="CY120" s="141"/>
      <c r="CZ120" s="141"/>
      <c r="DA120" s="173"/>
    </row>
    <row r="121" spans="2:105" x14ac:dyDescent="0.25">
      <c r="B121" s="172"/>
      <c r="C121" s="141" t="s">
        <v>1918</v>
      </c>
      <c r="D121" s="141" t="s">
        <v>1919</v>
      </c>
      <c r="E121" s="141" t="s">
        <v>1920</v>
      </c>
      <c r="F121" s="141" t="s">
        <v>1305</v>
      </c>
      <c r="G121" s="141"/>
      <c r="H121" s="141" t="s">
        <v>353</v>
      </c>
      <c r="I121" s="141"/>
      <c r="J121" s="141" t="s">
        <v>354</v>
      </c>
      <c r="K121" s="141" t="s">
        <v>1048</v>
      </c>
      <c r="L121" s="141" t="s">
        <v>1921</v>
      </c>
      <c r="M121" s="141" t="s">
        <v>1922</v>
      </c>
      <c r="N121" s="141" t="s">
        <v>354</v>
      </c>
      <c r="O121" s="141" t="s">
        <v>368</v>
      </c>
      <c r="P121" s="141" t="s">
        <v>1923</v>
      </c>
      <c r="Q121" s="141" t="s">
        <v>1924</v>
      </c>
      <c r="R121" s="141" t="s">
        <v>361</v>
      </c>
      <c r="S121" s="141" t="s">
        <v>441</v>
      </c>
      <c r="T121" s="141" t="s">
        <v>1908</v>
      </c>
      <c r="U121" s="141" t="s">
        <v>1908</v>
      </c>
      <c r="V121" s="141"/>
      <c r="W121" s="141"/>
      <c r="X121" s="141"/>
      <c r="Y121" s="141"/>
      <c r="Z121" s="141"/>
      <c r="AA121" s="141"/>
      <c r="AB121" s="141"/>
      <c r="AC121" s="141"/>
      <c r="AD121" s="141"/>
      <c r="AE121" s="141"/>
      <c r="AF121" s="141"/>
      <c r="AG121" s="141"/>
      <c r="AH121" s="141"/>
      <c r="AI121" s="141"/>
      <c r="AJ121" s="141"/>
      <c r="AK121" s="141" t="s">
        <v>354</v>
      </c>
      <c r="AL121" s="141" t="s">
        <v>364</v>
      </c>
      <c r="AM121" s="141" t="s">
        <v>354</v>
      </c>
      <c r="AN121" s="141" t="s">
        <v>904</v>
      </c>
      <c r="AO121" s="141" t="s">
        <v>1908</v>
      </c>
      <c r="AP121" s="141" t="s">
        <v>1909</v>
      </c>
      <c r="AQ121" s="141" t="s">
        <v>1910</v>
      </c>
      <c r="AR121" s="141" t="s">
        <v>408</v>
      </c>
      <c r="AS121" s="141" t="s">
        <v>393</v>
      </c>
      <c r="AT121" s="141"/>
      <c r="AU121" s="141" t="s">
        <v>1921</v>
      </c>
      <c r="AV121" s="141" t="s">
        <v>763</v>
      </c>
      <c r="AW121" s="141" t="s">
        <v>1596</v>
      </c>
      <c r="AX121" s="141" t="s">
        <v>1881</v>
      </c>
      <c r="AY121" s="141" t="s">
        <v>1925</v>
      </c>
      <c r="AZ121" s="141" t="s">
        <v>774</v>
      </c>
      <c r="BA121" s="141" t="s">
        <v>1926</v>
      </c>
      <c r="BB121" s="141" t="s">
        <v>776</v>
      </c>
      <c r="BC121" s="141" t="s">
        <v>1927</v>
      </c>
      <c r="BD121" s="141" t="s">
        <v>778</v>
      </c>
      <c r="BE121" s="141" t="s">
        <v>1803</v>
      </c>
      <c r="BF121" s="141" t="s">
        <v>890</v>
      </c>
      <c r="BG121" s="141" t="s">
        <v>1928</v>
      </c>
      <c r="BH121" s="141" t="s">
        <v>912</v>
      </c>
      <c r="BI121" s="141" t="s">
        <v>681</v>
      </c>
      <c r="BJ121" s="141" t="s">
        <v>382</v>
      </c>
      <c r="BK121" s="141" t="s">
        <v>901</v>
      </c>
      <c r="BL121" s="141"/>
      <c r="BM121" s="141"/>
      <c r="BN121" s="141"/>
      <c r="BO121" s="141"/>
      <c r="BP121" s="141"/>
      <c r="BQ121" s="141"/>
      <c r="BR121" s="141"/>
      <c r="BS121" s="141"/>
      <c r="BT121" s="141"/>
      <c r="BU121" s="141"/>
      <c r="BV121" s="141"/>
      <c r="BW121" s="141"/>
      <c r="BX121" s="141"/>
      <c r="BY121" s="141"/>
      <c r="BZ121" s="141"/>
      <c r="CA121" s="141"/>
      <c r="CB121" s="141"/>
      <c r="CC121" s="141"/>
      <c r="CD121" s="141"/>
      <c r="CE121" s="141"/>
      <c r="CF121" s="141"/>
      <c r="CG121" s="141"/>
      <c r="CH121" s="141"/>
      <c r="CI121" s="141"/>
      <c r="CJ121" s="141"/>
      <c r="CK121" s="141"/>
      <c r="CL121" s="141"/>
      <c r="CM121" s="141"/>
      <c r="CN121" s="141"/>
      <c r="CO121" s="141"/>
      <c r="CP121" s="141"/>
      <c r="CQ121" s="141"/>
      <c r="CR121" s="141"/>
      <c r="CS121" s="141"/>
      <c r="CT121" s="141"/>
      <c r="CU121" s="141"/>
      <c r="CV121" s="141"/>
      <c r="CW121" s="141"/>
      <c r="CX121" s="141"/>
      <c r="CY121" s="141"/>
      <c r="CZ121" s="141"/>
      <c r="DA121" s="173"/>
    </row>
    <row r="122" spans="2:105" x14ac:dyDescent="0.25">
      <c r="B122" s="172"/>
      <c r="C122" s="141" t="s">
        <v>1929</v>
      </c>
      <c r="D122" s="141" t="s">
        <v>1930</v>
      </c>
      <c r="E122" s="141" t="s">
        <v>1931</v>
      </c>
      <c r="F122" s="141" t="s">
        <v>1194</v>
      </c>
      <c r="G122" s="141"/>
      <c r="H122" s="141" t="s">
        <v>353</v>
      </c>
      <c r="I122" s="141"/>
      <c r="J122" s="141" t="s">
        <v>354</v>
      </c>
      <c r="K122" s="141" t="s">
        <v>476</v>
      </c>
      <c r="L122" s="141" t="s">
        <v>1932</v>
      </c>
      <c r="M122" s="141" t="s">
        <v>1933</v>
      </c>
      <c r="N122" s="141" t="s">
        <v>354</v>
      </c>
      <c r="O122" s="141" t="s">
        <v>362</v>
      </c>
      <c r="P122" s="141" t="s">
        <v>1557</v>
      </c>
      <c r="Q122" s="141" t="s">
        <v>1558</v>
      </c>
      <c r="R122" s="141" t="s">
        <v>361</v>
      </c>
      <c r="S122" s="141" t="s">
        <v>441</v>
      </c>
      <c r="T122" s="141" t="s">
        <v>1908</v>
      </c>
      <c r="U122" s="141" t="s">
        <v>1908</v>
      </c>
      <c r="V122" s="141"/>
      <c r="W122" s="141"/>
      <c r="X122" s="141"/>
      <c r="Y122" s="141"/>
      <c r="Z122" s="141"/>
      <c r="AA122" s="141"/>
      <c r="AB122" s="141"/>
      <c r="AC122" s="141"/>
      <c r="AD122" s="141"/>
      <c r="AE122" s="141"/>
      <c r="AF122" s="141"/>
      <c r="AG122" s="141"/>
      <c r="AH122" s="141"/>
      <c r="AI122" s="141"/>
      <c r="AJ122" s="141"/>
      <c r="AK122" s="141" t="s">
        <v>354</v>
      </c>
      <c r="AL122" s="141" t="s">
        <v>364</v>
      </c>
      <c r="AM122" s="141" t="s">
        <v>354</v>
      </c>
      <c r="AN122" s="141" t="s">
        <v>904</v>
      </c>
      <c r="AO122" s="141" t="s">
        <v>1908</v>
      </c>
      <c r="AP122" s="141" t="s">
        <v>1909</v>
      </c>
      <c r="AQ122" s="141" t="s">
        <v>1910</v>
      </c>
      <c r="AR122" s="141" t="s">
        <v>408</v>
      </c>
      <c r="AS122" s="141" t="s">
        <v>358</v>
      </c>
      <c r="AT122" s="141"/>
      <c r="AU122" s="141" t="s">
        <v>1932</v>
      </c>
      <c r="AV122" s="141" t="s">
        <v>763</v>
      </c>
      <c r="AW122" s="141" t="s">
        <v>1934</v>
      </c>
      <c r="AX122" s="141" t="s">
        <v>1881</v>
      </c>
      <c r="AY122" s="141" t="s">
        <v>1935</v>
      </c>
      <c r="AZ122" s="141" t="s">
        <v>774</v>
      </c>
      <c r="BA122" s="141" t="s">
        <v>1936</v>
      </c>
      <c r="BB122" s="141" t="s">
        <v>776</v>
      </c>
      <c r="BC122" s="141" t="s">
        <v>1937</v>
      </c>
      <c r="BD122" s="141" t="s">
        <v>778</v>
      </c>
      <c r="BE122" s="141" t="s">
        <v>1938</v>
      </c>
      <c r="BF122" s="141" t="s">
        <v>890</v>
      </c>
      <c r="BG122" s="141" t="s">
        <v>1939</v>
      </c>
      <c r="BH122" s="141" t="s">
        <v>912</v>
      </c>
      <c r="BI122" s="141" t="s">
        <v>748</v>
      </c>
      <c r="BJ122" s="141" t="s">
        <v>382</v>
      </c>
      <c r="BK122" s="141" t="s">
        <v>1940</v>
      </c>
      <c r="BL122" s="141"/>
      <c r="BM122" s="141"/>
      <c r="BN122" s="141"/>
      <c r="BO122" s="141"/>
      <c r="BP122" s="141"/>
      <c r="BQ122" s="141"/>
      <c r="BR122" s="141"/>
      <c r="BS122" s="141"/>
      <c r="BT122" s="141"/>
      <c r="BU122" s="141"/>
      <c r="BV122" s="141"/>
      <c r="BW122" s="141"/>
      <c r="BX122" s="141"/>
      <c r="BY122" s="141"/>
      <c r="BZ122" s="141"/>
      <c r="CA122" s="141"/>
      <c r="CB122" s="141"/>
      <c r="CC122" s="141"/>
      <c r="CD122" s="141"/>
      <c r="CE122" s="141"/>
      <c r="CF122" s="141"/>
      <c r="CG122" s="141"/>
      <c r="CH122" s="141"/>
      <c r="CI122" s="141"/>
      <c r="CJ122" s="141"/>
      <c r="CK122" s="141"/>
      <c r="CL122" s="141"/>
      <c r="CM122" s="141"/>
      <c r="CN122" s="141"/>
      <c r="CO122" s="141"/>
      <c r="CP122" s="141"/>
      <c r="CQ122" s="141"/>
      <c r="CR122" s="141"/>
      <c r="CS122" s="141"/>
      <c r="CT122" s="141"/>
      <c r="CU122" s="141"/>
      <c r="CV122" s="141"/>
      <c r="CW122" s="141"/>
      <c r="CX122" s="141"/>
      <c r="CY122" s="141"/>
      <c r="CZ122" s="141"/>
      <c r="DA122" s="173"/>
    </row>
    <row r="123" spans="2:105" x14ac:dyDescent="0.25">
      <c r="B123" s="172"/>
      <c r="C123" s="141" t="s">
        <v>1941</v>
      </c>
      <c r="D123" s="141" t="s">
        <v>906</v>
      </c>
      <c r="E123" s="141" t="s">
        <v>1942</v>
      </c>
      <c r="F123" s="141" t="s">
        <v>1943</v>
      </c>
      <c r="G123" s="141"/>
      <c r="H123" s="141" t="s">
        <v>353</v>
      </c>
      <c r="I123" s="141"/>
      <c r="J123" s="141" t="s">
        <v>354</v>
      </c>
      <c r="K123" s="141" t="s">
        <v>1944</v>
      </c>
      <c r="L123" s="141" t="s">
        <v>1945</v>
      </c>
      <c r="M123" s="141" t="s">
        <v>1892</v>
      </c>
      <c r="N123" s="141" t="s">
        <v>354</v>
      </c>
      <c r="O123" s="141" t="s">
        <v>485</v>
      </c>
      <c r="P123" s="141" t="s">
        <v>1630</v>
      </c>
      <c r="Q123" s="141" t="s">
        <v>1631</v>
      </c>
      <c r="R123" s="141" t="s">
        <v>361</v>
      </c>
      <c r="S123" s="141" t="s">
        <v>441</v>
      </c>
      <c r="T123" s="141" t="s">
        <v>1908</v>
      </c>
      <c r="U123" s="141" t="s">
        <v>1908</v>
      </c>
      <c r="V123" s="141"/>
      <c r="W123" s="141"/>
      <c r="X123" s="141"/>
      <c r="Y123" s="141"/>
      <c r="Z123" s="141"/>
      <c r="AA123" s="141"/>
      <c r="AB123" s="141"/>
      <c r="AC123" s="141"/>
      <c r="AD123" s="141"/>
      <c r="AE123" s="141"/>
      <c r="AF123" s="141"/>
      <c r="AG123" s="141"/>
      <c r="AH123" s="141"/>
      <c r="AI123" s="141"/>
      <c r="AJ123" s="141"/>
      <c r="AK123" s="141" t="s">
        <v>354</v>
      </c>
      <c r="AL123" s="141" t="s">
        <v>364</v>
      </c>
      <c r="AM123" s="141" t="s">
        <v>354</v>
      </c>
      <c r="AN123" s="141" t="s">
        <v>904</v>
      </c>
      <c r="AO123" s="141" t="s">
        <v>1908</v>
      </c>
      <c r="AP123" s="141" t="s">
        <v>1909</v>
      </c>
      <c r="AQ123" s="141" t="s">
        <v>1910</v>
      </c>
      <c r="AR123" s="141" t="s">
        <v>408</v>
      </c>
      <c r="AS123" s="141" t="s">
        <v>426</v>
      </c>
      <c r="AT123" s="141"/>
      <c r="AU123" s="141" t="s">
        <v>1945</v>
      </c>
      <c r="AV123" s="141" t="s">
        <v>763</v>
      </c>
      <c r="AW123" s="141" t="s">
        <v>1946</v>
      </c>
      <c r="AX123" s="141" t="s">
        <v>1881</v>
      </c>
      <c r="AY123" s="141" t="s">
        <v>1947</v>
      </c>
      <c r="AZ123" s="141" t="s">
        <v>774</v>
      </c>
      <c r="BA123" s="141" t="s">
        <v>797</v>
      </c>
      <c r="BB123" s="141" t="s">
        <v>776</v>
      </c>
      <c r="BC123" s="141" t="s">
        <v>1382</v>
      </c>
      <c r="BD123" s="141" t="s">
        <v>778</v>
      </c>
      <c r="BE123" s="141" t="s">
        <v>1948</v>
      </c>
      <c r="BF123" s="141" t="s">
        <v>890</v>
      </c>
      <c r="BG123" s="141" t="s">
        <v>1949</v>
      </c>
      <c r="BH123" s="141" t="s">
        <v>912</v>
      </c>
      <c r="BI123" s="141" t="s">
        <v>1950</v>
      </c>
      <c r="BJ123" s="141" t="s">
        <v>382</v>
      </c>
      <c r="BK123" s="141" t="s">
        <v>1951</v>
      </c>
      <c r="BL123" s="141"/>
      <c r="BM123" s="141"/>
      <c r="BN123" s="141"/>
      <c r="BO123" s="141"/>
      <c r="BP123" s="141"/>
      <c r="BQ123" s="141"/>
      <c r="BR123" s="141"/>
      <c r="BS123" s="141"/>
      <c r="BT123" s="141"/>
      <c r="BU123" s="141"/>
      <c r="BV123" s="141"/>
      <c r="BW123" s="141"/>
      <c r="BX123" s="141"/>
      <c r="BY123" s="141"/>
      <c r="BZ123" s="141"/>
      <c r="CA123" s="141"/>
      <c r="CB123" s="141"/>
      <c r="CC123" s="141"/>
      <c r="CD123" s="141"/>
      <c r="CE123" s="141"/>
      <c r="CF123" s="141"/>
      <c r="CG123" s="141"/>
      <c r="CH123" s="141"/>
      <c r="CI123" s="141"/>
      <c r="CJ123" s="141"/>
      <c r="CK123" s="141"/>
      <c r="CL123" s="141"/>
      <c r="CM123" s="141"/>
      <c r="CN123" s="141"/>
      <c r="CO123" s="141"/>
      <c r="CP123" s="141"/>
      <c r="CQ123" s="141"/>
      <c r="CR123" s="141"/>
      <c r="CS123" s="141"/>
      <c r="CT123" s="141"/>
      <c r="CU123" s="141"/>
      <c r="CV123" s="141"/>
      <c r="CW123" s="141"/>
      <c r="CX123" s="141"/>
      <c r="CY123" s="141"/>
      <c r="CZ123" s="141"/>
      <c r="DA123" s="173"/>
    </row>
    <row r="124" spans="2:105" x14ac:dyDescent="0.25">
      <c r="B124" s="172"/>
      <c r="C124" s="141" t="s">
        <v>1952</v>
      </c>
      <c r="D124" s="141" t="s">
        <v>787</v>
      </c>
      <c r="E124" s="141" t="s">
        <v>1953</v>
      </c>
      <c r="F124" s="141" t="s">
        <v>1954</v>
      </c>
      <c r="G124" s="141"/>
      <c r="H124" s="141" t="s">
        <v>353</v>
      </c>
      <c r="I124" s="141"/>
      <c r="J124" s="141" t="s">
        <v>354</v>
      </c>
      <c r="K124" s="141" t="s">
        <v>1955</v>
      </c>
      <c r="L124" s="141" t="s">
        <v>1956</v>
      </c>
      <c r="M124" s="141" t="s">
        <v>1957</v>
      </c>
      <c r="N124" s="141" t="s">
        <v>354</v>
      </c>
      <c r="O124" s="141" t="s">
        <v>369</v>
      </c>
      <c r="P124" s="141" t="s">
        <v>528</v>
      </c>
      <c r="Q124" s="141" t="s">
        <v>529</v>
      </c>
      <c r="R124" s="141" t="s">
        <v>361</v>
      </c>
      <c r="S124" s="141" t="s">
        <v>441</v>
      </c>
      <c r="T124" s="141" t="s">
        <v>1908</v>
      </c>
      <c r="U124" s="141" t="s">
        <v>1908</v>
      </c>
      <c r="V124" s="141"/>
      <c r="W124" s="141"/>
      <c r="X124" s="141"/>
      <c r="Y124" s="141"/>
      <c r="Z124" s="141"/>
      <c r="AA124" s="141"/>
      <c r="AB124" s="141"/>
      <c r="AC124" s="141"/>
      <c r="AD124" s="141"/>
      <c r="AE124" s="141"/>
      <c r="AF124" s="141"/>
      <c r="AG124" s="141"/>
      <c r="AH124" s="141"/>
      <c r="AI124" s="141"/>
      <c r="AJ124" s="141"/>
      <c r="AK124" s="141" t="s">
        <v>354</v>
      </c>
      <c r="AL124" s="141" t="s">
        <v>364</v>
      </c>
      <c r="AM124" s="141" t="s">
        <v>354</v>
      </c>
      <c r="AN124" s="141" t="s">
        <v>904</v>
      </c>
      <c r="AO124" s="141" t="s">
        <v>1908</v>
      </c>
      <c r="AP124" s="141" t="s">
        <v>1909</v>
      </c>
      <c r="AQ124" s="141" t="s">
        <v>1910</v>
      </c>
      <c r="AR124" s="141" t="s">
        <v>408</v>
      </c>
      <c r="AS124" s="141" t="s">
        <v>441</v>
      </c>
      <c r="AT124" s="141"/>
      <c r="AU124" s="141" t="s">
        <v>1956</v>
      </c>
      <c r="AV124" s="141" t="s">
        <v>763</v>
      </c>
      <c r="AW124" s="141" t="s">
        <v>1958</v>
      </c>
      <c r="AX124" s="141" t="s">
        <v>1881</v>
      </c>
      <c r="AY124" s="141" t="s">
        <v>1959</v>
      </c>
      <c r="AZ124" s="141" t="s">
        <v>774</v>
      </c>
      <c r="BA124" s="141" t="s">
        <v>896</v>
      </c>
      <c r="BB124" s="141" t="s">
        <v>776</v>
      </c>
      <c r="BC124" s="141" t="s">
        <v>1960</v>
      </c>
      <c r="BD124" s="141" t="s">
        <v>778</v>
      </c>
      <c r="BE124" s="141" t="s">
        <v>1961</v>
      </c>
      <c r="BF124" s="141" t="s">
        <v>890</v>
      </c>
      <c r="BG124" s="141" t="s">
        <v>1962</v>
      </c>
      <c r="BH124" s="141" t="s">
        <v>912</v>
      </c>
      <c r="BI124" s="141" t="s">
        <v>1963</v>
      </c>
      <c r="BJ124" s="141" t="s">
        <v>382</v>
      </c>
      <c r="BK124" s="141" t="s">
        <v>1964</v>
      </c>
      <c r="BL124" s="141"/>
      <c r="BM124" s="141"/>
      <c r="BN124" s="141"/>
      <c r="BO124" s="141"/>
      <c r="BP124" s="141"/>
      <c r="BQ124" s="141"/>
      <c r="BR124" s="141"/>
      <c r="BS124" s="141"/>
      <c r="BT124" s="141"/>
      <c r="BU124" s="141"/>
      <c r="BV124" s="141"/>
      <c r="BW124" s="141"/>
      <c r="BX124" s="141"/>
      <c r="BY124" s="141"/>
      <c r="BZ124" s="141"/>
      <c r="CA124" s="141"/>
      <c r="CB124" s="141"/>
      <c r="CC124" s="141"/>
      <c r="CD124" s="141"/>
      <c r="CE124" s="141"/>
      <c r="CF124" s="141"/>
      <c r="CG124" s="141"/>
      <c r="CH124" s="141"/>
      <c r="CI124" s="141"/>
      <c r="CJ124" s="141"/>
      <c r="CK124" s="141"/>
      <c r="CL124" s="141"/>
      <c r="CM124" s="141"/>
      <c r="CN124" s="141"/>
      <c r="CO124" s="141"/>
      <c r="CP124" s="141"/>
      <c r="CQ124" s="141"/>
      <c r="CR124" s="141"/>
      <c r="CS124" s="141"/>
      <c r="CT124" s="141"/>
      <c r="CU124" s="141"/>
      <c r="CV124" s="141"/>
      <c r="CW124" s="141"/>
      <c r="CX124" s="141"/>
      <c r="CY124" s="141"/>
      <c r="CZ124" s="141"/>
      <c r="DA124" s="173"/>
    </row>
    <row r="125" spans="2:105" x14ac:dyDescent="0.25">
      <c r="B125" s="172"/>
      <c r="C125" s="141" t="s">
        <v>1965</v>
      </c>
      <c r="D125" s="141" t="s">
        <v>1966</v>
      </c>
      <c r="E125" s="141" t="s">
        <v>727</v>
      </c>
      <c r="F125" s="141" t="s">
        <v>1967</v>
      </c>
      <c r="G125" s="141"/>
      <c r="H125" s="141" t="s">
        <v>353</v>
      </c>
      <c r="I125" s="141"/>
      <c r="J125" s="141" t="s">
        <v>354</v>
      </c>
      <c r="K125" s="141" t="s">
        <v>1878</v>
      </c>
      <c r="L125" s="141" t="s">
        <v>1968</v>
      </c>
      <c r="M125" s="141" t="s">
        <v>857</v>
      </c>
      <c r="N125" s="141" t="s">
        <v>354</v>
      </c>
      <c r="O125" s="141" t="s">
        <v>426</v>
      </c>
      <c r="P125" s="141" t="s">
        <v>454</v>
      </c>
      <c r="Q125" s="141" t="s">
        <v>455</v>
      </c>
      <c r="R125" s="141" t="s">
        <v>361</v>
      </c>
      <c r="S125" s="141" t="s">
        <v>441</v>
      </c>
      <c r="T125" s="141" t="s">
        <v>1908</v>
      </c>
      <c r="U125" s="141" t="s">
        <v>1908</v>
      </c>
      <c r="V125" s="141"/>
      <c r="W125" s="141"/>
      <c r="X125" s="141"/>
      <c r="Y125" s="141"/>
      <c r="Z125" s="141"/>
      <c r="AA125" s="141"/>
      <c r="AB125" s="141"/>
      <c r="AC125" s="141"/>
      <c r="AD125" s="141"/>
      <c r="AE125" s="141"/>
      <c r="AF125" s="141"/>
      <c r="AG125" s="141"/>
      <c r="AH125" s="141"/>
      <c r="AI125" s="141"/>
      <c r="AJ125" s="141"/>
      <c r="AK125" s="141" t="s">
        <v>354</v>
      </c>
      <c r="AL125" s="141" t="s">
        <v>364</v>
      </c>
      <c r="AM125" s="141" t="s">
        <v>354</v>
      </c>
      <c r="AN125" s="141" t="s">
        <v>904</v>
      </c>
      <c r="AO125" s="141" t="s">
        <v>1908</v>
      </c>
      <c r="AP125" s="141" t="s">
        <v>1909</v>
      </c>
      <c r="AQ125" s="141" t="s">
        <v>1910</v>
      </c>
      <c r="AR125" s="141" t="s">
        <v>408</v>
      </c>
      <c r="AS125" s="141" t="s">
        <v>391</v>
      </c>
      <c r="AT125" s="141"/>
      <c r="AU125" s="141" t="s">
        <v>1968</v>
      </c>
      <c r="AV125" s="141" t="s">
        <v>763</v>
      </c>
      <c r="AW125" s="141" t="s">
        <v>1969</v>
      </c>
      <c r="AX125" s="141" t="s">
        <v>1881</v>
      </c>
      <c r="AY125" s="141" t="s">
        <v>1970</v>
      </c>
      <c r="AZ125" s="141" t="s">
        <v>774</v>
      </c>
      <c r="BA125" s="141" t="s">
        <v>1971</v>
      </c>
      <c r="BB125" s="141" t="s">
        <v>776</v>
      </c>
      <c r="BC125" s="141" t="s">
        <v>1972</v>
      </c>
      <c r="BD125" s="141" t="s">
        <v>778</v>
      </c>
      <c r="BE125" s="141" t="s">
        <v>1804</v>
      </c>
      <c r="BF125" s="141" t="s">
        <v>890</v>
      </c>
      <c r="BG125" s="141" t="s">
        <v>1973</v>
      </c>
      <c r="BH125" s="141" t="s">
        <v>912</v>
      </c>
      <c r="BI125" s="141" t="s">
        <v>1974</v>
      </c>
      <c r="BJ125" s="141" t="s">
        <v>382</v>
      </c>
      <c r="BK125" s="141" t="s">
        <v>1975</v>
      </c>
      <c r="BL125" s="141"/>
      <c r="BM125" s="141"/>
      <c r="BN125" s="141"/>
      <c r="BO125" s="141"/>
      <c r="BP125" s="141"/>
      <c r="BQ125" s="141"/>
      <c r="BR125" s="141"/>
      <c r="BS125" s="141"/>
      <c r="BT125" s="141"/>
      <c r="BU125" s="141"/>
      <c r="BV125" s="141"/>
      <c r="BW125" s="141"/>
      <c r="BX125" s="141"/>
      <c r="BY125" s="141"/>
      <c r="BZ125" s="141"/>
      <c r="CA125" s="141"/>
      <c r="CB125" s="141"/>
      <c r="CC125" s="141"/>
      <c r="CD125" s="141"/>
      <c r="CE125" s="141"/>
      <c r="CF125" s="141"/>
      <c r="CG125" s="141"/>
      <c r="CH125" s="141"/>
      <c r="CI125" s="141"/>
      <c r="CJ125" s="141"/>
      <c r="CK125" s="141"/>
      <c r="CL125" s="141"/>
      <c r="CM125" s="141"/>
      <c r="CN125" s="141"/>
      <c r="CO125" s="141"/>
      <c r="CP125" s="141"/>
      <c r="CQ125" s="141"/>
      <c r="CR125" s="141"/>
      <c r="CS125" s="141"/>
      <c r="CT125" s="141"/>
      <c r="CU125" s="141"/>
      <c r="CV125" s="141"/>
      <c r="CW125" s="141"/>
      <c r="CX125" s="141"/>
      <c r="CY125" s="141"/>
      <c r="CZ125" s="141"/>
      <c r="DA125" s="173"/>
    </row>
    <row r="126" spans="2:105" x14ac:dyDescent="0.25">
      <c r="B126" s="172"/>
      <c r="C126" s="141" t="s">
        <v>1976</v>
      </c>
      <c r="D126" s="141" t="s">
        <v>1977</v>
      </c>
      <c r="E126" s="141" t="s">
        <v>1978</v>
      </c>
      <c r="F126" s="141" t="s">
        <v>1979</v>
      </c>
      <c r="G126" s="141"/>
      <c r="H126" s="141" t="s">
        <v>353</v>
      </c>
      <c r="I126" s="141"/>
      <c r="J126" s="141" t="s">
        <v>354</v>
      </c>
      <c r="K126" s="141" t="s">
        <v>1980</v>
      </c>
      <c r="L126" s="141" t="s">
        <v>1981</v>
      </c>
      <c r="M126" s="141" t="s">
        <v>1982</v>
      </c>
      <c r="N126" s="141" t="s">
        <v>354</v>
      </c>
      <c r="O126" s="141" t="s">
        <v>391</v>
      </c>
      <c r="P126" s="141" t="s">
        <v>392</v>
      </c>
      <c r="Q126" s="141" t="s">
        <v>392</v>
      </c>
      <c r="R126" s="141" t="s">
        <v>361</v>
      </c>
      <c r="S126" s="141" t="s">
        <v>441</v>
      </c>
      <c r="T126" s="141" t="s">
        <v>1908</v>
      </c>
      <c r="U126" s="141" t="s">
        <v>1908</v>
      </c>
      <c r="V126" s="141"/>
      <c r="W126" s="141"/>
      <c r="X126" s="141"/>
      <c r="Y126" s="141"/>
      <c r="Z126" s="141"/>
      <c r="AA126" s="141"/>
      <c r="AB126" s="141"/>
      <c r="AC126" s="141"/>
      <c r="AD126" s="141"/>
      <c r="AE126" s="141"/>
      <c r="AF126" s="141"/>
      <c r="AG126" s="141"/>
      <c r="AH126" s="141"/>
      <c r="AI126" s="141"/>
      <c r="AJ126" s="141"/>
      <c r="AK126" s="141" t="s">
        <v>354</v>
      </c>
      <c r="AL126" s="141" t="s">
        <v>364</v>
      </c>
      <c r="AM126" s="141" t="s">
        <v>354</v>
      </c>
      <c r="AN126" s="141" t="s">
        <v>904</v>
      </c>
      <c r="AO126" s="141" t="s">
        <v>1908</v>
      </c>
      <c r="AP126" s="141" t="s">
        <v>1909</v>
      </c>
      <c r="AQ126" s="141" t="s">
        <v>1910</v>
      </c>
      <c r="AR126" s="141" t="s">
        <v>408</v>
      </c>
      <c r="AS126" s="141" t="s">
        <v>368</v>
      </c>
      <c r="AT126" s="141"/>
      <c r="AU126" s="141" t="s">
        <v>1981</v>
      </c>
      <c r="AV126" s="141" t="s">
        <v>763</v>
      </c>
      <c r="AW126" s="141" t="s">
        <v>1983</v>
      </c>
      <c r="AX126" s="141" t="s">
        <v>1881</v>
      </c>
      <c r="AY126" s="141" t="s">
        <v>1984</v>
      </c>
      <c r="AZ126" s="141" t="s">
        <v>774</v>
      </c>
      <c r="BA126" s="141" t="s">
        <v>1185</v>
      </c>
      <c r="BB126" s="141" t="s">
        <v>776</v>
      </c>
      <c r="BC126" s="141" t="s">
        <v>1985</v>
      </c>
      <c r="BD126" s="141" t="s">
        <v>778</v>
      </c>
      <c r="BE126" s="141" t="s">
        <v>1986</v>
      </c>
      <c r="BF126" s="141" t="s">
        <v>890</v>
      </c>
      <c r="BG126" s="141" t="s">
        <v>1987</v>
      </c>
      <c r="BH126" s="141" t="s">
        <v>912</v>
      </c>
      <c r="BI126" s="141" t="s">
        <v>1988</v>
      </c>
      <c r="BJ126" s="141" t="s">
        <v>382</v>
      </c>
      <c r="BK126" s="141" t="s">
        <v>1989</v>
      </c>
      <c r="BL126" s="141"/>
      <c r="BM126" s="141"/>
      <c r="BN126" s="141"/>
      <c r="BO126" s="141"/>
      <c r="BP126" s="141"/>
      <c r="BQ126" s="141"/>
      <c r="BR126" s="141"/>
      <c r="BS126" s="141"/>
      <c r="BT126" s="141"/>
      <c r="BU126" s="141"/>
      <c r="BV126" s="141"/>
      <c r="BW126" s="141"/>
      <c r="BX126" s="141"/>
      <c r="BY126" s="141"/>
      <c r="BZ126" s="141"/>
      <c r="CA126" s="141"/>
      <c r="CB126" s="141"/>
      <c r="CC126" s="141"/>
      <c r="CD126" s="141"/>
      <c r="CE126" s="141"/>
      <c r="CF126" s="141"/>
      <c r="CG126" s="141"/>
      <c r="CH126" s="141"/>
      <c r="CI126" s="141"/>
      <c r="CJ126" s="141"/>
      <c r="CK126" s="141"/>
      <c r="CL126" s="141"/>
      <c r="CM126" s="141"/>
      <c r="CN126" s="141"/>
      <c r="CO126" s="141"/>
      <c r="CP126" s="141"/>
      <c r="CQ126" s="141"/>
      <c r="CR126" s="141"/>
      <c r="CS126" s="141"/>
      <c r="CT126" s="141"/>
      <c r="CU126" s="141"/>
      <c r="CV126" s="141"/>
      <c r="CW126" s="141"/>
      <c r="CX126" s="141"/>
      <c r="CY126" s="141"/>
      <c r="CZ126" s="141"/>
      <c r="DA126" s="173"/>
    </row>
    <row r="127" spans="2:105" x14ac:dyDescent="0.25">
      <c r="B127" s="172"/>
      <c r="C127" s="141" t="s">
        <v>1990</v>
      </c>
      <c r="D127" s="141" t="s">
        <v>1991</v>
      </c>
      <c r="E127" s="141" t="s">
        <v>1992</v>
      </c>
      <c r="F127" s="141" t="s">
        <v>1866</v>
      </c>
      <c r="G127" s="141"/>
      <c r="H127" s="141" t="s">
        <v>353</v>
      </c>
      <c r="I127" s="141"/>
      <c r="J127" s="141" t="s">
        <v>354</v>
      </c>
      <c r="K127" s="141" t="s">
        <v>1993</v>
      </c>
      <c r="L127" s="141" t="s">
        <v>1994</v>
      </c>
      <c r="M127" s="141" t="s">
        <v>1995</v>
      </c>
      <c r="N127" s="141" t="s">
        <v>354</v>
      </c>
      <c r="O127" s="141" t="s">
        <v>369</v>
      </c>
      <c r="P127" s="141" t="s">
        <v>528</v>
      </c>
      <c r="Q127" s="141" t="s">
        <v>529</v>
      </c>
      <c r="R127" s="141" t="s">
        <v>361</v>
      </c>
      <c r="S127" s="141" t="s">
        <v>441</v>
      </c>
      <c r="T127" s="141" t="s">
        <v>1908</v>
      </c>
      <c r="U127" s="141" t="s">
        <v>1908</v>
      </c>
      <c r="V127" s="141"/>
      <c r="W127" s="141"/>
      <c r="X127" s="141"/>
      <c r="Y127" s="141"/>
      <c r="Z127" s="141"/>
      <c r="AA127" s="141"/>
      <c r="AB127" s="141"/>
      <c r="AC127" s="141"/>
      <c r="AD127" s="141"/>
      <c r="AE127" s="141"/>
      <c r="AF127" s="141"/>
      <c r="AG127" s="141"/>
      <c r="AH127" s="141"/>
      <c r="AI127" s="141"/>
      <c r="AJ127" s="141"/>
      <c r="AK127" s="141" t="s">
        <v>354</v>
      </c>
      <c r="AL127" s="141" t="s">
        <v>364</v>
      </c>
      <c r="AM127" s="141" t="s">
        <v>354</v>
      </c>
      <c r="AN127" s="141" t="s">
        <v>904</v>
      </c>
      <c r="AO127" s="141" t="s">
        <v>1908</v>
      </c>
      <c r="AP127" s="141" t="s">
        <v>1909</v>
      </c>
      <c r="AQ127" s="141" t="s">
        <v>1910</v>
      </c>
      <c r="AR127" s="141" t="s">
        <v>408</v>
      </c>
      <c r="AS127" s="141" t="s">
        <v>408</v>
      </c>
      <c r="AT127" s="141"/>
      <c r="AU127" s="141" t="s">
        <v>1994</v>
      </c>
      <c r="AV127" s="141" t="s">
        <v>763</v>
      </c>
      <c r="AW127" s="141" t="s">
        <v>1996</v>
      </c>
      <c r="AX127" s="141" t="s">
        <v>1881</v>
      </c>
      <c r="AY127" s="141" t="s">
        <v>1997</v>
      </c>
      <c r="AZ127" s="141" t="s">
        <v>774</v>
      </c>
      <c r="BA127" s="141" t="s">
        <v>1998</v>
      </c>
      <c r="BB127" s="141" t="s">
        <v>776</v>
      </c>
      <c r="BC127" s="141" t="s">
        <v>1999</v>
      </c>
      <c r="BD127" s="141" t="s">
        <v>778</v>
      </c>
      <c r="BE127" s="141" t="s">
        <v>2000</v>
      </c>
      <c r="BF127" s="141" t="s">
        <v>890</v>
      </c>
      <c r="BG127" s="141" t="s">
        <v>2001</v>
      </c>
      <c r="BH127" s="141" t="s">
        <v>912</v>
      </c>
      <c r="BI127" s="141" t="s">
        <v>2002</v>
      </c>
      <c r="BJ127" s="141" t="s">
        <v>382</v>
      </c>
      <c r="BK127" s="141" t="s">
        <v>1291</v>
      </c>
      <c r="BL127" s="141"/>
      <c r="BM127" s="141"/>
      <c r="BN127" s="141"/>
      <c r="BO127" s="141"/>
      <c r="BP127" s="141"/>
      <c r="BQ127" s="141"/>
      <c r="BR127" s="141"/>
      <c r="BS127" s="141"/>
      <c r="BT127" s="141"/>
      <c r="BU127" s="141"/>
      <c r="BV127" s="141"/>
      <c r="BW127" s="141"/>
      <c r="BX127" s="141"/>
      <c r="BY127" s="141"/>
      <c r="BZ127" s="141"/>
      <c r="CA127" s="141"/>
      <c r="CB127" s="141"/>
      <c r="CC127" s="141"/>
      <c r="CD127" s="141"/>
      <c r="CE127" s="141"/>
      <c r="CF127" s="141"/>
      <c r="CG127" s="141"/>
      <c r="CH127" s="141"/>
      <c r="CI127" s="141"/>
      <c r="CJ127" s="141"/>
      <c r="CK127" s="141"/>
      <c r="CL127" s="141"/>
      <c r="CM127" s="141"/>
      <c r="CN127" s="141"/>
      <c r="CO127" s="141"/>
      <c r="CP127" s="141"/>
      <c r="CQ127" s="141"/>
      <c r="CR127" s="141"/>
      <c r="CS127" s="141"/>
      <c r="CT127" s="141"/>
      <c r="CU127" s="141"/>
      <c r="CV127" s="141"/>
      <c r="CW127" s="141"/>
      <c r="CX127" s="141"/>
      <c r="CY127" s="141"/>
      <c r="CZ127" s="141"/>
      <c r="DA127" s="173"/>
    </row>
    <row r="128" spans="2:105" x14ac:dyDescent="0.25">
      <c r="B128" s="172"/>
      <c r="C128" s="141" t="s">
        <v>2003</v>
      </c>
      <c r="D128" s="141" t="s">
        <v>2004</v>
      </c>
      <c r="E128" s="141" t="s">
        <v>2005</v>
      </c>
      <c r="F128" s="141" t="s">
        <v>2006</v>
      </c>
      <c r="G128" s="141"/>
      <c r="H128" s="141" t="s">
        <v>353</v>
      </c>
      <c r="I128" s="141"/>
      <c r="J128" s="141" t="s">
        <v>354</v>
      </c>
      <c r="K128" s="141" t="s">
        <v>2007</v>
      </c>
      <c r="L128" s="141" t="s">
        <v>2008</v>
      </c>
      <c r="M128" s="141" t="s">
        <v>2009</v>
      </c>
      <c r="N128" s="141" t="s">
        <v>354</v>
      </c>
      <c r="O128" s="141" t="s">
        <v>393</v>
      </c>
      <c r="P128" s="141" t="s">
        <v>424</v>
      </c>
      <c r="Q128" s="141" t="s">
        <v>425</v>
      </c>
      <c r="R128" s="141" t="s">
        <v>361</v>
      </c>
      <c r="S128" s="141" t="s">
        <v>441</v>
      </c>
      <c r="T128" s="141" t="s">
        <v>1908</v>
      </c>
      <c r="U128" s="141" t="s">
        <v>1908</v>
      </c>
      <c r="V128" s="141"/>
      <c r="W128" s="141"/>
      <c r="X128" s="141"/>
      <c r="Y128" s="141"/>
      <c r="Z128" s="141"/>
      <c r="AA128" s="141"/>
      <c r="AB128" s="141"/>
      <c r="AC128" s="141"/>
      <c r="AD128" s="141"/>
      <c r="AE128" s="141"/>
      <c r="AF128" s="141"/>
      <c r="AG128" s="141"/>
      <c r="AH128" s="141"/>
      <c r="AI128" s="141"/>
      <c r="AJ128" s="141"/>
      <c r="AK128" s="141" t="s">
        <v>354</v>
      </c>
      <c r="AL128" s="141" t="s">
        <v>364</v>
      </c>
      <c r="AM128" s="141" t="s">
        <v>354</v>
      </c>
      <c r="AN128" s="141" t="s">
        <v>904</v>
      </c>
      <c r="AO128" s="141" t="s">
        <v>1908</v>
      </c>
      <c r="AP128" s="141" t="s">
        <v>1909</v>
      </c>
      <c r="AQ128" s="141" t="s">
        <v>1910</v>
      </c>
      <c r="AR128" s="141" t="s">
        <v>408</v>
      </c>
      <c r="AS128" s="141" t="s">
        <v>490</v>
      </c>
      <c r="AT128" s="141"/>
      <c r="AU128" s="141" t="s">
        <v>2008</v>
      </c>
      <c r="AV128" s="141" t="s">
        <v>763</v>
      </c>
      <c r="AW128" s="141" t="s">
        <v>623</v>
      </c>
      <c r="AX128" s="141" t="s">
        <v>1881</v>
      </c>
      <c r="AY128" s="141" t="s">
        <v>2010</v>
      </c>
      <c r="AZ128" s="141" t="s">
        <v>774</v>
      </c>
      <c r="BA128" s="141" t="s">
        <v>2011</v>
      </c>
      <c r="BB128" s="141" t="s">
        <v>776</v>
      </c>
      <c r="BC128" s="141" t="s">
        <v>2012</v>
      </c>
      <c r="BD128" s="141" t="s">
        <v>778</v>
      </c>
      <c r="BE128" s="141" t="s">
        <v>2013</v>
      </c>
      <c r="BF128" s="141" t="s">
        <v>890</v>
      </c>
      <c r="BG128" s="141" t="s">
        <v>2014</v>
      </c>
      <c r="BH128" s="141" t="s">
        <v>912</v>
      </c>
      <c r="BI128" s="141" t="s">
        <v>2015</v>
      </c>
      <c r="BJ128" s="141" t="s">
        <v>382</v>
      </c>
      <c r="BK128" s="141" t="s">
        <v>2016</v>
      </c>
      <c r="BL128" s="141"/>
      <c r="BM128" s="141"/>
      <c r="BN128" s="141"/>
      <c r="BO128" s="141"/>
      <c r="BP128" s="141"/>
      <c r="BQ128" s="141"/>
      <c r="BR128" s="141"/>
      <c r="BS128" s="141"/>
      <c r="BT128" s="141"/>
      <c r="BU128" s="141"/>
      <c r="BV128" s="141"/>
      <c r="BW128" s="141"/>
      <c r="BX128" s="141"/>
      <c r="BY128" s="141"/>
      <c r="BZ128" s="141"/>
      <c r="CA128" s="141"/>
      <c r="CB128" s="141"/>
      <c r="CC128" s="141"/>
      <c r="CD128" s="141"/>
      <c r="CE128" s="141"/>
      <c r="CF128" s="141"/>
      <c r="CG128" s="141"/>
      <c r="CH128" s="141"/>
      <c r="CI128" s="141"/>
      <c r="CJ128" s="141"/>
      <c r="CK128" s="141"/>
      <c r="CL128" s="141"/>
      <c r="CM128" s="141"/>
      <c r="CN128" s="141"/>
      <c r="CO128" s="141"/>
      <c r="CP128" s="141"/>
      <c r="CQ128" s="141"/>
      <c r="CR128" s="141"/>
      <c r="CS128" s="141"/>
      <c r="CT128" s="141"/>
      <c r="CU128" s="141"/>
      <c r="CV128" s="141"/>
      <c r="CW128" s="141"/>
      <c r="CX128" s="141"/>
      <c r="CY128" s="141"/>
      <c r="CZ128" s="141"/>
      <c r="DA128" s="173"/>
    </row>
    <row r="129" spans="2:105" x14ac:dyDescent="0.25">
      <c r="B129" s="172"/>
      <c r="C129" s="141" t="s">
        <v>2017</v>
      </c>
      <c r="D129" s="141" t="s">
        <v>2018</v>
      </c>
      <c r="E129" s="141" t="s">
        <v>2019</v>
      </c>
      <c r="F129" s="141" t="s">
        <v>2020</v>
      </c>
      <c r="G129" s="141"/>
      <c r="H129" s="141" t="s">
        <v>353</v>
      </c>
      <c r="I129" s="141"/>
      <c r="J129" s="141" t="s">
        <v>354</v>
      </c>
      <c r="K129" s="141" t="s">
        <v>622</v>
      </c>
      <c r="L129" s="141" t="s">
        <v>2021</v>
      </c>
      <c r="M129" s="141" t="s">
        <v>2022</v>
      </c>
      <c r="N129" s="141" t="s">
        <v>354</v>
      </c>
      <c r="O129" s="141" t="s">
        <v>490</v>
      </c>
      <c r="P129" s="141" t="s">
        <v>2023</v>
      </c>
      <c r="Q129" s="141" t="s">
        <v>2024</v>
      </c>
      <c r="R129" s="141" t="s">
        <v>361</v>
      </c>
      <c r="S129" s="141" t="s">
        <v>441</v>
      </c>
      <c r="T129" s="141" t="s">
        <v>1908</v>
      </c>
      <c r="U129" s="141" t="s">
        <v>1908</v>
      </c>
      <c r="V129" s="141"/>
      <c r="W129" s="141"/>
      <c r="X129" s="141"/>
      <c r="Y129" s="141"/>
      <c r="Z129" s="141"/>
      <c r="AA129" s="141"/>
      <c r="AB129" s="141"/>
      <c r="AC129" s="141"/>
      <c r="AD129" s="141"/>
      <c r="AE129" s="141"/>
      <c r="AF129" s="141"/>
      <c r="AG129" s="141"/>
      <c r="AH129" s="141"/>
      <c r="AI129" s="141"/>
      <c r="AJ129" s="141"/>
      <c r="AK129" s="141" t="s">
        <v>354</v>
      </c>
      <c r="AL129" s="141" t="s">
        <v>364</v>
      </c>
      <c r="AM129" s="141" t="s">
        <v>354</v>
      </c>
      <c r="AN129" s="141" t="s">
        <v>904</v>
      </c>
      <c r="AO129" s="141" t="s">
        <v>1908</v>
      </c>
      <c r="AP129" s="141" t="s">
        <v>1909</v>
      </c>
      <c r="AQ129" s="141" t="s">
        <v>1910</v>
      </c>
      <c r="AR129" s="141" t="s">
        <v>408</v>
      </c>
      <c r="AS129" s="141" t="s">
        <v>485</v>
      </c>
      <c r="AT129" s="141"/>
      <c r="AU129" s="141" t="s">
        <v>2021</v>
      </c>
      <c r="AV129" s="141" t="s">
        <v>763</v>
      </c>
      <c r="AW129" s="141" t="s">
        <v>2025</v>
      </c>
      <c r="AX129" s="141" t="s">
        <v>1881</v>
      </c>
      <c r="AY129" s="141" t="s">
        <v>2026</v>
      </c>
      <c r="AZ129" s="141" t="s">
        <v>774</v>
      </c>
      <c r="BA129" s="141" t="s">
        <v>2027</v>
      </c>
      <c r="BB129" s="141" t="s">
        <v>776</v>
      </c>
      <c r="BC129" s="141" t="s">
        <v>2028</v>
      </c>
      <c r="BD129" s="141" t="s">
        <v>778</v>
      </c>
      <c r="BE129" s="141" t="s">
        <v>2029</v>
      </c>
      <c r="BF129" s="141" t="s">
        <v>890</v>
      </c>
      <c r="BG129" s="141" t="s">
        <v>2030</v>
      </c>
      <c r="BH129" s="141" t="s">
        <v>912</v>
      </c>
      <c r="BI129" s="141" t="s">
        <v>2031</v>
      </c>
      <c r="BJ129" s="141" t="s">
        <v>382</v>
      </c>
      <c r="BK129" s="141" t="s">
        <v>2032</v>
      </c>
      <c r="BL129" s="141"/>
      <c r="BM129" s="141"/>
      <c r="BN129" s="141"/>
      <c r="BO129" s="141"/>
      <c r="BP129" s="141"/>
      <c r="BQ129" s="141"/>
      <c r="BR129" s="141"/>
      <c r="BS129" s="141"/>
      <c r="BT129" s="141"/>
      <c r="BU129" s="141"/>
      <c r="BV129" s="141"/>
      <c r="BW129" s="141"/>
      <c r="BX129" s="141"/>
      <c r="BY129" s="141"/>
      <c r="BZ129" s="141"/>
      <c r="CA129" s="141"/>
      <c r="CB129" s="141"/>
      <c r="CC129" s="141"/>
      <c r="CD129" s="141"/>
      <c r="CE129" s="141"/>
      <c r="CF129" s="141"/>
      <c r="CG129" s="141"/>
      <c r="CH129" s="141"/>
      <c r="CI129" s="141"/>
      <c r="CJ129" s="141"/>
      <c r="CK129" s="141"/>
      <c r="CL129" s="141"/>
      <c r="CM129" s="141"/>
      <c r="CN129" s="141"/>
      <c r="CO129" s="141"/>
      <c r="CP129" s="141"/>
      <c r="CQ129" s="141"/>
      <c r="CR129" s="141"/>
      <c r="CS129" s="141"/>
      <c r="CT129" s="141"/>
      <c r="CU129" s="141"/>
      <c r="CV129" s="141"/>
      <c r="CW129" s="141"/>
      <c r="CX129" s="141"/>
      <c r="CY129" s="141"/>
      <c r="CZ129" s="141"/>
      <c r="DA129" s="173"/>
    </row>
    <row r="130" spans="2:105" x14ac:dyDescent="0.25">
      <c r="B130" s="172"/>
      <c r="C130" s="141" t="s">
        <v>2033</v>
      </c>
      <c r="D130" s="141" t="s">
        <v>2034</v>
      </c>
      <c r="E130" s="141" t="s">
        <v>2035</v>
      </c>
      <c r="F130" s="141" t="s">
        <v>437</v>
      </c>
      <c r="G130" s="141"/>
      <c r="H130" s="141" t="s">
        <v>353</v>
      </c>
      <c r="I130" s="141"/>
      <c r="J130" s="141" t="s">
        <v>354</v>
      </c>
      <c r="K130" s="141" t="s">
        <v>882</v>
      </c>
      <c r="L130" s="141" t="s">
        <v>2036</v>
      </c>
      <c r="M130" s="141" t="s">
        <v>2037</v>
      </c>
      <c r="N130" s="141" t="s">
        <v>354</v>
      </c>
      <c r="O130" s="141" t="s">
        <v>369</v>
      </c>
      <c r="P130" s="141" t="s">
        <v>528</v>
      </c>
      <c r="Q130" s="141" t="s">
        <v>529</v>
      </c>
      <c r="R130" s="141" t="s">
        <v>361</v>
      </c>
      <c r="S130" s="141" t="s">
        <v>441</v>
      </c>
      <c r="T130" s="141" t="s">
        <v>1908</v>
      </c>
      <c r="U130" s="141" t="s">
        <v>1908</v>
      </c>
      <c r="V130" s="141"/>
      <c r="W130" s="141"/>
      <c r="X130" s="141"/>
      <c r="Y130" s="141"/>
      <c r="Z130" s="141"/>
      <c r="AA130" s="141"/>
      <c r="AB130" s="141"/>
      <c r="AC130" s="141"/>
      <c r="AD130" s="141"/>
      <c r="AE130" s="141"/>
      <c r="AF130" s="141"/>
      <c r="AG130" s="141"/>
      <c r="AH130" s="141"/>
      <c r="AI130" s="141"/>
      <c r="AJ130" s="141"/>
      <c r="AK130" s="141" t="s">
        <v>354</v>
      </c>
      <c r="AL130" s="141" t="s">
        <v>364</v>
      </c>
      <c r="AM130" s="141" t="s">
        <v>354</v>
      </c>
      <c r="AN130" s="141" t="s">
        <v>904</v>
      </c>
      <c r="AO130" s="141" t="s">
        <v>1908</v>
      </c>
      <c r="AP130" s="141" t="s">
        <v>1909</v>
      </c>
      <c r="AQ130" s="141" t="s">
        <v>1910</v>
      </c>
      <c r="AR130" s="141" t="s">
        <v>408</v>
      </c>
      <c r="AS130" s="141" t="s">
        <v>362</v>
      </c>
      <c r="AT130" s="141"/>
      <c r="AU130" s="141" t="s">
        <v>2036</v>
      </c>
      <c r="AV130" s="141" t="s">
        <v>763</v>
      </c>
      <c r="AW130" s="141" t="s">
        <v>2038</v>
      </c>
      <c r="AX130" s="141" t="s">
        <v>1881</v>
      </c>
      <c r="AY130" s="141" t="s">
        <v>429</v>
      </c>
      <c r="AZ130" s="141" t="s">
        <v>774</v>
      </c>
      <c r="BA130" s="141" t="s">
        <v>715</v>
      </c>
      <c r="BB130" s="141" t="s">
        <v>776</v>
      </c>
      <c r="BC130" s="141" t="s">
        <v>2039</v>
      </c>
      <c r="BD130" s="141" t="s">
        <v>778</v>
      </c>
      <c r="BE130" s="141" t="s">
        <v>2040</v>
      </c>
      <c r="BF130" s="141" t="s">
        <v>890</v>
      </c>
      <c r="BG130" s="141" t="s">
        <v>2041</v>
      </c>
      <c r="BH130" s="141" t="s">
        <v>912</v>
      </c>
      <c r="BI130" s="141" t="s">
        <v>2042</v>
      </c>
      <c r="BJ130" s="141" t="s">
        <v>382</v>
      </c>
      <c r="BK130" s="141" t="s">
        <v>2043</v>
      </c>
      <c r="BL130" s="141"/>
      <c r="BM130" s="141"/>
      <c r="BN130" s="141"/>
      <c r="BO130" s="141"/>
      <c r="BP130" s="141"/>
      <c r="BQ130" s="141"/>
      <c r="BR130" s="141"/>
      <c r="BS130" s="141"/>
      <c r="BT130" s="141"/>
      <c r="BU130" s="141"/>
      <c r="BV130" s="141"/>
      <c r="BW130" s="141"/>
      <c r="BX130" s="141"/>
      <c r="BY130" s="141"/>
      <c r="BZ130" s="141"/>
      <c r="CA130" s="141"/>
      <c r="CB130" s="141"/>
      <c r="CC130" s="141"/>
      <c r="CD130" s="141"/>
      <c r="CE130" s="141"/>
      <c r="CF130" s="141"/>
      <c r="CG130" s="141"/>
      <c r="CH130" s="141"/>
      <c r="CI130" s="141"/>
      <c r="CJ130" s="141"/>
      <c r="CK130" s="141"/>
      <c r="CL130" s="141"/>
      <c r="CM130" s="141"/>
      <c r="CN130" s="141"/>
      <c r="CO130" s="141"/>
      <c r="CP130" s="141"/>
      <c r="CQ130" s="141"/>
      <c r="CR130" s="141"/>
      <c r="CS130" s="141"/>
      <c r="CT130" s="141"/>
      <c r="CU130" s="141"/>
      <c r="CV130" s="141"/>
      <c r="CW130" s="141"/>
      <c r="CX130" s="141"/>
      <c r="CY130" s="141"/>
      <c r="CZ130" s="141"/>
      <c r="DA130" s="173"/>
    </row>
    <row r="131" spans="2:105" x14ac:dyDescent="0.25">
      <c r="B131" s="172"/>
      <c r="C131" s="141" t="s">
        <v>2044</v>
      </c>
      <c r="D131" s="141" t="s">
        <v>2045</v>
      </c>
      <c r="E131" s="141" t="s">
        <v>2046</v>
      </c>
      <c r="F131" s="141" t="s">
        <v>2047</v>
      </c>
      <c r="G131" s="141"/>
      <c r="H131" s="141" t="s">
        <v>353</v>
      </c>
      <c r="I131" s="141"/>
      <c r="J131" s="141" t="s">
        <v>354</v>
      </c>
      <c r="K131" s="141" t="s">
        <v>2048</v>
      </c>
      <c r="L131" s="141" t="s">
        <v>2049</v>
      </c>
      <c r="M131" s="141" t="s">
        <v>2050</v>
      </c>
      <c r="N131" s="141" t="s">
        <v>354</v>
      </c>
      <c r="O131" s="141" t="s">
        <v>369</v>
      </c>
      <c r="P131" s="141" t="s">
        <v>528</v>
      </c>
      <c r="Q131" s="141" t="s">
        <v>529</v>
      </c>
      <c r="R131" s="141" t="s">
        <v>361</v>
      </c>
      <c r="S131" s="141" t="s">
        <v>441</v>
      </c>
      <c r="T131" s="141" t="s">
        <v>1908</v>
      </c>
      <c r="U131" s="141" t="s">
        <v>1908</v>
      </c>
      <c r="V131" s="141"/>
      <c r="W131" s="141"/>
      <c r="X131" s="141"/>
      <c r="Y131" s="141"/>
      <c r="Z131" s="141"/>
      <c r="AA131" s="141"/>
      <c r="AB131" s="141"/>
      <c r="AC131" s="141"/>
      <c r="AD131" s="141"/>
      <c r="AE131" s="141"/>
      <c r="AF131" s="141"/>
      <c r="AG131" s="141"/>
      <c r="AH131" s="141"/>
      <c r="AI131" s="141"/>
      <c r="AJ131" s="141"/>
      <c r="AK131" s="141" t="s">
        <v>354</v>
      </c>
      <c r="AL131" s="141" t="s">
        <v>364</v>
      </c>
      <c r="AM131" s="141" t="s">
        <v>354</v>
      </c>
      <c r="AN131" s="141" t="s">
        <v>904</v>
      </c>
      <c r="AO131" s="141" t="s">
        <v>1908</v>
      </c>
      <c r="AP131" s="141" t="s">
        <v>1909</v>
      </c>
      <c r="AQ131" s="141" t="s">
        <v>1910</v>
      </c>
      <c r="AR131" s="141" t="s">
        <v>408</v>
      </c>
      <c r="AS131" s="141" t="s">
        <v>1279</v>
      </c>
      <c r="AT131" s="141"/>
      <c r="AU131" s="141" t="s">
        <v>2049</v>
      </c>
      <c r="AV131" s="141" t="s">
        <v>763</v>
      </c>
      <c r="AW131" s="141" t="s">
        <v>2051</v>
      </c>
      <c r="AX131" s="141" t="s">
        <v>1881</v>
      </c>
      <c r="AY131" s="141" t="s">
        <v>503</v>
      </c>
      <c r="AZ131" s="141" t="s">
        <v>774</v>
      </c>
      <c r="BA131" s="141" t="s">
        <v>484</v>
      </c>
      <c r="BB131" s="141" t="s">
        <v>776</v>
      </c>
      <c r="BC131" s="141" t="s">
        <v>2052</v>
      </c>
      <c r="BD131" s="141" t="s">
        <v>778</v>
      </c>
      <c r="BE131" s="141" t="s">
        <v>2053</v>
      </c>
      <c r="BF131" s="141" t="s">
        <v>890</v>
      </c>
      <c r="BG131" s="141" t="s">
        <v>2054</v>
      </c>
      <c r="BH131" s="141" t="s">
        <v>912</v>
      </c>
      <c r="BI131" s="141" t="s">
        <v>2055</v>
      </c>
      <c r="BJ131" s="141" t="s">
        <v>382</v>
      </c>
      <c r="BK131" s="141" t="s">
        <v>2056</v>
      </c>
      <c r="BL131" s="141"/>
      <c r="BM131" s="141"/>
      <c r="BN131" s="141"/>
      <c r="BO131" s="141"/>
      <c r="BP131" s="141"/>
      <c r="BQ131" s="141"/>
      <c r="BR131" s="141"/>
      <c r="BS131" s="141"/>
      <c r="BT131" s="141"/>
      <c r="BU131" s="141"/>
      <c r="BV131" s="141"/>
      <c r="BW131" s="141"/>
      <c r="BX131" s="141"/>
      <c r="BY131" s="141"/>
      <c r="BZ131" s="141"/>
      <c r="CA131" s="141"/>
      <c r="CB131" s="141"/>
      <c r="CC131" s="141"/>
      <c r="CD131" s="141"/>
      <c r="CE131" s="141"/>
      <c r="CF131" s="141"/>
      <c r="CG131" s="141"/>
      <c r="CH131" s="141"/>
      <c r="CI131" s="141"/>
      <c r="CJ131" s="141"/>
      <c r="CK131" s="141"/>
      <c r="CL131" s="141"/>
      <c r="CM131" s="141"/>
      <c r="CN131" s="141"/>
      <c r="CO131" s="141"/>
      <c r="CP131" s="141"/>
      <c r="CQ131" s="141"/>
      <c r="CR131" s="141"/>
      <c r="CS131" s="141"/>
      <c r="CT131" s="141"/>
      <c r="CU131" s="141"/>
      <c r="CV131" s="141"/>
      <c r="CW131" s="141"/>
      <c r="CX131" s="141"/>
      <c r="CY131" s="141"/>
      <c r="CZ131" s="141"/>
      <c r="DA131" s="173"/>
    </row>
    <row r="132" spans="2:105" x14ac:dyDescent="0.25">
      <c r="B132" s="172"/>
      <c r="C132" s="141" t="s">
        <v>2057</v>
      </c>
      <c r="D132" s="141" t="s">
        <v>890</v>
      </c>
      <c r="E132" s="141" t="s">
        <v>2058</v>
      </c>
      <c r="F132" s="141" t="s">
        <v>1363</v>
      </c>
      <c r="G132" s="141"/>
      <c r="H132" s="141" t="s">
        <v>353</v>
      </c>
      <c r="I132" s="141"/>
      <c r="J132" s="141" t="s">
        <v>354</v>
      </c>
      <c r="K132" s="141" t="s">
        <v>2059</v>
      </c>
      <c r="L132" s="141" t="s">
        <v>2060</v>
      </c>
      <c r="M132" s="141" t="s">
        <v>2061</v>
      </c>
      <c r="N132" s="141" t="s">
        <v>354</v>
      </c>
      <c r="O132" s="141" t="s">
        <v>485</v>
      </c>
      <c r="P132" s="141" t="s">
        <v>1630</v>
      </c>
      <c r="Q132" s="141" t="s">
        <v>1631</v>
      </c>
      <c r="R132" s="141" t="s">
        <v>361</v>
      </c>
      <c r="S132" s="141" t="s">
        <v>441</v>
      </c>
      <c r="T132" s="141" t="s">
        <v>1908</v>
      </c>
      <c r="U132" s="141" t="s">
        <v>1908</v>
      </c>
      <c r="V132" s="141"/>
      <c r="W132" s="141"/>
      <c r="X132" s="141"/>
      <c r="Y132" s="141"/>
      <c r="Z132" s="141"/>
      <c r="AA132" s="141"/>
      <c r="AB132" s="141"/>
      <c r="AC132" s="141"/>
      <c r="AD132" s="141"/>
      <c r="AE132" s="141"/>
      <c r="AF132" s="141"/>
      <c r="AG132" s="141"/>
      <c r="AH132" s="141"/>
      <c r="AI132" s="141"/>
      <c r="AJ132" s="141"/>
      <c r="AK132" s="141" t="s">
        <v>354</v>
      </c>
      <c r="AL132" s="141" t="s">
        <v>364</v>
      </c>
      <c r="AM132" s="141" t="s">
        <v>354</v>
      </c>
      <c r="AN132" s="141" t="s">
        <v>904</v>
      </c>
      <c r="AO132" s="141" t="s">
        <v>1908</v>
      </c>
      <c r="AP132" s="141" t="s">
        <v>1909</v>
      </c>
      <c r="AQ132" s="141" t="s">
        <v>1910</v>
      </c>
      <c r="AR132" s="141" t="s">
        <v>408</v>
      </c>
      <c r="AS132" s="141" t="s">
        <v>1294</v>
      </c>
      <c r="AT132" s="141"/>
      <c r="AU132" s="141" t="s">
        <v>2060</v>
      </c>
      <c r="AV132" s="141" t="s">
        <v>763</v>
      </c>
      <c r="AW132" s="141" t="s">
        <v>1969</v>
      </c>
      <c r="AX132" s="141" t="s">
        <v>1881</v>
      </c>
      <c r="AY132" s="141" t="s">
        <v>2062</v>
      </c>
      <c r="AZ132" s="141" t="s">
        <v>774</v>
      </c>
      <c r="BA132" s="141" t="s">
        <v>2063</v>
      </c>
      <c r="BB132" s="141" t="s">
        <v>776</v>
      </c>
      <c r="BC132" s="141" t="s">
        <v>1770</v>
      </c>
      <c r="BD132" s="141" t="s">
        <v>778</v>
      </c>
      <c r="BE132" s="141" t="s">
        <v>2064</v>
      </c>
      <c r="BF132" s="141" t="s">
        <v>890</v>
      </c>
      <c r="BG132" s="141" t="s">
        <v>2014</v>
      </c>
      <c r="BH132" s="141" t="s">
        <v>912</v>
      </c>
      <c r="BI132" s="141" t="s">
        <v>2065</v>
      </c>
      <c r="BJ132" s="141" t="s">
        <v>382</v>
      </c>
      <c r="BK132" s="141" t="s">
        <v>2066</v>
      </c>
      <c r="BL132" s="141"/>
      <c r="BM132" s="141"/>
      <c r="BN132" s="141"/>
      <c r="BO132" s="141"/>
      <c r="BP132" s="141"/>
      <c r="BQ132" s="141"/>
      <c r="BR132" s="141"/>
      <c r="BS132" s="141"/>
      <c r="BT132" s="141"/>
      <c r="BU132" s="141"/>
      <c r="BV132" s="141"/>
      <c r="BW132" s="141"/>
      <c r="BX132" s="141"/>
      <c r="BY132" s="141"/>
      <c r="BZ132" s="141"/>
      <c r="CA132" s="141"/>
      <c r="CB132" s="141"/>
      <c r="CC132" s="141"/>
      <c r="CD132" s="141"/>
      <c r="CE132" s="141"/>
      <c r="CF132" s="141"/>
      <c r="CG132" s="141"/>
      <c r="CH132" s="141"/>
      <c r="CI132" s="141"/>
      <c r="CJ132" s="141"/>
      <c r="CK132" s="141"/>
      <c r="CL132" s="141"/>
      <c r="CM132" s="141"/>
      <c r="CN132" s="141"/>
      <c r="CO132" s="141"/>
      <c r="CP132" s="141"/>
      <c r="CQ132" s="141"/>
      <c r="CR132" s="141"/>
      <c r="CS132" s="141"/>
      <c r="CT132" s="141"/>
      <c r="CU132" s="141"/>
      <c r="CV132" s="141"/>
      <c r="CW132" s="141"/>
      <c r="CX132" s="141"/>
      <c r="CY132" s="141"/>
      <c r="CZ132" s="141"/>
      <c r="DA132" s="173"/>
    </row>
    <row r="133" spans="2:105" x14ac:dyDescent="0.25">
      <c r="B133" s="172"/>
      <c r="C133" s="141" t="s">
        <v>2067</v>
      </c>
      <c r="D133" s="141" t="s">
        <v>499</v>
      </c>
      <c r="E133" s="141" t="s">
        <v>2068</v>
      </c>
      <c r="F133" s="141" t="s">
        <v>2069</v>
      </c>
      <c r="G133" s="141"/>
      <c r="H133" s="141" t="s">
        <v>353</v>
      </c>
      <c r="I133" s="141"/>
      <c r="J133" s="141" t="s">
        <v>354</v>
      </c>
      <c r="K133" s="141" t="s">
        <v>2070</v>
      </c>
      <c r="L133" s="141" t="s">
        <v>2071</v>
      </c>
      <c r="M133" s="141" t="s">
        <v>1040</v>
      </c>
      <c r="N133" s="141" t="s">
        <v>354</v>
      </c>
      <c r="O133" s="141" t="s">
        <v>393</v>
      </c>
      <c r="P133" s="141" t="s">
        <v>424</v>
      </c>
      <c r="Q133" s="141" t="s">
        <v>425</v>
      </c>
      <c r="R133" s="141" t="s">
        <v>361</v>
      </c>
      <c r="S133" s="141" t="s">
        <v>441</v>
      </c>
      <c r="T133" s="141" t="s">
        <v>1908</v>
      </c>
      <c r="U133" s="141" t="s">
        <v>1908</v>
      </c>
      <c r="V133" s="141"/>
      <c r="W133" s="141"/>
      <c r="X133" s="141"/>
      <c r="Y133" s="141"/>
      <c r="Z133" s="141"/>
      <c r="AA133" s="141"/>
      <c r="AB133" s="141"/>
      <c r="AC133" s="141"/>
      <c r="AD133" s="141"/>
      <c r="AE133" s="141"/>
      <c r="AF133" s="141"/>
      <c r="AG133" s="141"/>
      <c r="AH133" s="141"/>
      <c r="AI133" s="141"/>
      <c r="AJ133" s="141"/>
      <c r="AK133" s="141" t="s">
        <v>354</v>
      </c>
      <c r="AL133" s="141" t="s">
        <v>364</v>
      </c>
      <c r="AM133" s="141" t="s">
        <v>354</v>
      </c>
      <c r="AN133" s="141" t="s">
        <v>904</v>
      </c>
      <c r="AO133" s="141" t="s">
        <v>1908</v>
      </c>
      <c r="AP133" s="141" t="s">
        <v>1909</v>
      </c>
      <c r="AQ133" s="141" t="s">
        <v>1910</v>
      </c>
      <c r="AR133" s="141" t="s">
        <v>408</v>
      </c>
      <c r="AS133" s="141" t="s">
        <v>1308</v>
      </c>
      <c r="AT133" s="141"/>
      <c r="AU133" s="141" t="s">
        <v>2071</v>
      </c>
      <c r="AV133" s="141" t="s">
        <v>763</v>
      </c>
      <c r="AW133" s="141" t="s">
        <v>2072</v>
      </c>
      <c r="AX133" s="141" t="s">
        <v>1881</v>
      </c>
      <c r="AY133" s="141" t="s">
        <v>2073</v>
      </c>
      <c r="AZ133" s="141" t="s">
        <v>774</v>
      </c>
      <c r="BA133" s="141" t="s">
        <v>2074</v>
      </c>
      <c r="BB133" s="141" t="s">
        <v>776</v>
      </c>
      <c r="BC133" s="141" t="s">
        <v>2075</v>
      </c>
      <c r="BD133" s="141" t="s">
        <v>778</v>
      </c>
      <c r="BE133" s="141" t="s">
        <v>2076</v>
      </c>
      <c r="BF133" s="141" t="s">
        <v>890</v>
      </c>
      <c r="BG133" s="141" t="s">
        <v>2077</v>
      </c>
      <c r="BH133" s="141" t="s">
        <v>912</v>
      </c>
      <c r="BI133" s="141" t="s">
        <v>2078</v>
      </c>
      <c r="BJ133" s="141" t="s">
        <v>382</v>
      </c>
      <c r="BK133" s="141" t="s">
        <v>2079</v>
      </c>
      <c r="BL133" s="141"/>
      <c r="BM133" s="141"/>
      <c r="BN133" s="141"/>
      <c r="BO133" s="141"/>
      <c r="BP133" s="141"/>
      <c r="BQ133" s="141"/>
      <c r="BR133" s="141"/>
      <c r="BS133" s="141"/>
      <c r="BT133" s="141"/>
      <c r="BU133" s="141"/>
      <c r="BV133" s="141"/>
      <c r="BW133" s="141"/>
      <c r="BX133" s="141"/>
      <c r="BY133" s="141"/>
      <c r="BZ133" s="141"/>
      <c r="CA133" s="141"/>
      <c r="CB133" s="141"/>
      <c r="CC133" s="141"/>
      <c r="CD133" s="141"/>
      <c r="CE133" s="141"/>
      <c r="CF133" s="141"/>
      <c r="CG133" s="141"/>
      <c r="CH133" s="141"/>
      <c r="CI133" s="141"/>
      <c r="CJ133" s="141"/>
      <c r="CK133" s="141"/>
      <c r="CL133" s="141"/>
      <c r="CM133" s="141"/>
      <c r="CN133" s="141"/>
      <c r="CO133" s="141"/>
      <c r="CP133" s="141"/>
      <c r="CQ133" s="141"/>
      <c r="CR133" s="141"/>
      <c r="CS133" s="141"/>
      <c r="CT133" s="141"/>
      <c r="CU133" s="141"/>
      <c r="CV133" s="141"/>
      <c r="CW133" s="141"/>
      <c r="CX133" s="141"/>
      <c r="CY133" s="141"/>
      <c r="CZ133" s="141"/>
      <c r="DA133" s="173"/>
    </row>
    <row r="134" spans="2:105" x14ac:dyDescent="0.25">
      <c r="B134" s="172"/>
      <c r="C134" s="141" t="s">
        <v>2080</v>
      </c>
      <c r="D134" s="141" t="s">
        <v>2081</v>
      </c>
      <c r="E134" s="141" t="s">
        <v>2082</v>
      </c>
      <c r="F134" s="141" t="s">
        <v>1290</v>
      </c>
      <c r="G134" s="141"/>
      <c r="H134" s="141" t="s">
        <v>353</v>
      </c>
      <c r="I134" s="141"/>
      <c r="J134" s="141" t="s">
        <v>354</v>
      </c>
      <c r="K134" s="141" t="s">
        <v>453</v>
      </c>
      <c r="L134" s="141" t="s">
        <v>2083</v>
      </c>
      <c r="M134" s="141" t="s">
        <v>2084</v>
      </c>
      <c r="N134" s="141" t="s">
        <v>354</v>
      </c>
      <c r="O134" s="141" t="s">
        <v>393</v>
      </c>
      <c r="P134" s="141" t="s">
        <v>424</v>
      </c>
      <c r="Q134" s="141" t="s">
        <v>425</v>
      </c>
      <c r="R134" s="141" t="s">
        <v>361</v>
      </c>
      <c r="S134" s="141" t="s">
        <v>441</v>
      </c>
      <c r="T134" s="141" t="s">
        <v>1908</v>
      </c>
      <c r="U134" s="141" t="s">
        <v>1908</v>
      </c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141"/>
      <c r="AH134" s="141"/>
      <c r="AI134" s="141"/>
      <c r="AJ134" s="141"/>
      <c r="AK134" s="141" t="s">
        <v>354</v>
      </c>
      <c r="AL134" s="141" t="s">
        <v>364</v>
      </c>
      <c r="AM134" s="141" t="s">
        <v>354</v>
      </c>
      <c r="AN134" s="141" t="s">
        <v>904</v>
      </c>
      <c r="AO134" s="141" t="s">
        <v>1908</v>
      </c>
      <c r="AP134" s="141" t="s">
        <v>1909</v>
      </c>
      <c r="AQ134" s="141" t="s">
        <v>1910</v>
      </c>
      <c r="AR134" s="141" t="s">
        <v>408</v>
      </c>
      <c r="AS134" s="141" t="s">
        <v>1324</v>
      </c>
      <c r="AT134" s="141"/>
      <c r="AU134" s="141" t="s">
        <v>2083</v>
      </c>
      <c r="AV134" s="141" t="s">
        <v>763</v>
      </c>
      <c r="AW134" s="141" t="s">
        <v>2085</v>
      </c>
      <c r="AX134" s="141" t="s">
        <v>1881</v>
      </c>
      <c r="AY134" s="141" t="s">
        <v>2086</v>
      </c>
      <c r="AZ134" s="141" t="s">
        <v>774</v>
      </c>
      <c r="BA134" s="141" t="s">
        <v>2087</v>
      </c>
      <c r="BB134" s="141" t="s">
        <v>776</v>
      </c>
      <c r="BC134" s="141" t="s">
        <v>2088</v>
      </c>
      <c r="BD134" s="141" t="s">
        <v>778</v>
      </c>
      <c r="BE134" s="141" t="s">
        <v>2089</v>
      </c>
      <c r="BF134" s="141" t="s">
        <v>890</v>
      </c>
      <c r="BG134" s="141" t="s">
        <v>2090</v>
      </c>
      <c r="BH134" s="141" t="s">
        <v>912</v>
      </c>
      <c r="BI134" s="141" t="s">
        <v>2091</v>
      </c>
      <c r="BJ134" s="141" t="s">
        <v>382</v>
      </c>
      <c r="BK134" s="141" t="s">
        <v>2092</v>
      </c>
      <c r="BL134" s="141"/>
      <c r="BM134" s="141"/>
      <c r="BN134" s="141"/>
      <c r="BO134" s="141"/>
      <c r="BP134" s="141"/>
      <c r="BQ134" s="141"/>
      <c r="BR134" s="141"/>
      <c r="BS134" s="141"/>
      <c r="BT134" s="141"/>
      <c r="BU134" s="141"/>
      <c r="BV134" s="141"/>
      <c r="BW134" s="141"/>
      <c r="BX134" s="141"/>
      <c r="BY134" s="141"/>
      <c r="BZ134" s="141"/>
      <c r="CA134" s="141"/>
      <c r="CB134" s="141"/>
      <c r="CC134" s="141"/>
      <c r="CD134" s="141"/>
      <c r="CE134" s="141"/>
      <c r="CF134" s="141"/>
      <c r="CG134" s="141"/>
      <c r="CH134" s="141"/>
      <c r="CI134" s="141"/>
      <c r="CJ134" s="141"/>
      <c r="CK134" s="141"/>
      <c r="CL134" s="141"/>
      <c r="CM134" s="141"/>
      <c r="CN134" s="141"/>
      <c r="CO134" s="141"/>
      <c r="CP134" s="141"/>
      <c r="CQ134" s="141"/>
      <c r="CR134" s="141"/>
      <c r="CS134" s="141"/>
      <c r="CT134" s="141"/>
      <c r="CU134" s="141"/>
      <c r="CV134" s="141"/>
      <c r="CW134" s="141"/>
      <c r="CX134" s="141"/>
      <c r="CY134" s="141"/>
      <c r="CZ134" s="141"/>
      <c r="DA134" s="173"/>
    </row>
    <row r="135" spans="2:105" x14ac:dyDescent="0.25">
      <c r="B135" s="172"/>
      <c r="C135" s="141" t="s">
        <v>2093</v>
      </c>
      <c r="D135" s="141" t="s">
        <v>2094</v>
      </c>
      <c r="E135" s="141" t="s">
        <v>2095</v>
      </c>
      <c r="F135" s="141" t="s">
        <v>1482</v>
      </c>
      <c r="G135" s="141"/>
      <c r="H135" s="141" t="s">
        <v>353</v>
      </c>
      <c r="I135" s="141"/>
      <c r="J135" s="141" t="s">
        <v>354</v>
      </c>
      <c r="K135" s="141" t="s">
        <v>2096</v>
      </c>
      <c r="L135" s="141" t="s">
        <v>2097</v>
      </c>
      <c r="M135" s="141" t="s">
        <v>1041</v>
      </c>
      <c r="N135" s="141" t="s">
        <v>354</v>
      </c>
      <c r="O135" s="141" t="s">
        <v>369</v>
      </c>
      <c r="P135" s="141" t="s">
        <v>528</v>
      </c>
      <c r="Q135" s="141" t="s">
        <v>529</v>
      </c>
      <c r="R135" s="141" t="s">
        <v>361</v>
      </c>
      <c r="S135" s="141" t="s">
        <v>441</v>
      </c>
      <c r="T135" s="141" t="s">
        <v>1908</v>
      </c>
      <c r="U135" s="141" t="s">
        <v>1908</v>
      </c>
      <c r="V135" s="141"/>
      <c r="W135" s="141"/>
      <c r="X135" s="141"/>
      <c r="Y135" s="141"/>
      <c r="Z135" s="141"/>
      <c r="AA135" s="141"/>
      <c r="AB135" s="141"/>
      <c r="AC135" s="141"/>
      <c r="AD135" s="141"/>
      <c r="AE135" s="141"/>
      <c r="AF135" s="141"/>
      <c r="AG135" s="141"/>
      <c r="AH135" s="141"/>
      <c r="AI135" s="141"/>
      <c r="AJ135" s="141"/>
      <c r="AK135" s="141" t="s">
        <v>354</v>
      </c>
      <c r="AL135" s="141" t="s">
        <v>364</v>
      </c>
      <c r="AM135" s="141" t="s">
        <v>354</v>
      </c>
      <c r="AN135" s="141" t="s">
        <v>904</v>
      </c>
      <c r="AO135" s="141" t="s">
        <v>1908</v>
      </c>
      <c r="AP135" s="141" t="s">
        <v>1909</v>
      </c>
      <c r="AQ135" s="141" t="s">
        <v>1910</v>
      </c>
      <c r="AR135" s="141" t="s">
        <v>408</v>
      </c>
      <c r="AS135" s="141" t="s">
        <v>1339</v>
      </c>
      <c r="AT135" s="141"/>
      <c r="AU135" s="141" t="s">
        <v>2097</v>
      </c>
      <c r="AV135" s="141" t="s">
        <v>763</v>
      </c>
      <c r="AW135" s="141" t="s">
        <v>2098</v>
      </c>
      <c r="AX135" s="141" t="s">
        <v>1881</v>
      </c>
      <c r="AY135" s="141" t="s">
        <v>2099</v>
      </c>
      <c r="AZ135" s="141" t="s">
        <v>774</v>
      </c>
      <c r="BA135" s="141" t="s">
        <v>812</v>
      </c>
      <c r="BB135" s="141" t="s">
        <v>776</v>
      </c>
      <c r="BC135" s="141" t="s">
        <v>2100</v>
      </c>
      <c r="BD135" s="141" t="s">
        <v>778</v>
      </c>
      <c r="BE135" s="141" t="s">
        <v>2101</v>
      </c>
      <c r="BF135" s="141" t="s">
        <v>890</v>
      </c>
      <c r="BG135" s="141" t="s">
        <v>2102</v>
      </c>
      <c r="BH135" s="141" t="s">
        <v>912</v>
      </c>
      <c r="BI135" s="141" t="s">
        <v>722</v>
      </c>
      <c r="BJ135" s="141" t="s">
        <v>382</v>
      </c>
      <c r="BK135" s="141" t="s">
        <v>2103</v>
      </c>
      <c r="BL135" s="141"/>
      <c r="BM135" s="141"/>
      <c r="BN135" s="141"/>
      <c r="BO135" s="141"/>
      <c r="BP135" s="141"/>
      <c r="BQ135" s="141"/>
      <c r="BR135" s="141"/>
      <c r="BS135" s="141"/>
      <c r="BT135" s="141"/>
      <c r="BU135" s="141"/>
      <c r="BV135" s="141"/>
      <c r="BW135" s="141"/>
      <c r="BX135" s="141"/>
      <c r="BY135" s="141"/>
      <c r="BZ135" s="141"/>
      <c r="CA135" s="141"/>
      <c r="CB135" s="141"/>
      <c r="CC135" s="141"/>
      <c r="CD135" s="141"/>
      <c r="CE135" s="141"/>
      <c r="CF135" s="141"/>
      <c r="CG135" s="141"/>
      <c r="CH135" s="141"/>
      <c r="CI135" s="141"/>
      <c r="CJ135" s="141"/>
      <c r="CK135" s="141"/>
      <c r="CL135" s="141"/>
      <c r="CM135" s="141"/>
      <c r="CN135" s="141"/>
      <c r="CO135" s="141"/>
      <c r="CP135" s="141"/>
      <c r="CQ135" s="141"/>
      <c r="CR135" s="141"/>
      <c r="CS135" s="141"/>
      <c r="CT135" s="141"/>
      <c r="CU135" s="141"/>
      <c r="CV135" s="141"/>
      <c r="CW135" s="141"/>
      <c r="CX135" s="141"/>
      <c r="CY135" s="141"/>
      <c r="CZ135" s="141"/>
      <c r="DA135" s="173"/>
    </row>
    <row r="136" spans="2:105" x14ac:dyDescent="0.25">
      <c r="B136" s="172"/>
      <c r="C136" s="141" t="s">
        <v>2104</v>
      </c>
      <c r="D136" s="141" t="s">
        <v>2105</v>
      </c>
      <c r="E136" s="141" t="s">
        <v>2106</v>
      </c>
      <c r="F136" s="141" t="s">
        <v>404</v>
      </c>
      <c r="G136" s="141"/>
      <c r="H136" s="141" t="s">
        <v>353</v>
      </c>
      <c r="I136" s="141"/>
      <c r="J136" s="141" t="s">
        <v>354</v>
      </c>
      <c r="K136" s="141" t="s">
        <v>1096</v>
      </c>
      <c r="L136" s="141" t="s">
        <v>2107</v>
      </c>
      <c r="M136" s="141" t="s">
        <v>2108</v>
      </c>
      <c r="N136" s="141" t="s">
        <v>354</v>
      </c>
      <c r="O136" s="141" t="s">
        <v>369</v>
      </c>
      <c r="P136" s="141" t="s">
        <v>528</v>
      </c>
      <c r="Q136" s="141" t="s">
        <v>529</v>
      </c>
      <c r="R136" s="141" t="s">
        <v>361</v>
      </c>
      <c r="S136" s="141" t="s">
        <v>441</v>
      </c>
      <c r="T136" s="141" t="s">
        <v>1908</v>
      </c>
      <c r="U136" s="141" t="s">
        <v>1908</v>
      </c>
      <c r="V136" s="141"/>
      <c r="W136" s="141"/>
      <c r="X136" s="141"/>
      <c r="Y136" s="141"/>
      <c r="Z136" s="141"/>
      <c r="AA136" s="141"/>
      <c r="AB136" s="141"/>
      <c r="AC136" s="141"/>
      <c r="AD136" s="141"/>
      <c r="AE136" s="141"/>
      <c r="AF136" s="141"/>
      <c r="AG136" s="141"/>
      <c r="AH136" s="141"/>
      <c r="AI136" s="141"/>
      <c r="AJ136" s="141"/>
      <c r="AK136" s="141" t="s">
        <v>354</v>
      </c>
      <c r="AL136" s="141" t="s">
        <v>364</v>
      </c>
      <c r="AM136" s="141" t="s">
        <v>354</v>
      </c>
      <c r="AN136" s="141" t="s">
        <v>904</v>
      </c>
      <c r="AO136" s="141" t="s">
        <v>1908</v>
      </c>
      <c r="AP136" s="141" t="s">
        <v>1909</v>
      </c>
      <c r="AQ136" s="141" t="s">
        <v>1910</v>
      </c>
      <c r="AR136" s="141" t="s">
        <v>408</v>
      </c>
      <c r="AS136" s="141" t="s">
        <v>889</v>
      </c>
      <c r="AT136" s="141"/>
      <c r="AU136" s="141" t="s">
        <v>2107</v>
      </c>
      <c r="AV136" s="141" t="s">
        <v>763</v>
      </c>
      <c r="AW136" s="141" t="s">
        <v>2109</v>
      </c>
      <c r="AX136" s="141" t="s">
        <v>1881</v>
      </c>
      <c r="AY136" s="141" t="s">
        <v>2110</v>
      </c>
      <c r="AZ136" s="141" t="s">
        <v>774</v>
      </c>
      <c r="BA136" s="141" t="s">
        <v>2111</v>
      </c>
      <c r="BB136" s="141" t="s">
        <v>776</v>
      </c>
      <c r="BC136" s="141" t="s">
        <v>2112</v>
      </c>
      <c r="BD136" s="141" t="s">
        <v>778</v>
      </c>
      <c r="BE136" s="141" t="s">
        <v>2113</v>
      </c>
      <c r="BF136" s="141" t="s">
        <v>890</v>
      </c>
      <c r="BG136" s="141" t="s">
        <v>2114</v>
      </c>
      <c r="BH136" s="141" t="s">
        <v>912</v>
      </c>
      <c r="BI136" s="141" t="s">
        <v>2115</v>
      </c>
      <c r="BJ136" s="141" t="s">
        <v>382</v>
      </c>
      <c r="BK136" s="141" t="s">
        <v>2116</v>
      </c>
      <c r="BL136" s="141"/>
      <c r="BM136" s="141"/>
      <c r="BN136" s="141"/>
      <c r="BO136" s="141"/>
      <c r="BP136" s="141"/>
      <c r="BQ136" s="141"/>
      <c r="BR136" s="141"/>
      <c r="BS136" s="141"/>
      <c r="BT136" s="141"/>
      <c r="BU136" s="141"/>
      <c r="BV136" s="141"/>
      <c r="BW136" s="141"/>
      <c r="BX136" s="141"/>
      <c r="BY136" s="141"/>
      <c r="BZ136" s="141"/>
      <c r="CA136" s="141"/>
      <c r="CB136" s="141"/>
      <c r="CC136" s="141"/>
      <c r="CD136" s="141"/>
      <c r="CE136" s="141"/>
      <c r="CF136" s="141"/>
      <c r="CG136" s="141"/>
      <c r="CH136" s="141"/>
      <c r="CI136" s="141"/>
      <c r="CJ136" s="141"/>
      <c r="CK136" s="141"/>
      <c r="CL136" s="141"/>
      <c r="CM136" s="141"/>
      <c r="CN136" s="141"/>
      <c r="CO136" s="141"/>
      <c r="CP136" s="141"/>
      <c r="CQ136" s="141"/>
      <c r="CR136" s="141"/>
      <c r="CS136" s="141"/>
      <c r="CT136" s="141"/>
      <c r="CU136" s="141"/>
      <c r="CV136" s="141"/>
      <c r="CW136" s="141"/>
      <c r="CX136" s="141"/>
      <c r="CY136" s="141"/>
      <c r="CZ136" s="141"/>
      <c r="DA136" s="173"/>
    </row>
    <row r="137" spans="2:105" x14ac:dyDescent="0.25">
      <c r="B137" s="172"/>
      <c r="C137" s="141" t="s">
        <v>2117</v>
      </c>
      <c r="D137" s="141" t="s">
        <v>2118</v>
      </c>
      <c r="E137" s="141" t="s">
        <v>2119</v>
      </c>
      <c r="F137" s="141" t="s">
        <v>1363</v>
      </c>
      <c r="G137" s="141"/>
      <c r="H137" s="141" t="s">
        <v>353</v>
      </c>
      <c r="I137" s="141"/>
      <c r="J137" s="141" t="s">
        <v>354</v>
      </c>
      <c r="K137" s="141" t="s">
        <v>2120</v>
      </c>
      <c r="L137" s="141" t="s">
        <v>2121</v>
      </c>
      <c r="M137" s="141" t="s">
        <v>2122</v>
      </c>
      <c r="N137" s="141" t="s">
        <v>354</v>
      </c>
      <c r="O137" s="141" t="s">
        <v>393</v>
      </c>
      <c r="P137" s="141" t="s">
        <v>424</v>
      </c>
      <c r="Q137" s="141" t="s">
        <v>425</v>
      </c>
      <c r="R137" s="141" t="s">
        <v>361</v>
      </c>
      <c r="S137" s="141" t="s">
        <v>441</v>
      </c>
      <c r="T137" s="141" t="s">
        <v>1908</v>
      </c>
      <c r="U137" s="141" t="s">
        <v>1908</v>
      </c>
      <c r="V137" s="141"/>
      <c r="W137" s="141"/>
      <c r="X137" s="141"/>
      <c r="Y137" s="141"/>
      <c r="Z137" s="141"/>
      <c r="AA137" s="141"/>
      <c r="AB137" s="141"/>
      <c r="AC137" s="141"/>
      <c r="AD137" s="141"/>
      <c r="AE137" s="141"/>
      <c r="AF137" s="141"/>
      <c r="AG137" s="141"/>
      <c r="AH137" s="141"/>
      <c r="AI137" s="141"/>
      <c r="AJ137" s="141"/>
      <c r="AK137" s="141" t="s">
        <v>354</v>
      </c>
      <c r="AL137" s="141" t="s">
        <v>364</v>
      </c>
      <c r="AM137" s="141" t="s">
        <v>354</v>
      </c>
      <c r="AN137" s="141" t="s">
        <v>904</v>
      </c>
      <c r="AO137" s="141" t="s">
        <v>1908</v>
      </c>
      <c r="AP137" s="141" t="s">
        <v>1909</v>
      </c>
      <c r="AQ137" s="141" t="s">
        <v>1910</v>
      </c>
      <c r="AR137" s="141" t="s">
        <v>408</v>
      </c>
      <c r="AS137" s="141" t="s">
        <v>1367</v>
      </c>
      <c r="AT137" s="141"/>
      <c r="AU137" s="141" t="s">
        <v>2121</v>
      </c>
      <c r="AV137" s="141" t="s">
        <v>763</v>
      </c>
      <c r="AW137" s="141" t="s">
        <v>2123</v>
      </c>
      <c r="AX137" s="141" t="s">
        <v>1881</v>
      </c>
      <c r="AY137" s="141" t="s">
        <v>2124</v>
      </c>
      <c r="AZ137" s="141" t="s">
        <v>774</v>
      </c>
      <c r="BA137" s="141" t="s">
        <v>2125</v>
      </c>
      <c r="BB137" s="141" t="s">
        <v>776</v>
      </c>
      <c r="BC137" s="141" t="s">
        <v>2126</v>
      </c>
      <c r="BD137" s="141" t="s">
        <v>778</v>
      </c>
      <c r="BE137" s="141" t="s">
        <v>2127</v>
      </c>
      <c r="BF137" s="141" t="s">
        <v>890</v>
      </c>
      <c r="BG137" s="141" t="s">
        <v>696</v>
      </c>
      <c r="BH137" s="141" t="s">
        <v>912</v>
      </c>
      <c r="BI137" s="141" t="s">
        <v>2128</v>
      </c>
      <c r="BJ137" s="141" t="s">
        <v>382</v>
      </c>
      <c r="BK137" s="141" t="s">
        <v>1747</v>
      </c>
      <c r="BL137" s="141"/>
      <c r="BM137" s="141"/>
      <c r="BN137" s="141"/>
      <c r="BO137" s="141"/>
      <c r="BP137" s="141"/>
      <c r="BQ137" s="141"/>
      <c r="BR137" s="141"/>
      <c r="BS137" s="141"/>
      <c r="BT137" s="141"/>
      <c r="BU137" s="141"/>
      <c r="BV137" s="141"/>
      <c r="BW137" s="141"/>
      <c r="BX137" s="141"/>
      <c r="BY137" s="141"/>
      <c r="BZ137" s="141"/>
      <c r="CA137" s="141"/>
      <c r="CB137" s="141"/>
      <c r="CC137" s="141"/>
      <c r="CD137" s="141"/>
      <c r="CE137" s="141"/>
      <c r="CF137" s="141"/>
      <c r="CG137" s="141"/>
      <c r="CH137" s="141"/>
      <c r="CI137" s="141"/>
      <c r="CJ137" s="141"/>
      <c r="CK137" s="141"/>
      <c r="CL137" s="141"/>
      <c r="CM137" s="141"/>
      <c r="CN137" s="141"/>
      <c r="CO137" s="141"/>
      <c r="CP137" s="141"/>
      <c r="CQ137" s="141"/>
      <c r="CR137" s="141"/>
      <c r="CS137" s="141"/>
      <c r="CT137" s="141"/>
      <c r="CU137" s="141"/>
      <c r="CV137" s="141"/>
      <c r="CW137" s="141"/>
      <c r="CX137" s="141"/>
      <c r="CY137" s="141"/>
      <c r="CZ137" s="141"/>
      <c r="DA137" s="173"/>
    </row>
    <row r="138" spans="2:105" x14ac:dyDescent="0.25">
      <c r="B138" s="172"/>
      <c r="C138" s="141" t="s">
        <v>2129</v>
      </c>
      <c r="D138" s="141" t="s">
        <v>1426</v>
      </c>
      <c r="E138" s="141" t="s">
        <v>507</v>
      </c>
      <c r="F138" s="141" t="s">
        <v>1028</v>
      </c>
      <c r="G138" s="141"/>
      <c r="H138" s="141" t="s">
        <v>353</v>
      </c>
      <c r="I138" s="141"/>
      <c r="J138" s="141" t="s">
        <v>354</v>
      </c>
      <c r="K138" s="141" t="s">
        <v>621</v>
      </c>
      <c r="L138" s="141" t="s">
        <v>2130</v>
      </c>
      <c r="M138" s="141" t="s">
        <v>2131</v>
      </c>
      <c r="N138" s="141" t="s">
        <v>354</v>
      </c>
      <c r="O138" s="141" t="s">
        <v>441</v>
      </c>
      <c r="P138" s="141" t="s">
        <v>477</v>
      </c>
      <c r="Q138" s="141" t="s">
        <v>478</v>
      </c>
      <c r="R138" s="141" t="s">
        <v>361</v>
      </c>
      <c r="S138" s="141" t="s">
        <v>441</v>
      </c>
      <c r="T138" s="141" t="s">
        <v>1908</v>
      </c>
      <c r="U138" s="141" t="s">
        <v>1908</v>
      </c>
      <c r="V138" s="141"/>
      <c r="W138" s="141"/>
      <c r="X138" s="141"/>
      <c r="Y138" s="141"/>
      <c r="Z138" s="141"/>
      <c r="AA138" s="141"/>
      <c r="AB138" s="141"/>
      <c r="AC138" s="141"/>
      <c r="AD138" s="141"/>
      <c r="AE138" s="141"/>
      <c r="AF138" s="141"/>
      <c r="AG138" s="141"/>
      <c r="AH138" s="141"/>
      <c r="AI138" s="141"/>
      <c r="AJ138" s="141"/>
      <c r="AK138" s="141" t="s">
        <v>354</v>
      </c>
      <c r="AL138" s="141" t="s">
        <v>364</v>
      </c>
      <c r="AM138" s="141" t="s">
        <v>354</v>
      </c>
      <c r="AN138" s="141" t="s">
        <v>904</v>
      </c>
      <c r="AO138" s="141" t="s">
        <v>1908</v>
      </c>
      <c r="AP138" s="141" t="s">
        <v>1909</v>
      </c>
      <c r="AQ138" s="141" t="s">
        <v>1910</v>
      </c>
      <c r="AR138" s="141" t="s">
        <v>408</v>
      </c>
      <c r="AS138" s="141" t="s">
        <v>1380</v>
      </c>
      <c r="AT138" s="141"/>
      <c r="AU138" s="141" t="s">
        <v>2130</v>
      </c>
      <c r="AV138" s="141" t="s">
        <v>763</v>
      </c>
      <c r="AW138" s="141" t="s">
        <v>2132</v>
      </c>
      <c r="AX138" s="141" t="s">
        <v>1881</v>
      </c>
      <c r="AY138" s="141" t="s">
        <v>663</v>
      </c>
      <c r="AZ138" s="141" t="s">
        <v>774</v>
      </c>
      <c r="BA138" s="141" t="s">
        <v>2133</v>
      </c>
      <c r="BB138" s="141" t="s">
        <v>776</v>
      </c>
      <c r="BC138" s="141" t="s">
        <v>2134</v>
      </c>
      <c r="BD138" s="141" t="s">
        <v>778</v>
      </c>
      <c r="BE138" s="141" t="s">
        <v>2135</v>
      </c>
      <c r="BF138" s="141" t="s">
        <v>890</v>
      </c>
      <c r="BG138" s="141" t="s">
        <v>2136</v>
      </c>
      <c r="BH138" s="141" t="s">
        <v>912</v>
      </c>
      <c r="BI138" s="141" t="s">
        <v>2137</v>
      </c>
      <c r="BJ138" s="141" t="s">
        <v>382</v>
      </c>
      <c r="BK138" s="141" t="s">
        <v>2138</v>
      </c>
      <c r="BL138" s="141"/>
      <c r="BM138" s="141"/>
      <c r="BN138" s="141"/>
      <c r="BO138" s="141"/>
      <c r="BP138" s="141"/>
      <c r="BQ138" s="141"/>
      <c r="BR138" s="141"/>
      <c r="BS138" s="141"/>
      <c r="BT138" s="141"/>
      <c r="BU138" s="141"/>
      <c r="BV138" s="141"/>
      <c r="BW138" s="141"/>
      <c r="BX138" s="141"/>
      <c r="BY138" s="141"/>
      <c r="BZ138" s="141"/>
      <c r="CA138" s="141"/>
      <c r="CB138" s="141"/>
      <c r="CC138" s="141"/>
      <c r="CD138" s="141"/>
      <c r="CE138" s="141"/>
      <c r="CF138" s="141"/>
      <c r="CG138" s="141"/>
      <c r="CH138" s="141"/>
      <c r="CI138" s="141"/>
      <c r="CJ138" s="141"/>
      <c r="CK138" s="141"/>
      <c r="CL138" s="141"/>
      <c r="CM138" s="141"/>
      <c r="CN138" s="141"/>
      <c r="CO138" s="141"/>
      <c r="CP138" s="141"/>
      <c r="CQ138" s="141"/>
      <c r="CR138" s="141"/>
      <c r="CS138" s="141"/>
      <c r="CT138" s="141"/>
      <c r="CU138" s="141"/>
      <c r="CV138" s="141"/>
      <c r="CW138" s="141"/>
      <c r="CX138" s="141"/>
      <c r="CY138" s="141"/>
      <c r="CZ138" s="141"/>
      <c r="DA138" s="173"/>
    </row>
    <row r="139" spans="2:105" x14ac:dyDescent="0.25">
      <c r="B139" s="172"/>
      <c r="C139" s="141" t="s">
        <v>2139</v>
      </c>
      <c r="D139" s="141" t="s">
        <v>2140</v>
      </c>
      <c r="E139" s="141" t="s">
        <v>541</v>
      </c>
      <c r="F139" s="141" t="s">
        <v>2141</v>
      </c>
      <c r="G139" s="141"/>
      <c r="H139" s="141" t="s">
        <v>353</v>
      </c>
      <c r="I139" s="141"/>
      <c r="J139" s="141" t="s">
        <v>354</v>
      </c>
      <c r="K139" s="141" t="s">
        <v>2142</v>
      </c>
      <c r="L139" s="141" t="s">
        <v>2143</v>
      </c>
      <c r="M139" s="141" t="s">
        <v>2144</v>
      </c>
      <c r="N139" s="141" t="s">
        <v>354</v>
      </c>
      <c r="O139" s="141" t="s">
        <v>393</v>
      </c>
      <c r="P139" s="141" t="s">
        <v>424</v>
      </c>
      <c r="Q139" s="141" t="s">
        <v>425</v>
      </c>
      <c r="R139" s="141" t="s">
        <v>361</v>
      </c>
      <c r="S139" s="141" t="s">
        <v>441</v>
      </c>
      <c r="T139" s="141" t="s">
        <v>1908</v>
      </c>
      <c r="U139" s="141" t="s">
        <v>1908</v>
      </c>
      <c r="V139" s="141"/>
      <c r="W139" s="141"/>
      <c r="X139" s="141"/>
      <c r="Y139" s="141"/>
      <c r="Z139" s="141"/>
      <c r="AA139" s="141"/>
      <c r="AB139" s="141"/>
      <c r="AC139" s="141"/>
      <c r="AD139" s="141"/>
      <c r="AE139" s="141"/>
      <c r="AF139" s="141"/>
      <c r="AG139" s="141"/>
      <c r="AH139" s="141"/>
      <c r="AI139" s="141"/>
      <c r="AJ139" s="141"/>
      <c r="AK139" s="141" t="s">
        <v>354</v>
      </c>
      <c r="AL139" s="141" t="s">
        <v>364</v>
      </c>
      <c r="AM139" s="141" t="s">
        <v>354</v>
      </c>
      <c r="AN139" s="141" t="s">
        <v>904</v>
      </c>
      <c r="AO139" s="141" t="s">
        <v>1908</v>
      </c>
      <c r="AP139" s="141" t="s">
        <v>1909</v>
      </c>
      <c r="AQ139" s="141" t="s">
        <v>1910</v>
      </c>
      <c r="AR139" s="141" t="s">
        <v>408</v>
      </c>
      <c r="AS139" s="141" t="s">
        <v>1396</v>
      </c>
      <c r="AT139" s="141"/>
      <c r="AU139" s="141" t="s">
        <v>2143</v>
      </c>
      <c r="AV139" s="141" t="s">
        <v>763</v>
      </c>
      <c r="AW139" s="141" t="s">
        <v>2145</v>
      </c>
      <c r="AX139" s="141" t="s">
        <v>1881</v>
      </c>
      <c r="AY139" s="141" t="s">
        <v>2146</v>
      </c>
      <c r="AZ139" s="141" t="s">
        <v>774</v>
      </c>
      <c r="BA139" s="141" t="s">
        <v>2147</v>
      </c>
      <c r="BB139" s="141" t="s">
        <v>776</v>
      </c>
      <c r="BC139" s="141" t="s">
        <v>2148</v>
      </c>
      <c r="BD139" s="141" t="s">
        <v>778</v>
      </c>
      <c r="BE139" s="141" t="s">
        <v>1473</v>
      </c>
      <c r="BF139" s="141" t="s">
        <v>890</v>
      </c>
      <c r="BG139" s="141" t="s">
        <v>2149</v>
      </c>
      <c r="BH139" s="141" t="s">
        <v>912</v>
      </c>
      <c r="BI139" s="141" t="s">
        <v>2150</v>
      </c>
      <c r="BJ139" s="141" t="s">
        <v>382</v>
      </c>
      <c r="BK139" s="141" t="s">
        <v>2151</v>
      </c>
      <c r="BL139" s="141"/>
      <c r="BM139" s="141"/>
      <c r="BN139" s="141"/>
      <c r="BO139" s="141"/>
      <c r="BP139" s="141"/>
      <c r="BQ139" s="141"/>
      <c r="BR139" s="141"/>
      <c r="BS139" s="141"/>
      <c r="BT139" s="141"/>
      <c r="BU139" s="141"/>
      <c r="BV139" s="141"/>
      <c r="BW139" s="141"/>
      <c r="BX139" s="141"/>
      <c r="BY139" s="141"/>
      <c r="BZ139" s="141"/>
      <c r="CA139" s="141"/>
      <c r="CB139" s="141"/>
      <c r="CC139" s="141"/>
      <c r="CD139" s="141"/>
      <c r="CE139" s="141"/>
      <c r="CF139" s="141"/>
      <c r="CG139" s="141"/>
      <c r="CH139" s="141"/>
      <c r="CI139" s="141"/>
      <c r="CJ139" s="141"/>
      <c r="CK139" s="141"/>
      <c r="CL139" s="141"/>
      <c r="CM139" s="141"/>
      <c r="CN139" s="141"/>
      <c r="CO139" s="141"/>
      <c r="CP139" s="141"/>
      <c r="CQ139" s="141"/>
      <c r="CR139" s="141"/>
      <c r="CS139" s="141"/>
      <c r="CT139" s="141"/>
      <c r="CU139" s="141"/>
      <c r="CV139" s="141"/>
      <c r="CW139" s="141"/>
      <c r="CX139" s="141"/>
      <c r="CY139" s="141"/>
      <c r="CZ139" s="141"/>
      <c r="DA139" s="173"/>
    </row>
    <row r="140" spans="2:105" x14ac:dyDescent="0.25">
      <c r="B140" s="172"/>
      <c r="C140" s="141" t="s">
        <v>2152</v>
      </c>
      <c r="D140" s="141" t="s">
        <v>2153</v>
      </c>
      <c r="E140" s="141" t="s">
        <v>2154</v>
      </c>
      <c r="F140" s="141" t="s">
        <v>2155</v>
      </c>
      <c r="G140" s="141"/>
      <c r="H140" s="141" t="s">
        <v>353</v>
      </c>
      <c r="I140" s="141"/>
      <c r="J140" s="141" t="s">
        <v>354</v>
      </c>
      <c r="K140" s="141" t="s">
        <v>750</v>
      </c>
      <c r="L140" s="141" t="s">
        <v>2156</v>
      </c>
      <c r="M140" s="141" t="s">
        <v>2157</v>
      </c>
      <c r="N140" s="141" t="s">
        <v>354</v>
      </c>
      <c r="O140" s="141" t="s">
        <v>393</v>
      </c>
      <c r="P140" s="141" t="s">
        <v>424</v>
      </c>
      <c r="Q140" s="141" t="s">
        <v>425</v>
      </c>
      <c r="R140" s="141" t="s">
        <v>361</v>
      </c>
      <c r="S140" s="141" t="s">
        <v>441</v>
      </c>
      <c r="T140" s="141" t="s">
        <v>1908</v>
      </c>
      <c r="U140" s="141" t="s">
        <v>1908</v>
      </c>
      <c r="V140" s="141"/>
      <c r="W140" s="141"/>
      <c r="X140" s="141"/>
      <c r="Y140" s="141"/>
      <c r="Z140" s="141"/>
      <c r="AA140" s="141"/>
      <c r="AB140" s="141"/>
      <c r="AC140" s="141"/>
      <c r="AD140" s="141"/>
      <c r="AE140" s="141"/>
      <c r="AF140" s="141"/>
      <c r="AG140" s="141"/>
      <c r="AH140" s="141"/>
      <c r="AI140" s="141"/>
      <c r="AJ140" s="141"/>
      <c r="AK140" s="141" t="s">
        <v>354</v>
      </c>
      <c r="AL140" s="141" t="s">
        <v>364</v>
      </c>
      <c r="AM140" s="141" t="s">
        <v>354</v>
      </c>
      <c r="AN140" s="141" t="s">
        <v>904</v>
      </c>
      <c r="AO140" s="141" t="s">
        <v>1908</v>
      </c>
      <c r="AP140" s="141" t="s">
        <v>1909</v>
      </c>
      <c r="AQ140" s="141" t="s">
        <v>1910</v>
      </c>
      <c r="AR140" s="141" t="s">
        <v>408</v>
      </c>
      <c r="AS140" s="141" t="s">
        <v>1410</v>
      </c>
      <c r="AT140" s="141"/>
      <c r="AU140" s="141" t="s">
        <v>2156</v>
      </c>
      <c r="AV140" s="141" t="s">
        <v>763</v>
      </c>
      <c r="AW140" s="141" t="s">
        <v>2158</v>
      </c>
      <c r="AX140" s="141" t="s">
        <v>1881</v>
      </c>
      <c r="AY140" s="141" t="s">
        <v>2159</v>
      </c>
      <c r="AZ140" s="141" t="s">
        <v>774</v>
      </c>
      <c r="BA140" s="141" t="s">
        <v>2160</v>
      </c>
      <c r="BB140" s="141" t="s">
        <v>776</v>
      </c>
      <c r="BC140" s="141" t="s">
        <v>2161</v>
      </c>
      <c r="BD140" s="141" t="s">
        <v>778</v>
      </c>
      <c r="BE140" s="141" t="s">
        <v>2162</v>
      </c>
      <c r="BF140" s="141" t="s">
        <v>890</v>
      </c>
      <c r="BG140" s="141" t="s">
        <v>2163</v>
      </c>
      <c r="BH140" s="141" t="s">
        <v>912</v>
      </c>
      <c r="BI140" s="141" t="s">
        <v>2164</v>
      </c>
      <c r="BJ140" s="141" t="s">
        <v>382</v>
      </c>
      <c r="BK140" s="141" t="s">
        <v>1432</v>
      </c>
      <c r="BL140" s="141"/>
      <c r="BM140" s="141"/>
      <c r="BN140" s="141"/>
      <c r="BO140" s="141"/>
      <c r="BP140" s="141"/>
      <c r="BQ140" s="141"/>
      <c r="BR140" s="141"/>
      <c r="BS140" s="141"/>
      <c r="BT140" s="141"/>
      <c r="BU140" s="141"/>
      <c r="BV140" s="141"/>
      <c r="BW140" s="141"/>
      <c r="BX140" s="141"/>
      <c r="BY140" s="141"/>
      <c r="BZ140" s="141"/>
      <c r="CA140" s="141"/>
      <c r="CB140" s="141"/>
      <c r="CC140" s="141"/>
      <c r="CD140" s="141"/>
      <c r="CE140" s="141"/>
      <c r="CF140" s="141"/>
      <c r="CG140" s="141"/>
      <c r="CH140" s="141"/>
      <c r="CI140" s="141"/>
      <c r="CJ140" s="141"/>
      <c r="CK140" s="141"/>
      <c r="CL140" s="141"/>
      <c r="CM140" s="141"/>
      <c r="CN140" s="141"/>
      <c r="CO140" s="141"/>
      <c r="CP140" s="141"/>
      <c r="CQ140" s="141"/>
      <c r="CR140" s="141"/>
      <c r="CS140" s="141"/>
      <c r="CT140" s="141"/>
      <c r="CU140" s="141"/>
      <c r="CV140" s="141"/>
      <c r="CW140" s="141"/>
      <c r="CX140" s="141"/>
      <c r="CY140" s="141"/>
      <c r="CZ140" s="141"/>
      <c r="DA140" s="173"/>
    </row>
    <row r="141" spans="2:105" x14ac:dyDescent="0.25">
      <c r="B141" s="172"/>
      <c r="C141" s="141" t="s">
        <v>2165</v>
      </c>
      <c r="D141" s="141" t="s">
        <v>2166</v>
      </c>
      <c r="E141" s="141" t="s">
        <v>732</v>
      </c>
      <c r="F141" s="141" t="s">
        <v>1482</v>
      </c>
      <c r="G141" s="141"/>
      <c r="H141" s="141" t="s">
        <v>353</v>
      </c>
      <c r="I141" s="141"/>
      <c r="J141" s="141" t="s">
        <v>354</v>
      </c>
      <c r="K141" s="141" t="s">
        <v>421</v>
      </c>
      <c r="L141" s="141"/>
      <c r="M141" s="141"/>
      <c r="N141" s="141" t="s">
        <v>369</v>
      </c>
      <c r="O141" s="141" t="s">
        <v>358</v>
      </c>
      <c r="P141" s="141" t="s">
        <v>359</v>
      </c>
      <c r="Q141" s="141" t="s">
        <v>360</v>
      </c>
      <c r="R141" s="141" t="s">
        <v>361</v>
      </c>
      <c r="S141" s="141" t="s">
        <v>441</v>
      </c>
      <c r="T141" s="141" t="s">
        <v>1908</v>
      </c>
      <c r="U141" s="141" t="s">
        <v>1908</v>
      </c>
      <c r="V141" s="141"/>
      <c r="W141" s="141"/>
      <c r="X141" s="141"/>
      <c r="Y141" s="141"/>
      <c r="Z141" s="141"/>
      <c r="AA141" s="141"/>
      <c r="AB141" s="141"/>
      <c r="AC141" s="141"/>
      <c r="AD141" s="141"/>
      <c r="AE141" s="141"/>
      <c r="AF141" s="141"/>
      <c r="AG141" s="141"/>
      <c r="AH141" s="141"/>
      <c r="AI141" s="141"/>
      <c r="AJ141" s="141"/>
      <c r="AK141" s="141" t="s">
        <v>354</v>
      </c>
      <c r="AL141" s="141" t="s">
        <v>364</v>
      </c>
      <c r="AM141" s="141" t="s">
        <v>354</v>
      </c>
      <c r="AN141" s="141" t="s">
        <v>904</v>
      </c>
      <c r="AO141" s="141" t="s">
        <v>1908</v>
      </c>
      <c r="AP141" s="141" t="s">
        <v>1909</v>
      </c>
      <c r="AQ141" s="141" t="s">
        <v>1910</v>
      </c>
      <c r="AR141" s="141" t="s">
        <v>408</v>
      </c>
      <c r="AS141" s="141"/>
      <c r="AT141" s="141"/>
      <c r="AU141" s="141"/>
      <c r="AV141" s="141"/>
      <c r="AW141" s="141"/>
      <c r="AX141" s="141"/>
      <c r="AY141" s="141"/>
      <c r="AZ141" s="141"/>
      <c r="BA141" s="141"/>
      <c r="BB141" s="141"/>
      <c r="BC141" s="141"/>
      <c r="BD141" s="141"/>
      <c r="BE141" s="141"/>
      <c r="BF141" s="141"/>
      <c r="BG141" s="141"/>
      <c r="BH141" s="141"/>
      <c r="BI141" s="141"/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1"/>
      <c r="BU141" s="141"/>
      <c r="BV141" s="141"/>
      <c r="BW141" s="141"/>
      <c r="BX141" s="141"/>
      <c r="BY141" s="141"/>
      <c r="BZ141" s="141"/>
      <c r="CA141" s="141"/>
      <c r="CB141" s="141"/>
      <c r="CC141" s="141"/>
      <c r="CD141" s="141"/>
      <c r="CE141" s="141"/>
      <c r="CF141" s="141"/>
      <c r="CG141" s="141"/>
      <c r="CH141" s="141"/>
      <c r="CI141" s="141"/>
      <c r="CJ141" s="141"/>
      <c r="CK141" s="141"/>
      <c r="CL141" s="141"/>
      <c r="CM141" s="141"/>
      <c r="CN141" s="141"/>
      <c r="CO141" s="141"/>
      <c r="CP141" s="141"/>
      <c r="CQ141" s="141"/>
      <c r="CR141" s="141"/>
      <c r="CS141" s="141"/>
      <c r="CT141" s="141"/>
      <c r="CU141" s="141"/>
      <c r="CV141" s="141"/>
      <c r="CW141" s="141"/>
      <c r="CX141" s="141"/>
      <c r="CY141" s="141"/>
      <c r="CZ141" s="141"/>
      <c r="DA141" s="173"/>
    </row>
    <row r="142" spans="2:105" x14ac:dyDescent="0.25">
      <c r="B142" s="172"/>
      <c r="C142" s="141" t="s">
        <v>2167</v>
      </c>
      <c r="D142" s="141" t="s">
        <v>2168</v>
      </c>
      <c r="E142" s="141" t="s">
        <v>2169</v>
      </c>
      <c r="F142" s="141" t="s">
        <v>1248</v>
      </c>
      <c r="G142" s="141"/>
      <c r="H142" s="141" t="s">
        <v>353</v>
      </c>
      <c r="I142" s="141"/>
      <c r="J142" s="141" t="s">
        <v>354</v>
      </c>
      <c r="K142" s="141" t="s">
        <v>2170</v>
      </c>
      <c r="L142" s="141"/>
      <c r="M142" s="141"/>
      <c r="N142" s="141" t="s">
        <v>369</v>
      </c>
      <c r="O142" s="141" t="s">
        <v>391</v>
      </c>
      <c r="P142" s="141" t="s">
        <v>392</v>
      </c>
      <c r="Q142" s="141" t="s">
        <v>392</v>
      </c>
      <c r="R142" s="141" t="s">
        <v>361</v>
      </c>
      <c r="S142" s="141" t="s">
        <v>441</v>
      </c>
      <c r="T142" s="141" t="s">
        <v>1908</v>
      </c>
      <c r="U142" s="141" t="s">
        <v>1908</v>
      </c>
      <c r="V142" s="141"/>
      <c r="W142" s="141"/>
      <c r="X142" s="141"/>
      <c r="Y142" s="141"/>
      <c r="Z142" s="141"/>
      <c r="AA142" s="141"/>
      <c r="AB142" s="141"/>
      <c r="AC142" s="141"/>
      <c r="AD142" s="141"/>
      <c r="AE142" s="141"/>
      <c r="AF142" s="141"/>
      <c r="AG142" s="141"/>
      <c r="AH142" s="141"/>
      <c r="AI142" s="141"/>
      <c r="AJ142" s="141"/>
      <c r="AK142" s="141" t="s">
        <v>354</v>
      </c>
      <c r="AL142" s="141" t="s">
        <v>364</v>
      </c>
      <c r="AM142" s="141" t="s">
        <v>354</v>
      </c>
      <c r="AN142" s="141" t="s">
        <v>904</v>
      </c>
      <c r="AO142" s="141" t="s">
        <v>1908</v>
      </c>
      <c r="AP142" s="141" t="s">
        <v>1909</v>
      </c>
      <c r="AQ142" s="141" t="s">
        <v>1910</v>
      </c>
      <c r="AR142" s="141" t="s">
        <v>408</v>
      </c>
      <c r="AS142" s="141"/>
      <c r="AT142" s="141"/>
      <c r="AU142" s="141"/>
      <c r="AV142" s="141"/>
      <c r="AW142" s="141"/>
      <c r="AX142" s="141"/>
      <c r="AY142" s="141"/>
      <c r="AZ142" s="141"/>
      <c r="BA142" s="141"/>
      <c r="BB142" s="141"/>
      <c r="BC142" s="141"/>
      <c r="BD142" s="141"/>
      <c r="BE142" s="141"/>
      <c r="BF142" s="141"/>
      <c r="BG142" s="141"/>
      <c r="BH142" s="141"/>
      <c r="BI142" s="141"/>
      <c r="BJ142" s="141"/>
      <c r="BK142" s="141"/>
      <c r="BL142" s="141"/>
      <c r="BM142" s="141"/>
      <c r="BN142" s="141"/>
      <c r="BO142" s="141"/>
      <c r="BP142" s="141"/>
      <c r="BQ142" s="141"/>
      <c r="BR142" s="141"/>
      <c r="BS142" s="141"/>
      <c r="BT142" s="141"/>
      <c r="BU142" s="141"/>
      <c r="BV142" s="141"/>
      <c r="BW142" s="141"/>
      <c r="BX142" s="141"/>
      <c r="BY142" s="141"/>
      <c r="BZ142" s="141"/>
      <c r="CA142" s="141"/>
      <c r="CB142" s="141"/>
      <c r="CC142" s="141"/>
      <c r="CD142" s="141"/>
      <c r="CE142" s="141"/>
      <c r="CF142" s="141"/>
      <c r="CG142" s="141"/>
      <c r="CH142" s="141"/>
      <c r="CI142" s="141"/>
      <c r="CJ142" s="141"/>
      <c r="CK142" s="141"/>
      <c r="CL142" s="141"/>
      <c r="CM142" s="141"/>
      <c r="CN142" s="141"/>
      <c r="CO142" s="141"/>
      <c r="CP142" s="141"/>
      <c r="CQ142" s="141"/>
      <c r="CR142" s="141"/>
      <c r="CS142" s="141"/>
      <c r="CT142" s="141"/>
      <c r="CU142" s="141"/>
      <c r="CV142" s="141"/>
      <c r="CW142" s="141"/>
      <c r="CX142" s="141"/>
      <c r="CY142" s="141"/>
      <c r="CZ142" s="141"/>
      <c r="DA142" s="173"/>
    </row>
    <row r="143" spans="2:105" x14ac:dyDescent="0.25">
      <c r="B143" s="172"/>
      <c r="C143" s="141" t="s">
        <v>2171</v>
      </c>
      <c r="D143" s="141" t="s">
        <v>2172</v>
      </c>
      <c r="E143" s="141" t="s">
        <v>2173</v>
      </c>
      <c r="F143" s="141" t="s">
        <v>2174</v>
      </c>
      <c r="G143" s="141"/>
      <c r="H143" s="141" t="s">
        <v>353</v>
      </c>
      <c r="I143" s="141"/>
      <c r="J143" s="141" t="s">
        <v>354</v>
      </c>
      <c r="K143" s="141" t="s">
        <v>2175</v>
      </c>
      <c r="L143" s="141"/>
      <c r="M143" s="141"/>
      <c r="N143" s="141" t="s">
        <v>369</v>
      </c>
      <c r="O143" s="141" t="s">
        <v>369</v>
      </c>
      <c r="P143" s="141" t="s">
        <v>528</v>
      </c>
      <c r="Q143" s="141" t="s">
        <v>529</v>
      </c>
      <c r="R143" s="141" t="s">
        <v>361</v>
      </c>
      <c r="S143" s="141" t="s">
        <v>441</v>
      </c>
      <c r="T143" s="141" t="s">
        <v>1908</v>
      </c>
      <c r="U143" s="141" t="s">
        <v>1908</v>
      </c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141"/>
      <c r="AH143" s="141"/>
      <c r="AI143" s="141"/>
      <c r="AJ143" s="141"/>
      <c r="AK143" s="141" t="s">
        <v>354</v>
      </c>
      <c r="AL143" s="141" t="s">
        <v>364</v>
      </c>
      <c r="AM143" s="141" t="s">
        <v>354</v>
      </c>
      <c r="AN143" s="141" t="s">
        <v>904</v>
      </c>
      <c r="AO143" s="141" t="s">
        <v>1908</v>
      </c>
      <c r="AP143" s="141" t="s">
        <v>1909</v>
      </c>
      <c r="AQ143" s="141" t="s">
        <v>1910</v>
      </c>
      <c r="AR143" s="141" t="s">
        <v>408</v>
      </c>
      <c r="AS143" s="141"/>
      <c r="AT143" s="141"/>
      <c r="AU143" s="141"/>
      <c r="AV143" s="141"/>
      <c r="AW143" s="141"/>
      <c r="AX143" s="141"/>
      <c r="AY143" s="141"/>
      <c r="AZ143" s="141"/>
      <c r="BA143" s="141"/>
      <c r="BB143" s="141"/>
      <c r="BC143" s="141"/>
      <c r="BD143" s="141"/>
      <c r="BE143" s="141"/>
      <c r="BF143" s="141"/>
      <c r="BG143" s="141"/>
      <c r="BH143" s="141"/>
      <c r="BI143" s="141"/>
      <c r="BJ143" s="141"/>
      <c r="BK143" s="141"/>
      <c r="BL143" s="141"/>
      <c r="BM143" s="141"/>
      <c r="BN143" s="141"/>
      <c r="BO143" s="141"/>
      <c r="BP143" s="141"/>
      <c r="BQ143" s="141"/>
      <c r="BR143" s="141"/>
      <c r="BS143" s="141"/>
      <c r="BT143" s="141"/>
      <c r="BU143" s="141"/>
      <c r="BV143" s="141"/>
      <c r="BW143" s="141"/>
      <c r="BX143" s="141"/>
      <c r="BY143" s="141"/>
      <c r="BZ143" s="141"/>
      <c r="CA143" s="141"/>
      <c r="CB143" s="141"/>
      <c r="CC143" s="141"/>
      <c r="CD143" s="141"/>
      <c r="CE143" s="141"/>
      <c r="CF143" s="141"/>
      <c r="CG143" s="141"/>
      <c r="CH143" s="141"/>
      <c r="CI143" s="141"/>
      <c r="CJ143" s="141"/>
      <c r="CK143" s="141"/>
      <c r="CL143" s="141"/>
      <c r="CM143" s="141"/>
      <c r="CN143" s="141"/>
      <c r="CO143" s="141"/>
      <c r="CP143" s="141"/>
      <c r="CQ143" s="141"/>
      <c r="CR143" s="141"/>
      <c r="CS143" s="141"/>
      <c r="CT143" s="141"/>
      <c r="CU143" s="141"/>
      <c r="CV143" s="141"/>
      <c r="CW143" s="141"/>
      <c r="CX143" s="141"/>
      <c r="CY143" s="141"/>
      <c r="CZ143" s="141"/>
      <c r="DA143" s="173"/>
    </row>
    <row r="144" spans="2:105" x14ac:dyDescent="0.25">
      <c r="B144" s="172"/>
      <c r="C144" s="141"/>
      <c r="D144" s="141" t="s">
        <v>2176</v>
      </c>
      <c r="E144" s="141"/>
      <c r="F144" s="141" t="s">
        <v>466</v>
      </c>
      <c r="G144" s="141"/>
      <c r="H144" s="141" t="s">
        <v>353</v>
      </c>
      <c r="I144" s="141"/>
      <c r="J144" s="141" t="s">
        <v>354</v>
      </c>
      <c r="K144" s="141" t="s">
        <v>405</v>
      </c>
      <c r="L144" s="141"/>
      <c r="M144" s="141"/>
      <c r="N144" s="141" t="s">
        <v>354</v>
      </c>
      <c r="O144" s="141"/>
      <c r="P144" s="141"/>
      <c r="Q144" s="141"/>
      <c r="R144" s="141"/>
      <c r="S144" s="141" t="s">
        <v>441</v>
      </c>
      <c r="T144" s="141" t="s">
        <v>1908</v>
      </c>
      <c r="U144" s="141" t="s">
        <v>1908</v>
      </c>
      <c r="V144" s="141"/>
      <c r="W144" s="141"/>
      <c r="X144" s="141"/>
      <c r="Y144" s="141"/>
      <c r="Z144" s="141"/>
      <c r="AA144" s="141"/>
      <c r="AB144" s="141"/>
      <c r="AC144" s="141"/>
      <c r="AD144" s="141"/>
      <c r="AE144" s="141"/>
      <c r="AF144" s="141"/>
      <c r="AG144" s="141"/>
      <c r="AH144" s="141"/>
      <c r="AI144" s="141"/>
      <c r="AJ144" s="141"/>
      <c r="AK144" s="141" t="s">
        <v>354</v>
      </c>
      <c r="AL144" s="141" t="s">
        <v>364</v>
      </c>
      <c r="AM144" s="141" t="s">
        <v>354</v>
      </c>
      <c r="AN144" s="141" t="s">
        <v>904</v>
      </c>
      <c r="AO144" s="141" t="s">
        <v>1908</v>
      </c>
      <c r="AP144" s="141" t="s">
        <v>1909</v>
      </c>
      <c r="AQ144" s="141" t="s">
        <v>1910</v>
      </c>
      <c r="AR144" s="141" t="s">
        <v>408</v>
      </c>
      <c r="AS144" s="141"/>
      <c r="AT144" s="141"/>
      <c r="AU144" s="141"/>
      <c r="AV144" s="141"/>
      <c r="AW144" s="141"/>
      <c r="AX144" s="141"/>
      <c r="AY144" s="141"/>
      <c r="AZ144" s="141"/>
      <c r="BA144" s="141"/>
      <c r="BB144" s="141"/>
      <c r="BC144" s="141"/>
      <c r="BD144" s="141"/>
      <c r="BE144" s="141"/>
      <c r="BF144" s="141"/>
      <c r="BG144" s="141"/>
      <c r="BH144" s="141"/>
      <c r="BI144" s="141"/>
      <c r="BJ144" s="141"/>
      <c r="BK144" s="141"/>
      <c r="BL144" s="141"/>
      <c r="BM144" s="141"/>
      <c r="BN144" s="141"/>
      <c r="BO144" s="141"/>
      <c r="BP144" s="141"/>
      <c r="BQ144" s="141"/>
      <c r="BR144" s="141"/>
      <c r="BS144" s="141"/>
      <c r="BT144" s="141"/>
      <c r="BU144" s="141"/>
      <c r="BV144" s="141"/>
      <c r="BW144" s="141"/>
      <c r="BX144" s="141"/>
      <c r="BY144" s="141"/>
      <c r="BZ144" s="141"/>
      <c r="CA144" s="141"/>
      <c r="CB144" s="141"/>
      <c r="CC144" s="141"/>
      <c r="CD144" s="141"/>
      <c r="CE144" s="141"/>
      <c r="CF144" s="141"/>
      <c r="CG144" s="141"/>
      <c r="CH144" s="141"/>
      <c r="CI144" s="141"/>
      <c r="CJ144" s="141"/>
      <c r="CK144" s="141"/>
      <c r="CL144" s="141"/>
      <c r="CM144" s="141"/>
      <c r="CN144" s="141"/>
      <c r="CO144" s="141"/>
      <c r="CP144" s="141"/>
      <c r="CQ144" s="141"/>
      <c r="CR144" s="141"/>
      <c r="CS144" s="141"/>
      <c r="CT144" s="141"/>
      <c r="CU144" s="141"/>
      <c r="CV144" s="141"/>
      <c r="CW144" s="141"/>
      <c r="CX144" s="141"/>
      <c r="CY144" s="141"/>
      <c r="CZ144" s="141"/>
      <c r="DA144" s="173"/>
    </row>
    <row r="145" spans="2:105" x14ac:dyDescent="0.25">
      <c r="B145" s="172"/>
      <c r="C145" s="141" t="s">
        <v>2177</v>
      </c>
      <c r="D145" s="141" t="s">
        <v>2178</v>
      </c>
      <c r="E145" s="141" t="s">
        <v>451</v>
      </c>
      <c r="F145" s="141" t="s">
        <v>1943</v>
      </c>
      <c r="G145" s="141"/>
      <c r="H145" s="141" t="s">
        <v>353</v>
      </c>
      <c r="I145" s="141"/>
      <c r="J145" s="141" t="s">
        <v>354</v>
      </c>
      <c r="K145" s="141" t="s">
        <v>2179</v>
      </c>
      <c r="L145" s="141"/>
      <c r="M145" s="141"/>
      <c r="N145" s="141" t="s">
        <v>393</v>
      </c>
      <c r="O145" s="141" t="s">
        <v>426</v>
      </c>
      <c r="P145" s="141" t="s">
        <v>454</v>
      </c>
      <c r="Q145" s="141" t="s">
        <v>455</v>
      </c>
      <c r="R145" s="141" t="s">
        <v>361</v>
      </c>
      <c r="S145" s="141" t="s">
        <v>441</v>
      </c>
      <c r="T145" s="141" t="s">
        <v>1908</v>
      </c>
      <c r="U145" s="141" t="s">
        <v>1908</v>
      </c>
      <c r="V145" s="141"/>
      <c r="W145" s="141"/>
      <c r="X145" s="141"/>
      <c r="Y145" s="141"/>
      <c r="Z145" s="141"/>
      <c r="AA145" s="141"/>
      <c r="AB145" s="141"/>
      <c r="AC145" s="141"/>
      <c r="AD145" s="141"/>
      <c r="AE145" s="141"/>
      <c r="AF145" s="141"/>
      <c r="AG145" s="141"/>
      <c r="AH145" s="141"/>
      <c r="AI145" s="141"/>
      <c r="AJ145" s="141"/>
      <c r="AK145" s="141" t="s">
        <v>354</v>
      </c>
      <c r="AL145" s="141" t="s">
        <v>364</v>
      </c>
      <c r="AM145" s="141" t="s">
        <v>354</v>
      </c>
      <c r="AN145" s="141" t="s">
        <v>904</v>
      </c>
      <c r="AO145" s="141" t="s">
        <v>1908</v>
      </c>
      <c r="AP145" s="141" t="s">
        <v>1909</v>
      </c>
      <c r="AQ145" s="141" t="s">
        <v>1910</v>
      </c>
      <c r="AR145" s="141" t="s">
        <v>408</v>
      </c>
      <c r="AS145" s="141"/>
      <c r="AT145" s="141"/>
      <c r="AU145" s="141"/>
      <c r="AV145" s="141" t="s">
        <v>763</v>
      </c>
      <c r="AW145" s="141" t="s">
        <v>2180</v>
      </c>
      <c r="AX145" s="141" t="s">
        <v>1881</v>
      </c>
      <c r="AY145" s="141" t="s">
        <v>2181</v>
      </c>
      <c r="AZ145" s="141" t="s">
        <v>774</v>
      </c>
      <c r="BA145" s="141" t="s">
        <v>2182</v>
      </c>
      <c r="BB145" s="141" t="s">
        <v>776</v>
      </c>
      <c r="BC145" s="141" t="s">
        <v>2183</v>
      </c>
      <c r="BD145" s="141" t="s">
        <v>778</v>
      </c>
      <c r="BE145" s="141" t="s">
        <v>2184</v>
      </c>
      <c r="BF145" s="141" t="s">
        <v>890</v>
      </c>
      <c r="BG145" s="141" t="s">
        <v>2185</v>
      </c>
      <c r="BH145" s="141"/>
      <c r="BI145" s="141"/>
      <c r="BJ145" s="141"/>
      <c r="BK145" s="141"/>
      <c r="BL145" s="141"/>
      <c r="BM145" s="141"/>
      <c r="BN145" s="141"/>
      <c r="BO145" s="141"/>
      <c r="BP145" s="141"/>
      <c r="BQ145" s="141"/>
      <c r="BR145" s="141"/>
      <c r="BS145" s="141"/>
      <c r="BT145" s="141"/>
      <c r="BU145" s="141"/>
      <c r="BV145" s="141"/>
      <c r="BW145" s="141"/>
      <c r="BX145" s="141"/>
      <c r="BY145" s="141"/>
      <c r="BZ145" s="141"/>
      <c r="CA145" s="141"/>
      <c r="CB145" s="141"/>
      <c r="CC145" s="141"/>
      <c r="CD145" s="141"/>
      <c r="CE145" s="141"/>
      <c r="CF145" s="141"/>
      <c r="CG145" s="141"/>
      <c r="CH145" s="141"/>
      <c r="CI145" s="141"/>
      <c r="CJ145" s="141"/>
      <c r="CK145" s="141"/>
      <c r="CL145" s="141"/>
      <c r="CM145" s="141"/>
      <c r="CN145" s="141"/>
      <c r="CO145" s="141"/>
      <c r="CP145" s="141"/>
      <c r="CQ145" s="141"/>
      <c r="CR145" s="141"/>
      <c r="CS145" s="141"/>
      <c r="CT145" s="141"/>
      <c r="CU145" s="141"/>
      <c r="CV145" s="141"/>
      <c r="CW145" s="141"/>
      <c r="CX145" s="141"/>
      <c r="CY145" s="141"/>
      <c r="CZ145" s="141"/>
      <c r="DA145" s="173"/>
    </row>
    <row r="146" spans="2:105" x14ac:dyDescent="0.25">
      <c r="B146" s="172"/>
      <c r="C146" s="141"/>
      <c r="D146" s="141" t="s">
        <v>2186</v>
      </c>
      <c r="E146" s="141"/>
      <c r="F146" s="141" t="s">
        <v>466</v>
      </c>
      <c r="G146" s="141"/>
      <c r="H146" s="141" t="s">
        <v>353</v>
      </c>
      <c r="I146" s="141"/>
      <c r="J146" s="141" t="s">
        <v>354</v>
      </c>
      <c r="K146" s="141" t="s">
        <v>2187</v>
      </c>
      <c r="L146" s="141"/>
      <c r="M146" s="141"/>
      <c r="N146" s="141" t="s">
        <v>354</v>
      </c>
      <c r="O146" s="141"/>
      <c r="P146" s="141"/>
      <c r="Q146" s="141"/>
      <c r="R146" s="141"/>
      <c r="S146" s="141" t="s">
        <v>441</v>
      </c>
      <c r="T146" s="141" t="s">
        <v>1908</v>
      </c>
      <c r="U146" s="141" t="s">
        <v>1908</v>
      </c>
      <c r="V146" s="141"/>
      <c r="W146" s="141"/>
      <c r="X146" s="141"/>
      <c r="Y146" s="141"/>
      <c r="Z146" s="141"/>
      <c r="AA146" s="141"/>
      <c r="AB146" s="141"/>
      <c r="AC146" s="141"/>
      <c r="AD146" s="141"/>
      <c r="AE146" s="141"/>
      <c r="AF146" s="141"/>
      <c r="AG146" s="141"/>
      <c r="AH146" s="141"/>
      <c r="AI146" s="141"/>
      <c r="AJ146" s="141"/>
      <c r="AK146" s="141" t="s">
        <v>354</v>
      </c>
      <c r="AL146" s="141" t="s">
        <v>364</v>
      </c>
      <c r="AM146" s="141" t="s">
        <v>354</v>
      </c>
      <c r="AN146" s="141" t="s">
        <v>904</v>
      </c>
      <c r="AO146" s="141" t="s">
        <v>1908</v>
      </c>
      <c r="AP146" s="141" t="s">
        <v>1909</v>
      </c>
      <c r="AQ146" s="141" t="s">
        <v>1910</v>
      </c>
      <c r="AR146" s="141" t="s">
        <v>408</v>
      </c>
      <c r="AS146" s="141"/>
      <c r="AT146" s="141"/>
      <c r="AU146" s="141"/>
      <c r="AV146" s="141"/>
      <c r="AW146" s="141"/>
      <c r="AX146" s="141"/>
      <c r="AY146" s="141"/>
      <c r="AZ146" s="141"/>
      <c r="BA146" s="141"/>
      <c r="BB146" s="141"/>
      <c r="BC146" s="141"/>
      <c r="BD146" s="141"/>
      <c r="BE146" s="141"/>
      <c r="BF146" s="141"/>
      <c r="BG146" s="141"/>
      <c r="BH146" s="141"/>
      <c r="BI146" s="141"/>
      <c r="BJ146" s="141"/>
      <c r="BK146" s="141"/>
      <c r="BL146" s="141"/>
      <c r="BM146" s="141"/>
      <c r="BN146" s="141"/>
      <c r="BO146" s="141"/>
      <c r="BP146" s="141"/>
      <c r="BQ146" s="141"/>
      <c r="BR146" s="141"/>
      <c r="BS146" s="141"/>
      <c r="BT146" s="141"/>
      <c r="BU146" s="141"/>
      <c r="BV146" s="141"/>
      <c r="BW146" s="141"/>
      <c r="BX146" s="141"/>
      <c r="BY146" s="141"/>
      <c r="BZ146" s="141"/>
      <c r="CA146" s="141"/>
      <c r="CB146" s="141"/>
      <c r="CC146" s="141"/>
      <c r="CD146" s="141"/>
      <c r="CE146" s="141"/>
      <c r="CF146" s="141"/>
      <c r="CG146" s="141"/>
      <c r="CH146" s="141"/>
      <c r="CI146" s="141"/>
      <c r="CJ146" s="141"/>
      <c r="CK146" s="141"/>
      <c r="CL146" s="141"/>
      <c r="CM146" s="141"/>
      <c r="CN146" s="141"/>
      <c r="CO146" s="141"/>
      <c r="CP146" s="141"/>
      <c r="CQ146" s="141"/>
      <c r="CR146" s="141"/>
      <c r="CS146" s="141"/>
      <c r="CT146" s="141"/>
      <c r="CU146" s="141"/>
      <c r="CV146" s="141"/>
      <c r="CW146" s="141"/>
      <c r="CX146" s="141"/>
      <c r="CY146" s="141"/>
      <c r="CZ146" s="141"/>
      <c r="DA146" s="173"/>
    </row>
    <row r="147" spans="2:105" x14ac:dyDescent="0.25">
      <c r="B147" s="172"/>
      <c r="C147" s="141" t="s">
        <v>2188</v>
      </c>
      <c r="D147" s="141" t="s">
        <v>2189</v>
      </c>
      <c r="E147" s="141" t="s">
        <v>2190</v>
      </c>
      <c r="F147" s="141" t="s">
        <v>1335</v>
      </c>
      <c r="G147" s="141"/>
      <c r="H147" s="141" t="s">
        <v>353</v>
      </c>
      <c r="I147" s="141"/>
      <c r="J147" s="141" t="s">
        <v>354</v>
      </c>
      <c r="K147" s="141" t="s">
        <v>2191</v>
      </c>
      <c r="L147" s="141" t="s">
        <v>2192</v>
      </c>
      <c r="M147" s="141" t="s">
        <v>2193</v>
      </c>
      <c r="N147" s="141" t="s">
        <v>354</v>
      </c>
      <c r="O147" s="141" t="s">
        <v>441</v>
      </c>
      <c r="P147" s="141" t="s">
        <v>477</v>
      </c>
      <c r="Q147" s="141" t="s">
        <v>478</v>
      </c>
      <c r="R147" s="141" t="s">
        <v>361</v>
      </c>
      <c r="S147" s="141" t="s">
        <v>426</v>
      </c>
      <c r="T147" s="141" t="s">
        <v>2194</v>
      </c>
      <c r="U147" s="141" t="s">
        <v>2194</v>
      </c>
      <c r="V147" s="141"/>
      <c r="W147" s="141"/>
      <c r="X147" s="141"/>
      <c r="Y147" s="141"/>
      <c r="Z147" s="141"/>
      <c r="AA147" s="141"/>
      <c r="AB147" s="141"/>
      <c r="AC147" s="141"/>
      <c r="AD147" s="141"/>
      <c r="AE147" s="141"/>
      <c r="AF147" s="141"/>
      <c r="AG147" s="141"/>
      <c r="AH147" s="141"/>
      <c r="AI147" s="141"/>
      <c r="AJ147" s="141"/>
      <c r="AK147" s="141" t="s">
        <v>354</v>
      </c>
      <c r="AL147" s="141" t="s">
        <v>364</v>
      </c>
      <c r="AM147" s="141" t="s">
        <v>354</v>
      </c>
      <c r="AN147" s="141" t="s">
        <v>906</v>
      </c>
      <c r="AO147" s="141" t="s">
        <v>2194</v>
      </c>
      <c r="AP147" s="141" t="s">
        <v>2195</v>
      </c>
      <c r="AQ147" s="141" t="s">
        <v>2196</v>
      </c>
      <c r="AR147" s="141" t="s">
        <v>368</v>
      </c>
      <c r="AS147" s="141" t="s">
        <v>369</v>
      </c>
      <c r="AT147" s="141"/>
      <c r="AU147" s="141" t="s">
        <v>2192</v>
      </c>
      <c r="AV147" s="141" t="s">
        <v>906</v>
      </c>
      <c r="AW147" s="141" t="s">
        <v>2197</v>
      </c>
      <c r="AX147" s="141" t="s">
        <v>655</v>
      </c>
      <c r="AY147" s="141" t="s">
        <v>2198</v>
      </c>
      <c r="AZ147" s="141" t="s">
        <v>657</v>
      </c>
      <c r="BA147" s="141" t="s">
        <v>2199</v>
      </c>
      <c r="BB147" s="141" t="s">
        <v>659</v>
      </c>
      <c r="BC147" s="141" t="s">
        <v>2200</v>
      </c>
      <c r="BD147" s="141" t="s">
        <v>900</v>
      </c>
      <c r="BE147" s="141" t="s">
        <v>2201</v>
      </c>
      <c r="BF147" s="141" t="s">
        <v>380</v>
      </c>
      <c r="BG147" s="141" t="s">
        <v>2089</v>
      </c>
      <c r="BH147" s="141" t="s">
        <v>382</v>
      </c>
      <c r="BI147" s="141" t="s">
        <v>2202</v>
      </c>
      <c r="BJ147" s="141"/>
      <c r="BK147" s="141"/>
      <c r="BL147" s="141"/>
      <c r="BM147" s="141"/>
      <c r="BN147" s="141"/>
      <c r="BO147" s="141"/>
      <c r="BP147" s="141"/>
      <c r="BQ147" s="141"/>
      <c r="BR147" s="141"/>
      <c r="BS147" s="141"/>
      <c r="BT147" s="141"/>
      <c r="BU147" s="141"/>
      <c r="BV147" s="141"/>
      <c r="BW147" s="141"/>
      <c r="BX147" s="141"/>
      <c r="BY147" s="141"/>
      <c r="BZ147" s="141"/>
      <c r="CA147" s="141"/>
      <c r="CB147" s="141"/>
      <c r="CC147" s="141"/>
      <c r="CD147" s="141"/>
      <c r="CE147" s="141"/>
      <c r="CF147" s="141"/>
      <c r="CG147" s="141"/>
      <c r="CH147" s="141"/>
      <c r="CI147" s="141"/>
      <c r="CJ147" s="141"/>
      <c r="CK147" s="141"/>
      <c r="CL147" s="141"/>
      <c r="CM147" s="141"/>
      <c r="CN147" s="141"/>
      <c r="CO147" s="141"/>
      <c r="CP147" s="141"/>
      <c r="CQ147" s="141"/>
      <c r="CR147" s="141"/>
      <c r="CS147" s="141"/>
      <c r="CT147" s="141"/>
      <c r="CU147" s="141"/>
      <c r="CV147" s="141"/>
      <c r="CW147" s="141"/>
      <c r="CX147" s="141"/>
      <c r="CY147" s="141"/>
      <c r="CZ147" s="141"/>
      <c r="DA147" s="173"/>
    </row>
    <row r="148" spans="2:105" x14ac:dyDescent="0.25">
      <c r="B148" s="172"/>
      <c r="C148" s="141" t="s">
        <v>2203</v>
      </c>
      <c r="D148" s="141" t="s">
        <v>2204</v>
      </c>
      <c r="E148" s="141" t="s">
        <v>2205</v>
      </c>
      <c r="F148" s="141" t="s">
        <v>2206</v>
      </c>
      <c r="G148" s="141"/>
      <c r="H148" s="141" t="s">
        <v>353</v>
      </c>
      <c r="I148" s="141"/>
      <c r="J148" s="141" t="s">
        <v>354</v>
      </c>
      <c r="K148" s="141" t="s">
        <v>2207</v>
      </c>
      <c r="L148" s="141" t="s">
        <v>2208</v>
      </c>
      <c r="M148" s="141" t="s">
        <v>2209</v>
      </c>
      <c r="N148" s="141" t="s">
        <v>354</v>
      </c>
      <c r="O148" s="141" t="s">
        <v>426</v>
      </c>
      <c r="P148" s="141" t="s">
        <v>454</v>
      </c>
      <c r="Q148" s="141" t="s">
        <v>455</v>
      </c>
      <c r="R148" s="141" t="s">
        <v>361</v>
      </c>
      <c r="S148" s="141" t="s">
        <v>426</v>
      </c>
      <c r="T148" s="141" t="s">
        <v>2194</v>
      </c>
      <c r="U148" s="141" t="s">
        <v>2194</v>
      </c>
      <c r="V148" s="141"/>
      <c r="W148" s="141"/>
      <c r="X148" s="141"/>
      <c r="Y148" s="141"/>
      <c r="Z148" s="141"/>
      <c r="AA148" s="141"/>
      <c r="AB148" s="141"/>
      <c r="AC148" s="141"/>
      <c r="AD148" s="141"/>
      <c r="AE148" s="141"/>
      <c r="AF148" s="141"/>
      <c r="AG148" s="141"/>
      <c r="AH148" s="141"/>
      <c r="AI148" s="141"/>
      <c r="AJ148" s="141"/>
      <c r="AK148" s="141" t="s">
        <v>354</v>
      </c>
      <c r="AL148" s="141" t="s">
        <v>364</v>
      </c>
      <c r="AM148" s="141" t="s">
        <v>354</v>
      </c>
      <c r="AN148" s="141" t="s">
        <v>906</v>
      </c>
      <c r="AO148" s="141" t="s">
        <v>2194</v>
      </c>
      <c r="AP148" s="141" t="s">
        <v>2195</v>
      </c>
      <c r="AQ148" s="141" t="s">
        <v>2196</v>
      </c>
      <c r="AR148" s="141" t="s">
        <v>368</v>
      </c>
      <c r="AS148" s="141" t="s">
        <v>393</v>
      </c>
      <c r="AT148" s="141"/>
      <c r="AU148" s="141" t="s">
        <v>2208</v>
      </c>
      <c r="AV148" s="141" t="s">
        <v>906</v>
      </c>
      <c r="AW148" s="141" t="s">
        <v>2210</v>
      </c>
      <c r="AX148" s="141" t="s">
        <v>655</v>
      </c>
      <c r="AY148" s="141" t="s">
        <v>893</v>
      </c>
      <c r="AZ148" s="141" t="s">
        <v>657</v>
      </c>
      <c r="BA148" s="141" t="s">
        <v>2211</v>
      </c>
      <c r="BB148" s="141" t="s">
        <v>659</v>
      </c>
      <c r="BC148" s="141" t="s">
        <v>2212</v>
      </c>
      <c r="BD148" s="141" t="s">
        <v>900</v>
      </c>
      <c r="BE148" s="141" t="s">
        <v>2213</v>
      </c>
      <c r="BF148" s="141" t="s">
        <v>380</v>
      </c>
      <c r="BG148" s="141" t="s">
        <v>2214</v>
      </c>
      <c r="BH148" s="141" t="s">
        <v>382</v>
      </c>
      <c r="BI148" s="141" t="s">
        <v>2215</v>
      </c>
      <c r="BJ148" s="141"/>
      <c r="BK148" s="141"/>
      <c r="BL148" s="141"/>
      <c r="BM148" s="141"/>
      <c r="BN148" s="141"/>
      <c r="BO148" s="141"/>
      <c r="BP148" s="141"/>
      <c r="BQ148" s="141"/>
      <c r="BR148" s="141"/>
      <c r="BS148" s="141"/>
      <c r="BT148" s="141"/>
      <c r="BU148" s="141"/>
      <c r="BV148" s="141"/>
      <c r="BW148" s="141"/>
      <c r="BX148" s="141"/>
      <c r="BY148" s="141"/>
      <c r="BZ148" s="141"/>
      <c r="CA148" s="141"/>
      <c r="CB148" s="141"/>
      <c r="CC148" s="141"/>
      <c r="CD148" s="141"/>
      <c r="CE148" s="141"/>
      <c r="CF148" s="141"/>
      <c r="CG148" s="141"/>
      <c r="CH148" s="141"/>
      <c r="CI148" s="141"/>
      <c r="CJ148" s="141"/>
      <c r="CK148" s="141"/>
      <c r="CL148" s="141"/>
      <c r="CM148" s="141"/>
      <c r="CN148" s="141"/>
      <c r="CO148" s="141"/>
      <c r="CP148" s="141"/>
      <c r="CQ148" s="141"/>
      <c r="CR148" s="141"/>
      <c r="CS148" s="141"/>
      <c r="CT148" s="141"/>
      <c r="CU148" s="141"/>
      <c r="CV148" s="141"/>
      <c r="CW148" s="141"/>
      <c r="CX148" s="141"/>
      <c r="CY148" s="141"/>
      <c r="CZ148" s="141"/>
      <c r="DA148" s="173"/>
    </row>
    <row r="149" spans="2:105" x14ac:dyDescent="0.25">
      <c r="B149" s="172"/>
      <c r="C149" s="141" t="s">
        <v>2216</v>
      </c>
      <c r="D149" s="141" t="s">
        <v>2217</v>
      </c>
      <c r="E149" s="141" t="s">
        <v>669</v>
      </c>
      <c r="F149" s="141" t="s">
        <v>452</v>
      </c>
      <c r="G149" s="141"/>
      <c r="H149" s="141" t="s">
        <v>353</v>
      </c>
      <c r="I149" s="141"/>
      <c r="J149" s="141" t="s">
        <v>354</v>
      </c>
      <c r="K149" s="141" t="s">
        <v>806</v>
      </c>
      <c r="L149" s="141" t="s">
        <v>2218</v>
      </c>
      <c r="M149" s="141" t="s">
        <v>2219</v>
      </c>
      <c r="N149" s="141" t="s">
        <v>354</v>
      </c>
      <c r="O149" s="141" t="s">
        <v>426</v>
      </c>
      <c r="P149" s="141" t="s">
        <v>454</v>
      </c>
      <c r="Q149" s="141" t="s">
        <v>455</v>
      </c>
      <c r="R149" s="141" t="s">
        <v>361</v>
      </c>
      <c r="S149" s="141" t="s">
        <v>426</v>
      </c>
      <c r="T149" s="141" t="s">
        <v>2194</v>
      </c>
      <c r="U149" s="141" t="s">
        <v>2194</v>
      </c>
      <c r="V149" s="141"/>
      <c r="W149" s="141"/>
      <c r="X149" s="141"/>
      <c r="Y149" s="141"/>
      <c r="Z149" s="141"/>
      <c r="AA149" s="141"/>
      <c r="AB149" s="141"/>
      <c r="AC149" s="141"/>
      <c r="AD149" s="141"/>
      <c r="AE149" s="141"/>
      <c r="AF149" s="141"/>
      <c r="AG149" s="141"/>
      <c r="AH149" s="141"/>
      <c r="AI149" s="141"/>
      <c r="AJ149" s="141"/>
      <c r="AK149" s="141" t="s">
        <v>354</v>
      </c>
      <c r="AL149" s="141" t="s">
        <v>364</v>
      </c>
      <c r="AM149" s="141" t="s">
        <v>354</v>
      </c>
      <c r="AN149" s="141" t="s">
        <v>906</v>
      </c>
      <c r="AO149" s="141" t="s">
        <v>2194</v>
      </c>
      <c r="AP149" s="141" t="s">
        <v>2195</v>
      </c>
      <c r="AQ149" s="141" t="s">
        <v>2196</v>
      </c>
      <c r="AR149" s="141" t="s">
        <v>368</v>
      </c>
      <c r="AS149" s="141" t="s">
        <v>358</v>
      </c>
      <c r="AT149" s="141"/>
      <c r="AU149" s="141" t="s">
        <v>2218</v>
      </c>
      <c r="AV149" s="141" t="s">
        <v>906</v>
      </c>
      <c r="AW149" s="141" t="s">
        <v>2220</v>
      </c>
      <c r="AX149" s="141" t="s">
        <v>655</v>
      </c>
      <c r="AY149" s="141" t="s">
        <v>2221</v>
      </c>
      <c r="AZ149" s="141" t="s">
        <v>657</v>
      </c>
      <c r="BA149" s="141" t="s">
        <v>2222</v>
      </c>
      <c r="BB149" s="141" t="s">
        <v>659</v>
      </c>
      <c r="BC149" s="141" t="s">
        <v>1871</v>
      </c>
      <c r="BD149" s="141" t="s">
        <v>900</v>
      </c>
      <c r="BE149" s="141" t="s">
        <v>920</v>
      </c>
      <c r="BF149" s="141" t="s">
        <v>380</v>
      </c>
      <c r="BG149" s="141" t="s">
        <v>1147</v>
      </c>
      <c r="BH149" s="141" t="s">
        <v>382</v>
      </c>
      <c r="BI149" s="141" t="s">
        <v>1671</v>
      </c>
      <c r="BJ149" s="141"/>
      <c r="BK149" s="141"/>
      <c r="BL149" s="141"/>
      <c r="BM149" s="141"/>
      <c r="BN149" s="141"/>
      <c r="BO149" s="141"/>
      <c r="BP149" s="141"/>
      <c r="BQ149" s="141"/>
      <c r="BR149" s="141"/>
      <c r="BS149" s="141"/>
      <c r="BT149" s="141"/>
      <c r="BU149" s="141"/>
      <c r="BV149" s="141"/>
      <c r="BW149" s="141"/>
      <c r="BX149" s="141"/>
      <c r="BY149" s="141"/>
      <c r="BZ149" s="141"/>
      <c r="CA149" s="141"/>
      <c r="CB149" s="141"/>
      <c r="CC149" s="141"/>
      <c r="CD149" s="141"/>
      <c r="CE149" s="141"/>
      <c r="CF149" s="141"/>
      <c r="CG149" s="141"/>
      <c r="CH149" s="141"/>
      <c r="CI149" s="141"/>
      <c r="CJ149" s="141"/>
      <c r="CK149" s="141"/>
      <c r="CL149" s="141"/>
      <c r="CM149" s="141"/>
      <c r="CN149" s="141"/>
      <c r="CO149" s="141"/>
      <c r="CP149" s="141"/>
      <c r="CQ149" s="141"/>
      <c r="CR149" s="141"/>
      <c r="CS149" s="141"/>
      <c r="CT149" s="141"/>
      <c r="CU149" s="141"/>
      <c r="CV149" s="141"/>
      <c r="CW149" s="141"/>
      <c r="CX149" s="141"/>
      <c r="CY149" s="141"/>
      <c r="CZ149" s="141"/>
      <c r="DA149" s="173"/>
    </row>
    <row r="150" spans="2:105" x14ac:dyDescent="0.25">
      <c r="B150" s="172"/>
      <c r="C150" s="141" t="s">
        <v>2223</v>
      </c>
      <c r="D150" s="141" t="s">
        <v>2224</v>
      </c>
      <c r="E150" s="141" t="s">
        <v>939</v>
      </c>
      <c r="F150" s="141" t="s">
        <v>2225</v>
      </c>
      <c r="G150" s="141"/>
      <c r="H150" s="141" t="s">
        <v>353</v>
      </c>
      <c r="I150" s="141"/>
      <c r="J150" s="141" t="s">
        <v>354</v>
      </c>
      <c r="K150" s="141" t="s">
        <v>580</v>
      </c>
      <c r="L150" s="141" t="s">
        <v>1765</v>
      </c>
      <c r="M150" s="141" t="s">
        <v>2226</v>
      </c>
      <c r="N150" s="141" t="s">
        <v>354</v>
      </c>
      <c r="O150" s="141" t="s">
        <v>426</v>
      </c>
      <c r="P150" s="141" t="s">
        <v>454</v>
      </c>
      <c r="Q150" s="141" t="s">
        <v>455</v>
      </c>
      <c r="R150" s="141" t="s">
        <v>361</v>
      </c>
      <c r="S150" s="141" t="s">
        <v>426</v>
      </c>
      <c r="T150" s="141" t="s">
        <v>2194</v>
      </c>
      <c r="U150" s="141" t="s">
        <v>2194</v>
      </c>
      <c r="V150" s="141"/>
      <c r="W150" s="141"/>
      <c r="X150" s="141"/>
      <c r="Y150" s="141"/>
      <c r="Z150" s="141"/>
      <c r="AA150" s="141"/>
      <c r="AB150" s="141"/>
      <c r="AC150" s="141"/>
      <c r="AD150" s="141"/>
      <c r="AE150" s="141"/>
      <c r="AF150" s="141"/>
      <c r="AG150" s="141"/>
      <c r="AH150" s="141"/>
      <c r="AI150" s="141"/>
      <c r="AJ150" s="141"/>
      <c r="AK150" s="141" t="s">
        <v>354</v>
      </c>
      <c r="AL150" s="141" t="s">
        <v>364</v>
      </c>
      <c r="AM150" s="141" t="s">
        <v>354</v>
      </c>
      <c r="AN150" s="141" t="s">
        <v>906</v>
      </c>
      <c r="AO150" s="141" t="s">
        <v>2194</v>
      </c>
      <c r="AP150" s="141" t="s">
        <v>2195</v>
      </c>
      <c r="AQ150" s="141" t="s">
        <v>2196</v>
      </c>
      <c r="AR150" s="141" t="s">
        <v>368</v>
      </c>
      <c r="AS150" s="141" t="s">
        <v>426</v>
      </c>
      <c r="AT150" s="141"/>
      <c r="AU150" s="141" t="s">
        <v>1765</v>
      </c>
      <c r="AV150" s="141" t="s">
        <v>906</v>
      </c>
      <c r="AW150" s="141" t="s">
        <v>2227</v>
      </c>
      <c r="AX150" s="141" t="s">
        <v>655</v>
      </c>
      <c r="AY150" s="141" t="s">
        <v>1749</v>
      </c>
      <c r="AZ150" s="141" t="s">
        <v>657</v>
      </c>
      <c r="BA150" s="141" t="s">
        <v>1581</v>
      </c>
      <c r="BB150" s="141" t="s">
        <v>659</v>
      </c>
      <c r="BC150" s="141" t="s">
        <v>2099</v>
      </c>
      <c r="BD150" s="141" t="s">
        <v>900</v>
      </c>
      <c r="BE150" s="141" t="s">
        <v>2228</v>
      </c>
      <c r="BF150" s="141" t="s">
        <v>380</v>
      </c>
      <c r="BG150" s="141" t="s">
        <v>2229</v>
      </c>
      <c r="BH150" s="141" t="s">
        <v>382</v>
      </c>
      <c r="BI150" s="141" t="s">
        <v>2230</v>
      </c>
      <c r="BJ150" s="141"/>
      <c r="BK150" s="141"/>
      <c r="BL150" s="141"/>
      <c r="BM150" s="141"/>
      <c r="BN150" s="141"/>
      <c r="BO150" s="141"/>
      <c r="BP150" s="141"/>
      <c r="BQ150" s="141"/>
      <c r="BR150" s="141"/>
      <c r="BS150" s="141"/>
      <c r="BT150" s="141"/>
      <c r="BU150" s="141"/>
      <c r="BV150" s="141"/>
      <c r="BW150" s="141"/>
      <c r="BX150" s="141"/>
      <c r="BY150" s="141"/>
      <c r="BZ150" s="141"/>
      <c r="CA150" s="141"/>
      <c r="CB150" s="141"/>
      <c r="CC150" s="141"/>
      <c r="CD150" s="141"/>
      <c r="CE150" s="141"/>
      <c r="CF150" s="141"/>
      <c r="CG150" s="141"/>
      <c r="CH150" s="141"/>
      <c r="CI150" s="141"/>
      <c r="CJ150" s="141"/>
      <c r="CK150" s="141"/>
      <c r="CL150" s="141"/>
      <c r="CM150" s="141"/>
      <c r="CN150" s="141"/>
      <c r="CO150" s="141"/>
      <c r="CP150" s="141"/>
      <c r="CQ150" s="141"/>
      <c r="CR150" s="141"/>
      <c r="CS150" s="141"/>
      <c r="CT150" s="141"/>
      <c r="CU150" s="141"/>
      <c r="CV150" s="141"/>
      <c r="CW150" s="141"/>
      <c r="CX150" s="141"/>
      <c r="CY150" s="141"/>
      <c r="CZ150" s="141"/>
      <c r="DA150" s="173"/>
    </row>
    <row r="151" spans="2:105" x14ac:dyDescent="0.25">
      <c r="B151" s="172"/>
      <c r="C151" s="141" t="s">
        <v>2231</v>
      </c>
      <c r="D151" s="141" t="s">
        <v>2232</v>
      </c>
      <c r="E151" s="141" t="s">
        <v>764</v>
      </c>
      <c r="F151" s="141" t="s">
        <v>589</v>
      </c>
      <c r="G151" s="141"/>
      <c r="H151" s="141" t="s">
        <v>353</v>
      </c>
      <c r="I151" s="141"/>
      <c r="J151" s="141" t="s">
        <v>354</v>
      </c>
      <c r="K151" s="141" t="s">
        <v>2233</v>
      </c>
      <c r="L151" s="141" t="s">
        <v>2234</v>
      </c>
      <c r="M151" s="141" t="s">
        <v>2235</v>
      </c>
      <c r="N151" s="141" t="s">
        <v>354</v>
      </c>
      <c r="O151" s="141" t="s">
        <v>393</v>
      </c>
      <c r="P151" s="141" t="s">
        <v>424</v>
      </c>
      <c r="Q151" s="141" t="s">
        <v>425</v>
      </c>
      <c r="R151" s="141" t="s">
        <v>361</v>
      </c>
      <c r="S151" s="141" t="s">
        <v>426</v>
      </c>
      <c r="T151" s="141" t="s">
        <v>2194</v>
      </c>
      <c r="U151" s="141" t="s">
        <v>2194</v>
      </c>
      <c r="V151" s="141"/>
      <c r="W151" s="141"/>
      <c r="X151" s="141"/>
      <c r="Y151" s="141"/>
      <c r="Z151" s="141"/>
      <c r="AA151" s="141"/>
      <c r="AB151" s="141"/>
      <c r="AC151" s="141"/>
      <c r="AD151" s="141"/>
      <c r="AE151" s="141"/>
      <c r="AF151" s="141"/>
      <c r="AG151" s="141"/>
      <c r="AH151" s="141"/>
      <c r="AI151" s="141"/>
      <c r="AJ151" s="141"/>
      <c r="AK151" s="141" t="s">
        <v>354</v>
      </c>
      <c r="AL151" s="141" t="s">
        <v>364</v>
      </c>
      <c r="AM151" s="141" t="s">
        <v>354</v>
      </c>
      <c r="AN151" s="141" t="s">
        <v>906</v>
      </c>
      <c r="AO151" s="141" t="s">
        <v>2194</v>
      </c>
      <c r="AP151" s="141" t="s">
        <v>2195</v>
      </c>
      <c r="AQ151" s="141" t="s">
        <v>2196</v>
      </c>
      <c r="AR151" s="141" t="s">
        <v>368</v>
      </c>
      <c r="AS151" s="141" t="s">
        <v>441</v>
      </c>
      <c r="AT151" s="141"/>
      <c r="AU151" s="141" t="s">
        <v>2234</v>
      </c>
      <c r="AV151" s="141" t="s">
        <v>906</v>
      </c>
      <c r="AW151" s="141" t="s">
        <v>2236</v>
      </c>
      <c r="AX151" s="141" t="s">
        <v>655</v>
      </c>
      <c r="AY151" s="141" t="s">
        <v>2237</v>
      </c>
      <c r="AZ151" s="141" t="s">
        <v>657</v>
      </c>
      <c r="BA151" s="141" t="s">
        <v>2238</v>
      </c>
      <c r="BB151" s="141" t="s">
        <v>659</v>
      </c>
      <c r="BC151" s="141" t="s">
        <v>2239</v>
      </c>
      <c r="BD151" s="141" t="s">
        <v>900</v>
      </c>
      <c r="BE151" s="141" t="s">
        <v>1413</v>
      </c>
      <c r="BF151" s="141" t="s">
        <v>380</v>
      </c>
      <c r="BG151" s="141" t="s">
        <v>2240</v>
      </c>
      <c r="BH151" s="141" t="s">
        <v>382</v>
      </c>
      <c r="BI151" s="141" t="s">
        <v>581</v>
      </c>
      <c r="BJ151" s="141"/>
      <c r="BK151" s="141"/>
      <c r="BL151" s="141"/>
      <c r="BM151" s="141"/>
      <c r="BN151" s="141"/>
      <c r="BO151" s="141"/>
      <c r="BP151" s="141"/>
      <c r="BQ151" s="141"/>
      <c r="BR151" s="141"/>
      <c r="BS151" s="141"/>
      <c r="BT151" s="141"/>
      <c r="BU151" s="141"/>
      <c r="BV151" s="141"/>
      <c r="BW151" s="141"/>
      <c r="BX151" s="141"/>
      <c r="BY151" s="141"/>
      <c r="BZ151" s="141"/>
      <c r="CA151" s="141"/>
      <c r="CB151" s="141"/>
      <c r="CC151" s="141"/>
      <c r="CD151" s="141"/>
      <c r="CE151" s="141"/>
      <c r="CF151" s="141"/>
      <c r="CG151" s="141"/>
      <c r="CH151" s="141"/>
      <c r="CI151" s="141"/>
      <c r="CJ151" s="141"/>
      <c r="CK151" s="141"/>
      <c r="CL151" s="141"/>
      <c r="CM151" s="141"/>
      <c r="CN151" s="141"/>
      <c r="CO151" s="141"/>
      <c r="CP151" s="141"/>
      <c r="CQ151" s="141"/>
      <c r="CR151" s="141"/>
      <c r="CS151" s="141"/>
      <c r="CT151" s="141"/>
      <c r="CU151" s="141"/>
      <c r="CV151" s="141"/>
      <c r="CW151" s="141"/>
      <c r="CX151" s="141"/>
      <c r="CY151" s="141"/>
      <c r="CZ151" s="141"/>
      <c r="DA151" s="173"/>
    </row>
    <row r="152" spans="2:105" x14ac:dyDescent="0.25">
      <c r="B152" s="172"/>
      <c r="C152" s="141" t="s">
        <v>2241</v>
      </c>
      <c r="D152" s="141" t="s">
        <v>2242</v>
      </c>
      <c r="E152" s="141" t="s">
        <v>2243</v>
      </c>
      <c r="F152" s="141" t="s">
        <v>2244</v>
      </c>
      <c r="G152" s="141"/>
      <c r="H152" s="141" t="s">
        <v>353</v>
      </c>
      <c r="I152" s="141"/>
      <c r="J152" s="141" t="s">
        <v>354</v>
      </c>
      <c r="K152" s="141" t="s">
        <v>2245</v>
      </c>
      <c r="L152" s="141" t="s">
        <v>2246</v>
      </c>
      <c r="M152" s="141" t="s">
        <v>2247</v>
      </c>
      <c r="N152" s="141" t="s">
        <v>354</v>
      </c>
      <c r="O152" s="141" t="s">
        <v>369</v>
      </c>
      <c r="P152" s="141" t="s">
        <v>528</v>
      </c>
      <c r="Q152" s="141" t="s">
        <v>529</v>
      </c>
      <c r="R152" s="141" t="s">
        <v>361</v>
      </c>
      <c r="S152" s="141" t="s">
        <v>426</v>
      </c>
      <c r="T152" s="141" t="s">
        <v>2194</v>
      </c>
      <c r="U152" s="141" t="s">
        <v>2194</v>
      </c>
      <c r="V152" s="141"/>
      <c r="W152" s="141"/>
      <c r="X152" s="141"/>
      <c r="Y152" s="141"/>
      <c r="Z152" s="141"/>
      <c r="AA152" s="141"/>
      <c r="AB152" s="141"/>
      <c r="AC152" s="141"/>
      <c r="AD152" s="141"/>
      <c r="AE152" s="141"/>
      <c r="AF152" s="141"/>
      <c r="AG152" s="141"/>
      <c r="AH152" s="141"/>
      <c r="AI152" s="141"/>
      <c r="AJ152" s="141"/>
      <c r="AK152" s="141" t="s">
        <v>354</v>
      </c>
      <c r="AL152" s="141" t="s">
        <v>364</v>
      </c>
      <c r="AM152" s="141" t="s">
        <v>354</v>
      </c>
      <c r="AN152" s="141" t="s">
        <v>906</v>
      </c>
      <c r="AO152" s="141" t="s">
        <v>2194</v>
      </c>
      <c r="AP152" s="141" t="s">
        <v>2195</v>
      </c>
      <c r="AQ152" s="141" t="s">
        <v>2196</v>
      </c>
      <c r="AR152" s="141" t="s">
        <v>368</v>
      </c>
      <c r="AS152" s="141" t="s">
        <v>391</v>
      </c>
      <c r="AT152" s="141"/>
      <c r="AU152" s="141" t="s">
        <v>2246</v>
      </c>
      <c r="AV152" s="141" t="s">
        <v>906</v>
      </c>
      <c r="AW152" s="141" t="s">
        <v>2248</v>
      </c>
      <c r="AX152" s="141" t="s">
        <v>655</v>
      </c>
      <c r="AY152" s="141" t="s">
        <v>2249</v>
      </c>
      <c r="AZ152" s="141" t="s">
        <v>657</v>
      </c>
      <c r="BA152" s="141" t="s">
        <v>2250</v>
      </c>
      <c r="BB152" s="141" t="s">
        <v>659</v>
      </c>
      <c r="BC152" s="141" t="s">
        <v>798</v>
      </c>
      <c r="BD152" s="141" t="s">
        <v>900</v>
      </c>
      <c r="BE152" s="141" t="s">
        <v>1654</v>
      </c>
      <c r="BF152" s="141" t="s">
        <v>380</v>
      </c>
      <c r="BG152" s="141" t="s">
        <v>2251</v>
      </c>
      <c r="BH152" s="141" t="s">
        <v>382</v>
      </c>
      <c r="BI152" s="141" t="s">
        <v>2252</v>
      </c>
      <c r="BJ152" s="141"/>
      <c r="BK152" s="141"/>
      <c r="BL152" s="141"/>
      <c r="BM152" s="141"/>
      <c r="BN152" s="141"/>
      <c r="BO152" s="141"/>
      <c r="BP152" s="141"/>
      <c r="BQ152" s="141"/>
      <c r="BR152" s="141"/>
      <c r="BS152" s="141"/>
      <c r="BT152" s="141"/>
      <c r="BU152" s="141"/>
      <c r="BV152" s="141"/>
      <c r="BW152" s="141"/>
      <c r="BX152" s="141"/>
      <c r="BY152" s="141"/>
      <c r="BZ152" s="141"/>
      <c r="CA152" s="141"/>
      <c r="CB152" s="141"/>
      <c r="CC152" s="141"/>
      <c r="CD152" s="141"/>
      <c r="CE152" s="141"/>
      <c r="CF152" s="141"/>
      <c r="CG152" s="141"/>
      <c r="CH152" s="141"/>
      <c r="CI152" s="141"/>
      <c r="CJ152" s="141"/>
      <c r="CK152" s="141"/>
      <c r="CL152" s="141"/>
      <c r="CM152" s="141"/>
      <c r="CN152" s="141"/>
      <c r="CO152" s="141"/>
      <c r="CP152" s="141"/>
      <c r="CQ152" s="141"/>
      <c r="CR152" s="141"/>
      <c r="CS152" s="141"/>
      <c r="CT152" s="141"/>
      <c r="CU152" s="141"/>
      <c r="CV152" s="141"/>
      <c r="CW152" s="141"/>
      <c r="CX152" s="141"/>
      <c r="CY152" s="141"/>
      <c r="CZ152" s="141"/>
      <c r="DA152" s="173"/>
    </row>
    <row r="153" spans="2:105" x14ac:dyDescent="0.25">
      <c r="B153" s="172"/>
      <c r="C153" s="141" t="s">
        <v>2253</v>
      </c>
      <c r="D153" s="141" t="s">
        <v>2254</v>
      </c>
      <c r="E153" s="141" t="s">
        <v>2255</v>
      </c>
      <c r="F153" s="141" t="s">
        <v>2256</v>
      </c>
      <c r="G153" s="141"/>
      <c r="H153" s="141" t="s">
        <v>353</v>
      </c>
      <c r="I153" s="141"/>
      <c r="J153" s="141" t="s">
        <v>354</v>
      </c>
      <c r="K153" s="141" t="s">
        <v>920</v>
      </c>
      <c r="L153" s="141" t="s">
        <v>2257</v>
      </c>
      <c r="M153" s="141" t="s">
        <v>2102</v>
      </c>
      <c r="N153" s="141" t="s">
        <v>354</v>
      </c>
      <c r="O153" s="141" t="s">
        <v>369</v>
      </c>
      <c r="P153" s="141" t="s">
        <v>528</v>
      </c>
      <c r="Q153" s="141" t="s">
        <v>529</v>
      </c>
      <c r="R153" s="141" t="s">
        <v>361</v>
      </c>
      <c r="S153" s="141" t="s">
        <v>426</v>
      </c>
      <c r="T153" s="141" t="s">
        <v>2194</v>
      </c>
      <c r="U153" s="141" t="s">
        <v>2194</v>
      </c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141"/>
      <c r="AH153" s="141"/>
      <c r="AI153" s="141"/>
      <c r="AJ153" s="141"/>
      <c r="AK153" s="141" t="s">
        <v>354</v>
      </c>
      <c r="AL153" s="141" t="s">
        <v>364</v>
      </c>
      <c r="AM153" s="141" t="s">
        <v>354</v>
      </c>
      <c r="AN153" s="141" t="s">
        <v>906</v>
      </c>
      <c r="AO153" s="141" t="s">
        <v>2194</v>
      </c>
      <c r="AP153" s="141" t="s">
        <v>2195</v>
      </c>
      <c r="AQ153" s="141" t="s">
        <v>2196</v>
      </c>
      <c r="AR153" s="141" t="s">
        <v>368</v>
      </c>
      <c r="AS153" s="141" t="s">
        <v>368</v>
      </c>
      <c r="AT153" s="141"/>
      <c r="AU153" s="141" t="s">
        <v>2257</v>
      </c>
      <c r="AV153" s="141" t="s">
        <v>906</v>
      </c>
      <c r="AW153" s="141" t="s">
        <v>2258</v>
      </c>
      <c r="AX153" s="141" t="s">
        <v>655</v>
      </c>
      <c r="AY153" s="141" t="s">
        <v>2259</v>
      </c>
      <c r="AZ153" s="141" t="s">
        <v>657</v>
      </c>
      <c r="BA153" s="141" t="s">
        <v>2260</v>
      </c>
      <c r="BB153" s="141" t="s">
        <v>659</v>
      </c>
      <c r="BC153" s="141" t="s">
        <v>2261</v>
      </c>
      <c r="BD153" s="141" t="s">
        <v>900</v>
      </c>
      <c r="BE153" s="141" t="s">
        <v>2240</v>
      </c>
      <c r="BF153" s="141" t="s">
        <v>380</v>
      </c>
      <c r="BG153" s="141" t="s">
        <v>2262</v>
      </c>
      <c r="BH153" s="141" t="s">
        <v>382</v>
      </c>
      <c r="BI153" s="141" t="s">
        <v>2263</v>
      </c>
      <c r="BJ153" s="141"/>
      <c r="BK153" s="141"/>
      <c r="BL153" s="141"/>
      <c r="BM153" s="141"/>
      <c r="BN153" s="141"/>
      <c r="BO153" s="141"/>
      <c r="BP153" s="141"/>
      <c r="BQ153" s="141"/>
      <c r="BR153" s="141"/>
      <c r="BS153" s="141"/>
      <c r="BT153" s="141"/>
      <c r="BU153" s="141"/>
      <c r="BV153" s="141"/>
      <c r="BW153" s="141"/>
      <c r="BX153" s="141"/>
      <c r="BY153" s="141"/>
      <c r="BZ153" s="141"/>
      <c r="CA153" s="141"/>
      <c r="CB153" s="141"/>
      <c r="CC153" s="141"/>
      <c r="CD153" s="141"/>
      <c r="CE153" s="141"/>
      <c r="CF153" s="141"/>
      <c r="CG153" s="141"/>
      <c r="CH153" s="141"/>
      <c r="CI153" s="141"/>
      <c r="CJ153" s="141"/>
      <c r="CK153" s="141"/>
      <c r="CL153" s="141"/>
      <c r="CM153" s="141"/>
      <c r="CN153" s="141"/>
      <c r="CO153" s="141"/>
      <c r="CP153" s="141"/>
      <c r="CQ153" s="141"/>
      <c r="CR153" s="141"/>
      <c r="CS153" s="141"/>
      <c r="CT153" s="141"/>
      <c r="CU153" s="141"/>
      <c r="CV153" s="141"/>
      <c r="CW153" s="141"/>
      <c r="CX153" s="141"/>
      <c r="CY153" s="141"/>
      <c r="CZ153" s="141"/>
      <c r="DA153" s="173"/>
    </row>
    <row r="154" spans="2:105" x14ac:dyDescent="0.25">
      <c r="B154" s="172"/>
      <c r="C154" s="141" t="s">
        <v>2264</v>
      </c>
      <c r="D154" s="141" t="s">
        <v>485</v>
      </c>
      <c r="E154" s="141" t="s">
        <v>2265</v>
      </c>
      <c r="F154" s="141" t="s">
        <v>2266</v>
      </c>
      <c r="G154" s="141"/>
      <c r="H154" s="141" t="s">
        <v>353</v>
      </c>
      <c r="I154" s="141"/>
      <c r="J154" s="141" t="s">
        <v>354</v>
      </c>
      <c r="K154" s="141" t="s">
        <v>2267</v>
      </c>
      <c r="L154" s="141" t="s">
        <v>2268</v>
      </c>
      <c r="M154" s="141" t="s">
        <v>1806</v>
      </c>
      <c r="N154" s="141" t="s">
        <v>354</v>
      </c>
      <c r="O154" s="141" t="s">
        <v>485</v>
      </c>
      <c r="P154" s="141" t="s">
        <v>1630</v>
      </c>
      <c r="Q154" s="141" t="s">
        <v>1631</v>
      </c>
      <c r="R154" s="141" t="s">
        <v>361</v>
      </c>
      <c r="S154" s="141" t="s">
        <v>426</v>
      </c>
      <c r="T154" s="141" t="s">
        <v>2194</v>
      </c>
      <c r="U154" s="141" t="s">
        <v>2194</v>
      </c>
      <c r="V154" s="141"/>
      <c r="W154" s="141"/>
      <c r="X154" s="141"/>
      <c r="Y154" s="141"/>
      <c r="Z154" s="141"/>
      <c r="AA154" s="141"/>
      <c r="AB154" s="141"/>
      <c r="AC154" s="141"/>
      <c r="AD154" s="141"/>
      <c r="AE154" s="141"/>
      <c r="AF154" s="141"/>
      <c r="AG154" s="141"/>
      <c r="AH154" s="141"/>
      <c r="AI154" s="141"/>
      <c r="AJ154" s="141"/>
      <c r="AK154" s="141" t="s">
        <v>354</v>
      </c>
      <c r="AL154" s="141" t="s">
        <v>364</v>
      </c>
      <c r="AM154" s="141" t="s">
        <v>354</v>
      </c>
      <c r="AN154" s="141" t="s">
        <v>906</v>
      </c>
      <c r="AO154" s="141" t="s">
        <v>2194</v>
      </c>
      <c r="AP154" s="141" t="s">
        <v>2195</v>
      </c>
      <c r="AQ154" s="141" t="s">
        <v>2196</v>
      </c>
      <c r="AR154" s="141" t="s">
        <v>368</v>
      </c>
      <c r="AS154" s="141" t="s">
        <v>408</v>
      </c>
      <c r="AT154" s="141"/>
      <c r="AU154" s="141" t="s">
        <v>2268</v>
      </c>
      <c r="AV154" s="141" t="s">
        <v>906</v>
      </c>
      <c r="AW154" s="141" t="s">
        <v>2269</v>
      </c>
      <c r="AX154" s="141" t="s">
        <v>655</v>
      </c>
      <c r="AY154" s="141" t="s">
        <v>2270</v>
      </c>
      <c r="AZ154" s="141" t="s">
        <v>657</v>
      </c>
      <c r="BA154" s="141" t="s">
        <v>2271</v>
      </c>
      <c r="BB154" s="141" t="s">
        <v>659</v>
      </c>
      <c r="BC154" s="141" t="s">
        <v>2272</v>
      </c>
      <c r="BD154" s="141" t="s">
        <v>900</v>
      </c>
      <c r="BE154" s="141" t="s">
        <v>2273</v>
      </c>
      <c r="BF154" s="141" t="s">
        <v>380</v>
      </c>
      <c r="BG154" s="141" t="s">
        <v>2159</v>
      </c>
      <c r="BH154" s="141" t="s">
        <v>382</v>
      </c>
      <c r="BI154" s="141" t="s">
        <v>2274</v>
      </c>
      <c r="BJ154" s="141"/>
      <c r="BK154" s="141"/>
      <c r="BL154" s="141"/>
      <c r="BM154" s="141"/>
      <c r="BN154" s="141"/>
      <c r="BO154" s="141"/>
      <c r="BP154" s="141"/>
      <c r="BQ154" s="141"/>
      <c r="BR154" s="141"/>
      <c r="BS154" s="141"/>
      <c r="BT154" s="141"/>
      <c r="BU154" s="141"/>
      <c r="BV154" s="141"/>
      <c r="BW154" s="141"/>
      <c r="BX154" s="141"/>
      <c r="BY154" s="141"/>
      <c r="BZ154" s="141"/>
      <c r="CA154" s="141"/>
      <c r="CB154" s="141"/>
      <c r="CC154" s="141"/>
      <c r="CD154" s="141"/>
      <c r="CE154" s="141"/>
      <c r="CF154" s="141"/>
      <c r="CG154" s="141"/>
      <c r="CH154" s="141"/>
      <c r="CI154" s="141"/>
      <c r="CJ154" s="141"/>
      <c r="CK154" s="141"/>
      <c r="CL154" s="141"/>
      <c r="CM154" s="141"/>
      <c r="CN154" s="141"/>
      <c r="CO154" s="141"/>
      <c r="CP154" s="141"/>
      <c r="CQ154" s="141"/>
      <c r="CR154" s="141"/>
      <c r="CS154" s="141"/>
      <c r="CT154" s="141"/>
      <c r="CU154" s="141"/>
      <c r="CV154" s="141"/>
      <c r="CW154" s="141"/>
      <c r="CX154" s="141"/>
      <c r="CY154" s="141"/>
      <c r="CZ154" s="141"/>
      <c r="DA154" s="173"/>
    </row>
    <row r="155" spans="2:105" x14ac:dyDescent="0.25">
      <c r="B155" s="172"/>
      <c r="C155" s="141" t="s">
        <v>2275</v>
      </c>
      <c r="D155" s="141" t="s">
        <v>2276</v>
      </c>
      <c r="E155" s="141" t="s">
        <v>2277</v>
      </c>
      <c r="F155" s="141" t="s">
        <v>2206</v>
      </c>
      <c r="G155" s="141"/>
      <c r="H155" s="141" t="s">
        <v>353</v>
      </c>
      <c r="I155" s="141"/>
      <c r="J155" s="141" t="s">
        <v>354</v>
      </c>
      <c r="K155" s="141" t="s">
        <v>467</v>
      </c>
      <c r="L155" s="141" t="s">
        <v>2278</v>
      </c>
      <c r="M155" s="141" t="s">
        <v>2279</v>
      </c>
      <c r="N155" s="141" t="s">
        <v>354</v>
      </c>
      <c r="O155" s="141" t="s">
        <v>369</v>
      </c>
      <c r="P155" s="141" t="s">
        <v>528</v>
      </c>
      <c r="Q155" s="141" t="s">
        <v>529</v>
      </c>
      <c r="R155" s="141" t="s">
        <v>361</v>
      </c>
      <c r="S155" s="141" t="s">
        <v>426</v>
      </c>
      <c r="T155" s="141" t="s">
        <v>2194</v>
      </c>
      <c r="U155" s="141" t="s">
        <v>2194</v>
      </c>
      <c r="V155" s="141"/>
      <c r="W155" s="141"/>
      <c r="X155" s="141"/>
      <c r="Y155" s="141"/>
      <c r="Z155" s="141"/>
      <c r="AA155" s="141"/>
      <c r="AB155" s="141"/>
      <c r="AC155" s="141"/>
      <c r="AD155" s="141"/>
      <c r="AE155" s="141"/>
      <c r="AF155" s="141"/>
      <c r="AG155" s="141"/>
      <c r="AH155" s="141"/>
      <c r="AI155" s="141"/>
      <c r="AJ155" s="141"/>
      <c r="AK155" s="141" t="s">
        <v>354</v>
      </c>
      <c r="AL155" s="141" t="s">
        <v>364</v>
      </c>
      <c r="AM155" s="141" t="s">
        <v>354</v>
      </c>
      <c r="AN155" s="141" t="s">
        <v>906</v>
      </c>
      <c r="AO155" s="141" t="s">
        <v>2194</v>
      </c>
      <c r="AP155" s="141" t="s">
        <v>2195</v>
      </c>
      <c r="AQ155" s="141" t="s">
        <v>2196</v>
      </c>
      <c r="AR155" s="141" t="s">
        <v>368</v>
      </c>
      <c r="AS155" s="141" t="s">
        <v>490</v>
      </c>
      <c r="AT155" s="141"/>
      <c r="AU155" s="141" t="s">
        <v>2278</v>
      </c>
      <c r="AV155" s="141" t="s">
        <v>906</v>
      </c>
      <c r="AW155" s="141" t="s">
        <v>2280</v>
      </c>
      <c r="AX155" s="141" t="s">
        <v>655</v>
      </c>
      <c r="AY155" s="141" t="s">
        <v>2109</v>
      </c>
      <c r="AZ155" s="141" t="s">
        <v>657</v>
      </c>
      <c r="BA155" s="141" t="s">
        <v>397</v>
      </c>
      <c r="BB155" s="141" t="s">
        <v>659</v>
      </c>
      <c r="BC155" s="141" t="s">
        <v>1200</v>
      </c>
      <c r="BD155" s="141" t="s">
        <v>900</v>
      </c>
      <c r="BE155" s="141" t="s">
        <v>1442</v>
      </c>
      <c r="BF155" s="141" t="s">
        <v>380</v>
      </c>
      <c r="BG155" s="141" t="s">
        <v>2281</v>
      </c>
      <c r="BH155" s="141" t="s">
        <v>382</v>
      </c>
      <c r="BI155" s="141" t="s">
        <v>1203</v>
      </c>
      <c r="BJ155" s="141"/>
      <c r="BK155" s="141"/>
      <c r="BL155" s="141"/>
      <c r="BM155" s="141"/>
      <c r="BN155" s="141"/>
      <c r="BO155" s="141"/>
      <c r="BP155" s="141"/>
      <c r="BQ155" s="141"/>
      <c r="BR155" s="141"/>
      <c r="BS155" s="141"/>
      <c r="BT155" s="141"/>
      <c r="BU155" s="141"/>
      <c r="BV155" s="141"/>
      <c r="BW155" s="141"/>
      <c r="BX155" s="141"/>
      <c r="BY155" s="141"/>
      <c r="BZ155" s="141"/>
      <c r="CA155" s="141"/>
      <c r="CB155" s="141"/>
      <c r="CC155" s="141"/>
      <c r="CD155" s="141"/>
      <c r="CE155" s="141"/>
      <c r="CF155" s="141"/>
      <c r="CG155" s="141"/>
      <c r="CH155" s="141"/>
      <c r="CI155" s="141"/>
      <c r="CJ155" s="141"/>
      <c r="CK155" s="141"/>
      <c r="CL155" s="141"/>
      <c r="CM155" s="141"/>
      <c r="CN155" s="141"/>
      <c r="CO155" s="141"/>
      <c r="CP155" s="141"/>
      <c r="CQ155" s="141"/>
      <c r="CR155" s="141"/>
      <c r="CS155" s="141"/>
      <c r="CT155" s="141"/>
      <c r="CU155" s="141"/>
      <c r="CV155" s="141"/>
      <c r="CW155" s="141"/>
      <c r="CX155" s="141"/>
      <c r="CY155" s="141"/>
      <c r="CZ155" s="141"/>
      <c r="DA155" s="173"/>
    </row>
    <row r="156" spans="2:105" x14ac:dyDescent="0.25">
      <c r="B156" s="172"/>
      <c r="C156" s="141" t="s">
        <v>2282</v>
      </c>
      <c r="D156" s="141" t="s">
        <v>2283</v>
      </c>
      <c r="E156" s="141" t="s">
        <v>1124</v>
      </c>
      <c r="F156" s="141" t="s">
        <v>1523</v>
      </c>
      <c r="G156" s="141"/>
      <c r="H156" s="141" t="s">
        <v>353</v>
      </c>
      <c r="I156" s="141"/>
      <c r="J156" s="141" t="s">
        <v>354</v>
      </c>
      <c r="K156" s="141" t="s">
        <v>355</v>
      </c>
      <c r="L156" s="141" t="s">
        <v>2284</v>
      </c>
      <c r="M156" s="141" t="s">
        <v>2285</v>
      </c>
      <c r="N156" s="141" t="s">
        <v>354</v>
      </c>
      <c r="O156" s="141" t="s">
        <v>369</v>
      </c>
      <c r="P156" s="141" t="s">
        <v>528</v>
      </c>
      <c r="Q156" s="141" t="s">
        <v>529</v>
      </c>
      <c r="R156" s="141" t="s">
        <v>361</v>
      </c>
      <c r="S156" s="141" t="s">
        <v>426</v>
      </c>
      <c r="T156" s="141" t="s">
        <v>2194</v>
      </c>
      <c r="U156" s="141" t="s">
        <v>2194</v>
      </c>
      <c r="V156" s="141"/>
      <c r="W156" s="141"/>
      <c r="X156" s="141"/>
      <c r="Y156" s="141"/>
      <c r="Z156" s="141"/>
      <c r="AA156" s="141"/>
      <c r="AB156" s="141"/>
      <c r="AC156" s="141"/>
      <c r="AD156" s="141"/>
      <c r="AE156" s="141"/>
      <c r="AF156" s="141"/>
      <c r="AG156" s="141"/>
      <c r="AH156" s="141"/>
      <c r="AI156" s="141"/>
      <c r="AJ156" s="141"/>
      <c r="AK156" s="141" t="s">
        <v>354</v>
      </c>
      <c r="AL156" s="141" t="s">
        <v>364</v>
      </c>
      <c r="AM156" s="141" t="s">
        <v>354</v>
      </c>
      <c r="AN156" s="141" t="s">
        <v>906</v>
      </c>
      <c r="AO156" s="141" t="s">
        <v>2194</v>
      </c>
      <c r="AP156" s="141" t="s">
        <v>2195</v>
      </c>
      <c r="AQ156" s="141" t="s">
        <v>2196</v>
      </c>
      <c r="AR156" s="141" t="s">
        <v>368</v>
      </c>
      <c r="AS156" s="141" t="s">
        <v>485</v>
      </c>
      <c r="AT156" s="141"/>
      <c r="AU156" s="141" t="s">
        <v>2284</v>
      </c>
      <c r="AV156" s="141" t="s">
        <v>906</v>
      </c>
      <c r="AW156" s="141" t="s">
        <v>2286</v>
      </c>
      <c r="AX156" s="141" t="s">
        <v>655</v>
      </c>
      <c r="AY156" s="141" t="s">
        <v>2287</v>
      </c>
      <c r="AZ156" s="141" t="s">
        <v>657</v>
      </c>
      <c r="BA156" s="141" t="s">
        <v>2288</v>
      </c>
      <c r="BB156" s="141" t="s">
        <v>659</v>
      </c>
      <c r="BC156" s="141" t="s">
        <v>1752</v>
      </c>
      <c r="BD156" s="141" t="s">
        <v>900</v>
      </c>
      <c r="BE156" s="141" t="s">
        <v>2289</v>
      </c>
      <c r="BF156" s="141" t="s">
        <v>380</v>
      </c>
      <c r="BG156" s="141" t="s">
        <v>1443</v>
      </c>
      <c r="BH156" s="141" t="s">
        <v>382</v>
      </c>
      <c r="BI156" s="141" t="s">
        <v>2290</v>
      </c>
      <c r="BJ156" s="141"/>
      <c r="BK156" s="141"/>
      <c r="BL156" s="141"/>
      <c r="BM156" s="141"/>
      <c r="BN156" s="141"/>
      <c r="BO156" s="141"/>
      <c r="BP156" s="141"/>
      <c r="BQ156" s="141"/>
      <c r="BR156" s="141"/>
      <c r="BS156" s="141"/>
      <c r="BT156" s="141"/>
      <c r="BU156" s="141"/>
      <c r="BV156" s="141"/>
      <c r="BW156" s="141"/>
      <c r="BX156" s="141"/>
      <c r="BY156" s="141"/>
      <c r="BZ156" s="141"/>
      <c r="CA156" s="141"/>
      <c r="CB156" s="141"/>
      <c r="CC156" s="141"/>
      <c r="CD156" s="141"/>
      <c r="CE156" s="141"/>
      <c r="CF156" s="141"/>
      <c r="CG156" s="141"/>
      <c r="CH156" s="141"/>
      <c r="CI156" s="141"/>
      <c r="CJ156" s="141"/>
      <c r="CK156" s="141"/>
      <c r="CL156" s="141"/>
      <c r="CM156" s="141"/>
      <c r="CN156" s="141"/>
      <c r="CO156" s="141"/>
      <c r="CP156" s="141"/>
      <c r="CQ156" s="141"/>
      <c r="CR156" s="141"/>
      <c r="CS156" s="141"/>
      <c r="CT156" s="141"/>
      <c r="CU156" s="141"/>
      <c r="CV156" s="141"/>
      <c r="CW156" s="141"/>
      <c r="CX156" s="141"/>
      <c r="CY156" s="141"/>
      <c r="CZ156" s="141"/>
      <c r="DA156" s="173"/>
    </row>
    <row r="157" spans="2:105" x14ac:dyDescent="0.25">
      <c r="B157" s="172"/>
      <c r="C157" s="141" t="s">
        <v>2291</v>
      </c>
      <c r="D157" s="141" t="s">
        <v>2292</v>
      </c>
      <c r="E157" s="141" t="s">
        <v>1744</v>
      </c>
      <c r="F157" s="141" t="s">
        <v>1943</v>
      </c>
      <c r="G157" s="141"/>
      <c r="H157" s="141" t="s">
        <v>353</v>
      </c>
      <c r="I157" s="141"/>
      <c r="J157" s="141" t="s">
        <v>354</v>
      </c>
      <c r="K157" s="141" t="s">
        <v>2293</v>
      </c>
      <c r="L157" s="141" t="s">
        <v>2294</v>
      </c>
      <c r="M157" s="141" t="s">
        <v>2295</v>
      </c>
      <c r="N157" s="141" t="s">
        <v>354</v>
      </c>
      <c r="O157" s="141" t="s">
        <v>369</v>
      </c>
      <c r="P157" s="141" t="s">
        <v>528</v>
      </c>
      <c r="Q157" s="141" t="s">
        <v>529</v>
      </c>
      <c r="R157" s="141" t="s">
        <v>361</v>
      </c>
      <c r="S157" s="141" t="s">
        <v>426</v>
      </c>
      <c r="T157" s="141" t="s">
        <v>2194</v>
      </c>
      <c r="U157" s="141" t="s">
        <v>2194</v>
      </c>
      <c r="V157" s="141"/>
      <c r="W157" s="141"/>
      <c r="X157" s="141"/>
      <c r="Y157" s="141"/>
      <c r="Z157" s="141"/>
      <c r="AA157" s="141"/>
      <c r="AB157" s="141"/>
      <c r="AC157" s="141"/>
      <c r="AD157" s="141"/>
      <c r="AE157" s="141"/>
      <c r="AF157" s="141"/>
      <c r="AG157" s="141"/>
      <c r="AH157" s="141"/>
      <c r="AI157" s="141"/>
      <c r="AJ157" s="141"/>
      <c r="AK157" s="141" t="s">
        <v>354</v>
      </c>
      <c r="AL157" s="141" t="s">
        <v>364</v>
      </c>
      <c r="AM157" s="141" t="s">
        <v>354</v>
      </c>
      <c r="AN157" s="141" t="s">
        <v>906</v>
      </c>
      <c r="AO157" s="141" t="s">
        <v>2194</v>
      </c>
      <c r="AP157" s="141" t="s">
        <v>2195</v>
      </c>
      <c r="AQ157" s="141" t="s">
        <v>2196</v>
      </c>
      <c r="AR157" s="141" t="s">
        <v>368</v>
      </c>
      <c r="AS157" s="141" t="s">
        <v>362</v>
      </c>
      <c r="AT157" s="141"/>
      <c r="AU157" s="141" t="s">
        <v>2294</v>
      </c>
      <c r="AV157" s="141" t="s">
        <v>906</v>
      </c>
      <c r="AW157" s="141" t="s">
        <v>2296</v>
      </c>
      <c r="AX157" s="141" t="s">
        <v>655</v>
      </c>
      <c r="AY157" s="141" t="s">
        <v>2297</v>
      </c>
      <c r="AZ157" s="141" t="s">
        <v>657</v>
      </c>
      <c r="BA157" s="141" t="s">
        <v>780</v>
      </c>
      <c r="BB157" s="141" t="s">
        <v>659</v>
      </c>
      <c r="BC157" s="141" t="s">
        <v>2298</v>
      </c>
      <c r="BD157" s="141" t="s">
        <v>900</v>
      </c>
      <c r="BE157" s="141" t="s">
        <v>2015</v>
      </c>
      <c r="BF157" s="141" t="s">
        <v>380</v>
      </c>
      <c r="BG157" s="141" t="s">
        <v>2299</v>
      </c>
      <c r="BH157" s="141" t="s">
        <v>382</v>
      </c>
      <c r="BI157" s="141" t="s">
        <v>2300</v>
      </c>
      <c r="BJ157" s="141"/>
      <c r="BK157" s="141"/>
      <c r="BL157" s="141"/>
      <c r="BM157" s="141"/>
      <c r="BN157" s="141"/>
      <c r="BO157" s="141"/>
      <c r="BP157" s="141"/>
      <c r="BQ157" s="141"/>
      <c r="BR157" s="141"/>
      <c r="BS157" s="141"/>
      <c r="BT157" s="141"/>
      <c r="BU157" s="141"/>
      <c r="BV157" s="141"/>
      <c r="BW157" s="141"/>
      <c r="BX157" s="141"/>
      <c r="BY157" s="141"/>
      <c r="BZ157" s="141"/>
      <c r="CA157" s="141"/>
      <c r="CB157" s="141"/>
      <c r="CC157" s="141"/>
      <c r="CD157" s="141"/>
      <c r="CE157" s="141"/>
      <c r="CF157" s="141"/>
      <c r="CG157" s="141"/>
      <c r="CH157" s="141"/>
      <c r="CI157" s="141"/>
      <c r="CJ157" s="141"/>
      <c r="CK157" s="141"/>
      <c r="CL157" s="141"/>
      <c r="CM157" s="141"/>
      <c r="CN157" s="141"/>
      <c r="CO157" s="141"/>
      <c r="CP157" s="141"/>
      <c r="CQ157" s="141"/>
      <c r="CR157" s="141"/>
      <c r="CS157" s="141"/>
      <c r="CT157" s="141"/>
      <c r="CU157" s="141"/>
      <c r="CV157" s="141"/>
      <c r="CW157" s="141"/>
      <c r="CX157" s="141"/>
      <c r="CY157" s="141"/>
      <c r="CZ157" s="141"/>
      <c r="DA157" s="173"/>
    </row>
    <row r="158" spans="2:105" x14ac:dyDescent="0.25">
      <c r="B158" s="172"/>
      <c r="C158" s="141" t="s">
        <v>2301</v>
      </c>
      <c r="D158" s="141" t="s">
        <v>2302</v>
      </c>
      <c r="E158" s="141" t="s">
        <v>2303</v>
      </c>
      <c r="F158" s="141" t="s">
        <v>2304</v>
      </c>
      <c r="G158" s="141"/>
      <c r="H158" s="141" t="s">
        <v>353</v>
      </c>
      <c r="I158" s="141"/>
      <c r="J158" s="141" t="s">
        <v>354</v>
      </c>
      <c r="K158" s="141" t="s">
        <v>2305</v>
      </c>
      <c r="L158" s="141" t="s">
        <v>2306</v>
      </c>
      <c r="M158" s="141" t="s">
        <v>1286</v>
      </c>
      <c r="N158" s="141" t="s">
        <v>354</v>
      </c>
      <c r="O158" s="141" t="s">
        <v>393</v>
      </c>
      <c r="P158" s="141" t="s">
        <v>424</v>
      </c>
      <c r="Q158" s="141" t="s">
        <v>425</v>
      </c>
      <c r="R158" s="141" t="s">
        <v>361</v>
      </c>
      <c r="S158" s="141" t="s">
        <v>426</v>
      </c>
      <c r="T158" s="141" t="s">
        <v>2194</v>
      </c>
      <c r="U158" s="141" t="s">
        <v>2194</v>
      </c>
      <c r="V158" s="141"/>
      <c r="W158" s="141"/>
      <c r="X158" s="141"/>
      <c r="Y158" s="141"/>
      <c r="Z158" s="141"/>
      <c r="AA158" s="141"/>
      <c r="AB158" s="141"/>
      <c r="AC158" s="141"/>
      <c r="AD158" s="141"/>
      <c r="AE158" s="141"/>
      <c r="AF158" s="141"/>
      <c r="AG158" s="141"/>
      <c r="AH158" s="141"/>
      <c r="AI158" s="141"/>
      <c r="AJ158" s="141"/>
      <c r="AK158" s="141" t="s">
        <v>354</v>
      </c>
      <c r="AL158" s="141" t="s">
        <v>364</v>
      </c>
      <c r="AM158" s="141" t="s">
        <v>354</v>
      </c>
      <c r="AN158" s="141" t="s">
        <v>906</v>
      </c>
      <c r="AO158" s="141" t="s">
        <v>2194</v>
      </c>
      <c r="AP158" s="141" t="s">
        <v>2195</v>
      </c>
      <c r="AQ158" s="141" t="s">
        <v>2196</v>
      </c>
      <c r="AR158" s="141" t="s">
        <v>368</v>
      </c>
      <c r="AS158" s="141" t="s">
        <v>1279</v>
      </c>
      <c r="AT158" s="141"/>
      <c r="AU158" s="141" t="s">
        <v>2306</v>
      </c>
      <c r="AV158" s="141" t="s">
        <v>906</v>
      </c>
      <c r="AW158" s="141" t="s">
        <v>2307</v>
      </c>
      <c r="AX158" s="141" t="s">
        <v>655</v>
      </c>
      <c r="AY158" s="141" t="s">
        <v>2308</v>
      </c>
      <c r="AZ158" s="141" t="s">
        <v>657</v>
      </c>
      <c r="BA158" s="141" t="s">
        <v>1035</v>
      </c>
      <c r="BB158" s="141" t="s">
        <v>659</v>
      </c>
      <c r="BC158" s="141" t="s">
        <v>2309</v>
      </c>
      <c r="BD158" s="141" t="s">
        <v>900</v>
      </c>
      <c r="BE158" s="141" t="s">
        <v>2310</v>
      </c>
      <c r="BF158" s="141" t="s">
        <v>380</v>
      </c>
      <c r="BG158" s="141" t="s">
        <v>2300</v>
      </c>
      <c r="BH158" s="141" t="s">
        <v>382</v>
      </c>
      <c r="BI158" s="141" t="s">
        <v>1723</v>
      </c>
      <c r="BJ158" s="141"/>
      <c r="BK158" s="141"/>
      <c r="BL158" s="141"/>
      <c r="BM158" s="141"/>
      <c r="BN158" s="141"/>
      <c r="BO158" s="141"/>
      <c r="BP158" s="141"/>
      <c r="BQ158" s="141"/>
      <c r="BR158" s="141"/>
      <c r="BS158" s="141"/>
      <c r="BT158" s="141"/>
      <c r="BU158" s="141"/>
      <c r="BV158" s="141"/>
      <c r="BW158" s="141"/>
      <c r="BX158" s="141"/>
      <c r="BY158" s="141"/>
      <c r="BZ158" s="141"/>
      <c r="CA158" s="141"/>
      <c r="CB158" s="141"/>
      <c r="CC158" s="141"/>
      <c r="CD158" s="141"/>
      <c r="CE158" s="141"/>
      <c r="CF158" s="141"/>
      <c r="CG158" s="141"/>
      <c r="CH158" s="141"/>
      <c r="CI158" s="141"/>
      <c r="CJ158" s="141"/>
      <c r="CK158" s="141"/>
      <c r="CL158" s="141"/>
      <c r="CM158" s="141"/>
      <c r="CN158" s="141"/>
      <c r="CO158" s="141"/>
      <c r="CP158" s="141"/>
      <c r="CQ158" s="141"/>
      <c r="CR158" s="141"/>
      <c r="CS158" s="141"/>
      <c r="CT158" s="141"/>
      <c r="CU158" s="141"/>
      <c r="CV158" s="141"/>
      <c r="CW158" s="141"/>
      <c r="CX158" s="141"/>
      <c r="CY158" s="141"/>
      <c r="CZ158" s="141"/>
      <c r="DA158" s="173"/>
    </row>
    <row r="159" spans="2:105" x14ac:dyDescent="0.25">
      <c r="B159" s="172"/>
      <c r="C159" s="141" t="s">
        <v>2311</v>
      </c>
      <c r="D159" s="141" t="s">
        <v>2312</v>
      </c>
      <c r="E159" s="141" t="s">
        <v>2313</v>
      </c>
      <c r="F159" s="141" t="s">
        <v>1005</v>
      </c>
      <c r="G159" s="141"/>
      <c r="H159" s="141" t="s">
        <v>353</v>
      </c>
      <c r="I159" s="141"/>
      <c r="J159" s="141" t="s">
        <v>354</v>
      </c>
      <c r="K159" s="141" t="s">
        <v>871</v>
      </c>
      <c r="L159" s="141" t="s">
        <v>2314</v>
      </c>
      <c r="M159" s="141" t="s">
        <v>2315</v>
      </c>
      <c r="N159" s="141" t="s">
        <v>354</v>
      </c>
      <c r="O159" s="141" t="s">
        <v>393</v>
      </c>
      <c r="P159" s="141" t="s">
        <v>424</v>
      </c>
      <c r="Q159" s="141" t="s">
        <v>425</v>
      </c>
      <c r="R159" s="141" t="s">
        <v>361</v>
      </c>
      <c r="S159" s="141" t="s">
        <v>426</v>
      </c>
      <c r="T159" s="141" t="s">
        <v>2194</v>
      </c>
      <c r="U159" s="141" t="s">
        <v>2194</v>
      </c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141"/>
      <c r="AH159" s="141"/>
      <c r="AI159" s="141"/>
      <c r="AJ159" s="141"/>
      <c r="AK159" s="141" t="s">
        <v>354</v>
      </c>
      <c r="AL159" s="141" t="s">
        <v>364</v>
      </c>
      <c r="AM159" s="141" t="s">
        <v>354</v>
      </c>
      <c r="AN159" s="141" t="s">
        <v>906</v>
      </c>
      <c r="AO159" s="141" t="s">
        <v>2194</v>
      </c>
      <c r="AP159" s="141" t="s">
        <v>2195</v>
      </c>
      <c r="AQ159" s="141" t="s">
        <v>2196</v>
      </c>
      <c r="AR159" s="141" t="s">
        <v>368</v>
      </c>
      <c r="AS159" s="141" t="s">
        <v>1294</v>
      </c>
      <c r="AT159" s="141"/>
      <c r="AU159" s="141" t="s">
        <v>2314</v>
      </c>
      <c r="AV159" s="141" t="s">
        <v>906</v>
      </c>
      <c r="AW159" s="141" t="s">
        <v>2316</v>
      </c>
      <c r="AX159" s="141" t="s">
        <v>655</v>
      </c>
      <c r="AY159" s="141" t="s">
        <v>2317</v>
      </c>
      <c r="AZ159" s="141" t="s">
        <v>657</v>
      </c>
      <c r="BA159" s="141" t="s">
        <v>2318</v>
      </c>
      <c r="BB159" s="141" t="s">
        <v>659</v>
      </c>
      <c r="BC159" s="141" t="s">
        <v>1175</v>
      </c>
      <c r="BD159" s="141" t="s">
        <v>900</v>
      </c>
      <c r="BE159" s="141" t="s">
        <v>2319</v>
      </c>
      <c r="BF159" s="141" t="s">
        <v>380</v>
      </c>
      <c r="BG159" s="141" t="s">
        <v>2320</v>
      </c>
      <c r="BH159" s="141" t="s">
        <v>382</v>
      </c>
      <c r="BI159" s="141" t="s">
        <v>2321</v>
      </c>
      <c r="BJ159" s="141"/>
      <c r="BK159" s="141"/>
      <c r="BL159" s="141"/>
      <c r="BM159" s="141"/>
      <c r="BN159" s="141"/>
      <c r="BO159" s="141"/>
      <c r="BP159" s="141"/>
      <c r="BQ159" s="141"/>
      <c r="BR159" s="141"/>
      <c r="BS159" s="141"/>
      <c r="BT159" s="141"/>
      <c r="BU159" s="141"/>
      <c r="BV159" s="141"/>
      <c r="BW159" s="141"/>
      <c r="BX159" s="141"/>
      <c r="BY159" s="141"/>
      <c r="BZ159" s="141"/>
      <c r="CA159" s="141"/>
      <c r="CB159" s="141"/>
      <c r="CC159" s="141"/>
      <c r="CD159" s="141"/>
      <c r="CE159" s="141"/>
      <c r="CF159" s="141"/>
      <c r="CG159" s="141"/>
      <c r="CH159" s="141"/>
      <c r="CI159" s="141"/>
      <c r="CJ159" s="141"/>
      <c r="CK159" s="141"/>
      <c r="CL159" s="141"/>
      <c r="CM159" s="141"/>
      <c r="CN159" s="141"/>
      <c r="CO159" s="141"/>
      <c r="CP159" s="141"/>
      <c r="CQ159" s="141"/>
      <c r="CR159" s="141"/>
      <c r="CS159" s="141"/>
      <c r="CT159" s="141"/>
      <c r="CU159" s="141"/>
      <c r="CV159" s="141"/>
      <c r="CW159" s="141"/>
      <c r="CX159" s="141"/>
      <c r="CY159" s="141"/>
      <c r="CZ159" s="141"/>
      <c r="DA159" s="173"/>
    </row>
    <row r="160" spans="2:105" x14ac:dyDescent="0.25">
      <c r="B160" s="172"/>
      <c r="C160" s="141" t="s">
        <v>2322</v>
      </c>
      <c r="D160" s="141" t="s">
        <v>2323</v>
      </c>
      <c r="E160" s="141" t="s">
        <v>2324</v>
      </c>
      <c r="F160" s="141" t="s">
        <v>2020</v>
      </c>
      <c r="G160" s="141"/>
      <c r="H160" s="141" t="s">
        <v>353</v>
      </c>
      <c r="I160" s="141"/>
      <c r="J160" s="141" t="s">
        <v>354</v>
      </c>
      <c r="K160" s="141" t="s">
        <v>2325</v>
      </c>
      <c r="L160" s="141" t="s">
        <v>2326</v>
      </c>
      <c r="M160" s="141" t="s">
        <v>2327</v>
      </c>
      <c r="N160" s="141" t="s">
        <v>354</v>
      </c>
      <c r="O160" s="141"/>
      <c r="P160" s="141"/>
      <c r="Q160" s="141"/>
      <c r="R160" s="141"/>
      <c r="S160" s="141" t="s">
        <v>426</v>
      </c>
      <c r="T160" s="141" t="s">
        <v>2194</v>
      </c>
      <c r="U160" s="141" t="s">
        <v>2194</v>
      </c>
      <c r="V160" s="141"/>
      <c r="W160" s="141"/>
      <c r="X160" s="141"/>
      <c r="Y160" s="141"/>
      <c r="Z160" s="141"/>
      <c r="AA160" s="141"/>
      <c r="AB160" s="141"/>
      <c r="AC160" s="141"/>
      <c r="AD160" s="141"/>
      <c r="AE160" s="141"/>
      <c r="AF160" s="141"/>
      <c r="AG160" s="141"/>
      <c r="AH160" s="141"/>
      <c r="AI160" s="141"/>
      <c r="AJ160" s="141"/>
      <c r="AK160" s="141" t="s">
        <v>354</v>
      </c>
      <c r="AL160" s="141" t="s">
        <v>364</v>
      </c>
      <c r="AM160" s="141" t="s">
        <v>354</v>
      </c>
      <c r="AN160" s="141" t="s">
        <v>906</v>
      </c>
      <c r="AO160" s="141" t="s">
        <v>2194</v>
      </c>
      <c r="AP160" s="141" t="s">
        <v>2195</v>
      </c>
      <c r="AQ160" s="141" t="s">
        <v>2196</v>
      </c>
      <c r="AR160" s="141" t="s">
        <v>368</v>
      </c>
      <c r="AS160" s="141" t="s">
        <v>1308</v>
      </c>
      <c r="AT160" s="141"/>
      <c r="AU160" s="141" t="s">
        <v>2326</v>
      </c>
      <c r="AV160" s="141" t="s">
        <v>906</v>
      </c>
      <c r="AW160" s="141" t="s">
        <v>2328</v>
      </c>
      <c r="AX160" s="141" t="s">
        <v>655</v>
      </c>
      <c r="AY160" s="141" t="s">
        <v>2329</v>
      </c>
      <c r="AZ160" s="141" t="s">
        <v>657</v>
      </c>
      <c r="BA160" s="141" t="s">
        <v>2330</v>
      </c>
      <c r="BB160" s="141" t="s">
        <v>659</v>
      </c>
      <c r="BC160" s="141" t="s">
        <v>2331</v>
      </c>
      <c r="BD160" s="141" t="s">
        <v>900</v>
      </c>
      <c r="BE160" s="141" t="s">
        <v>1286</v>
      </c>
      <c r="BF160" s="141" t="s">
        <v>380</v>
      </c>
      <c r="BG160" s="141" t="s">
        <v>2332</v>
      </c>
      <c r="BH160" s="141" t="s">
        <v>382</v>
      </c>
      <c r="BI160" s="141" t="s">
        <v>2333</v>
      </c>
      <c r="BJ160" s="141"/>
      <c r="BK160" s="141"/>
      <c r="BL160" s="141"/>
      <c r="BM160" s="141"/>
      <c r="BN160" s="141"/>
      <c r="BO160" s="141"/>
      <c r="BP160" s="141"/>
      <c r="BQ160" s="141"/>
      <c r="BR160" s="141"/>
      <c r="BS160" s="141"/>
      <c r="BT160" s="141"/>
      <c r="BU160" s="141"/>
      <c r="BV160" s="141"/>
      <c r="BW160" s="141"/>
      <c r="BX160" s="141"/>
      <c r="BY160" s="141"/>
      <c r="BZ160" s="141"/>
      <c r="CA160" s="141"/>
      <c r="CB160" s="141"/>
      <c r="CC160" s="141"/>
      <c r="CD160" s="141"/>
      <c r="CE160" s="141"/>
      <c r="CF160" s="141"/>
      <c r="CG160" s="141"/>
      <c r="CH160" s="141"/>
      <c r="CI160" s="141"/>
      <c r="CJ160" s="141"/>
      <c r="CK160" s="141"/>
      <c r="CL160" s="141"/>
      <c r="CM160" s="141"/>
      <c r="CN160" s="141"/>
      <c r="CO160" s="141"/>
      <c r="CP160" s="141"/>
      <c r="CQ160" s="141"/>
      <c r="CR160" s="141"/>
      <c r="CS160" s="141"/>
      <c r="CT160" s="141"/>
      <c r="CU160" s="141"/>
      <c r="CV160" s="141"/>
      <c r="CW160" s="141"/>
      <c r="CX160" s="141"/>
      <c r="CY160" s="141"/>
      <c r="CZ160" s="141"/>
      <c r="DA160" s="173"/>
    </row>
    <row r="161" spans="2:105" x14ac:dyDescent="0.25">
      <c r="B161" s="172"/>
      <c r="C161" s="141" t="s">
        <v>2334</v>
      </c>
      <c r="D161" s="141" t="s">
        <v>659</v>
      </c>
      <c r="E161" s="141" t="s">
        <v>2335</v>
      </c>
      <c r="F161" s="141" t="s">
        <v>1866</v>
      </c>
      <c r="G161" s="141"/>
      <c r="H161" s="141" t="s">
        <v>353</v>
      </c>
      <c r="I161" s="141"/>
      <c r="J161" s="141" t="s">
        <v>354</v>
      </c>
      <c r="K161" s="141" t="s">
        <v>963</v>
      </c>
      <c r="L161" s="141" t="s">
        <v>2336</v>
      </c>
      <c r="M161" s="141" t="s">
        <v>2337</v>
      </c>
      <c r="N161" s="141" t="s">
        <v>354</v>
      </c>
      <c r="O161" s="141" t="s">
        <v>369</v>
      </c>
      <c r="P161" s="141" t="s">
        <v>528</v>
      </c>
      <c r="Q161" s="141" t="s">
        <v>529</v>
      </c>
      <c r="R161" s="141" t="s">
        <v>361</v>
      </c>
      <c r="S161" s="141" t="s">
        <v>426</v>
      </c>
      <c r="T161" s="141" t="s">
        <v>2194</v>
      </c>
      <c r="U161" s="141" t="s">
        <v>2194</v>
      </c>
      <c r="V161" s="141"/>
      <c r="W161" s="141"/>
      <c r="X161" s="141"/>
      <c r="Y161" s="141"/>
      <c r="Z161" s="141"/>
      <c r="AA161" s="141"/>
      <c r="AB161" s="141"/>
      <c r="AC161" s="141"/>
      <c r="AD161" s="141"/>
      <c r="AE161" s="141"/>
      <c r="AF161" s="141"/>
      <c r="AG161" s="141"/>
      <c r="AH161" s="141"/>
      <c r="AI161" s="141"/>
      <c r="AJ161" s="141"/>
      <c r="AK161" s="141" t="s">
        <v>354</v>
      </c>
      <c r="AL161" s="141" t="s">
        <v>364</v>
      </c>
      <c r="AM161" s="141" t="s">
        <v>354</v>
      </c>
      <c r="AN161" s="141" t="s">
        <v>906</v>
      </c>
      <c r="AO161" s="141" t="s">
        <v>2194</v>
      </c>
      <c r="AP161" s="141" t="s">
        <v>2195</v>
      </c>
      <c r="AQ161" s="141" t="s">
        <v>2196</v>
      </c>
      <c r="AR161" s="141" t="s">
        <v>368</v>
      </c>
      <c r="AS161" s="141" t="s">
        <v>1324</v>
      </c>
      <c r="AT161" s="141"/>
      <c r="AU161" s="141" t="s">
        <v>2336</v>
      </c>
      <c r="AV161" s="141" t="s">
        <v>906</v>
      </c>
      <c r="AW161" s="141" t="s">
        <v>2338</v>
      </c>
      <c r="AX161" s="141" t="s">
        <v>655</v>
      </c>
      <c r="AY161" s="141" t="s">
        <v>2339</v>
      </c>
      <c r="AZ161" s="141" t="s">
        <v>657</v>
      </c>
      <c r="BA161" s="141" t="s">
        <v>2340</v>
      </c>
      <c r="BB161" s="141" t="s">
        <v>659</v>
      </c>
      <c r="BC161" s="141" t="s">
        <v>2341</v>
      </c>
      <c r="BD161" s="141" t="s">
        <v>900</v>
      </c>
      <c r="BE161" s="141" t="s">
        <v>2342</v>
      </c>
      <c r="BF161" s="141" t="s">
        <v>380</v>
      </c>
      <c r="BG161" s="141" t="s">
        <v>2343</v>
      </c>
      <c r="BH161" s="141" t="s">
        <v>382</v>
      </c>
      <c r="BI161" s="141" t="s">
        <v>2344</v>
      </c>
      <c r="BJ161" s="141"/>
      <c r="BK161" s="141"/>
      <c r="BL161" s="141"/>
      <c r="BM161" s="141"/>
      <c r="BN161" s="141"/>
      <c r="BO161" s="141"/>
      <c r="BP161" s="141"/>
      <c r="BQ161" s="141"/>
      <c r="BR161" s="141"/>
      <c r="BS161" s="141"/>
      <c r="BT161" s="141"/>
      <c r="BU161" s="141"/>
      <c r="BV161" s="141"/>
      <c r="BW161" s="141"/>
      <c r="BX161" s="141"/>
      <c r="BY161" s="141"/>
      <c r="BZ161" s="141"/>
      <c r="CA161" s="141"/>
      <c r="CB161" s="141"/>
      <c r="CC161" s="141"/>
      <c r="CD161" s="141"/>
      <c r="CE161" s="141"/>
      <c r="CF161" s="141"/>
      <c r="CG161" s="141"/>
      <c r="CH161" s="141"/>
      <c r="CI161" s="141"/>
      <c r="CJ161" s="141"/>
      <c r="CK161" s="141"/>
      <c r="CL161" s="141"/>
      <c r="CM161" s="141"/>
      <c r="CN161" s="141"/>
      <c r="CO161" s="141"/>
      <c r="CP161" s="141"/>
      <c r="CQ161" s="141"/>
      <c r="CR161" s="141"/>
      <c r="CS161" s="141"/>
      <c r="CT161" s="141"/>
      <c r="CU161" s="141"/>
      <c r="CV161" s="141"/>
      <c r="CW161" s="141"/>
      <c r="CX161" s="141"/>
      <c r="CY161" s="141"/>
      <c r="CZ161" s="141"/>
      <c r="DA161" s="173"/>
    </row>
    <row r="162" spans="2:105" x14ac:dyDescent="0.25">
      <c r="B162" s="172"/>
      <c r="C162" s="141" t="s">
        <v>2345</v>
      </c>
      <c r="D162" s="141" t="s">
        <v>2346</v>
      </c>
      <c r="E162" s="141" t="s">
        <v>2347</v>
      </c>
      <c r="F162" s="141" t="s">
        <v>1194</v>
      </c>
      <c r="G162" s="141"/>
      <c r="H162" s="141" t="s">
        <v>353</v>
      </c>
      <c r="I162" s="141"/>
      <c r="J162" s="141" t="s">
        <v>354</v>
      </c>
      <c r="K162" s="141" t="s">
        <v>855</v>
      </c>
      <c r="L162" s="141" t="s">
        <v>2348</v>
      </c>
      <c r="M162" s="141" t="s">
        <v>2349</v>
      </c>
      <c r="N162" s="141" t="s">
        <v>354</v>
      </c>
      <c r="O162" s="141" t="s">
        <v>408</v>
      </c>
      <c r="P162" s="141" t="s">
        <v>409</v>
      </c>
      <c r="Q162" s="141" t="s">
        <v>409</v>
      </c>
      <c r="R162" s="141" t="s">
        <v>361</v>
      </c>
      <c r="S162" s="141" t="s">
        <v>426</v>
      </c>
      <c r="T162" s="141" t="s">
        <v>2194</v>
      </c>
      <c r="U162" s="141" t="s">
        <v>2194</v>
      </c>
      <c r="V162" s="141"/>
      <c r="W162" s="141"/>
      <c r="X162" s="141"/>
      <c r="Y162" s="141"/>
      <c r="Z162" s="141"/>
      <c r="AA162" s="141"/>
      <c r="AB162" s="141"/>
      <c r="AC162" s="141"/>
      <c r="AD162" s="141"/>
      <c r="AE162" s="141"/>
      <c r="AF162" s="141"/>
      <c r="AG162" s="141"/>
      <c r="AH162" s="141"/>
      <c r="AI162" s="141"/>
      <c r="AJ162" s="141"/>
      <c r="AK162" s="141" t="s">
        <v>354</v>
      </c>
      <c r="AL162" s="141" t="s">
        <v>364</v>
      </c>
      <c r="AM162" s="141" t="s">
        <v>354</v>
      </c>
      <c r="AN162" s="141" t="s">
        <v>906</v>
      </c>
      <c r="AO162" s="141" t="s">
        <v>2194</v>
      </c>
      <c r="AP162" s="141" t="s">
        <v>2195</v>
      </c>
      <c r="AQ162" s="141" t="s">
        <v>2196</v>
      </c>
      <c r="AR162" s="141" t="s">
        <v>368</v>
      </c>
      <c r="AS162" s="141" t="s">
        <v>1339</v>
      </c>
      <c r="AT162" s="141"/>
      <c r="AU162" s="141" t="s">
        <v>2348</v>
      </c>
      <c r="AV162" s="141" t="s">
        <v>906</v>
      </c>
      <c r="AW162" s="141" t="s">
        <v>2350</v>
      </c>
      <c r="AX162" s="141" t="s">
        <v>655</v>
      </c>
      <c r="AY162" s="141" t="s">
        <v>2351</v>
      </c>
      <c r="AZ162" s="141" t="s">
        <v>657</v>
      </c>
      <c r="BA162" s="141" t="s">
        <v>2352</v>
      </c>
      <c r="BB162" s="141" t="s">
        <v>659</v>
      </c>
      <c r="BC162" s="141" t="s">
        <v>2353</v>
      </c>
      <c r="BD162" s="141" t="s">
        <v>900</v>
      </c>
      <c r="BE162" s="141" t="s">
        <v>2354</v>
      </c>
      <c r="BF162" s="141" t="s">
        <v>380</v>
      </c>
      <c r="BG162" s="141" t="s">
        <v>2355</v>
      </c>
      <c r="BH162" s="141" t="s">
        <v>382</v>
      </c>
      <c r="BI162" s="141" t="s">
        <v>2356</v>
      </c>
      <c r="BJ162" s="141"/>
      <c r="BK162" s="141"/>
      <c r="BL162" s="141"/>
      <c r="BM162" s="141"/>
      <c r="BN162" s="141"/>
      <c r="BO162" s="141"/>
      <c r="BP162" s="141"/>
      <c r="BQ162" s="141"/>
      <c r="BR162" s="141"/>
      <c r="BS162" s="141"/>
      <c r="BT162" s="141"/>
      <c r="BU162" s="141"/>
      <c r="BV162" s="141"/>
      <c r="BW162" s="141"/>
      <c r="BX162" s="141"/>
      <c r="BY162" s="141"/>
      <c r="BZ162" s="141"/>
      <c r="CA162" s="141"/>
      <c r="CB162" s="141"/>
      <c r="CC162" s="141"/>
      <c r="CD162" s="141"/>
      <c r="CE162" s="141"/>
      <c r="CF162" s="141"/>
      <c r="CG162" s="141"/>
      <c r="CH162" s="141"/>
      <c r="CI162" s="141"/>
      <c r="CJ162" s="141"/>
      <c r="CK162" s="141"/>
      <c r="CL162" s="141"/>
      <c r="CM162" s="141"/>
      <c r="CN162" s="141"/>
      <c r="CO162" s="141"/>
      <c r="CP162" s="141"/>
      <c r="CQ162" s="141"/>
      <c r="CR162" s="141"/>
      <c r="CS162" s="141"/>
      <c r="CT162" s="141"/>
      <c r="CU162" s="141"/>
      <c r="CV162" s="141"/>
      <c r="CW162" s="141"/>
      <c r="CX162" s="141"/>
      <c r="CY162" s="141"/>
      <c r="CZ162" s="141"/>
      <c r="DA162" s="173"/>
    </row>
    <row r="163" spans="2:105" x14ac:dyDescent="0.25">
      <c r="B163" s="172"/>
      <c r="C163" s="141"/>
      <c r="D163" s="141" t="s">
        <v>2357</v>
      </c>
      <c r="E163" s="141"/>
      <c r="F163" s="141" t="s">
        <v>466</v>
      </c>
      <c r="G163" s="141"/>
      <c r="H163" s="141" t="s">
        <v>353</v>
      </c>
      <c r="I163" s="141"/>
      <c r="J163" s="141" t="s">
        <v>354</v>
      </c>
      <c r="K163" s="141" t="s">
        <v>2358</v>
      </c>
      <c r="L163" s="141"/>
      <c r="M163" s="141"/>
      <c r="N163" s="141" t="s">
        <v>354</v>
      </c>
      <c r="O163" s="141"/>
      <c r="P163" s="141"/>
      <c r="Q163" s="141"/>
      <c r="R163" s="141"/>
      <c r="S163" s="141" t="s">
        <v>426</v>
      </c>
      <c r="T163" s="141" t="s">
        <v>2194</v>
      </c>
      <c r="U163" s="141" t="s">
        <v>2194</v>
      </c>
      <c r="V163" s="141"/>
      <c r="W163" s="141"/>
      <c r="X163" s="141"/>
      <c r="Y163" s="141"/>
      <c r="Z163" s="141"/>
      <c r="AA163" s="141"/>
      <c r="AB163" s="141"/>
      <c r="AC163" s="141"/>
      <c r="AD163" s="141"/>
      <c r="AE163" s="141"/>
      <c r="AF163" s="141"/>
      <c r="AG163" s="141"/>
      <c r="AH163" s="141"/>
      <c r="AI163" s="141"/>
      <c r="AJ163" s="141"/>
      <c r="AK163" s="141" t="s">
        <v>354</v>
      </c>
      <c r="AL163" s="141" t="s">
        <v>364</v>
      </c>
      <c r="AM163" s="141" t="s">
        <v>354</v>
      </c>
      <c r="AN163" s="141" t="s">
        <v>906</v>
      </c>
      <c r="AO163" s="141" t="s">
        <v>2194</v>
      </c>
      <c r="AP163" s="141" t="s">
        <v>2195</v>
      </c>
      <c r="AQ163" s="141" t="s">
        <v>2196</v>
      </c>
      <c r="AR163" s="141" t="s">
        <v>368</v>
      </c>
      <c r="AS163" s="141"/>
      <c r="AT163" s="141"/>
      <c r="AU163" s="141"/>
      <c r="AV163" s="141"/>
      <c r="AW163" s="141"/>
      <c r="AX163" s="141"/>
      <c r="AY163" s="141"/>
      <c r="AZ163" s="141"/>
      <c r="BA163" s="141"/>
      <c r="BB163" s="141"/>
      <c r="BC163" s="141"/>
      <c r="BD163" s="141"/>
      <c r="BE163" s="141"/>
      <c r="BF163" s="141"/>
      <c r="BG163" s="141"/>
      <c r="BH163" s="141"/>
      <c r="BI163" s="141"/>
      <c r="BJ163" s="141"/>
      <c r="BK163" s="141"/>
      <c r="BL163" s="141"/>
      <c r="BM163" s="141"/>
      <c r="BN163" s="141"/>
      <c r="BO163" s="141"/>
      <c r="BP163" s="141"/>
      <c r="BQ163" s="141"/>
      <c r="BR163" s="141"/>
      <c r="BS163" s="141"/>
      <c r="BT163" s="141"/>
      <c r="BU163" s="141"/>
      <c r="BV163" s="141"/>
      <c r="BW163" s="141"/>
      <c r="BX163" s="141"/>
      <c r="BY163" s="141"/>
      <c r="BZ163" s="141"/>
      <c r="CA163" s="141"/>
      <c r="CB163" s="141"/>
      <c r="CC163" s="141"/>
      <c r="CD163" s="141"/>
      <c r="CE163" s="141"/>
      <c r="CF163" s="141"/>
      <c r="CG163" s="141"/>
      <c r="CH163" s="141"/>
      <c r="CI163" s="141"/>
      <c r="CJ163" s="141"/>
      <c r="CK163" s="141"/>
      <c r="CL163" s="141"/>
      <c r="CM163" s="141"/>
      <c r="CN163" s="141"/>
      <c r="CO163" s="141"/>
      <c r="CP163" s="141"/>
      <c r="CQ163" s="141"/>
      <c r="CR163" s="141"/>
      <c r="CS163" s="141"/>
      <c r="CT163" s="141"/>
      <c r="CU163" s="141"/>
      <c r="CV163" s="141"/>
      <c r="CW163" s="141"/>
      <c r="CX163" s="141"/>
      <c r="CY163" s="141"/>
      <c r="CZ163" s="141"/>
      <c r="DA163" s="173"/>
    </row>
    <row r="164" spans="2:105" x14ac:dyDescent="0.25">
      <c r="B164" s="172"/>
      <c r="C164" s="141"/>
      <c r="D164" s="141" t="s">
        <v>2359</v>
      </c>
      <c r="E164" s="141" t="s">
        <v>474</v>
      </c>
      <c r="F164" s="141" t="s">
        <v>2244</v>
      </c>
      <c r="G164" s="141"/>
      <c r="H164" s="141" t="s">
        <v>353</v>
      </c>
      <c r="I164" s="141"/>
      <c r="J164" s="141" t="s">
        <v>354</v>
      </c>
      <c r="K164" s="141" t="s">
        <v>2360</v>
      </c>
      <c r="L164" s="141"/>
      <c r="M164" s="141"/>
      <c r="N164" s="141" t="s">
        <v>369</v>
      </c>
      <c r="O164" s="141" t="s">
        <v>441</v>
      </c>
      <c r="P164" s="141" t="s">
        <v>477</v>
      </c>
      <c r="Q164" s="141" t="s">
        <v>478</v>
      </c>
      <c r="R164" s="141" t="s">
        <v>361</v>
      </c>
      <c r="S164" s="141" t="s">
        <v>426</v>
      </c>
      <c r="T164" s="141" t="s">
        <v>2194</v>
      </c>
      <c r="U164" s="141" t="s">
        <v>2194</v>
      </c>
      <c r="V164" s="141"/>
      <c r="W164" s="141"/>
      <c r="X164" s="141"/>
      <c r="Y164" s="141"/>
      <c r="Z164" s="141"/>
      <c r="AA164" s="141"/>
      <c r="AB164" s="141"/>
      <c r="AC164" s="141"/>
      <c r="AD164" s="141"/>
      <c r="AE164" s="141"/>
      <c r="AF164" s="141"/>
      <c r="AG164" s="141"/>
      <c r="AH164" s="141"/>
      <c r="AI164" s="141"/>
      <c r="AJ164" s="141"/>
      <c r="AK164" s="141" t="s">
        <v>354</v>
      </c>
      <c r="AL164" s="141" t="s">
        <v>364</v>
      </c>
      <c r="AM164" s="141" t="s">
        <v>354</v>
      </c>
      <c r="AN164" s="141" t="s">
        <v>906</v>
      </c>
      <c r="AO164" s="141" t="s">
        <v>2194</v>
      </c>
      <c r="AP164" s="141" t="s">
        <v>2195</v>
      </c>
      <c r="AQ164" s="141" t="s">
        <v>2196</v>
      </c>
      <c r="AR164" s="141" t="s">
        <v>368</v>
      </c>
      <c r="AS164" s="141"/>
      <c r="AT164" s="141"/>
      <c r="AU164" s="141"/>
      <c r="AV164" s="141"/>
      <c r="AW164" s="141"/>
      <c r="AX164" s="141"/>
      <c r="AY164" s="141"/>
      <c r="AZ164" s="141"/>
      <c r="BA164" s="141"/>
      <c r="BB164" s="141"/>
      <c r="BC164" s="141"/>
      <c r="BD164" s="141"/>
      <c r="BE164" s="141"/>
      <c r="BF164" s="141"/>
      <c r="BG164" s="141"/>
      <c r="BH164" s="141"/>
      <c r="BI164" s="141"/>
      <c r="BJ164" s="141"/>
      <c r="BK164" s="141"/>
      <c r="BL164" s="141"/>
      <c r="BM164" s="141"/>
      <c r="BN164" s="141"/>
      <c r="BO164" s="141"/>
      <c r="BP164" s="141"/>
      <c r="BQ164" s="141"/>
      <c r="BR164" s="141"/>
      <c r="BS164" s="141"/>
      <c r="BT164" s="141"/>
      <c r="BU164" s="141"/>
      <c r="BV164" s="141"/>
      <c r="BW164" s="141"/>
      <c r="BX164" s="141"/>
      <c r="BY164" s="141"/>
      <c r="BZ164" s="141"/>
      <c r="CA164" s="141"/>
      <c r="CB164" s="141"/>
      <c r="CC164" s="141"/>
      <c r="CD164" s="141"/>
      <c r="CE164" s="141"/>
      <c r="CF164" s="141"/>
      <c r="CG164" s="141"/>
      <c r="CH164" s="141"/>
      <c r="CI164" s="141"/>
      <c r="CJ164" s="141"/>
      <c r="CK164" s="141"/>
      <c r="CL164" s="141"/>
      <c r="CM164" s="141"/>
      <c r="CN164" s="141"/>
      <c r="CO164" s="141"/>
      <c r="CP164" s="141"/>
      <c r="CQ164" s="141"/>
      <c r="CR164" s="141"/>
      <c r="CS164" s="141"/>
      <c r="CT164" s="141"/>
      <c r="CU164" s="141"/>
      <c r="CV164" s="141"/>
      <c r="CW164" s="141"/>
      <c r="CX164" s="141"/>
      <c r="CY164" s="141"/>
      <c r="CZ164" s="141"/>
      <c r="DA164" s="173"/>
    </row>
    <row r="165" spans="2:105" x14ac:dyDescent="0.25">
      <c r="B165" s="172"/>
      <c r="C165" s="141" t="s">
        <v>2361</v>
      </c>
      <c r="D165" s="141" t="s">
        <v>2362</v>
      </c>
      <c r="E165" s="141" t="s">
        <v>1609</v>
      </c>
      <c r="F165" s="141" t="s">
        <v>437</v>
      </c>
      <c r="G165" s="141"/>
      <c r="H165" s="141" t="s">
        <v>353</v>
      </c>
      <c r="I165" s="141"/>
      <c r="J165" s="141" t="s">
        <v>354</v>
      </c>
      <c r="K165" s="141" t="s">
        <v>2363</v>
      </c>
      <c r="L165" s="141" t="s">
        <v>2364</v>
      </c>
      <c r="M165" s="141" t="s">
        <v>2365</v>
      </c>
      <c r="N165" s="141" t="s">
        <v>354</v>
      </c>
      <c r="O165" s="141" t="s">
        <v>358</v>
      </c>
      <c r="P165" s="141" t="s">
        <v>359</v>
      </c>
      <c r="Q165" s="141" t="s">
        <v>360</v>
      </c>
      <c r="R165" s="141" t="s">
        <v>361</v>
      </c>
      <c r="S165" s="141" t="s">
        <v>358</v>
      </c>
      <c r="T165" s="141" t="s">
        <v>2366</v>
      </c>
      <c r="U165" s="141" t="s">
        <v>2366</v>
      </c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141"/>
      <c r="AH165" s="141"/>
      <c r="AI165" s="141"/>
      <c r="AJ165" s="141"/>
      <c r="AK165" s="141" t="s">
        <v>354</v>
      </c>
      <c r="AL165" s="141" t="s">
        <v>364</v>
      </c>
      <c r="AM165" s="141" t="s">
        <v>354</v>
      </c>
      <c r="AN165" s="141" t="s">
        <v>378</v>
      </c>
      <c r="AO165" s="141" t="s">
        <v>2366</v>
      </c>
      <c r="AP165" s="141" t="s">
        <v>2367</v>
      </c>
      <c r="AQ165" s="141" t="s">
        <v>2368</v>
      </c>
      <c r="AR165" s="141" t="s">
        <v>391</v>
      </c>
      <c r="AS165" s="141" t="s">
        <v>369</v>
      </c>
      <c r="AT165" s="141"/>
      <c r="AU165" s="141" t="s">
        <v>2364</v>
      </c>
      <c r="AV165" s="141" t="s">
        <v>661</v>
      </c>
      <c r="AW165" s="141" t="s">
        <v>1576</v>
      </c>
      <c r="AX165" s="141" t="s">
        <v>655</v>
      </c>
      <c r="AY165" s="141" t="s">
        <v>2369</v>
      </c>
      <c r="AZ165" s="141" t="s">
        <v>657</v>
      </c>
      <c r="BA165" s="141" t="s">
        <v>2370</v>
      </c>
      <c r="BB165" s="141" t="s">
        <v>659</v>
      </c>
      <c r="BC165" s="141" t="s">
        <v>2371</v>
      </c>
      <c r="BD165" s="141" t="s">
        <v>912</v>
      </c>
      <c r="BE165" s="141" t="s">
        <v>2127</v>
      </c>
      <c r="BF165" s="141" t="s">
        <v>382</v>
      </c>
      <c r="BG165" s="141" t="s">
        <v>2372</v>
      </c>
      <c r="BH165" s="141"/>
      <c r="BI165" s="141"/>
      <c r="BJ165" s="141"/>
      <c r="BK165" s="141"/>
      <c r="BL165" s="141"/>
      <c r="BM165" s="141"/>
      <c r="BN165" s="141"/>
      <c r="BO165" s="141"/>
      <c r="BP165" s="141"/>
      <c r="BQ165" s="141"/>
      <c r="BR165" s="141"/>
      <c r="BS165" s="141"/>
      <c r="BT165" s="141"/>
      <c r="BU165" s="141"/>
      <c r="BV165" s="141"/>
      <c r="BW165" s="141"/>
      <c r="BX165" s="141"/>
      <c r="BY165" s="141"/>
      <c r="BZ165" s="141"/>
      <c r="CA165" s="141"/>
      <c r="CB165" s="141"/>
      <c r="CC165" s="141"/>
      <c r="CD165" s="141"/>
      <c r="CE165" s="141"/>
      <c r="CF165" s="141"/>
      <c r="CG165" s="141"/>
      <c r="CH165" s="141"/>
      <c r="CI165" s="141"/>
      <c r="CJ165" s="141"/>
      <c r="CK165" s="141"/>
      <c r="CL165" s="141"/>
      <c r="CM165" s="141"/>
      <c r="CN165" s="141"/>
      <c r="CO165" s="141"/>
      <c r="CP165" s="141"/>
      <c r="CQ165" s="141"/>
      <c r="CR165" s="141"/>
      <c r="CS165" s="141"/>
      <c r="CT165" s="141"/>
      <c r="CU165" s="141"/>
      <c r="CV165" s="141"/>
      <c r="CW165" s="141"/>
      <c r="CX165" s="141"/>
      <c r="CY165" s="141"/>
      <c r="CZ165" s="141"/>
      <c r="DA165" s="173"/>
    </row>
    <row r="166" spans="2:105" x14ac:dyDescent="0.25">
      <c r="B166" s="172"/>
      <c r="C166" s="141" t="s">
        <v>2373</v>
      </c>
      <c r="D166" s="141" t="s">
        <v>781</v>
      </c>
      <c r="E166" s="141" t="s">
        <v>2374</v>
      </c>
      <c r="F166" s="141" t="s">
        <v>2375</v>
      </c>
      <c r="G166" s="141"/>
      <c r="H166" s="141" t="s">
        <v>353</v>
      </c>
      <c r="I166" s="141"/>
      <c r="J166" s="141" t="s">
        <v>354</v>
      </c>
      <c r="K166" s="141" t="s">
        <v>543</v>
      </c>
      <c r="L166" s="141" t="s">
        <v>2376</v>
      </c>
      <c r="M166" s="141" t="s">
        <v>2377</v>
      </c>
      <c r="N166" s="141" t="s">
        <v>354</v>
      </c>
      <c r="O166" s="141" t="s">
        <v>393</v>
      </c>
      <c r="P166" s="141" t="s">
        <v>424</v>
      </c>
      <c r="Q166" s="141" t="s">
        <v>425</v>
      </c>
      <c r="R166" s="141" t="s">
        <v>361</v>
      </c>
      <c r="S166" s="141" t="s">
        <v>358</v>
      </c>
      <c r="T166" s="141" t="s">
        <v>2366</v>
      </c>
      <c r="U166" s="141" t="s">
        <v>2366</v>
      </c>
      <c r="V166" s="141"/>
      <c r="W166" s="141"/>
      <c r="X166" s="141"/>
      <c r="Y166" s="141"/>
      <c r="Z166" s="141"/>
      <c r="AA166" s="141"/>
      <c r="AB166" s="141"/>
      <c r="AC166" s="141"/>
      <c r="AD166" s="141"/>
      <c r="AE166" s="141"/>
      <c r="AF166" s="141"/>
      <c r="AG166" s="141"/>
      <c r="AH166" s="141"/>
      <c r="AI166" s="141"/>
      <c r="AJ166" s="141"/>
      <c r="AK166" s="141" t="s">
        <v>354</v>
      </c>
      <c r="AL166" s="141" t="s">
        <v>364</v>
      </c>
      <c r="AM166" s="141" t="s">
        <v>354</v>
      </c>
      <c r="AN166" s="141" t="s">
        <v>378</v>
      </c>
      <c r="AO166" s="141" t="s">
        <v>2366</v>
      </c>
      <c r="AP166" s="141" t="s">
        <v>2367</v>
      </c>
      <c r="AQ166" s="141" t="s">
        <v>2368</v>
      </c>
      <c r="AR166" s="141" t="s">
        <v>391</v>
      </c>
      <c r="AS166" s="141" t="s">
        <v>393</v>
      </c>
      <c r="AT166" s="141"/>
      <c r="AU166" s="141" t="s">
        <v>2376</v>
      </c>
      <c r="AV166" s="141" t="s">
        <v>661</v>
      </c>
      <c r="AW166" s="141" t="s">
        <v>2378</v>
      </c>
      <c r="AX166" s="141" t="s">
        <v>655</v>
      </c>
      <c r="AY166" s="141" t="s">
        <v>2379</v>
      </c>
      <c r="AZ166" s="141" t="s">
        <v>657</v>
      </c>
      <c r="BA166" s="141" t="s">
        <v>2380</v>
      </c>
      <c r="BB166" s="141" t="s">
        <v>659</v>
      </c>
      <c r="BC166" s="141" t="s">
        <v>2381</v>
      </c>
      <c r="BD166" s="141" t="s">
        <v>912</v>
      </c>
      <c r="BE166" s="141" t="s">
        <v>2382</v>
      </c>
      <c r="BF166" s="141" t="s">
        <v>382</v>
      </c>
      <c r="BG166" s="141" t="s">
        <v>2383</v>
      </c>
      <c r="BH166" s="141"/>
      <c r="BI166" s="141"/>
      <c r="BJ166" s="141"/>
      <c r="BK166" s="141"/>
      <c r="BL166" s="141"/>
      <c r="BM166" s="141"/>
      <c r="BN166" s="141"/>
      <c r="BO166" s="141"/>
      <c r="BP166" s="141"/>
      <c r="BQ166" s="141"/>
      <c r="BR166" s="141"/>
      <c r="BS166" s="141"/>
      <c r="BT166" s="141"/>
      <c r="BU166" s="141"/>
      <c r="BV166" s="141"/>
      <c r="BW166" s="141"/>
      <c r="BX166" s="141"/>
      <c r="BY166" s="141"/>
      <c r="BZ166" s="141"/>
      <c r="CA166" s="141"/>
      <c r="CB166" s="141"/>
      <c r="CC166" s="141"/>
      <c r="CD166" s="141"/>
      <c r="CE166" s="141"/>
      <c r="CF166" s="141"/>
      <c r="CG166" s="141"/>
      <c r="CH166" s="141"/>
      <c r="CI166" s="141"/>
      <c r="CJ166" s="141"/>
      <c r="CK166" s="141"/>
      <c r="CL166" s="141"/>
      <c r="CM166" s="141"/>
      <c r="CN166" s="141"/>
      <c r="CO166" s="141"/>
      <c r="CP166" s="141"/>
      <c r="CQ166" s="141"/>
      <c r="CR166" s="141"/>
      <c r="CS166" s="141"/>
      <c r="CT166" s="141"/>
      <c r="CU166" s="141"/>
      <c r="CV166" s="141"/>
      <c r="CW166" s="141"/>
      <c r="CX166" s="141"/>
      <c r="CY166" s="141"/>
      <c r="CZ166" s="141"/>
      <c r="DA166" s="173"/>
    </row>
    <row r="167" spans="2:105" x14ac:dyDescent="0.25">
      <c r="B167" s="172"/>
      <c r="C167" s="141" t="s">
        <v>2384</v>
      </c>
      <c r="D167" s="141" t="s">
        <v>2385</v>
      </c>
      <c r="E167" s="141" t="s">
        <v>2386</v>
      </c>
      <c r="F167" s="141" t="s">
        <v>1028</v>
      </c>
      <c r="G167" s="141"/>
      <c r="H167" s="141" t="s">
        <v>353</v>
      </c>
      <c r="I167" s="141"/>
      <c r="J167" s="141" t="s">
        <v>354</v>
      </c>
      <c r="K167" s="141" t="s">
        <v>686</v>
      </c>
      <c r="L167" s="141" t="s">
        <v>2387</v>
      </c>
      <c r="M167" s="141" t="s">
        <v>2388</v>
      </c>
      <c r="N167" s="141" t="s">
        <v>354</v>
      </c>
      <c r="O167" s="141" t="s">
        <v>393</v>
      </c>
      <c r="P167" s="141" t="s">
        <v>424</v>
      </c>
      <c r="Q167" s="141" t="s">
        <v>425</v>
      </c>
      <c r="R167" s="141" t="s">
        <v>361</v>
      </c>
      <c r="S167" s="141" t="s">
        <v>358</v>
      </c>
      <c r="T167" s="141" t="s">
        <v>2366</v>
      </c>
      <c r="U167" s="141" t="s">
        <v>2366</v>
      </c>
      <c r="V167" s="141"/>
      <c r="W167" s="141"/>
      <c r="X167" s="141"/>
      <c r="Y167" s="141"/>
      <c r="Z167" s="141"/>
      <c r="AA167" s="141"/>
      <c r="AB167" s="141"/>
      <c r="AC167" s="141"/>
      <c r="AD167" s="141"/>
      <c r="AE167" s="141"/>
      <c r="AF167" s="141"/>
      <c r="AG167" s="141"/>
      <c r="AH167" s="141"/>
      <c r="AI167" s="141"/>
      <c r="AJ167" s="141"/>
      <c r="AK167" s="141" t="s">
        <v>354</v>
      </c>
      <c r="AL167" s="141" t="s">
        <v>364</v>
      </c>
      <c r="AM167" s="141" t="s">
        <v>354</v>
      </c>
      <c r="AN167" s="141" t="s">
        <v>378</v>
      </c>
      <c r="AO167" s="141" t="s">
        <v>2366</v>
      </c>
      <c r="AP167" s="141" t="s">
        <v>2367</v>
      </c>
      <c r="AQ167" s="141" t="s">
        <v>2368</v>
      </c>
      <c r="AR167" s="141" t="s">
        <v>391</v>
      </c>
      <c r="AS167" s="141" t="s">
        <v>358</v>
      </c>
      <c r="AT167" s="141"/>
      <c r="AU167" s="141" t="s">
        <v>2387</v>
      </c>
      <c r="AV167" s="141" t="s">
        <v>661</v>
      </c>
      <c r="AW167" s="141" t="s">
        <v>2389</v>
      </c>
      <c r="AX167" s="141" t="s">
        <v>655</v>
      </c>
      <c r="AY167" s="141" t="s">
        <v>2390</v>
      </c>
      <c r="AZ167" s="141" t="s">
        <v>657</v>
      </c>
      <c r="BA167" s="141" t="s">
        <v>2391</v>
      </c>
      <c r="BB167" s="141" t="s">
        <v>659</v>
      </c>
      <c r="BC167" s="141" t="s">
        <v>973</v>
      </c>
      <c r="BD167" s="141" t="s">
        <v>912</v>
      </c>
      <c r="BE167" s="141" t="s">
        <v>2392</v>
      </c>
      <c r="BF167" s="141" t="s">
        <v>382</v>
      </c>
      <c r="BG167" s="141" t="s">
        <v>2393</v>
      </c>
      <c r="BH167" s="141"/>
      <c r="BI167" s="141"/>
      <c r="BJ167" s="141"/>
      <c r="BK167" s="141"/>
      <c r="BL167" s="141"/>
      <c r="BM167" s="141"/>
      <c r="BN167" s="141"/>
      <c r="BO167" s="141"/>
      <c r="BP167" s="141"/>
      <c r="BQ167" s="141"/>
      <c r="BR167" s="141"/>
      <c r="BS167" s="141"/>
      <c r="BT167" s="141"/>
      <c r="BU167" s="141"/>
      <c r="BV167" s="141"/>
      <c r="BW167" s="141"/>
      <c r="BX167" s="141"/>
      <c r="BY167" s="141"/>
      <c r="BZ167" s="141"/>
      <c r="CA167" s="141"/>
      <c r="CB167" s="141"/>
      <c r="CC167" s="141"/>
      <c r="CD167" s="141"/>
      <c r="CE167" s="141"/>
      <c r="CF167" s="141"/>
      <c r="CG167" s="141"/>
      <c r="CH167" s="141"/>
      <c r="CI167" s="141"/>
      <c r="CJ167" s="141"/>
      <c r="CK167" s="141"/>
      <c r="CL167" s="141"/>
      <c r="CM167" s="141"/>
      <c r="CN167" s="141"/>
      <c r="CO167" s="141"/>
      <c r="CP167" s="141"/>
      <c r="CQ167" s="141"/>
      <c r="CR167" s="141"/>
      <c r="CS167" s="141"/>
      <c r="CT167" s="141"/>
      <c r="CU167" s="141"/>
      <c r="CV167" s="141"/>
      <c r="CW167" s="141"/>
      <c r="CX167" s="141"/>
      <c r="CY167" s="141"/>
      <c r="CZ167" s="141"/>
      <c r="DA167" s="173"/>
    </row>
    <row r="168" spans="2:105" x14ac:dyDescent="0.25">
      <c r="B168" s="172"/>
      <c r="C168" s="141"/>
      <c r="D168" s="141" t="s">
        <v>2394</v>
      </c>
      <c r="E168" s="141"/>
      <c r="F168" s="141" t="s">
        <v>466</v>
      </c>
      <c r="G168" s="141"/>
      <c r="H168" s="141" t="s">
        <v>353</v>
      </c>
      <c r="I168" s="141"/>
      <c r="J168" s="141" t="s">
        <v>354</v>
      </c>
      <c r="K168" s="141" t="s">
        <v>2395</v>
      </c>
      <c r="L168" s="141"/>
      <c r="M168" s="141"/>
      <c r="N168" s="141" t="s">
        <v>354</v>
      </c>
      <c r="O168" s="141"/>
      <c r="P168" s="141"/>
      <c r="Q168" s="141"/>
      <c r="R168" s="141"/>
      <c r="S168" s="141" t="s">
        <v>358</v>
      </c>
      <c r="T168" s="141" t="s">
        <v>2366</v>
      </c>
      <c r="U168" s="141" t="s">
        <v>2366</v>
      </c>
      <c r="V168" s="141"/>
      <c r="W168" s="141"/>
      <c r="X168" s="141"/>
      <c r="Y168" s="141"/>
      <c r="Z168" s="141"/>
      <c r="AA168" s="141"/>
      <c r="AB168" s="141"/>
      <c r="AC168" s="141"/>
      <c r="AD168" s="141"/>
      <c r="AE168" s="141"/>
      <c r="AF168" s="141"/>
      <c r="AG168" s="141"/>
      <c r="AH168" s="141"/>
      <c r="AI168" s="141"/>
      <c r="AJ168" s="141"/>
      <c r="AK168" s="141" t="s">
        <v>354</v>
      </c>
      <c r="AL168" s="141" t="s">
        <v>364</v>
      </c>
      <c r="AM168" s="141" t="s">
        <v>354</v>
      </c>
      <c r="AN168" s="141" t="s">
        <v>378</v>
      </c>
      <c r="AO168" s="141" t="s">
        <v>2366</v>
      </c>
      <c r="AP168" s="141" t="s">
        <v>2367</v>
      </c>
      <c r="AQ168" s="141" t="s">
        <v>2368</v>
      </c>
      <c r="AR168" s="141" t="s">
        <v>391</v>
      </c>
      <c r="AS168" s="141"/>
      <c r="AT168" s="141"/>
      <c r="AU168" s="141"/>
      <c r="AV168" s="141"/>
      <c r="AW168" s="141"/>
      <c r="AX168" s="141"/>
      <c r="AY168" s="141"/>
      <c r="AZ168" s="141"/>
      <c r="BA168" s="141"/>
      <c r="BB168" s="141"/>
      <c r="BC168" s="141"/>
      <c r="BD168" s="141"/>
      <c r="BE168" s="141"/>
      <c r="BF168" s="141"/>
      <c r="BG168" s="141"/>
      <c r="BH168" s="141"/>
      <c r="BI168" s="141"/>
      <c r="BJ168" s="141"/>
      <c r="BK168" s="141"/>
      <c r="BL168" s="141"/>
      <c r="BM168" s="141"/>
      <c r="BN168" s="141"/>
      <c r="BO168" s="141"/>
      <c r="BP168" s="141"/>
      <c r="BQ168" s="141"/>
      <c r="BR168" s="141"/>
      <c r="BS168" s="141"/>
      <c r="BT168" s="141"/>
      <c r="BU168" s="141"/>
      <c r="BV168" s="141"/>
      <c r="BW168" s="141"/>
      <c r="BX168" s="141"/>
      <c r="BY168" s="141"/>
      <c r="BZ168" s="141"/>
      <c r="CA168" s="141"/>
      <c r="CB168" s="141"/>
      <c r="CC168" s="141"/>
      <c r="CD168" s="141"/>
      <c r="CE168" s="141"/>
      <c r="CF168" s="141"/>
      <c r="CG168" s="141"/>
      <c r="CH168" s="141"/>
      <c r="CI168" s="141"/>
      <c r="CJ168" s="141"/>
      <c r="CK168" s="141"/>
      <c r="CL168" s="141"/>
      <c r="CM168" s="141"/>
      <c r="CN168" s="141"/>
      <c r="CO168" s="141"/>
      <c r="CP168" s="141"/>
      <c r="CQ168" s="141"/>
      <c r="CR168" s="141"/>
      <c r="CS168" s="141"/>
      <c r="CT168" s="141"/>
      <c r="CU168" s="141"/>
      <c r="CV168" s="141"/>
      <c r="CW168" s="141"/>
      <c r="CX168" s="141"/>
      <c r="CY168" s="141"/>
      <c r="CZ168" s="141"/>
      <c r="DA168" s="173"/>
    </row>
    <row r="169" spans="2:105" x14ac:dyDescent="0.25">
      <c r="B169" s="172"/>
      <c r="C169" s="141"/>
      <c r="D169" s="141" t="s">
        <v>2396</v>
      </c>
      <c r="E169" s="141"/>
      <c r="F169" s="141" t="s">
        <v>466</v>
      </c>
      <c r="G169" s="141"/>
      <c r="H169" s="141" t="s">
        <v>353</v>
      </c>
      <c r="I169" s="141"/>
      <c r="J169" s="141" t="s">
        <v>354</v>
      </c>
      <c r="K169" s="141" t="s">
        <v>509</v>
      </c>
      <c r="L169" s="141"/>
      <c r="M169" s="141"/>
      <c r="N169" s="141" t="s">
        <v>354</v>
      </c>
      <c r="O169" s="141"/>
      <c r="P169" s="141"/>
      <c r="Q169" s="141"/>
      <c r="R169" s="141"/>
      <c r="S169" s="141" t="s">
        <v>358</v>
      </c>
      <c r="T169" s="141" t="s">
        <v>2366</v>
      </c>
      <c r="U169" s="141" t="s">
        <v>2366</v>
      </c>
      <c r="V169" s="141"/>
      <c r="W169" s="141"/>
      <c r="X169" s="141"/>
      <c r="Y169" s="141"/>
      <c r="Z169" s="141"/>
      <c r="AA169" s="141"/>
      <c r="AB169" s="141"/>
      <c r="AC169" s="141"/>
      <c r="AD169" s="141"/>
      <c r="AE169" s="141"/>
      <c r="AF169" s="141"/>
      <c r="AG169" s="141"/>
      <c r="AH169" s="141"/>
      <c r="AI169" s="141"/>
      <c r="AJ169" s="141"/>
      <c r="AK169" s="141" t="s">
        <v>354</v>
      </c>
      <c r="AL169" s="141" t="s">
        <v>364</v>
      </c>
      <c r="AM169" s="141" t="s">
        <v>354</v>
      </c>
      <c r="AN169" s="141" t="s">
        <v>378</v>
      </c>
      <c r="AO169" s="141" t="s">
        <v>2366</v>
      </c>
      <c r="AP169" s="141" t="s">
        <v>2367</v>
      </c>
      <c r="AQ169" s="141" t="s">
        <v>2368</v>
      </c>
      <c r="AR169" s="141" t="s">
        <v>391</v>
      </c>
      <c r="AS169" s="141"/>
      <c r="AT169" s="141"/>
      <c r="AU169" s="141"/>
      <c r="AV169" s="141"/>
      <c r="AW169" s="141"/>
      <c r="AX169" s="141"/>
      <c r="AY169" s="141"/>
      <c r="AZ169" s="141"/>
      <c r="BA169" s="141"/>
      <c r="BB169" s="141"/>
      <c r="BC169" s="141"/>
      <c r="BD169" s="141"/>
      <c r="BE169" s="141"/>
      <c r="BF169" s="141"/>
      <c r="BG169" s="141"/>
      <c r="BH169" s="141"/>
      <c r="BI169" s="141"/>
      <c r="BJ169" s="141"/>
      <c r="BK169" s="141"/>
      <c r="BL169" s="141"/>
      <c r="BM169" s="141"/>
      <c r="BN169" s="141"/>
      <c r="BO169" s="141"/>
      <c r="BP169" s="141"/>
      <c r="BQ169" s="141"/>
      <c r="BR169" s="141"/>
      <c r="BS169" s="141"/>
      <c r="BT169" s="141"/>
      <c r="BU169" s="141"/>
      <c r="BV169" s="141"/>
      <c r="BW169" s="141"/>
      <c r="BX169" s="141"/>
      <c r="BY169" s="141"/>
      <c r="BZ169" s="141"/>
      <c r="CA169" s="141"/>
      <c r="CB169" s="141"/>
      <c r="CC169" s="141"/>
      <c r="CD169" s="141"/>
      <c r="CE169" s="141"/>
      <c r="CF169" s="141"/>
      <c r="CG169" s="141"/>
      <c r="CH169" s="141"/>
      <c r="CI169" s="141"/>
      <c r="CJ169" s="141"/>
      <c r="CK169" s="141"/>
      <c r="CL169" s="141"/>
      <c r="CM169" s="141"/>
      <c r="CN169" s="141"/>
      <c r="CO169" s="141"/>
      <c r="CP169" s="141"/>
      <c r="CQ169" s="141"/>
      <c r="CR169" s="141"/>
      <c r="CS169" s="141"/>
      <c r="CT169" s="141"/>
      <c r="CU169" s="141"/>
      <c r="CV169" s="141"/>
      <c r="CW169" s="141"/>
      <c r="CX169" s="141"/>
      <c r="CY169" s="141"/>
      <c r="CZ169" s="141"/>
      <c r="DA169" s="173"/>
    </row>
    <row r="170" spans="2:105" x14ac:dyDescent="0.25">
      <c r="B170" s="172"/>
      <c r="C170" s="141" t="s">
        <v>2397</v>
      </c>
      <c r="D170" s="141" t="s">
        <v>2398</v>
      </c>
      <c r="E170" s="141" t="s">
        <v>2399</v>
      </c>
      <c r="F170" s="141" t="s">
        <v>2266</v>
      </c>
      <c r="G170" s="141"/>
      <c r="H170" s="141" t="s">
        <v>353</v>
      </c>
      <c r="I170" s="141"/>
      <c r="J170" s="141" t="s">
        <v>354</v>
      </c>
      <c r="K170" s="141" t="s">
        <v>2267</v>
      </c>
      <c r="L170" s="141" t="s">
        <v>2400</v>
      </c>
      <c r="M170" s="141" t="s">
        <v>2401</v>
      </c>
      <c r="N170" s="141" t="s">
        <v>354</v>
      </c>
      <c r="O170" s="141" t="s">
        <v>408</v>
      </c>
      <c r="P170" s="141" t="s">
        <v>409</v>
      </c>
      <c r="Q170" s="141" t="s">
        <v>409</v>
      </c>
      <c r="R170" s="141" t="s">
        <v>361</v>
      </c>
      <c r="S170" s="141" t="s">
        <v>506</v>
      </c>
      <c r="T170" s="141" t="s">
        <v>2402</v>
      </c>
      <c r="U170" s="141" t="s">
        <v>2402</v>
      </c>
      <c r="V170" s="141"/>
      <c r="W170" s="141"/>
      <c r="X170" s="141"/>
      <c r="Y170" s="141"/>
      <c r="Z170" s="141"/>
      <c r="AA170" s="141"/>
      <c r="AB170" s="141"/>
      <c r="AC170" s="141"/>
      <c r="AD170" s="141"/>
      <c r="AE170" s="141"/>
      <c r="AF170" s="141"/>
      <c r="AG170" s="141"/>
      <c r="AH170" s="141"/>
      <c r="AI170" s="141"/>
      <c r="AJ170" s="141"/>
      <c r="AK170" s="141" t="s">
        <v>354</v>
      </c>
      <c r="AL170" s="141" t="s">
        <v>364</v>
      </c>
      <c r="AM170" s="141" t="s">
        <v>354</v>
      </c>
      <c r="AN170" s="141" t="s">
        <v>370</v>
      </c>
      <c r="AO170" s="141" t="s">
        <v>2402</v>
      </c>
      <c r="AP170" s="141" t="s">
        <v>2367</v>
      </c>
      <c r="AQ170" s="141" t="s">
        <v>2368</v>
      </c>
      <c r="AR170" s="141" t="s">
        <v>391</v>
      </c>
      <c r="AS170" s="141" t="s">
        <v>369</v>
      </c>
      <c r="AT170" s="141"/>
      <c r="AU170" s="141" t="s">
        <v>2400</v>
      </c>
      <c r="AV170" s="141" t="s">
        <v>661</v>
      </c>
      <c r="AW170" s="141" t="s">
        <v>2403</v>
      </c>
      <c r="AX170" s="141" t="s">
        <v>655</v>
      </c>
      <c r="AY170" s="141" t="s">
        <v>2404</v>
      </c>
      <c r="AZ170" s="141" t="s">
        <v>657</v>
      </c>
      <c r="BA170" s="141" t="s">
        <v>2405</v>
      </c>
      <c r="BB170" s="141" t="s">
        <v>659</v>
      </c>
      <c r="BC170" s="141" t="s">
        <v>2406</v>
      </c>
      <c r="BD170" s="141" t="s">
        <v>912</v>
      </c>
      <c r="BE170" s="141" t="s">
        <v>2407</v>
      </c>
      <c r="BF170" s="141" t="s">
        <v>382</v>
      </c>
      <c r="BG170" s="141" t="s">
        <v>2408</v>
      </c>
      <c r="BH170" s="141"/>
      <c r="BI170" s="141"/>
      <c r="BJ170" s="141"/>
      <c r="BK170" s="141"/>
      <c r="BL170" s="141"/>
      <c r="BM170" s="141"/>
      <c r="BN170" s="141"/>
      <c r="BO170" s="141"/>
      <c r="BP170" s="141"/>
      <c r="BQ170" s="141"/>
      <c r="BR170" s="141"/>
      <c r="BS170" s="141"/>
      <c r="BT170" s="141"/>
      <c r="BU170" s="141"/>
      <c r="BV170" s="141"/>
      <c r="BW170" s="141"/>
      <c r="BX170" s="141"/>
      <c r="BY170" s="141"/>
      <c r="BZ170" s="141"/>
      <c r="CA170" s="141"/>
      <c r="CB170" s="141"/>
      <c r="CC170" s="141"/>
      <c r="CD170" s="141"/>
      <c r="CE170" s="141"/>
      <c r="CF170" s="141"/>
      <c r="CG170" s="141"/>
      <c r="CH170" s="141"/>
      <c r="CI170" s="141"/>
      <c r="CJ170" s="141"/>
      <c r="CK170" s="141"/>
      <c r="CL170" s="141"/>
      <c r="CM170" s="141"/>
      <c r="CN170" s="141"/>
      <c r="CO170" s="141"/>
      <c r="CP170" s="141"/>
      <c r="CQ170" s="141"/>
      <c r="CR170" s="141"/>
      <c r="CS170" s="141"/>
      <c r="CT170" s="141"/>
      <c r="CU170" s="141"/>
      <c r="CV170" s="141"/>
      <c r="CW170" s="141"/>
      <c r="CX170" s="141"/>
      <c r="CY170" s="141"/>
      <c r="CZ170" s="141"/>
      <c r="DA170" s="173"/>
    </row>
    <row r="171" spans="2:105" x14ac:dyDescent="0.25">
      <c r="B171" s="172"/>
      <c r="C171" s="141" t="s">
        <v>2409</v>
      </c>
      <c r="D171" s="141" t="s">
        <v>2410</v>
      </c>
      <c r="E171" s="141" t="s">
        <v>2411</v>
      </c>
      <c r="F171" s="141" t="s">
        <v>2412</v>
      </c>
      <c r="G171" s="141"/>
      <c r="H171" s="141" t="s">
        <v>353</v>
      </c>
      <c r="I171" s="141"/>
      <c r="J171" s="141" t="s">
        <v>354</v>
      </c>
      <c r="K171" s="141" t="s">
        <v>715</v>
      </c>
      <c r="L171" s="141" t="s">
        <v>2413</v>
      </c>
      <c r="M171" s="141" t="s">
        <v>2414</v>
      </c>
      <c r="N171" s="141" t="s">
        <v>354</v>
      </c>
      <c r="O171" s="141" t="s">
        <v>426</v>
      </c>
      <c r="P171" s="141" t="s">
        <v>454</v>
      </c>
      <c r="Q171" s="141" t="s">
        <v>455</v>
      </c>
      <c r="R171" s="141" t="s">
        <v>361</v>
      </c>
      <c r="S171" s="141" t="s">
        <v>506</v>
      </c>
      <c r="T171" s="141" t="s">
        <v>2402</v>
      </c>
      <c r="U171" s="141" t="s">
        <v>2402</v>
      </c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141"/>
      <c r="AH171" s="141"/>
      <c r="AI171" s="141"/>
      <c r="AJ171" s="141"/>
      <c r="AK171" s="141" t="s">
        <v>354</v>
      </c>
      <c r="AL171" s="141" t="s">
        <v>364</v>
      </c>
      <c r="AM171" s="141" t="s">
        <v>354</v>
      </c>
      <c r="AN171" s="141" t="s">
        <v>370</v>
      </c>
      <c r="AO171" s="141" t="s">
        <v>2402</v>
      </c>
      <c r="AP171" s="141" t="s">
        <v>2367</v>
      </c>
      <c r="AQ171" s="141" t="s">
        <v>2368</v>
      </c>
      <c r="AR171" s="141" t="s">
        <v>391</v>
      </c>
      <c r="AS171" s="141" t="s">
        <v>393</v>
      </c>
      <c r="AT171" s="141"/>
      <c r="AU171" s="141" t="s">
        <v>2413</v>
      </c>
      <c r="AV171" s="141" t="s">
        <v>661</v>
      </c>
      <c r="AW171" s="141" t="s">
        <v>398</v>
      </c>
      <c r="AX171" s="141" t="s">
        <v>655</v>
      </c>
      <c r="AY171" s="141" t="s">
        <v>1414</v>
      </c>
      <c r="AZ171" s="141" t="s">
        <v>657</v>
      </c>
      <c r="BA171" s="141" t="s">
        <v>2415</v>
      </c>
      <c r="BB171" s="141" t="s">
        <v>659</v>
      </c>
      <c r="BC171" s="141" t="s">
        <v>2416</v>
      </c>
      <c r="BD171" s="141" t="s">
        <v>912</v>
      </c>
      <c r="BE171" s="141" t="s">
        <v>2417</v>
      </c>
      <c r="BF171" s="141" t="s">
        <v>382</v>
      </c>
      <c r="BG171" s="141" t="s">
        <v>2418</v>
      </c>
      <c r="BH171" s="141"/>
      <c r="BI171" s="141"/>
      <c r="BJ171" s="141"/>
      <c r="BK171" s="141"/>
      <c r="BL171" s="141"/>
      <c r="BM171" s="141"/>
      <c r="BN171" s="141"/>
      <c r="BO171" s="141"/>
      <c r="BP171" s="141"/>
      <c r="BQ171" s="141"/>
      <c r="BR171" s="141"/>
      <c r="BS171" s="141"/>
      <c r="BT171" s="141"/>
      <c r="BU171" s="141"/>
      <c r="BV171" s="141"/>
      <c r="BW171" s="141"/>
      <c r="BX171" s="141"/>
      <c r="BY171" s="141"/>
      <c r="BZ171" s="141"/>
      <c r="CA171" s="141"/>
      <c r="CB171" s="141"/>
      <c r="CC171" s="141"/>
      <c r="CD171" s="141"/>
      <c r="CE171" s="141"/>
      <c r="CF171" s="141"/>
      <c r="CG171" s="141"/>
      <c r="CH171" s="141"/>
      <c r="CI171" s="141"/>
      <c r="CJ171" s="141"/>
      <c r="CK171" s="141"/>
      <c r="CL171" s="141"/>
      <c r="CM171" s="141"/>
      <c r="CN171" s="141"/>
      <c r="CO171" s="141"/>
      <c r="CP171" s="141"/>
      <c r="CQ171" s="141"/>
      <c r="CR171" s="141"/>
      <c r="CS171" s="141"/>
      <c r="CT171" s="141"/>
      <c r="CU171" s="141"/>
      <c r="CV171" s="141"/>
      <c r="CW171" s="141"/>
      <c r="CX171" s="141"/>
      <c r="CY171" s="141"/>
      <c r="CZ171" s="141"/>
      <c r="DA171" s="173"/>
    </row>
    <row r="172" spans="2:105" x14ac:dyDescent="0.25">
      <c r="B172" s="172"/>
      <c r="C172" s="141"/>
      <c r="D172" s="141" t="s">
        <v>2419</v>
      </c>
      <c r="E172" s="141"/>
      <c r="F172" s="141" t="s">
        <v>466</v>
      </c>
      <c r="G172" s="141"/>
      <c r="H172" s="141" t="s">
        <v>353</v>
      </c>
      <c r="I172" s="141"/>
      <c r="J172" s="141" t="s">
        <v>354</v>
      </c>
      <c r="K172" s="141" t="s">
        <v>645</v>
      </c>
      <c r="L172" s="141"/>
      <c r="M172" s="141"/>
      <c r="N172" s="141" t="s">
        <v>354</v>
      </c>
      <c r="O172" s="141"/>
      <c r="P172" s="141"/>
      <c r="Q172" s="141"/>
      <c r="R172" s="141"/>
      <c r="S172" s="141" t="s">
        <v>506</v>
      </c>
      <c r="T172" s="141" t="s">
        <v>2402</v>
      </c>
      <c r="U172" s="141" t="s">
        <v>2402</v>
      </c>
      <c r="V172" s="141"/>
      <c r="W172" s="141"/>
      <c r="X172" s="141"/>
      <c r="Y172" s="141"/>
      <c r="Z172" s="141"/>
      <c r="AA172" s="141"/>
      <c r="AB172" s="141"/>
      <c r="AC172" s="141"/>
      <c r="AD172" s="141"/>
      <c r="AE172" s="141"/>
      <c r="AF172" s="141"/>
      <c r="AG172" s="141"/>
      <c r="AH172" s="141"/>
      <c r="AI172" s="141"/>
      <c r="AJ172" s="141"/>
      <c r="AK172" s="141" t="s">
        <v>354</v>
      </c>
      <c r="AL172" s="141" t="s">
        <v>364</v>
      </c>
      <c r="AM172" s="141" t="s">
        <v>354</v>
      </c>
      <c r="AN172" s="141" t="s">
        <v>370</v>
      </c>
      <c r="AO172" s="141" t="s">
        <v>2402</v>
      </c>
      <c r="AP172" s="141" t="s">
        <v>2367</v>
      </c>
      <c r="AQ172" s="141" t="s">
        <v>2368</v>
      </c>
      <c r="AR172" s="141" t="s">
        <v>391</v>
      </c>
      <c r="AS172" s="141"/>
      <c r="AT172" s="141"/>
      <c r="AU172" s="141"/>
      <c r="AV172" s="141"/>
      <c r="AW172" s="141"/>
      <c r="AX172" s="141"/>
      <c r="AY172" s="141"/>
      <c r="AZ172" s="141"/>
      <c r="BA172" s="141"/>
      <c r="BB172" s="141"/>
      <c r="BC172" s="141"/>
      <c r="BD172" s="141"/>
      <c r="BE172" s="141"/>
      <c r="BF172" s="141"/>
      <c r="BG172" s="141"/>
      <c r="BH172" s="141"/>
      <c r="BI172" s="141"/>
      <c r="BJ172" s="141"/>
      <c r="BK172" s="141"/>
      <c r="BL172" s="141"/>
      <c r="BM172" s="141"/>
      <c r="BN172" s="141"/>
      <c r="BO172" s="141"/>
      <c r="BP172" s="141"/>
      <c r="BQ172" s="141"/>
      <c r="BR172" s="141"/>
      <c r="BS172" s="141"/>
      <c r="BT172" s="141"/>
      <c r="BU172" s="141"/>
      <c r="BV172" s="141"/>
      <c r="BW172" s="141"/>
      <c r="BX172" s="141"/>
      <c r="BY172" s="141"/>
      <c r="BZ172" s="141"/>
      <c r="CA172" s="141"/>
      <c r="CB172" s="141"/>
      <c r="CC172" s="141"/>
      <c r="CD172" s="141"/>
      <c r="CE172" s="141"/>
      <c r="CF172" s="141"/>
      <c r="CG172" s="141"/>
      <c r="CH172" s="141"/>
      <c r="CI172" s="141"/>
      <c r="CJ172" s="141"/>
      <c r="CK172" s="141"/>
      <c r="CL172" s="141"/>
      <c r="CM172" s="141"/>
      <c r="CN172" s="141"/>
      <c r="CO172" s="141"/>
      <c r="CP172" s="141"/>
      <c r="CQ172" s="141"/>
      <c r="CR172" s="141"/>
      <c r="CS172" s="141"/>
      <c r="CT172" s="141"/>
      <c r="CU172" s="141"/>
      <c r="CV172" s="141"/>
      <c r="CW172" s="141"/>
      <c r="CX172" s="141"/>
      <c r="CY172" s="141"/>
      <c r="CZ172" s="141"/>
      <c r="DA172" s="173"/>
    </row>
    <row r="173" spans="2:105" x14ac:dyDescent="0.25">
      <c r="B173" s="172"/>
      <c r="C173" s="141"/>
      <c r="D173" s="141" t="s">
        <v>2420</v>
      </c>
      <c r="E173" s="141"/>
      <c r="F173" s="141" t="s">
        <v>466</v>
      </c>
      <c r="G173" s="141"/>
      <c r="H173" s="141" t="s">
        <v>353</v>
      </c>
      <c r="I173" s="141"/>
      <c r="J173" s="141" t="s">
        <v>354</v>
      </c>
      <c r="K173" s="141" t="s">
        <v>1140</v>
      </c>
      <c r="L173" s="141"/>
      <c r="M173" s="141"/>
      <c r="N173" s="141" t="s">
        <v>354</v>
      </c>
      <c r="O173" s="141"/>
      <c r="P173" s="141"/>
      <c r="Q173" s="141"/>
      <c r="R173" s="141"/>
      <c r="S173" s="141" t="s">
        <v>506</v>
      </c>
      <c r="T173" s="141" t="s">
        <v>2402</v>
      </c>
      <c r="U173" s="141" t="s">
        <v>2402</v>
      </c>
      <c r="V173" s="141"/>
      <c r="W173" s="141"/>
      <c r="X173" s="141"/>
      <c r="Y173" s="141"/>
      <c r="Z173" s="141"/>
      <c r="AA173" s="141"/>
      <c r="AB173" s="141"/>
      <c r="AC173" s="141"/>
      <c r="AD173" s="141"/>
      <c r="AE173" s="141"/>
      <c r="AF173" s="141"/>
      <c r="AG173" s="141"/>
      <c r="AH173" s="141"/>
      <c r="AI173" s="141"/>
      <c r="AJ173" s="141"/>
      <c r="AK173" s="141" t="s">
        <v>354</v>
      </c>
      <c r="AL173" s="141" t="s">
        <v>364</v>
      </c>
      <c r="AM173" s="141" t="s">
        <v>354</v>
      </c>
      <c r="AN173" s="141" t="s">
        <v>370</v>
      </c>
      <c r="AO173" s="141" t="s">
        <v>2402</v>
      </c>
      <c r="AP173" s="141" t="s">
        <v>2367</v>
      </c>
      <c r="AQ173" s="141" t="s">
        <v>2368</v>
      </c>
      <c r="AR173" s="141" t="s">
        <v>391</v>
      </c>
      <c r="AS173" s="141"/>
      <c r="AT173" s="141"/>
      <c r="AU173" s="141"/>
      <c r="AV173" s="141"/>
      <c r="AW173" s="141"/>
      <c r="AX173" s="141"/>
      <c r="AY173" s="141"/>
      <c r="AZ173" s="141"/>
      <c r="BA173" s="141"/>
      <c r="BB173" s="141"/>
      <c r="BC173" s="141"/>
      <c r="BD173" s="141"/>
      <c r="BE173" s="141"/>
      <c r="BF173" s="141"/>
      <c r="BG173" s="141"/>
      <c r="BH173" s="141"/>
      <c r="BI173" s="141"/>
      <c r="BJ173" s="141"/>
      <c r="BK173" s="141"/>
      <c r="BL173" s="141"/>
      <c r="BM173" s="141"/>
      <c r="BN173" s="141"/>
      <c r="BO173" s="141"/>
      <c r="BP173" s="141"/>
      <c r="BQ173" s="141"/>
      <c r="BR173" s="141"/>
      <c r="BS173" s="141"/>
      <c r="BT173" s="141"/>
      <c r="BU173" s="141"/>
      <c r="BV173" s="141"/>
      <c r="BW173" s="141"/>
      <c r="BX173" s="141"/>
      <c r="BY173" s="141"/>
      <c r="BZ173" s="141"/>
      <c r="CA173" s="141"/>
      <c r="CB173" s="141"/>
      <c r="CC173" s="141"/>
      <c r="CD173" s="141"/>
      <c r="CE173" s="141"/>
      <c r="CF173" s="141"/>
      <c r="CG173" s="141"/>
      <c r="CH173" s="141"/>
      <c r="CI173" s="141"/>
      <c r="CJ173" s="141"/>
      <c r="CK173" s="141"/>
      <c r="CL173" s="141"/>
      <c r="CM173" s="141"/>
      <c r="CN173" s="141"/>
      <c r="CO173" s="141"/>
      <c r="CP173" s="141"/>
      <c r="CQ173" s="141"/>
      <c r="CR173" s="141"/>
      <c r="CS173" s="141"/>
      <c r="CT173" s="141"/>
      <c r="CU173" s="141"/>
      <c r="CV173" s="141"/>
      <c r="CW173" s="141"/>
      <c r="CX173" s="141"/>
      <c r="CY173" s="141"/>
      <c r="CZ173" s="141"/>
      <c r="DA173" s="173"/>
    </row>
    <row r="174" spans="2:105" x14ac:dyDescent="0.25">
      <c r="B174" s="172"/>
      <c r="C174" s="141" t="s">
        <v>2421</v>
      </c>
      <c r="D174" s="141" t="s">
        <v>2422</v>
      </c>
      <c r="E174" s="141" t="s">
        <v>2423</v>
      </c>
      <c r="F174" s="141" t="s">
        <v>2424</v>
      </c>
      <c r="G174" s="141"/>
      <c r="H174" s="141" t="s">
        <v>353</v>
      </c>
      <c r="I174" s="141"/>
      <c r="J174" s="141" t="s">
        <v>354</v>
      </c>
      <c r="K174" s="141" t="s">
        <v>2048</v>
      </c>
      <c r="L174" s="141" t="s">
        <v>2425</v>
      </c>
      <c r="M174" s="141" t="s">
        <v>1223</v>
      </c>
      <c r="N174" s="141" t="s">
        <v>354</v>
      </c>
      <c r="O174" s="141" t="s">
        <v>369</v>
      </c>
      <c r="P174" s="141" t="s">
        <v>528</v>
      </c>
      <c r="Q174" s="141" t="s">
        <v>529</v>
      </c>
      <c r="R174" s="141" t="s">
        <v>361</v>
      </c>
      <c r="S174" s="141" t="s">
        <v>1410</v>
      </c>
      <c r="T174" s="141" t="s">
        <v>2426</v>
      </c>
      <c r="U174" s="141" t="s">
        <v>2426</v>
      </c>
      <c r="V174" s="141"/>
      <c r="W174" s="141"/>
      <c r="X174" s="141"/>
      <c r="Y174" s="141"/>
      <c r="Z174" s="141"/>
      <c r="AA174" s="141"/>
      <c r="AB174" s="141"/>
      <c r="AC174" s="141"/>
      <c r="AD174" s="141"/>
      <c r="AE174" s="141"/>
      <c r="AF174" s="141"/>
      <c r="AG174" s="141"/>
      <c r="AH174" s="141"/>
      <c r="AI174" s="141"/>
      <c r="AJ174" s="141"/>
      <c r="AK174" s="141" t="s">
        <v>354</v>
      </c>
      <c r="AL174" s="141" t="s">
        <v>364</v>
      </c>
      <c r="AM174" s="141" t="s">
        <v>354</v>
      </c>
      <c r="AN174" s="141" t="s">
        <v>781</v>
      </c>
      <c r="AO174" s="141" t="s">
        <v>2426</v>
      </c>
      <c r="AP174" s="141" t="s">
        <v>2427</v>
      </c>
      <c r="AQ174" s="141" t="s">
        <v>654</v>
      </c>
      <c r="AR174" s="141" t="s">
        <v>490</v>
      </c>
      <c r="AS174" s="141" t="s">
        <v>369</v>
      </c>
      <c r="AT174" s="141"/>
      <c r="AU174" s="141" t="s">
        <v>2425</v>
      </c>
      <c r="AV174" s="141" t="s">
        <v>489</v>
      </c>
      <c r="AW174" s="141" t="s">
        <v>2428</v>
      </c>
      <c r="AX174" s="141" t="s">
        <v>661</v>
      </c>
      <c r="AY174" s="141" t="s">
        <v>2429</v>
      </c>
      <c r="AZ174" s="141" t="s">
        <v>657</v>
      </c>
      <c r="BA174" s="141" t="s">
        <v>2211</v>
      </c>
      <c r="BB174" s="141" t="s">
        <v>910</v>
      </c>
      <c r="BC174" s="141" t="s">
        <v>2380</v>
      </c>
      <c r="BD174" s="141" t="s">
        <v>497</v>
      </c>
      <c r="BE174" s="141" t="s">
        <v>2430</v>
      </c>
      <c r="BF174" s="141" t="s">
        <v>499</v>
      </c>
      <c r="BG174" s="141" t="s">
        <v>1753</v>
      </c>
      <c r="BH174" s="141" t="s">
        <v>900</v>
      </c>
      <c r="BI174" s="141" t="s">
        <v>2431</v>
      </c>
      <c r="BJ174" s="141" t="s">
        <v>787</v>
      </c>
      <c r="BK174" s="141" t="s">
        <v>2432</v>
      </c>
      <c r="BL174" s="141" t="s">
        <v>382</v>
      </c>
      <c r="BM174" s="141" t="s">
        <v>2433</v>
      </c>
      <c r="BN174" s="141"/>
      <c r="BO174" s="141"/>
      <c r="BP174" s="141"/>
      <c r="BQ174" s="141"/>
      <c r="BR174" s="141"/>
      <c r="BS174" s="141"/>
      <c r="BT174" s="141"/>
      <c r="BU174" s="141"/>
      <c r="BV174" s="141"/>
      <c r="BW174" s="141"/>
      <c r="BX174" s="141"/>
      <c r="BY174" s="141"/>
      <c r="BZ174" s="141"/>
      <c r="CA174" s="141"/>
      <c r="CB174" s="141"/>
      <c r="CC174" s="141"/>
      <c r="CD174" s="141"/>
      <c r="CE174" s="141"/>
      <c r="CF174" s="141"/>
      <c r="CG174" s="141"/>
      <c r="CH174" s="141"/>
      <c r="CI174" s="141"/>
      <c r="CJ174" s="141"/>
      <c r="CK174" s="141"/>
      <c r="CL174" s="141"/>
      <c r="CM174" s="141"/>
      <c r="CN174" s="141"/>
      <c r="CO174" s="141"/>
      <c r="CP174" s="141"/>
      <c r="CQ174" s="141"/>
      <c r="CR174" s="141"/>
      <c r="CS174" s="141"/>
      <c r="CT174" s="141"/>
      <c r="CU174" s="141"/>
      <c r="CV174" s="141"/>
      <c r="CW174" s="141"/>
      <c r="CX174" s="141"/>
      <c r="CY174" s="141"/>
      <c r="CZ174" s="141"/>
      <c r="DA174" s="173"/>
    </row>
    <row r="175" spans="2:105" x14ac:dyDescent="0.25">
      <c r="B175" s="172"/>
      <c r="C175" s="141" t="s">
        <v>2434</v>
      </c>
      <c r="D175" s="141" t="s">
        <v>1339</v>
      </c>
      <c r="E175" s="141" t="s">
        <v>2435</v>
      </c>
      <c r="F175" s="141" t="s">
        <v>2436</v>
      </c>
      <c r="G175" s="141"/>
      <c r="H175" s="141" t="s">
        <v>353</v>
      </c>
      <c r="I175" s="141"/>
      <c r="J175" s="141" t="s">
        <v>354</v>
      </c>
      <c r="K175" s="141" t="s">
        <v>2059</v>
      </c>
      <c r="L175" s="141" t="s">
        <v>2437</v>
      </c>
      <c r="M175" s="141" t="s">
        <v>2438</v>
      </c>
      <c r="N175" s="141" t="s">
        <v>354</v>
      </c>
      <c r="O175" s="141" t="s">
        <v>369</v>
      </c>
      <c r="P175" s="141" t="s">
        <v>528</v>
      </c>
      <c r="Q175" s="141" t="s">
        <v>529</v>
      </c>
      <c r="R175" s="141" t="s">
        <v>361</v>
      </c>
      <c r="S175" s="141" t="s">
        <v>1410</v>
      </c>
      <c r="T175" s="141" t="s">
        <v>2426</v>
      </c>
      <c r="U175" s="141" t="s">
        <v>2426</v>
      </c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141"/>
      <c r="AH175" s="141"/>
      <c r="AI175" s="141"/>
      <c r="AJ175" s="141"/>
      <c r="AK175" s="141" t="s">
        <v>354</v>
      </c>
      <c r="AL175" s="141" t="s">
        <v>364</v>
      </c>
      <c r="AM175" s="141" t="s">
        <v>354</v>
      </c>
      <c r="AN175" s="141" t="s">
        <v>781</v>
      </c>
      <c r="AO175" s="141" t="s">
        <v>2426</v>
      </c>
      <c r="AP175" s="141" t="s">
        <v>2427</v>
      </c>
      <c r="AQ175" s="141" t="s">
        <v>654</v>
      </c>
      <c r="AR175" s="141" t="s">
        <v>490</v>
      </c>
      <c r="AS175" s="141" t="s">
        <v>393</v>
      </c>
      <c r="AT175" s="141"/>
      <c r="AU175" s="141" t="s">
        <v>2437</v>
      </c>
      <c r="AV175" s="141" t="s">
        <v>489</v>
      </c>
      <c r="AW175" s="141" t="s">
        <v>2439</v>
      </c>
      <c r="AX175" s="141" t="s">
        <v>661</v>
      </c>
      <c r="AY175" s="141" t="s">
        <v>2440</v>
      </c>
      <c r="AZ175" s="141" t="s">
        <v>657</v>
      </c>
      <c r="BA175" s="141" t="s">
        <v>2441</v>
      </c>
      <c r="BB175" s="141" t="s">
        <v>910</v>
      </c>
      <c r="BC175" s="141" t="s">
        <v>2054</v>
      </c>
      <c r="BD175" s="141" t="s">
        <v>497</v>
      </c>
      <c r="BE175" s="141" t="s">
        <v>856</v>
      </c>
      <c r="BF175" s="141" t="s">
        <v>499</v>
      </c>
      <c r="BG175" s="141" t="s">
        <v>2442</v>
      </c>
      <c r="BH175" s="141" t="s">
        <v>900</v>
      </c>
      <c r="BI175" s="141" t="s">
        <v>1313</v>
      </c>
      <c r="BJ175" s="141" t="s">
        <v>787</v>
      </c>
      <c r="BK175" s="141" t="s">
        <v>2443</v>
      </c>
      <c r="BL175" s="141" t="s">
        <v>382</v>
      </c>
      <c r="BM175" s="141" t="s">
        <v>2444</v>
      </c>
      <c r="BN175" s="141"/>
      <c r="BO175" s="141"/>
      <c r="BP175" s="141"/>
      <c r="BQ175" s="141"/>
      <c r="BR175" s="141"/>
      <c r="BS175" s="141"/>
      <c r="BT175" s="141"/>
      <c r="BU175" s="141"/>
      <c r="BV175" s="141"/>
      <c r="BW175" s="141"/>
      <c r="BX175" s="141"/>
      <c r="BY175" s="141"/>
      <c r="BZ175" s="141"/>
      <c r="CA175" s="141"/>
      <c r="CB175" s="141"/>
      <c r="CC175" s="141"/>
      <c r="CD175" s="141"/>
      <c r="CE175" s="141"/>
      <c r="CF175" s="141"/>
      <c r="CG175" s="141"/>
      <c r="CH175" s="141"/>
      <c r="CI175" s="141"/>
      <c r="CJ175" s="141"/>
      <c r="CK175" s="141"/>
      <c r="CL175" s="141"/>
      <c r="CM175" s="141"/>
      <c r="CN175" s="141"/>
      <c r="CO175" s="141"/>
      <c r="CP175" s="141"/>
      <c r="CQ175" s="141"/>
      <c r="CR175" s="141"/>
      <c r="CS175" s="141"/>
      <c r="CT175" s="141"/>
      <c r="CU175" s="141"/>
      <c r="CV175" s="141"/>
      <c r="CW175" s="141"/>
      <c r="CX175" s="141"/>
      <c r="CY175" s="141"/>
      <c r="CZ175" s="141"/>
      <c r="DA175" s="173"/>
    </row>
    <row r="176" spans="2:105" x14ac:dyDescent="0.25">
      <c r="B176" s="172"/>
      <c r="C176" s="141" t="s">
        <v>2445</v>
      </c>
      <c r="D176" s="141" t="s">
        <v>441</v>
      </c>
      <c r="E176" s="141" t="s">
        <v>2446</v>
      </c>
      <c r="F176" s="141" t="s">
        <v>2447</v>
      </c>
      <c r="G176" s="141"/>
      <c r="H176" s="141" t="s">
        <v>353</v>
      </c>
      <c r="I176" s="141"/>
      <c r="J176" s="141" t="s">
        <v>354</v>
      </c>
      <c r="K176" s="141" t="s">
        <v>621</v>
      </c>
      <c r="L176" s="141" t="s">
        <v>2448</v>
      </c>
      <c r="M176" s="141" t="s">
        <v>2449</v>
      </c>
      <c r="N176" s="141" t="s">
        <v>354</v>
      </c>
      <c r="O176" s="141" t="s">
        <v>369</v>
      </c>
      <c r="P176" s="141" t="s">
        <v>528</v>
      </c>
      <c r="Q176" s="141" t="s">
        <v>529</v>
      </c>
      <c r="R176" s="141" t="s">
        <v>361</v>
      </c>
      <c r="S176" s="141" t="s">
        <v>1410</v>
      </c>
      <c r="T176" s="141" t="s">
        <v>2426</v>
      </c>
      <c r="U176" s="141" t="s">
        <v>2426</v>
      </c>
      <c r="V176" s="141"/>
      <c r="W176" s="141"/>
      <c r="X176" s="141"/>
      <c r="Y176" s="141"/>
      <c r="Z176" s="141"/>
      <c r="AA176" s="141"/>
      <c r="AB176" s="141"/>
      <c r="AC176" s="141"/>
      <c r="AD176" s="141"/>
      <c r="AE176" s="141"/>
      <c r="AF176" s="141"/>
      <c r="AG176" s="141"/>
      <c r="AH176" s="141"/>
      <c r="AI176" s="141"/>
      <c r="AJ176" s="141"/>
      <c r="AK176" s="141" t="s">
        <v>354</v>
      </c>
      <c r="AL176" s="141" t="s">
        <v>364</v>
      </c>
      <c r="AM176" s="141" t="s">
        <v>354</v>
      </c>
      <c r="AN176" s="141" t="s">
        <v>781</v>
      </c>
      <c r="AO176" s="141" t="s">
        <v>2426</v>
      </c>
      <c r="AP176" s="141" t="s">
        <v>2427</v>
      </c>
      <c r="AQ176" s="141" t="s">
        <v>654</v>
      </c>
      <c r="AR176" s="141" t="s">
        <v>490</v>
      </c>
      <c r="AS176" s="141" t="s">
        <v>358</v>
      </c>
      <c r="AT176" s="141"/>
      <c r="AU176" s="141" t="s">
        <v>2448</v>
      </c>
      <c r="AV176" s="141" t="s">
        <v>489</v>
      </c>
      <c r="AW176" s="141" t="s">
        <v>2450</v>
      </c>
      <c r="AX176" s="141" t="s">
        <v>661</v>
      </c>
      <c r="AY176" s="141" t="s">
        <v>1130</v>
      </c>
      <c r="AZ176" s="141" t="s">
        <v>657</v>
      </c>
      <c r="BA176" s="141" t="s">
        <v>1720</v>
      </c>
      <c r="BB176" s="141" t="s">
        <v>910</v>
      </c>
      <c r="BC176" s="141" t="s">
        <v>2451</v>
      </c>
      <c r="BD176" s="141" t="s">
        <v>497</v>
      </c>
      <c r="BE176" s="141" t="s">
        <v>2452</v>
      </c>
      <c r="BF176" s="141" t="s">
        <v>499</v>
      </c>
      <c r="BG176" s="141" t="s">
        <v>994</v>
      </c>
      <c r="BH176" s="141" t="s">
        <v>900</v>
      </c>
      <c r="BI176" s="141" t="s">
        <v>2453</v>
      </c>
      <c r="BJ176" s="141" t="s">
        <v>787</v>
      </c>
      <c r="BK176" s="141" t="s">
        <v>2138</v>
      </c>
      <c r="BL176" s="141" t="s">
        <v>382</v>
      </c>
      <c r="BM176" s="141" t="s">
        <v>2454</v>
      </c>
      <c r="BN176" s="141"/>
      <c r="BO176" s="141"/>
      <c r="BP176" s="141"/>
      <c r="BQ176" s="141"/>
      <c r="BR176" s="141"/>
      <c r="BS176" s="141"/>
      <c r="BT176" s="141"/>
      <c r="BU176" s="141"/>
      <c r="BV176" s="141"/>
      <c r="BW176" s="141"/>
      <c r="BX176" s="141"/>
      <c r="BY176" s="141"/>
      <c r="BZ176" s="141"/>
      <c r="CA176" s="141"/>
      <c r="CB176" s="141"/>
      <c r="CC176" s="141"/>
      <c r="CD176" s="141"/>
      <c r="CE176" s="141"/>
      <c r="CF176" s="141"/>
      <c r="CG176" s="141"/>
      <c r="CH176" s="141"/>
      <c r="CI176" s="141"/>
      <c r="CJ176" s="141"/>
      <c r="CK176" s="141"/>
      <c r="CL176" s="141"/>
      <c r="CM176" s="141"/>
      <c r="CN176" s="141"/>
      <c r="CO176" s="141"/>
      <c r="CP176" s="141"/>
      <c r="CQ176" s="141"/>
      <c r="CR176" s="141"/>
      <c r="CS176" s="141"/>
      <c r="CT176" s="141"/>
      <c r="CU176" s="141"/>
      <c r="CV176" s="141"/>
      <c r="CW176" s="141"/>
      <c r="CX176" s="141"/>
      <c r="CY176" s="141"/>
      <c r="CZ176" s="141"/>
      <c r="DA176" s="173"/>
    </row>
    <row r="177" spans="2:105" x14ac:dyDescent="0.25">
      <c r="B177" s="172"/>
      <c r="C177" s="141" t="s">
        <v>2455</v>
      </c>
      <c r="D177" s="141" t="s">
        <v>1380</v>
      </c>
      <c r="E177" s="141" t="s">
        <v>2456</v>
      </c>
      <c r="F177" s="141" t="s">
        <v>1335</v>
      </c>
      <c r="G177" s="141"/>
      <c r="H177" s="141" t="s">
        <v>353</v>
      </c>
      <c r="I177" s="141"/>
      <c r="J177" s="141" t="s">
        <v>354</v>
      </c>
      <c r="K177" s="141" t="s">
        <v>2457</v>
      </c>
      <c r="L177" s="141" t="s">
        <v>2458</v>
      </c>
      <c r="M177" s="141" t="s">
        <v>2459</v>
      </c>
      <c r="N177" s="141" t="s">
        <v>354</v>
      </c>
      <c r="O177" s="141" t="s">
        <v>426</v>
      </c>
      <c r="P177" s="141" t="s">
        <v>454</v>
      </c>
      <c r="Q177" s="141" t="s">
        <v>455</v>
      </c>
      <c r="R177" s="141" t="s">
        <v>361</v>
      </c>
      <c r="S177" s="141" t="s">
        <v>1410</v>
      </c>
      <c r="T177" s="141" t="s">
        <v>2426</v>
      </c>
      <c r="U177" s="141" t="s">
        <v>2426</v>
      </c>
      <c r="V177" s="141"/>
      <c r="W177" s="141"/>
      <c r="X177" s="141"/>
      <c r="Y177" s="141"/>
      <c r="Z177" s="141"/>
      <c r="AA177" s="141"/>
      <c r="AB177" s="141"/>
      <c r="AC177" s="141"/>
      <c r="AD177" s="141"/>
      <c r="AE177" s="141"/>
      <c r="AF177" s="141"/>
      <c r="AG177" s="141"/>
      <c r="AH177" s="141"/>
      <c r="AI177" s="141"/>
      <c r="AJ177" s="141"/>
      <c r="AK177" s="141" t="s">
        <v>354</v>
      </c>
      <c r="AL177" s="141" t="s">
        <v>364</v>
      </c>
      <c r="AM177" s="141" t="s">
        <v>354</v>
      </c>
      <c r="AN177" s="141" t="s">
        <v>781</v>
      </c>
      <c r="AO177" s="141" t="s">
        <v>2426</v>
      </c>
      <c r="AP177" s="141" t="s">
        <v>2427</v>
      </c>
      <c r="AQ177" s="141" t="s">
        <v>654</v>
      </c>
      <c r="AR177" s="141" t="s">
        <v>490</v>
      </c>
      <c r="AS177" s="141" t="s">
        <v>426</v>
      </c>
      <c r="AT177" s="141"/>
      <c r="AU177" s="141" t="s">
        <v>2458</v>
      </c>
      <c r="AV177" s="141" t="s">
        <v>489</v>
      </c>
      <c r="AW177" s="141" t="s">
        <v>2460</v>
      </c>
      <c r="AX177" s="141" t="s">
        <v>661</v>
      </c>
      <c r="AY177" s="141" t="s">
        <v>2461</v>
      </c>
      <c r="AZ177" s="141" t="s">
        <v>657</v>
      </c>
      <c r="BA177" s="141" t="s">
        <v>2462</v>
      </c>
      <c r="BB177" s="141" t="s">
        <v>910</v>
      </c>
      <c r="BC177" s="141" t="s">
        <v>565</v>
      </c>
      <c r="BD177" s="141" t="s">
        <v>497</v>
      </c>
      <c r="BE177" s="141" t="s">
        <v>1856</v>
      </c>
      <c r="BF177" s="141" t="s">
        <v>499</v>
      </c>
      <c r="BG177" s="141" t="s">
        <v>2463</v>
      </c>
      <c r="BH177" s="141" t="s">
        <v>900</v>
      </c>
      <c r="BI177" s="141" t="s">
        <v>2464</v>
      </c>
      <c r="BJ177" s="141" t="s">
        <v>787</v>
      </c>
      <c r="BK177" s="141" t="s">
        <v>2465</v>
      </c>
      <c r="BL177" s="141" t="s">
        <v>382</v>
      </c>
      <c r="BM177" s="141" t="s">
        <v>2466</v>
      </c>
      <c r="BN177" s="141"/>
      <c r="BO177" s="141"/>
      <c r="BP177" s="141"/>
      <c r="BQ177" s="141"/>
      <c r="BR177" s="141"/>
      <c r="BS177" s="141"/>
      <c r="BT177" s="141"/>
      <c r="BU177" s="141"/>
      <c r="BV177" s="141"/>
      <c r="BW177" s="141"/>
      <c r="BX177" s="141"/>
      <c r="BY177" s="141"/>
      <c r="BZ177" s="141"/>
      <c r="CA177" s="141"/>
      <c r="CB177" s="141"/>
      <c r="CC177" s="141"/>
      <c r="CD177" s="141"/>
      <c r="CE177" s="141"/>
      <c r="CF177" s="141"/>
      <c r="CG177" s="141"/>
      <c r="CH177" s="141"/>
      <c r="CI177" s="141"/>
      <c r="CJ177" s="141"/>
      <c r="CK177" s="141"/>
      <c r="CL177" s="141"/>
      <c r="CM177" s="141"/>
      <c r="CN177" s="141"/>
      <c r="CO177" s="141"/>
      <c r="CP177" s="141"/>
      <c r="CQ177" s="141"/>
      <c r="CR177" s="141"/>
      <c r="CS177" s="141"/>
      <c r="CT177" s="141"/>
      <c r="CU177" s="141"/>
      <c r="CV177" s="141"/>
      <c r="CW177" s="141"/>
      <c r="CX177" s="141"/>
      <c r="CY177" s="141"/>
      <c r="CZ177" s="141"/>
      <c r="DA177" s="173"/>
    </row>
    <row r="178" spans="2:105" x14ac:dyDescent="0.25">
      <c r="B178" s="172"/>
      <c r="C178" s="141" t="s">
        <v>2467</v>
      </c>
      <c r="D178" s="141" t="s">
        <v>2468</v>
      </c>
      <c r="E178" s="141" t="s">
        <v>2469</v>
      </c>
      <c r="F178" s="141" t="s">
        <v>2470</v>
      </c>
      <c r="G178" s="141"/>
      <c r="H178" s="141" t="s">
        <v>353</v>
      </c>
      <c r="I178" s="141"/>
      <c r="J178" s="141" t="s">
        <v>354</v>
      </c>
      <c r="K178" s="141" t="s">
        <v>1993</v>
      </c>
      <c r="L178" s="141" t="s">
        <v>2471</v>
      </c>
      <c r="M178" s="141" t="s">
        <v>2472</v>
      </c>
      <c r="N178" s="141" t="s">
        <v>354</v>
      </c>
      <c r="O178" s="141" t="s">
        <v>369</v>
      </c>
      <c r="P178" s="141" t="s">
        <v>528</v>
      </c>
      <c r="Q178" s="141" t="s">
        <v>529</v>
      </c>
      <c r="R178" s="141" t="s">
        <v>361</v>
      </c>
      <c r="S178" s="141" t="s">
        <v>1410</v>
      </c>
      <c r="T178" s="141" t="s">
        <v>2426</v>
      </c>
      <c r="U178" s="141" t="s">
        <v>2426</v>
      </c>
      <c r="V178" s="141"/>
      <c r="W178" s="141"/>
      <c r="X178" s="141"/>
      <c r="Y178" s="141"/>
      <c r="Z178" s="141"/>
      <c r="AA178" s="141"/>
      <c r="AB178" s="141"/>
      <c r="AC178" s="141"/>
      <c r="AD178" s="141"/>
      <c r="AE178" s="141"/>
      <c r="AF178" s="141"/>
      <c r="AG178" s="141"/>
      <c r="AH178" s="141"/>
      <c r="AI178" s="141"/>
      <c r="AJ178" s="141"/>
      <c r="AK178" s="141" t="s">
        <v>354</v>
      </c>
      <c r="AL178" s="141" t="s">
        <v>364</v>
      </c>
      <c r="AM178" s="141" t="s">
        <v>354</v>
      </c>
      <c r="AN178" s="141" t="s">
        <v>781</v>
      </c>
      <c r="AO178" s="141" t="s">
        <v>2426</v>
      </c>
      <c r="AP178" s="141" t="s">
        <v>2427</v>
      </c>
      <c r="AQ178" s="141" t="s">
        <v>654</v>
      </c>
      <c r="AR178" s="141" t="s">
        <v>490</v>
      </c>
      <c r="AS178" s="141" t="s">
        <v>441</v>
      </c>
      <c r="AT178" s="141"/>
      <c r="AU178" s="141" t="s">
        <v>2471</v>
      </c>
      <c r="AV178" s="141" t="s">
        <v>489</v>
      </c>
      <c r="AW178" s="141" t="s">
        <v>2473</v>
      </c>
      <c r="AX178" s="141" t="s">
        <v>661</v>
      </c>
      <c r="AY178" s="141" t="s">
        <v>2474</v>
      </c>
      <c r="AZ178" s="141" t="s">
        <v>657</v>
      </c>
      <c r="BA178" s="141" t="s">
        <v>2475</v>
      </c>
      <c r="BB178" s="141" t="s">
        <v>910</v>
      </c>
      <c r="BC178" s="141" t="s">
        <v>2476</v>
      </c>
      <c r="BD178" s="141" t="s">
        <v>497</v>
      </c>
      <c r="BE178" s="141" t="s">
        <v>2477</v>
      </c>
      <c r="BF178" s="141" t="s">
        <v>499</v>
      </c>
      <c r="BG178" s="141" t="s">
        <v>2478</v>
      </c>
      <c r="BH178" s="141" t="s">
        <v>900</v>
      </c>
      <c r="BI178" s="141" t="s">
        <v>2479</v>
      </c>
      <c r="BJ178" s="141" t="s">
        <v>787</v>
      </c>
      <c r="BK178" s="141" t="s">
        <v>2480</v>
      </c>
      <c r="BL178" s="141" t="s">
        <v>382</v>
      </c>
      <c r="BM178" s="141" t="s">
        <v>2481</v>
      </c>
      <c r="BN178" s="141"/>
      <c r="BO178" s="141"/>
      <c r="BP178" s="141"/>
      <c r="BQ178" s="141"/>
      <c r="BR178" s="141"/>
      <c r="BS178" s="141"/>
      <c r="BT178" s="141"/>
      <c r="BU178" s="141"/>
      <c r="BV178" s="141"/>
      <c r="BW178" s="141"/>
      <c r="BX178" s="141"/>
      <c r="BY178" s="141"/>
      <c r="BZ178" s="141"/>
      <c r="CA178" s="141"/>
      <c r="CB178" s="141"/>
      <c r="CC178" s="141"/>
      <c r="CD178" s="141"/>
      <c r="CE178" s="141"/>
      <c r="CF178" s="141"/>
      <c r="CG178" s="141"/>
      <c r="CH178" s="141"/>
      <c r="CI178" s="141"/>
      <c r="CJ178" s="141"/>
      <c r="CK178" s="141"/>
      <c r="CL178" s="141"/>
      <c r="CM178" s="141"/>
      <c r="CN178" s="141"/>
      <c r="CO178" s="141"/>
      <c r="CP178" s="141"/>
      <c r="CQ178" s="141"/>
      <c r="CR178" s="141"/>
      <c r="CS178" s="141"/>
      <c r="CT178" s="141"/>
      <c r="CU178" s="141"/>
      <c r="CV178" s="141"/>
      <c r="CW178" s="141"/>
      <c r="CX178" s="141"/>
      <c r="CY178" s="141"/>
      <c r="CZ178" s="141"/>
      <c r="DA178" s="173"/>
    </row>
    <row r="179" spans="2:105" x14ac:dyDescent="0.25">
      <c r="B179" s="172"/>
      <c r="C179" s="141" t="s">
        <v>2482</v>
      </c>
      <c r="D179" s="141" t="s">
        <v>1324</v>
      </c>
      <c r="E179" s="141" t="s">
        <v>2483</v>
      </c>
      <c r="F179" s="141" t="s">
        <v>2484</v>
      </c>
      <c r="G179" s="141"/>
      <c r="H179" s="141" t="s">
        <v>353</v>
      </c>
      <c r="I179" s="141"/>
      <c r="J179" s="141" t="s">
        <v>354</v>
      </c>
      <c r="K179" s="141" t="s">
        <v>882</v>
      </c>
      <c r="L179" s="141" t="s">
        <v>2485</v>
      </c>
      <c r="M179" s="141" t="s">
        <v>2486</v>
      </c>
      <c r="N179" s="141" t="s">
        <v>354</v>
      </c>
      <c r="O179" s="141" t="s">
        <v>369</v>
      </c>
      <c r="P179" s="141" t="s">
        <v>528</v>
      </c>
      <c r="Q179" s="141" t="s">
        <v>529</v>
      </c>
      <c r="R179" s="141" t="s">
        <v>361</v>
      </c>
      <c r="S179" s="141" t="s">
        <v>1410</v>
      </c>
      <c r="T179" s="141" t="s">
        <v>2426</v>
      </c>
      <c r="U179" s="141" t="s">
        <v>2426</v>
      </c>
      <c r="V179" s="141"/>
      <c r="W179" s="141"/>
      <c r="X179" s="141"/>
      <c r="Y179" s="141"/>
      <c r="Z179" s="141"/>
      <c r="AA179" s="141"/>
      <c r="AB179" s="141"/>
      <c r="AC179" s="141"/>
      <c r="AD179" s="141"/>
      <c r="AE179" s="141"/>
      <c r="AF179" s="141"/>
      <c r="AG179" s="141"/>
      <c r="AH179" s="141"/>
      <c r="AI179" s="141"/>
      <c r="AJ179" s="141"/>
      <c r="AK179" s="141" t="s">
        <v>354</v>
      </c>
      <c r="AL179" s="141" t="s">
        <v>364</v>
      </c>
      <c r="AM179" s="141" t="s">
        <v>354</v>
      </c>
      <c r="AN179" s="141" t="s">
        <v>781</v>
      </c>
      <c r="AO179" s="141" t="s">
        <v>2426</v>
      </c>
      <c r="AP179" s="141" t="s">
        <v>2427</v>
      </c>
      <c r="AQ179" s="141" t="s">
        <v>654</v>
      </c>
      <c r="AR179" s="141" t="s">
        <v>490</v>
      </c>
      <c r="AS179" s="141" t="s">
        <v>391</v>
      </c>
      <c r="AT179" s="141"/>
      <c r="AU179" s="141" t="s">
        <v>2485</v>
      </c>
      <c r="AV179" s="141" t="s">
        <v>489</v>
      </c>
      <c r="AW179" s="141" t="s">
        <v>2487</v>
      </c>
      <c r="AX179" s="141" t="s">
        <v>661</v>
      </c>
      <c r="AY179" s="141" t="s">
        <v>2488</v>
      </c>
      <c r="AZ179" s="141" t="s">
        <v>657</v>
      </c>
      <c r="BA179" s="141" t="s">
        <v>2489</v>
      </c>
      <c r="BB179" s="141" t="s">
        <v>910</v>
      </c>
      <c r="BC179" s="141" t="s">
        <v>2490</v>
      </c>
      <c r="BD179" s="141" t="s">
        <v>497</v>
      </c>
      <c r="BE179" s="141" t="s">
        <v>2491</v>
      </c>
      <c r="BF179" s="141" t="s">
        <v>499</v>
      </c>
      <c r="BG179" s="141" t="s">
        <v>2492</v>
      </c>
      <c r="BH179" s="141" t="s">
        <v>900</v>
      </c>
      <c r="BI179" s="141" t="s">
        <v>2218</v>
      </c>
      <c r="BJ179" s="141" t="s">
        <v>787</v>
      </c>
      <c r="BK179" s="141" t="s">
        <v>2493</v>
      </c>
      <c r="BL179" s="141" t="s">
        <v>382</v>
      </c>
      <c r="BM179" s="141" t="s">
        <v>2494</v>
      </c>
      <c r="BN179" s="141"/>
      <c r="BO179" s="141"/>
      <c r="BP179" s="141"/>
      <c r="BQ179" s="141"/>
      <c r="BR179" s="141"/>
      <c r="BS179" s="141"/>
      <c r="BT179" s="141"/>
      <c r="BU179" s="141"/>
      <c r="BV179" s="141"/>
      <c r="BW179" s="141"/>
      <c r="BX179" s="141"/>
      <c r="BY179" s="141"/>
      <c r="BZ179" s="141"/>
      <c r="CA179" s="141"/>
      <c r="CB179" s="141"/>
      <c r="CC179" s="141"/>
      <c r="CD179" s="141"/>
      <c r="CE179" s="141"/>
      <c r="CF179" s="141"/>
      <c r="CG179" s="141"/>
      <c r="CH179" s="141"/>
      <c r="CI179" s="141"/>
      <c r="CJ179" s="141"/>
      <c r="CK179" s="141"/>
      <c r="CL179" s="141"/>
      <c r="CM179" s="141"/>
      <c r="CN179" s="141"/>
      <c r="CO179" s="141"/>
      <c r="CP179" s="141"/>
      <c r="CQ179" s="141"/>
      <c r="CR179" s="141"/>
      <c r="CS179" s="141"/>
      <c r="CT179" s="141"/>
      <c r="CU179" s="141"/>
      <c r="CV179" s="141"/>
      <c r="CW179" s="141"/>
      <c r="CX179" s="141"/>
      <c r="CY179" s="141"/>
      <c r="CZ179" s="141"/>
      <c r="DA179" s="173"/>
    </row>
    <row r="180" spans="2:105" x14ac:dyDescent="0.25">
      <c r="B180" s="172"/>
      <c r="C180" s="141" t="s">
        <v>2495</v>
      </c>
      <c r="D180" s="141" t="s">
        <v>2496</v>
      </c>
      <c r="E180" s="141" t="s">
        <v>2497</v>
      </c>
      <c r="F180" s="141" t="s">
        <v>2498</v>
      </c>
      <c r="G180" s="141"/>
      <c r="H180" s="141" t="s">
        <v>353</v>
      </c>
      <c r="I180" s="141"/>
      <c r="J180" s="141" t="s">
        <v>354</v>
      </c>
      <c r="K180" s="141" t="s">
        <v>2007</v>
      </c>
      <c r="L180" s="141" t="s">
        <v>2499</v>
      </c>
      <c r="M180" s="141" t="s">
        <v>2500</v>
      </c>
      <c r="N180" s="141" t="s">
        <v>354</v>
      </c>
      <c r="O180" s="141" t="s">
        <v>393</v>
      </c>
      <c r="P180" s="141" t="s">
        <v>424</v>
      </c>
      <c r="Q180" s="141" t="s">
        <v>425</v>
      </c>
      <c r="R180" s="141" t="s">
        <v>361</v>
      </c>
      <c r="S180" s="141" t="s">
        <v>1410</v>
      </c>
      <c r="T180" s="141" t="s">
        <v>2426</v>
      </c>
      <c r="U180" s="141" t="s">
        <v>2426</v>
      </c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141"/>
      <c r="AH180" s="141"/>
      <c r="AI180" s="141"/>
      <c r="AJ180" s="141"/>
      <c r="AK180" s="141" t="s">
        <v>354</v>
      </c>
      <c r="AL180" s="141" t="s">
        <v>364</v>
      </c>
      <c r="AM180" s="141" t="s">
        <v>354</v>
      </c>
      <c r="AN180" s="141" t="s">
        <v>781</v>
      </c>
      <c r="AO180" s="141" t="s">
        <v>2426</v>
      </c>
      <c r="AP180" s="141" t="s">
        <v>2427</v>
      </c>
      <c r="AQ180" s="141" t="s">
        <v>654</v>
      </c>
      <c r="AR180" s="141" t="s">
        <v>490</v>
      </c>
      <c r="AS180" s="141" t="s">
        <v>368</v>
      </c>
      <c r="AT180" s="141"/>
      <c r="AU180" s="141" t="s">
        <v>2499</v>
      </c>
      <c r="AV180" s="141" t="s">
        <v>489</v>
      </c>
      <c r="AW180" s="141" t="s">
        <v>2501</v>
      </c>
      <c r="AX180" s="141" t="s">
        <v>661</v>
      </c>
      <c r="AY180" s="141" t="s">
        <v>2502</v>
      </c>
      <c r="AZ180" s="141" t="s">
        <v>657</v>
      </c>
      <c r="BA180" s="141" t="s">
        <v>2503</v>
      </c>
      <c r="BB180" s="141" t="s">
        <v>910</v>
      </c>
      <c r="BC180" s="141" t="s">
        <v>1510</v>
      </c>
      <c r="BD180" s="141" t="s">
        <v>497</v>
      </c>
      <c r="BE180" s="141" t="s">
        <v>2504</v>
      </c>
      <c r="BF180" s="141" t="s">
        <v>499</v>
      </c>
      <c r="BG180" s="141" t="s">
        <v>467</v>
      </c>
      <c r="BH180" s="141" t="s">
        <v>900</v>
      </c>
      <c r="BI180" s="141" t="s">
        <v>2505</v>
      </c>
      <c r="BJ180" s="141" t="s">
        <v>787</v>
      </c>
      <c r="BK180" s="141" t="s">
        <v>2506</v>
      </c>
      <c r="BL180" s="141" t="s">
        <v>382</v>
      </c>
      <c r="BM180" s="141" t="s">
        <v>2507</v>
      </c>
      <c r="BN180" s="141"/>
      <c r="BO180" s="141"/>
      <c r="BP180" s="141"/>
      <c r="BQ180" s="141"/>
      <c r="BR180" s="141"/>
      <c r="BS180" s="141"/>
      <c r="BT180" s="141"/>
      <c r="BU180" s="141"/>
      <c r="BV180" s="141"/>
      <c r="BW180" s="141"/>
      <c r="BX180" s="141"/>
      <c r="BY180" s="141"/>
      <c r="BZ180" s="141"/>
      <c r="CA180" s="141"/>
      <c r="CB180" s="141"/>
      <c r="CC180" s="141"/>
      <c r="CD180" s="141"/>
      <c r="CE180" s="141"/>
      <c r="CF180" s="141"/>
      <c r="CG180" s="141"/>
      <c r="CH180" s="141"/>
      <c r="CI180" s="141"/>
      <c r="CJ180" s="141"/>
      <c r="CK180" s="141"/>
      <c r="CL180" s="141"/>
      <c r="CM180" s="141"/>
      <c r="CN180" s="141"/>
      <c r="CO180" s="141"/>
      <c r="CP180" s="141"/>
      <c r="CQ180" s="141"/>
      <c r="CR180" s="141"/>
      <c r="CS180" s="141"/>
      <c r="CT180" s="141"/>
      <c r="CU180" s="141"/>
      <c r="CV180" s="141"/>
      <c r="CW180" s="141"/>
      <c r="CX180" s="141"/>
      <c r="CY180" s="141"/>
      <c r="CZ180" s="141"/>
      <c r="DA180" s="173"/>
    </row>
    <row r="181" spans="2:105" x14ac:dyDescent="0.25">
      <c r="B181" s="172"/>
      <c r="C181" s="141" t="s">
        <v>2508</v>
      </c>
      <c r="D181" s="141" t="s">
        <v>2509</v>
      </c>
      <c r="E181" s="141" t="s">
        <v>643</v>
      </c>
      <c r="F181" s="141" t="s">
        <v>2510</v>
      </c>
      <c r="G181" s="141"/>
      <c r="H181" s="141" t="s">
        <v>353</v>
      </c>
      <c r="I181" s="141"/>
      <c r="J181" s="141" t="s">
        <v>354</v>
      </c>
      <c r="K181" s="141" t="s">
        <v>405</v>
      </c>
      <c r="L181" s="141" t="s">
        <v>2511</v>
      </c>
      <c r="M181" s="141" t="s">
        <v>2512</v>
      </c>
      <c r="N181" s="141" t="s">
        <v>354</v>
      </c>
      <c r="O181" s="141" t="s">
        <v>393</v>
      </c>
      <c r="P181" s="141" t="s">
        <v>424</v>
      </c>
      <c r="Q181" s="141" t="s">
        <v>425</v>
      </c>
      <c r="R181" s="141" t="s">
        <v>361</v>
      </c>
      <c r="S181" s="141" t="s">
        <v>1410</v>
      </c>
      <c r="T181" s="141" t="s">
        <v>2426</v>
      </c>
      <c r="U181" s="141" t="s">
        <v>2426</v>
      </c>
      <c r="V181" s="141"/>
      <c r="W181" s="141"/>
      <c r="X181" s="141"/>
      <c r="Y181" s="141"/>
      <c r="Z181" s="141"/>
      <c r="AA181" s="141"/>
      <c r="AB181" s="141"/>
      <c r="AC181" s="141"/>
      <c r="AD181" s="141"/>
      <c r="AE181" s="141"/>
      <c r="AF181" s="141"/>
      <c r="AG181" s="141"/>
      <c r="AH181" s="141"/>
      <c r="AI181" s="141"/>
      <c r="AJ181" s="141"/>
      <c r="AK181" s="141" t="s">
        <v>354</v>
      </c>
      <c r="AL181" s="141" t="s">
        <v>364</v>
      </c>
      <c r="AM181" s="141" t="s">
        <v>354</v>
      </c>
      <c r="AN181" s="141" t="s">
        <v>781</v>
      </c>
      <c r="AO181" s="141" t="s">
        <v>2426</v>
      </c>
      <c r="AP181" s="141" t="s">
        <v>2427</v>
      </c>
      <c r="AQ181" s="141" t="s">
        <v>654</v>
      </c>
      <c r="AR181" s="141" t="s">
        <v>490</v>
      </c>
      <c r="AS181" s="141" t="s">
        <v>408</v>
      </c>
      <c r="AT181" s="141"/>
      <c r="AU181" s="141" t="s">
        <v>2511</v>
      </c>
      <c r="AV181" s="141" t="s">
        <v>489</v>
      </c>
      <c r="AW181" s="141" t="s">
        <v>2513</v>
      </c>
      <c r="AX181" s="141" t="s">
        <v>661</v>
      </c>
      <c r="AY181" s="141" t="s">
        <v>1144</v>
      </c>
      <c r="AZ181" s="141" t="s">
        <v>657</v>
      </c>
      <c r="BA181" s="141" t="s">
        <v>2514</v>
      </c>
      <c r="BB181" s="141" t="s">
        <v>910</v>
      </c>
      <c r="BC181" s="141" t="s">
        <v>2515</v>
      </c>
      <c r="BD181" s="141" t="s">
        <v>497</v>
      </c>
      <c r="BE181" s="141" t="s">
        <v>2516</v>
      </c>
      <c r="BF181" s="141" t="s">
        <v>499</v>
      </c>
      <c r="BG181" s="141" t="s">
        <v>2517</v>
      </c>
      <c r="BH181" s="141" t="s">
        <v>900</v>
      </c>
      <c r="BI181" s="141" t="s">
        <v>2518</v>
      </c>
      <c r="BJ181" s="141" t="s">
        <v>787</v>
      </c>
      <c r="BK181" s="141" t="s">
        <v>2519</v>
      </c>
      <c r="BL181" s="141" t="s">
        <v>382</v>
      </c>
      <c r="BM181" s="141" t="s">
        <v>2520</v>
      </c>
      <c r="BN181" s="141"/>
      <c r="BO181" s="141"/>
      <c r="BP181" s="141"/>
      <c r="BQ181" s="141"/>
      <c r="BR181" s="141"/>
      <c r="BS181" s="141"/>
      <c r="BT181" s="141"/>
      <c r="BU181" s="141"/>
      <c r="BV181" s="141"/>
      <c r="BW181" s="141"/>
      <c r="BX181" s="141"/>
      <c r="BY181" s="141"/>
      <c r="BZ181" s="141"/>
      <c r="CA181" s="141"/>
      <c r="CB181" s="141"/>
      <c r="CC181" s="141"/>
      <c r="CD181" s="141"/>
      <c r="CE181" s="141"/>
      <c r="CF181" s="141"/>
      <c r="CG181" s="141"/>
      <c r="CH181" s="141"/>
      <c r="CI181" s="141"/>
      <c r="CJ181" s="141"/>
      <c r="CK181" s="141"/>
      <c r="CL181" s="141"/>
      <c r="CM181" s="141"/>
      <c r="CN181" s="141"/>
      <c r="CO181" s="141"/>
      <c r="CP181" s="141"/>
      <c r="CQ181" s="141"/>
      <c r="CR181" s="141"/>
      <c r="CS181" s="141"/>
      <c r="CT181" s="141"/>
      <c r="CU181" s="141"/>
      <c r="CV181" s="141"/>
      <c r="CW181" s="141"/>
      <c r="CX181" s="141"/>
      <c r="CY181" s="141"/>
      <c r="CZ181" s="141"/>
      <c r="DA181" s="173"/>
    </row>
    <row r="182" spans="2:105" x14ac:dyDescent="0.25">
      <c r="B182" s="172"/>
      <c r="C182" s="141" t="s">
        <v>2521</v>
      </c>
      <c r="D182" s="141" t="s">
        <v>2522</v>
      </c>
      <c r="E182" s="141" t="s">
        <v>2523</v>
      </c>
      <c r="F182" s="141" t="s">
        <v>2524</v>
      </c>
      <c r="G182" s="141"/>
      <c r="H182" s="141" t="s">
        <v>353</v>
      </c>
      <c r="I182" s="141"/>
      <c r="J182" s="141" t="s">
        <v>354</v>
      </c>
      <c r="K182" s="141" t="s">
        <v>2525</v>
      </c>
      <c r="L182" s="141" t="s">
        <v>2526</v>
      </c>
      <c r="M182" s="141" t="s">
        <v>2527</v>
      </c>
      <c r="N182" s="141" t="s">
        <v>354</v>
      </c>
      <c r="O182" s="141" t="s">
        <v>393</v>
      </c>
      <c r="P182" s="141" t="s">
        <v>424</v>
      </c>
      <c r="Q182" s="141" t="s">
        <v>425</v>
      </c>
      <c r="R182" s="141" t="s">
        <v>361</v>
      </c>
      <c r="S182" s="141" t="s">
        <v>1410</v>
      </c>
      <c r="T182" s="141" t="s">
        <v>2426</v>
      </c>
      <c r="U182" s="141" t="s">
        <v>2426</v>
      </c>
      <c r="V182" s="141"/>
      <c r="W182" s="141"/>
      <c r="X182" s="141"/>
      <c r="Y182" s="141"/>
      <c r="Z182" s="141"/>
      <c r="AA182" s="141"/>
      <c r="AB182" s="141"/>
      <c r="AC182" s="141"/>
      <c r="AD182" s="141"/>
      <c r="AE182" s="141"/>
      <c r="AF182" s="141"/>
      <c r="AG182" s="141"/>
      <c r="AH182" s="141"/>
      <c r="AI182" s="141"/>
      <c r="AJ182" s="141"/>
      <c r="AK182" s="141" t="s">
        <v>354</v>
      </c>
      <c r="AL182" s="141" t="s">
        <v>364</v>
      </c>
      <c r="AM182" s="141" t="s">
        <v>354</v>
      </c>
      <c r="AN182" s="141" t="s">
        <v>781</v>
      </c>
      <c r="AO182" s="141" t="s">
        <v>2426</v>
      </c>
      <c r="AP182" s="141" t="s">
        <v>2427</v>
      </c>
      <c r="AQ182" s="141" t="s">
        <v>654</v>
      </c>
      <c r="AR182" s="141" t="s">
        <v>490</v>
      </c>
      <c r="AS182" s="141" t="s">
        <v>490</v>
      </c>
      <c r="AT182" s="141"/>
      <c r="AU182" s="141" t="s">
        <v>2526</v>
      </c>
      <c r="AV182" s="141" t="s">
        <v>489</v>
      </c>
      <c r="AW182" s="141" t="s">
        <v>2528</v>
      </c>
      <c r="AX182" s="141" t="s">
        <v>661</v>
      </c>
      <c r="AY182" s="141" t="s">
        <v>1768</v>
      </c>
      <c r="AZ182" s="141" t="s">
        <v>657</v>
      </c>
      <c r="BA182" s="141" t="s">
        <v>2529</v>
      </c>
      <c r="BB182" s="141" t="s">
        <v>910</v>
      </c>
      <c r="BC182" s="141" t="s">
        <v>1639</v>
      </c>
      <c r="BD182" s="141" t="s">
        <v>497</v>
      </c>
      <c r="BE182" s="141" t="s">
        <v>802</v>
      </c>
      <c r="BF182" s="141" t="s">
        <v>499</v>
      </c>
      <c r="BG182" s="141" t="s">
        <v>2530</v>
      </c>
      <c r="BH182" s="141" t="s">
        <v>900</v>
      </c>
      <c r="BI182" s="141" t="s">
        <v>2531</v>
      </c>
      <c r="BJ182" s="141" t="s">
        <v>787</v>
      </c>
      <c r="BK182" s="141" t="s">
        <v>2532</v>
      </c>
      <c r="BL182" s="141" t="s">
        <v>382</v>
      </c>
      <c r="BM182" s="141" t="s">
        <v>2533</v>
      </c>
      <c r="BN182" s="141"/>
      <c r="BO182" s="141"/>
      <c r="BP182" s="141"/>
      <c r="BQ182" s="141"/>
      <c r="BR182" s="141"/>
      <c r="BS182" s="141"/>
      <c r="BT182" s="141"/>
      <c r="BU182" s="141"/>
      <c r="BV182" s="141"/>
      <c r="BW182" s="141"/>
      <c r="BX182" s="141"/>
      <c r="BY182" s="141"/>
      <c r="BZ182" s="141"/>
      <c r="CA182" s="141"/>
      <c r="CB182" s="141"/>
      <c r="CC182" s="141"/>
      <c r="CD182" s="141"/>
      <c r="CE182" s="141"/>
      <c r="CF182" s="141"/>
      <c r="CG182" s="141"/>
      <c r="CH182" s="141"/>
      <c r="CI182" s="141"/>
      <c r="CJ182" s="141"/>
      <c r="CK182" s="141"/>
      <c r="CL182" s="141"/>
      <c r="CM182" s="141"/>
      <c r="CN182" s="141"/>
      <c r="CO182" s="141"/>
      <c r="CP182" s="141"/>
      <c r="CQ182" s="141"/>
      <c r="CR182" s="141"/>
      <c r="CS182" s="141"/>
      <c r="CT182" s="141"/>
      <c r="CU182" s="141"/>
      <c r="CV182" s="141"/>
      <c r="CW182" s="141"/>
      <c r="CX182" s="141"/>
      <c r="CY182" s="141"/>
      <c r="CZ182" s="141"/>
      <c r="DA182" s="173"/>
    </row>
    <row r="183" spans="2:105" x14ac:dyDescent="0.25">
      <c r="B183" s="172"/>
      <c r="C183" s="141" t="s">
        <v>2534</v>
      </c>
      <c r="D183" s="141" t="s">
        <v>391</v>
      </c>
      <c r="E183" s="141" t="s">
        <v>2535</v>
      </c>
      <c r="F183" s="141" t="s">
        <v>2536</v>
      </c>
      <c r="G183" s="141"/>
      <c r="H183" s="141" t="s">
        <v>353</v>
      </c>
      <c r="I183" s="141"/>
      <c r="J183" s="141" t="s">
        <v>354</v>
      </c>
      <c r="K183" s="141" t="s">
        <v>2070</v>
      </c>
      <c r="L183" s="141" t="s">
        <v>2537</v>
      </c>
      <c r="M183" s="141" t="s">
        <v>2538</v>
      </c>
      <c r="N183" s="141" t="s">
        <v>354</v>
      </c>
      <c r="O183" s="141" t="s">
        <v>369</v>
      </c>
      <c r="P183" s="141" t="s">
        <v>528</v>
      </c>
      <c r="Q183" s="141" t="s">
        <v>529</v>
      </c>
      <c r="R183" s="141" t="s">
        <v>361</v>
      </c>
      <c r="S183" s="141" t="s">
        <v>1410</v>
      </c>
      <c r="T183" s="141" t="s">
        <v>2426</v>
      </c>
      <c r="U183" s="141" t="s">
        <v>2426</v>
      </c>
      <c r="V183" s="141"/>
      <c r="W183" s="141"/>
      <c r="X183" s="141"/>
      <c r="Y183" s="141"/>
      <c r="Z183" s="141"/>
      <c r="AA183" s="141"/>
      <c r="AB183" s="141"/>
      <c r="AC183" s="141"/>
      <c r="AD183" s="141"/>
      <c r="AE183" s="141"/>
      <c r="AF183" s="141"/>
      <c r="AG183" s="141"/>
      <c r="AH183" s="141"/>
      <c r="AI183" s="141"/>
      <c r="AJ183" s="141"/>
      <c r="AK183" s="141" t="s">
        <v>354</v>
      </c>
      <c r="AL183" s="141" t="s">
        <v>364</v>
      </c>
      <c r="AM183" s="141" t="s">
        <v>354</v>
      </c>
      <c r="AN183" s="141" t="s">
        <v>781</v>
      </c>
      <c r="AO183" s="141" t="s">
        <v>2426</v>
      </c>
      <c r="AP183" s="141" t="s">
        <v>2427</v>
      </c>
      <c r="AQ183" s="141" t="s">
        <v>654</v>
      </c>
      <c r="AR183" s="141" t="s">
        <v>490</v>
      </c>
      <c r="AS183" s="141" t="s">
        <v>485</v>
      </c>
      <c r="AT183" s="141"/>
      <c r="AU183" s="141" t="s">
        <v>2537</v>
      </c>
      <c r="AV183" s="141" t="s">
        <v>489</v>
      </c>
      <c r="AW183" s="141" t="s">
        <v>2539</v>
      </c>
      <c r="AX183" s="141" t="s">
        <v>661</v>
      </c>
      <c r="AY183" s="141" t="s">
        <v>2540</v>
      </c>
      <c r="AZ183" s="141" t="s">
        <v>657</v>
      </c>
      <c r="BA183" s="141" t="s">
        <v>2541</v>
      </c>
      <c r="BB183" s="141" t="s">
        <v>910</v>
      </c>
      <c r="BC183" s="141" t="s">
        <v>2542</v>
      </c>
      <c r="BD183" s="141" t="s">
        <v>497</v>
      </c>
      <c r="BE183" s="141" t="s">
        <v>2543</v>
      </c>
      <c r="BF183" s="141" t="s">
        <v>499</v>
      </c>
      <c r="BG183" s="141" t="s">
        <v>2544</v>
      </c>
      <c r="BH183" s="141" t="s">
        <v>900</v>
      </c>
      <c r="BI183" s="141" t="s">
        <v>2545</v>
      </c>
      <c r="BJ183" s="141" t="s">
        <v>787</v>
      </c>
      <c r="BK183" s="141" t="s">
        <v>2546</v>
      </c>
      <c r="BL183" s="141" t="s">
        <v>382</v>
      </c>
      <c r="BM183" s="141" t="s">
        <v>2547</v>
      </c>
      <c r="BN183" s="141"/>
      <c r="BO183" s="141"/>
      <c r="BP183" s="141"/>
      <c r="BQ183" s="141"/>
      <c r="BR183" s="141"/>
      <c r="BS183" s="141"/>
      <c r="BT183" s="141"/>
      <c r="BU183" s="141"/>
      <c r="BV183" s="141"/>
      <c r="BW183" s="141"/>
      <c r="BX183" s="141"/>
      <c r="BY183" s="141"/>
      <c r="BZ183" s="141"/>
      <c r="CA183" s="141"/>
      <c r="CB183" s="141"/>
      <c r="CC183" s="141"/>
      <c r="CD183" s="141"/>
      <c r="CE183" s="141"/>
      <c r="CF183" s="141"/>
      <c r="CG183" s="141"/>
      <c r="CH183" s="141"/>
      <c r="CI183" s="141"/>
      <c r="CJ183" s="141"/>
      <c r="CK183" s="141"/>
      <c r="CL183" s="141"/>
      <c r="CM183" s="141"/>
      <c r="CN183" s="141"/>
      <c r="CO183" s="141"/>
      <c r="CP183" s="141"/>
      <c r="CQ183" s="141"/>
      <c r="CR183" s="141"/>
      <c r="CS183" s="141"/>
      <c r="CT183" s="141"/>
      <c r="CU183" s="141"/>
      <c r="CV183" s="141"/>
      <c r="CW183" s="141"/>
      <c r="CX183" s="141"/>
      <c r="CY183" s="141"/>
      <c r="CZ183" s="141"/>
      <c r="DA183" s="173"/>
    </row>
    <row r="184" spans="2:105" x14ac:dyDescent="0.25">
      <c r="B184" s="172"/>
      <c r="C184" s="141" t="s">
        <v>2548</v>
      </c>
      <c r="D184" s="141" t="s">
        <v>2549</v>
      </c>
      <c r="E184" s="141" t="s">
        <v>2550</v>
      </c>
      <c r="F184" s="141" t="s">
        <v>2424</v>
      </c>
      <c r="G184" s="141"/>
      <c r="H184" s="141" t="s">
        <v>353</v>
      </c>
      <c r="I184" s="141"/>
      <c r="J184" s="141" t="s">
        <v>354</v>
      </c>
      <c r="K184" s="141" t="s">
        <v>476</v>
      </c>
      <c r="L184" s="141" t="s">
        <v>2551</v>
      </c>
      <c r="M184" s="141" t="s">
        <v>2552</v>
      </c>
      <c r="N184" s="141" t="s">
        <v>354</v>
      </c>
      <c r="O184" s="141" t="s">
        <v>393</v>
      </c>
      <c r="P184" s="141" t="s">
        <v>424</v>
      </c>
      <c r="Q184" s="141" t="s">
        <v>425</v>
      </c>
      <c r="R184" s="141" t="s">
        <v>361</v>
      </c>
      <c r="S184" s="141" t="s">
        <v>1410</v>
      </c>
      <c r="T184" s="141" t="s">
        <v>2426</v>
      </c>
      <c r="U184" s="141" t="s">
        <v>2426</v>
      </c>
      <c r="V184" s="141"/>
      <c r="W184" s="141"/>
      <c r="X184" s="141"/>
      <c r="Y184" s="141"/>
      <c r="Z184" s="141"/>
      <c r="AA184" s="141"/>
      <c r="AB184" s="141"/>
      <c r="AC184" s="141"/>
      <c r="AD184" s="141"/>
      <c r="AE184" s="141"/>
      <c r="AF184" s="141"/>
      <c r="AG184" s="141"/>
      <c r="AH184" s="141"/>
      <c r="AI184" s="141"/>
      <c r="AJ184" s="141"/>
      <c r="AK184" s="141" t="s">
        <v>354</v>
      </c>
      <c r="AL184" s="141" t="s">
        <v>364</v>
      </c>
      <c r="AM184" s="141" t="s">
        <v>354</v>
      </c>
      <c r="AN184" s="141" t="s">
        <v>781</v>
      </c>
      <c r="AO184" s="141" t="s">
        <v>2426</v>
      </c>
      <c r="AP184" s="141" t="s">
        <v>2427</v>
      </c>
      <c r="AQ184" s="141" t="s">
        <v>654</v>
      </c>
      <c r="AR184" s="141" t="s">
        <v>490</v>
      </c>
      <c r="AS184" s="141" t="s">
        <v>362</v>
      </c>
      <c r="AT184" s="141"/>
      <c r="AU184" s="141" t="s">
        <v>2551</v>
      </c>
      <c r="AV184" s="141" t="s">
        <v>489</v>
      </c>
      <c r="AW184" s="141" t="s">
        <v>2553</v>
      </c>
      <c r="AX184" s="141" t="s">
        <v>661</v>
      </c>
      <c r="AY184" s="141" t="s">
        <v>2554</v>
      </c>
      <c r="AZ184" s="141" t="s">
        <v>657</v>
      </c>
      <c r="BA184" s="141" t="s">
        <v>2555</v>
      </c>
      <c r="BB184" s="141" t="s">
        <v>910</v>
      </c>
      <c r="BC184" s="141" t="s">
        <v>2556</v>
      </c>
      <c r="BD184" s="141" t="s">
        <v>497</v>
      </c>
      <c r="BE184" s="141" t="s">
        <v>2557</v>
      </c>
      <c r="BF184" s="141" t="s">
        <v>499</v>
      </c>
      <c r="BG184" s="141" t="s">
        <v>2558</v>
      </c>
      <c r="BH184" s="141" t="s">
        <v>900</v>
      </c>
      <c r="BI184" s="141" t="s">
        <v>2559</v>
      </c>
      <c r="BJ184" s="141" t="s">
        <v>787</v>
      </c>
      <c r="BK184" s="141" t="s">
        <v>2560</v>
      </c>
      <c r="BL184" s="141" t="s">
        <v>382</v>
      </c>
      <c r="BM184" s="141" t="s">
        <v>2561</v>
      </c>
      <c r="BN184" s="141"/>
      <c r="BO184" s="141"/>
      <c r="BP184" s="141"/>
      <c r="BQ184" s="141"/>
      <c r="BR184" s="141"/>
      <c r="BS184" s="141"/>
      <c r="BT184" s="141"/>
      <c r="BU184" s="141"/>
      <c r="BV184" s="141"/>
      <c r="BW184" s="141"/>
      <c r="BX184" s="141"/>
      <c r="BY184" s="141"/>
      <c r="BZ184" s="141"/>
      <c r="CA184" s="141"/>
      <c r="CB184" s="141"/>
      <c r="CC184" s="141"/>
      <c r="CD184" s="141"/>
      <c r="CE184" s="141"/>
      <c r="CF184" s="141"/>
      <c r="CG184" s="141"/>
      <c r="CH184" s="141"/>
      <c r="CI184" s="141"/>
      <c r="CJ184" s="141"/>
      <c r="CK184" s="141"/>
      <c r="CL184" s="141"/>
      <c r="CM184" s="141"/>
      <c r="CN184" s="141"/>
      <c r="CO184" s="141"/>
      <c r="CP184" s="141"/>
      <c r="CQ184" s="141"/>
      <c r="CR184" s="141"/>
      <c r="CS184" s="141"/>
      <c r="CT184" s="141"/>
      <c r="CU184" s="141"/>
      <c r="CV184" s="141"/>
      <c r="CW184" s="141"/>
      <c r="CX184" s="141"/>
      <c r="CY184" s="141"/>
      <c r="CZ184" s="141"/>
      <c r="DA184" s="173"/>
    </row>
    <row r="185" spans="2:105" x14ac:dyDescent="0.25">
      <c r="B185" s="172"/>
      <c r="C185" s="141" t="s">
        <v>2562</v>
      </c>
      <c r="D185" s="141" t="s">
        <v>2563</v>
      </c>
      <c r="E185" s="141" t="s">
        <v>1350</v>
      </c>
      <c r="F185" s="141" t="s">
        <v>2564</v>
      </c>
      <c r="G185" s="141"/>
      <c r="H185" s="141" t="s">
        <v>353</v>
      </c>
      <c r="I185" s="141"/>
      <c r="J185" s="141" t="s">
        <v>354</v>
      </c>
      <c r="K185" s="141" t="s">
        <v>2187</v>
      </c>
      <c r="L185" s="141" t="s">
        <v>2565</v>
      </c>
      <c r="M185" s="141" t="s">
        <v>2566</v>
      </c>
      <c r="N185" s="141" t="s">
        <v>354</v>
      </c>
      <c r="O185" s="141" t="s">
        <v>408</v>
      </c>
      <c r="P185" s="141" t="s">
        <v>409</v>
      </c>
      <c r="Q185" s="141" t="s">
        <v>409</v>
      </c>
      <c r="R185" s="141" t="s">
        <v>361</v>
      </c>
      <c r="S185" s="141" t="s">
        <v>1410</v>
      </c>
      <c r="T185" s="141" t="s">
        <v>2426</v>
      </c>
      <c r="U185" s="141" t="s">
        <v>2426</v>
      </c>
      <c r="V185" s="141"/>
      <c r="W185" s="141"/>
      <c r="X185" s="141"/>
      <c r="Y185" s="141"/>
      <c r="Z185" s="141"/>
      <c r="AA185" s="141"/>
      <c r="AB185" s="141"/>
      <c r="AC185" s="141"/>
      <c r="AD185" s="141"/>
      <c r="AE185" s="141"/>
      <c r="AF185" s="141"/>
      <c r="AG185" s="141"/>
      <c r="AH185" s="141"/>
      <c r="AI185" s="141"/>
      <c r="AJ185" s="141"/>
      <c r="AK185" s="141" t="s">
        <v>354</v>
      </c>
      <c r="AL185" s="141" t="s">
        <v>364</v>
      </c>
      <c r="AM185" s="141" t="s">
        <v>354</v>
      </c>
      <c r="AN185" s="141" t="s">
        <v>781</v>
      </c>
      <c r="AO185" s="141" t="s">
        <v>2426</v>
      </c>
      <c r="AP185" s="141" t="s">
        <v>2427</v>
      </c>
      <c r="AQ185" s="141" t="s">
        <v>654</v>
      </c>
      <c r="AR185" s="141" t="s">
        <v>490</v>
      </c>
      <c r="AS185" s="141" t="s">
        <v>1279</v>
      </c>
      <c r="AT185" s="141"/>
      <c r="AU185" s="141" t="s">
        <v>2565</v>
      </c>
      <c r="AV185" s="141" t="s">
        <v>489</v>
      </c>
      <c r="AW185" s="141" t="s">
        <v>2567</v>
      </c>
      <c r="AX185" s="141" t="s">
        <v>661</v>
      </c>
      <c r="AY185" s="141" t="s">
        <v>2568</v>
      </c>
      <c r="AZ185" s="141" t="s">
        <v>657</v>
      </c>
      <c r="BA185" s="141" t="s">
        <v>2569</v>
      </c>
      <c r="BB185" s="141" t="s">
        <v>910</v>
      </c>
      <c r="BC185" s="141" t="s">
        <v>2570</v>
      </c>
      <c r="BD185" s="141" t="s">
        <v>497</v>
      </c>
      <c r="BE185" s="141" t="s">
        <v>2571</v>
      </c>
      <c r="BF185" s="141" t="s">
        <v>499</v>
      </c>
      <c r="BG185" s="141" t="s">
        <v>2572</v>
      </c>
      <c r="BH185" s="141" t="s">
        <v>900</v>
      </c>
      <c r="BI185" s="141" t="s">
        <v>2573</v>
      </c>
      <c r="BJ185" s="141" t="s">
        <v>787</v>
      </c>
      <c r="BK185" s="141" t="s">
        <v>2574</v>
      </c>
      <c r="BL185" s="141" t="s">
        <v>382</v>
      </c>
      <c r="BM185" s="141" t="s">
        <v>2575</v>
      </c>
      <c r="BN185" s="141"/>
      <c r="BO185" s="141"/>
      <c r="BP185" s="141"/>
      <c r="BQ185" s="141"/>
      <c r="BR185" s="141"/>
      <c r="BS185" s="141"/>
      <c r="BT185" s="141"/>
      <c r="BU185" s="141"/>
      <c r="BV185" s="141"/>
      <c r="BW185" s="141"/>
      <c r="BX185" s="141"/>
      <c r="BY185" s="141"/>
      <c r="BZ185" s="141"/>
      <c r="CA185" s="141"/>
      <c r="CB185" s="141"/>
      <c r="CC185" s="141"/>
      <c r="CD185" s="141"/>
      <c r="CE185" s="141"/>
      <c r="CF185" s="141"/>
      <c r="CG185" s="141"/>
      <c r="CH185" s="141"/>
      <c r="CI185" s="141"/>
      <c r="CJ185" s="141"/>
      <c r="CK185" s="141"/>
      <c r="CL185" s="141"/>
      <c r="CM185" s="141"/>
      <c r="CN185" s="141"/>
      <c r="CO185" s="141"/>
      <c r="CP185" s="141"/>
      <c r="CQ185" s="141"/>
      <c r="CR185" s="141"/>
      <c r="CS185" s="141"/>
      <c r="CT185" s="141"/>
      <c r="CU185" s="141"/>
      <c r="CV185" s="141"/>
      <c r="CW185" s="141"/>
      <c r="CX185" s="141"/>
      <c r="CY185" s="141"/>
      <c r="CZ185" s="141"/>
      <c r="DA185" s="173"/>
    </row>
    <row r="186" spans="2:105" x14ac:dyDescent="0.25">
      <c r="B186" s="172"/>
      <c r="C186" s="141" t="s">
        <v>2576</v>
      </c>
      <c r="D186" s="141" t="s">
        <v>358</v>
      </c>
      <c r="E186" s="141" t="s">
        <v>2577</v>
      </c>
      <c r="F186" s="141" t="s">
        <v>2536</v>
      </c>
      <c r="G186" s="141"/>
      <c r="H186" s="141" t="s">
        <v>353</v>
      </c>
      <c r="I186" s="141"/>
      <c r="J186" s="141" t="s">
        <v>354</v>
      </c>
      <c r="K186" s="141" t="s">
        <v>1048</v>
      </c>
      <c r="L186" s="141"/>
      <c r="M186" s="141"/>
      <c r="N186" s="141" t="s">
        <v>369</v>
      </c>
      <c r="O186" s="141" t="s">
        <v>369</v>
      </c>
      <c r="P186" s="141" t="s">
        <v>528</v>
      </c>
      <c r="Q186" s="141" t="s">
        <v>529</v>
      </c>
      <c r="R186" s="141" t="s">
        <v>361</v>
      </c>
      <c r="S186" s="141" t="s">
        <v>1410</v>
      </c>
      <c r="T186" s="141" t="s">
        <v>2426</v>
      </c>
      <c r="U186" s="141" t="s">
        <v>2426</v>
      </c>
      <c r="V186" s="141"/>
      <c r="W186" s="141"/>
      <c r="X186" s="141"/>
      <c r="Y186" s="141"/>
      <c r="Z186" s="141"/>
      <c r="AA186" s="141"/>
      <c r="AB186" s="141"/>
      <c r="AC186" s="141"/>
      <c r="AD186" s="141"/>
      <c r="AE186" s="141"/>
      <c r="AF186" s="141"/>
      <c r="AG186" s="141"/>
      <c r="AH186" s="141"/>
      <c r="AI186" s="141"/>
      <c r="AJ186" s="141"/>
      <c r="AK186" s="141" t="s">
        <v>354</v>
      </c>
      <c r="AL186" s="141" t="s">
        <v>364</v>
      </c>
      <c r="AM186" s="141" t="s">
        <v>354</v>
      </c>
      <c r="AN186" s="141" t="s">
        <v>781</v>
      </c>
      <c r="AO186" s="141" t="s">
        <v>2426</v>
      </c>
      <c r="AP186" s="141" t="s">
        <v>2427</v>
      </c>
      <c r="AQ186" s="141" t="s">
        <v>654</v>
      </c>
      <c r="AR186" s="141" t="s">
        <v>490</v>
      </c>
      <c r="AS186" s="141"/>
      <c r="AT186" s="141"/>
      <c r="AU186" s="141"/>
      <c r="AV186" s="141"/>
      <c r="AW186" s="141"/>
      <c r="AX186" s="141"/>
      <c r="AY186" s="141"/>
      <c r="AZ186" s="141"/>
      <c r="BA186" s="141"/>
      <c r="BB186" s="141"/>
      <c r="BC186" s="141"/>
      <c r="BD186" s="141"/>
      <c r="BE186" s="141"/>
      <c r="BF186" s="141"/>
      <c r="BG186" s="141"/>
      <c r="BH186" s="141"/>
      <c r="BI186" s="141"/>
      <c r="BJ186" s="141"/>
      <c r="BK186" s="141"/>
      <c r="BL186" s="141"/>
      <c r="BM186" s="141"/>
      <c r="BN186" s="141"/>
      <c r="BO186" s="141"/>
      <c r="BP186" s="141"/>
      <c r="BQ186" s="141"/>
      <c r="BR186" s="141"/>
      <c r="BS186" s="141"/>
      <c r="BT186" s="141"/>
      <c r="BU186" s="141"/>
      <c r="BV186" s="141"/>
      <c r="BW186" s="141"/>
      <c r="BX186" s="141"/>
      <c r="BY186" s="141"/>
      <c r="BZ186" s="141"/>
      <c r="CA186" s="141"/>
      <c r="CB186" s="141"/>
      <c r="CC186" s="141"/>
      <c r="CD186" s="141"/>
      <c r="CE186" s="141"/>
      <c r="CF186" s="141"/>
      <c r="CG186" s="141"/>
      <c r="CH186" s="141"/>
      <c r="CI186" s="141"/>
      <c r="CJ186" s="141"/>
      <c r="CK186" s="141"/>
      <c r="CL186" s="141"/>
      <c r="CM186" s="141"/>
      <c r="CN186" s="141"/>
      <c r="CO186" s="141"/>
      <c r="CP186" s="141"/>
      <c r="CQ186" s="141"/>
      <c r="CR186" s="141"/>
      <c r="CS186" s="141"/>
      <c r="CT186" s="141"/>
      <c r="CU186" s="141"/>
      <c r="CV186" s="141"/>
      <c r="CW186" s="141"/>
      <c r="CX186" s="141"/>
      <c r="CY186" s="141"/>
      <c r="CZ186" s="141"/>
      <c r="DA186" s="173"/>
    </row>
    <row r="187" spans="2:105" x14ac:dyDescent="0.25">
      <c r="B187" s="172"/>
      <c r="C187" s="141" t="s">
        <v>2578</v>
      </c>
      <c r="D187" s="141" t="s">
        <v>378</v>
      </c>
      <c r="E187" s="141" t="s">
        <v>2579</v>
      </c>
      <c r="F187" s="141" t="s">
        <v>2580</v>
      </c>
      <c r="G187" s="141"/>
      <c r="H187" s="141" t="s">
        <v>353</v>
      </c>
      <c r="I187" s="141"/>
      <c r="J187" s="141" t="s">
        <v>354</v>
      </c>
      <c r="K187" s="141" t="s">
        <v>2096</v>
      </c>
      <c r="L187" s="141" t="s">
        <v>2581</v>
      </c>
      <c r="M187" s="141" t="s">
        <v>2582</v>
      </c>
      <c r="N187" s="141" t="s">
        <v>358</v>
      </c>
      <c r="O187" s="141"/>
      <c r="P187" s="141"/>
      <c r="Q187" s="141"/>
      <c r="R187" s="141"/>
      <c r="S187" s="141" t="s">
        <v>1410</v>
      </c>
      <c r="T187" s="141" t="s">
        <v>2426</v>
      </c>
      <c r="U187" s="141" t="s">
        <v>2426</v>
      </c>
      <c r="V187" s="141"/>
      <c r="W187" s="141"/>
      <c r="X187" s="141"/>
      <c r="Y187" s="141"/>
      <c r="Z187" s="141"/>
      <c r="AA187" s="141"/>
      <c r="AB187" s="141"/>
      <c r="AC187" s="141"/>
      <c r="AD187" s="141"/>
      <c r="AE187" s="141"/>
      <c r="AF187" s="141"/>
      <c r="AG187" s="141"/>
      <c r="AH187" s="141"/>
      <c r="AI187" s="141"/>
      <c r="AJ187" s="141"/>
      <c r="AK187" s="141" t="s">
        <v>354</v>
      </c>
      <c r="AL187" s="141" t="s">
        <v>364</v>
      </c>
      <c r="AM187" s="141" t="s">
        <v>354</v>
      </c>
      <c r="AN187" s="141" t="s">
        <v>781</v>
      </c>
      <c r="AO187" s="141" t="s">
        <v>2426</v>
      </c>
      <c r="AP187" s="141" t="s">
        <v>2427</v>
      </c>
      <c r="AQ187" s="141" t="s">
        <v>654</v>
      </c>
      <c r="AR187" s="141" t="s">
        <v>490</v>
      </c>
      <c r="AS187" s="141"/>
      <c r="AT187" s="141"/>
      <c r="AU187" s="141" t="s">
        <v>2581</v>
      </c>
      <c r="AV187" s="141" t="s">
        <v>489</v>
      </c>
      <c r="AW187" s="141" t="s">
        <v>2567</v>
      </c>
      <c r="AX187" s="141"/>
      <c r="AY187" s="141"/>
      <c r="AZ187" s="141" t="s">
        <v>657</v>
      </c>
      <c r="BA187" s="141" t="s">
        <v>2583</v>
      </c>
      <c r="BB187" s="141" t="s">
        <v>910</v>
      </c>
      <c r="BC187" s="141" t="s">
        <v>2584</v>
      </c>
      <c r="BD187" s="141" t="s">
        <v>497</v>
      </c>
      <c r="BE187" s="141" t="s">
        <v>2585</v>
      </c>
      <c r="BF187" s="141" t="s">
        <v>499</v>
      </c>
      <c r="BG187" s="141" t="s">
        <v>710</v>
      </c>
      <c r="BH187" s="141" t="s">
        <v>900</v>
      </c>
      <c r="BI187" s="141" t="s">
        <v>1844</v>
      </c>
      <c r="BJ187" s="141" t="s">
        <v>787</v>
      </c>
      <c r="BK187" s="141" t="s">
        <v>2586</v>
      </c>
      <c r="BL187" s="141" t="s">
        <v>382</v>
      </c>
      <c r="BM187" s="141" t="s">
        <v>2587</v>
      </c>
      <c r="BN187" s="141"/>
      <c r="BO187" s="141"/>
      <c r="BP187" s="141"/>
      <c r="BQ187" s="141"/>
      <c r="BR187" s="141"/>
      <c r="BS187" s="141"/>
      <c r="BT187" s="141"/>
      <c r="BU187" s="141"/>
      <c r="BV187" s="141"/>
      <c r="BW187" s="141"/>
      <c r="BX187" s="141"/>
      <c r="BY187" s="141"/>
      <c r="BZ187" s="141"/>
      <c r="CA187" s="141"/>
      <c r="CB187" s="141"/>
      <c r="CC187" s="141"/>
      <c r="CD187" s="141"/>
      <c r="CE187" s="141"/>
      <c r="CF187" s="141"/>
      <c r="CG187" s="141"/>
      <c r="CH187" s="141"/>
      <c r="CI187" s="141"/>
      <c r="CJ187" s="141"/>
      <c r="CK187" s="141"/>
      <c r="CL187" s="141"/>
      <c r="CM187" s="141"/>
      <c r="CN187" s="141"/>
      <c r="CO187" s="141"/>
      <c r="CP187" s="141"/>
      <c r="CQ187" s="141"/>
      <c r="CR187" s="141"/>
      <c r="CS187" s="141"/>
      <c r="CT187" s="141"/>
      <c r="CU187" s="141"/>
      <c r="CV187" s="141"/>
      <c r="CW187" s="141"/>
      <c r="CX187" s="141"/>
      <c r="CY187" s="141"/>
      <c r="CZ187" s="141"/>
      <c r="DA187" s="173"/>
    </row>
    <row r="188" spans="2:105" x14ac:dyDescent="0.25">
      <c r="B188" s="172"/>
      <c r="C188" s="141" t="s">
        <v>2588</v>
      </c>
      <c r="D188" s="141" t="s">
        <v>2589</v>
      </c>
      <c r="E188" s="141" t="s">
        <v>2590</v>
      </c>
      <c r="F188" s="141" t="s">
        <v>524</v>
      </c>
      <c r="G188" s="141"/>
      <c r="H188" s="141" t="s">
        <v>353</v>
      </c>
      <c r="I188" s="141"/>
      <c r="J188" s="141" t="s">
        <v>354</v>
      </c>
      <c r="K188" s="141" t="s">
        <v>1955</v>
      </c>
      <c r="L188" s="141"/>
      <c r="M188" s="141"/>
      <c r="N188" s="141" t="s">
        <v>369</v>
      </c>
      <c r="O188" s="141" t="s">
        <v>369</v>
      </c>
      <c r="P188" s="141" t="s">
        <v>528</v>
      </c>
      <c r="Q188" s="141" t="s">
        <v>529</v>
      </c>
      <c r="R188" s="141" t="s">
        <v>361</v>
      </c>
      <c r="S188" s="141" t="s">
        <v>1410</v>
      </c>
      <c r="T188" s="141" t="s">
        <v>2426</v>
      </c>
      <c r="U188" s="141" t="s">
        <v>2426</v>
      </c>
      <c r="V188" s="141"/>
      <c r="W188" s="141"/>
      <c r="X188" s="141"/>
      <c r="Y188" s="141"/>
      <c r="Z188" s="141"/>
      <c r="AA188" s="141"/>
      <c r="AB188" s="141"/>
      <c r="AC188" s="141"/>
      <c r="AD188" s="141"/>
      <c r="AE188" s="141"/>
      <c r="AF188" s="141"/>
      <c r="AG188" s="141"/>
      <c r="AH188" s="141"/>
      <c r="AI188" s="141"/>
      <c r="AJ188" s="141"/>
      <c r="AK188" s="141" t="s">
        <v>354</v>
      </c>
      <c r="AL188" s="141" t="s">
        <v>364</v>
      </c>
      <c r="AM188" s="141" t="s">
        <v>354</v>
      </c>
      <c r="AN188" s="141" t="s">
        <v>781</v>
      </c>
      <c r="AO188" s="141" t="s">
        <v>2426</v>
      </c>
      <c r="AP188" s="141" t="s">
        <v>2427</v>
      </c>
      <c r="AQ188" s="141" t="s">
        <v>654</v>
      </c>
      <c r="AR188" s="141" t="s">
        <v>490</v>
      </c>
      <c r="AS188" s="141"/>
      <c r="AT188" s="141"/>
      <c r="AU188" s="141"/>
      <c r="AV188" s="141"/>
      <c r="AW188" s="141"/>
      <c r="AX188" s="141"/>
      <c r="AY188" s="141"/>
      <c r="AZ188" s="141"/>
      <c r="BA188" s="141"/>
      <c r="BB188" s="141"/>
      <c r="BC188" s="141"/>
      <c r="BD188" s="141"/>
      <c r="BE188" s="141"/>
      <c r="BF188" s="141"/>
      <c r="BG188" s="141"/>
      <c r="BH188" s="141"/>
      <c r="BI188" s="141"/>
      <c r="BJ188" s="141"/>
      <c r="BK188" s="141"/>
      <c r="BL188" s="141"/>
      <c r="BM188" s="141"/>
      <c r="BN188" s="141"/>
      <c r="BO188" s="141"/>
      <c r="BP188" s="141"/>
      <c r="BQ188" s="141"/>
      <c r="BR188" s="141"/>
      <c r="BS188" s="141"/>
      <c r="BT188" s="141"/>
      <c r="BU188" s="141"/>
      <c r="BV188" s="141"/>
      <c r="BW188" s="141"/>
      <c r="BX188" s="141"/>
      <c r="BY188" s="141"/>
      <c r="BZ188" s="141"/>
      <c r="CA188" s="141"/>
      <c r="CB188" s="141"/>
      <c r="CC188" s="141"/>
      <c r="CD188" s="141"/>
      <c r="CE188" s="141"/>
      <c r="CF188" s="141"/>
      <c r="CG188" s="141"/>
      <c r="CH188" s="141"/>
      <c r="CI188" s="141"/>
      <c r="CJ188" s="141"/>
      <c r="CK188" s="141"/>
      <c r="CL188" s="141"/>
      <c r="CM188" s="141"/>
      <c r="CN188" s="141"/>
      <c r="CO188" s="141"/>
      <c r="CP188" s="141"/>
      <c r="CQ188" s="141"/>
      <c r="CR188" s="141"/>
      <c r="CS188" s="141"/>
      <c r="CT188" s="141"/>
      <c r="CU188" s="141"/>
      <c r="CV188" s="141"/>
      <c r="CW188" s="141"/>
      <c r="CX188" s="141"/>
      <c r="CY188" s="141"/>
      <c r="CZ188" s="141"/>
      <c r="DA188" s="173"/>
    </row>
    <row r="189" spans="2:105" x14ac:dyDescent="0.25">
      <c r="B189" s="172"/>
      <c r="C189" s="141" t="s">
        <v>2591</v>
      </c>
      <c r="D189" s="141" t="s">
        <v>2592</v>
      </c>
      <c r="E189" s="141" t="s">
        <v>2593</v>
      </c>
      <c r="F189" s="141" t="s">
        <v>2594</v>
      </c>
      <c r="G189" s="141"/>
      <c r="H189" s="141" t="s">
        <v>353</v>
      </c>
      <c r="I189" s="141"/>
      <c r="J189" s="141" t="s">
        <v>354</v>
      </c>
      <c r="K189" s="141" t="s">
        <v>1944</v>
      </c>
      <c r="L189" s="141" t="s">
        <v>2595</v>
      </c>
      <c r="M189" s="141" t="s">
        <v>2596</v>
      </c>
      <c r="N189" s="141" t="s">
        <v>358</v>
      </c>
      <c r="O189" s="141" t="s">
        <v>393</v>
      </c>
      <c r="P189" s="141" t="s">
        <v>424</v>
      </c>
      <c r="Q189" s="141" t="s">
        <v>425</v>
      </c>
      <c r="R189" s="141" t="s">
        <v>361</v>
      </c>
      <c r="S189" s="141" t="s">
        <v>1410</v>
      </c>
      <c r="T189" s="141" t="s">
        <v>2426</v>
      </c>
      <c r="U189" s="141" t="s">
        <v>2426</v>
      </c>
      <c r="V189" s="141"/>
      <c r="W189" s="141"/>
      <c r="X189" s="141"/>
      <c r="Y189" s="141"/>
      <c r="Z189" s="141"/>
      <c r="AA189" s="141"/>
      <c r="AB189" s="141"/>
      <c r="AC189" s="141"/>
      <c r="AD189" s="141"/>
      <c r="AE189" s="141"/>
      <c r="AF189" s="141"/>
      <c r="AG189" s="141"/>
      <c r="AH189" s="141"/>
      <c r="AI189" s="141"/>
      <c r="AJ189" s="141"/>
      <c r="AK189" s="141" t="s">
        <v>354</v>
      </c>
      <c r="AL189" s="141" t="s">
        <v>364</v>
      </c>
      <c r="AM189" s="141" t="s">
        <v>354</v>
      </c>
      <c r="AN189" s="141" t="s">
        <v>781</v>
      </c>
      <c r="AO189" s="141" t="s">
        <v>2426</v>
      </c>
      <c r="AP189" s="141" t="s">
        <v>2427</v>
      </c>
      <c r="AQ189" s="141" t="s">
        <v>654</v>
      </c>
      <c r="AR189" s="141" t="s">
        <v>490</v>
      </c>
      <c r="AS189" s="141"/>
      <c r="AT189" s="141"/>
      <c r="AU189" s="141" t="s">
        <v>2595</v>
      </c>
      <c r="AV189" s="141" t="s">
        <v>489</v>
      </c>
      <c r="AW189" s="141" t="s">
        <v>2597</v>
      </c>
      <c r="AX189" s="141"/>
      <c r="AY189" s="141"/>
      <c r="AZ189" s="141"/>
      <c r="BA189" s="141"/>
      <c r="BB189" s="141"/>
      <c r="BC189" s="141"/>
      <c r="BD189" s="141"/>
      <c r="BE189" s="141"/>
      <c r="BF189" s="141"/>
      <c r="BG189" s="141"/>
      <c r="BH189" s="141"/>
      <c r="BI189" s="141"/>
      <c r="BJ189" s="141"/>
      <c r="BK189" s="141"/>
      <c r="BL189" s="141" t="s">
        <v>382</v>
      </c>
      <c r="BM189" s="141" t="s">
        <v>2598</v>
      </c>
      <c r="BN189" s="141"/>
      <c r="BO189" s="141"/>
      <c r="BP189" s="141"/>
      <c r="BQ189" s="141"/>
      <c r="BR189" s="141"/>
      <c r="BS189" s="141"/>
      <c r="BT189" s="141"/>
      <c r="BU189" s="141"/>
      <c r="BV189" s="141"/>
      <c r="BW189" s="141"/>
      <c r="BX189" s="141"/>
      <c r="BY189" s="141"/>
      <c r="BZ189" s="141"/>
      <c r="CA189" s="141"/>
      <c r="CB189" s="141"/>
      <c r="CC189" s="141"/>
      <c r="CD189" s="141"/>
      <c r="CE189" s="141"/>
      <c r="CF189" s="141"/>
      <c r="CG189" s="141"/>
      <c r="CH189" s="141"/>
      <c r="CI189" s="141"/>
      <c r="CJ189" s="141"/>
      <c r="CK189" s="141"/>
      <c r="CL189" s="141"/>
      <c r="CM189" s="141"/>
      <c r="CN189" s="141"/>
      <c r="CO189" s="141"/>
      <c r="CP189" s="141"/>
      <c r="CQ189" s="141"/>
      <c r="CR189" s="141"/>
      <c r="CS189" s="141"/>
      <c r="CT189" s="141"/>
      <c r="CU189" s="141"/>
      <c r="CV189" s="141"/>
      <c r="CW189" s="141"/>
      <c r="CX189" s="141"/>
      <c r="CY189" s="141"/>
      <c r="CZ189" s="141"/>
      <c r="DA189" s="173"/>
    </row>
    <row r="190" spans="2:105" x14ac:dyDescent="0.25">
      <c r="B190" s="172"/>
      <c r="C190" s="141" t="s">
        <v>2599</v>
      </c>
      <c r="D190" s="141" t="s">
        <v>2600</v>
      </c>
      <c r="E190" s="141" t="s">
        <v>2523</v>
      </c>
      <c r="F190" s="141" t="s">
        <v>2601</v>
      </c>
      <c r="G190" s="141"/>
      <c r="H190" s="141" t="s">
        <v>353</v>
      </c>
      <c r="I190" s="141"/>
      <c r="J190" s="141" t="s">
        <v>354</v>
      </c>
      <c r="K190" s="141" t="s">
        <v>1905</v>
      </c>
      <c r="L190" s="141" t="s">
        <v>2602</v>
      </c>
      <c r="M190" s="141" t="s">
        <v>2603</v>
      </c>
      <c r="N190" s="141" t="s">
        <v>358</v>
      </c>
      <c r="O190" s="141" t="s">
        <v>393</v>
      </c>
      <c r="P190" s="141" t="s">
        <v>424</v>
      </c>
      <c r="Q190" s="141" t="s">
        <v>425</v>
      </c>
      <c r="R190" s="141" t="s">
        <v>361</v>
      </c>
      <c r="S190" s="141" t="s">
        <v>1410</v>
      </c>
      <c r="T190" s="141" t="s">
        <v>2426</v>
      </c>
      <c r="U190" s="141" t="s">
        <v>2426</v>
      </c>
      <c r="V190" s="141"/>
      <c r="W190" s="141"/>
      <c r="X190" s="141"/>
      <c r="Y190" s="141"/>
      <c r="Z190" s="141"/>
      <c r="AA190" s="141"/>
      <c r="AB190" s="141"/>
      <c r="AC190" s="141"/>
      <c r="AD190" s="141"/>
      <c r="AE190" s="141"/>
      <c r="AF190" s="141"/>
      <c r="AG190" s="141"/>
      <c r="AH190" s="141"/>
      <c r="AI190" s="141"/>
      <c r="AJ190" s="141"/>
      <c r="AK190" s="141" t="s">
        <v>354</v>
      </c>
      <c r="AL190" s="141" t="s">
        <v>364</v>
      </c>
      <c r="AM190" s="141" t="s">
        <v>354</v>
      </c>
      <c r="AN190" s="141" t="s">
        <v>781</v>
      </c>
      <c r="AO190" s="141" t="s">
        <v>2426</v>
      </c>
      <c r="AP190" s="141" t="s">
        <v>2427</v>
      </c>
      <c r="AQ190" s="141" t="s">
        <v>654</v>
      </c>
      <c r="AR190" s="141" t="s">
        <v>490</v>
      </c>
      <c r="AS190" s="141"/>
      <c r="AT190" s="141"/>
      <c r="AU190" s="141" t="s">
        <v>2602</v>
      </c>
      <c r="AV190" s="141" t="s">
        <v>489</v>
      </c>
      <c r="AW190" s="141" t="s">
        <v>2604</v>
      </c>
      <c r="AX190" s="141" t="s">
        <v>661</v>
      </c>
      <c r="AY190" s="141" t="s">
        <v>2488</v>
      </c>
      <c r="AZ190" s="141" t="s">
        <v>657</v>
      </c>
      <c r="BA190" s="141" t="s">
        <v>2605</v>
      </c>
      <c r="BB190" s="141" t="s">
        <v>910</v>
      </c>
      <c r="BC190" s="141" t="s">
        <v>2352</v>
      </c>
      <c r="BD190" s="141" t="s">
        <v>497</v>
      </c>
      <c r="BE190" s="141" t="s">
        <v>931</v>
      </c>
      <c r="BF190" s="141"/>
      <c r="BG190" s="141"/>
      <c r="BH190" s="141" t="s">
        <v>900</v>
      </c>
      <c r="BI190" s="141" t="s">
        <v>2606</v>
      </c>
      <c r="BJ190" s="141" t="s">
        <v>787</v>
      </c>
      <c r="BK190" s="141" t="s">
        <v>2607</v>
      </c>
      <c r="BL190" s="141" t="s">
        <v>382</v>
      </c>
      <c r="BM190" s="141" t="s">
        <v>1993</v>
      </c>
      <c r="BN190" s="141"/>
      <c r="BO190" s="141"/>
      <c r="BP190" s="141"/>
      <c r="BQ190" s="141"/>
      <c r="BR190" s="141"/>
      <c r="BS190" s="141"/>
      <c r="BT190" s="141"/>
      <c r="BU190" s="141"/>
      <c r="BV190" s="141"/>
      <c r="BW190" s="141"/>
      <c r="BX190" s="141"/>
      <c r="BY190" s="141"/>
      <c r="BZ190" s="141"/>
      <c r="CA190" s="141"/>
      <c r="CB190" s="141"/>
      <c r="CC190" s="141"/>
      <c r="CD190" s="141"/>
      <c r="CE190" s="141"/>
      <c r="CF190" s="141"/>
      <c r="CG190" s="141"/>
      <c r="CH190" s="141"/>
      <c r="CI190" s="141"/>
      <c r="CJ190" s="141"/>
      <c r="CK190" s="141"/>
      <c r="CL190" s="141"/>
      <c r="CM190" s="141"/>
      <c r="CN190" s="141"/>
      <c r="CO190" s="141"/>
      <c r="CP190" s="141"/>
      <c r="CQ190" s="141"/>
      <c r="CR190" s="141"/>
      <c r="CS190" s="141"/>
      <c r="CT190" s="141"/>
      <c r="CU190" s="141"/>
      <c r="CV190" s="141"/>
      <c r="CW190" s="141"/>
      <c r="CX190" s="141"/>
      <c r="CY190" s="141"/>
      <c r="CZ190" s="141"/>
      <c r="DA190" s="173"/>
    </row>
    <row r="191" spans="2:105" x14ac:dyDescent="0.25">
      <c r="B191" s="172"/>
      <c r="C191" s="141" t="s">
        <v>2608</v>
      </c>
      <c r="D191" s="141" t="s">
        <v>2609</v>
      </c>
      <c r="E191" s="141" t="s">
        <v>2610</v>
      </c>
      <c r="F191" s="141" t="s">
        <v>2611</v>
      </c>
      <c r="G191" s="141"/>
      <c r="H191" s="141" t="s">
        <v>353</v>
      </c>
      <c r="I191" s="141"/>
      <c r="J191" s="141" t="s">
        <v>354</v>
      </c>
      <c r="K191" s="141" t="s">
        <v>1878</v>
      </c>
      <c r="L191" s="141"/>
      <c r="M191" s="141"/>
      <c r="N191" s="141" t="s">
        <v>369</v>
      </c>
      <c r="O191" s="141" t="s">
        <v>393</v>
      </c>
      <c r="P191" s="141" t="s">
        <v>424</v>
      </c>
      <c r="Q191" s="141" t="s">
        <v>425</v>
      </c>
      <c r="R191" s="141" t="s">
        <v>361</v>
      </c>
      <c r="S191" s="141" t="s">
        <v>1410</v>
      </c>
      <c r="T191" s="141" t="s">
        <v>2426</v>
      </c>
      <c r="U191" s="141" t="s">
        <v>2426</v>
      </c>
      <c r="V191" s="141"/>
      <c r="W191" s="141"/>
      <c r="X191" s="141"/>
      <c r="Y191" s="141"/>
      <c r="Z191" s="141"/>
      <c r="AA191" s="141"/>
      <c r="AB191" s="141"/>
      <c r="AC191" s="141"/>
      <c r="AD191" s="141"/>
      <c r="AE191" s="141"/>
      <c r="AF191" s="141"/>
      <c r="AG191" s="141"/>
      <c r="AH191" s="141"/>
      <c r="AI191" s="141"/>
      <c r="AJ191" s="141"/>
      <c r="AK191" s="141" t="s">
        <v>354</v>
      </c>
      <c r="AL191" s="141" t="s">
        <v>364</v>
      </c>
      <c r="AM191" s="141" t="s">
        <v>354</v>
      </c>
      <c r="AN191" s="141" t="s">
        <v>781</v>
      </c>
      <c r="AO191" s="141" t="s">
        <v>2426</v>
      </c>
      <c r="AP191" s="141" t="s">
        <v>2427</v>
      </c>
      <c r="AQ191" s="141" t="s">
        <v>654</v>
      </c>
      <c r="AR191" s="141" t="s">
        <v>490</v>
      </c>
      <c r="AS191" s="141"/>
      <c r="AT191" s="141"/>
      <c r="AU191" s="141"/>
      <c r="AV191" s="141"/>
      <c r="AW191" s="141"/>
      <c r="AX191" s="141"/>
      <c r="AY191" s="141"/>
      <c r="AZ191" s="141"/>
      <c r="BA191" s="141"/>
      <c r="BB191" s="141"/>
      <c r="BC191" s="141"/>
      <c r="BD191" s="141"/>
      <c r="BE191" s="141"/>
      <c r="BF191" s="141"/>
      <c r="BG191" s="141"/>
      <c r="BH191" s="141"/>
      <c r="BI191" s="141"/>
      <c r="BJ191" s="141"/>
      <c r="BK191" s="141"/>
      <c r="BL191" s="141"/>
      <c r="BM191" s="141"/>
      <c r="BN191" s="141"/>
      <c r="BO191" s="141"/>
      <c r="BP191" s="141"/>
      <c r="BQ191" s="141"/>
      <c r="BR191" s="141"/>
      <c r="BS191" s="141"/>
      <c r="BT191" s="141"/>
      <c r="BU191" s="141"/>
      <c r="BV191" s="141"/>
      <c r="BW191" s="141"/>
      <c r="BX191" s="141"/>
      <c r="BY191" s="141"/>
      <c r="BZ191" s="141"/>
      <c r="CA191" s="141"/>
      <c r="CB191" s="141"/>
      <c r="CC191" s="141"/>
      <c r="CD191" s="141"/>
      <c r="CE191" s="141"/>
      <c r="CF191" s="141"/>
      <c r="CG191" s="141"/>
      <c r="CH191" s="141"/>
      <c r="CI191" s="141"/>
      <c r="CJ191" s="141"/>
      <c r="CK191" s="141"/>
      <c r="CL191" s="141"/>
      <c r="CM191" s="141"/>
      <c r="CN191" s="141"/>
      <c r="CO191" s="141"/>
      <c r="CP191" s="141"/>
      <c r="CQ191" s="141"/>
      <c r="CR191" s="141"/>
      <c r="CS191" s="141"/>
      <c r="CT191" s="141"/>
      <c r="CU191" s="141"/>
      <c r="CV191" s="141"/>
      <c r="CW191" s="141"/>
      <c r="CX191" s="141"/>
      <c r="CY191" s="141"/>
      <c r="CZ191" s="141"/>
      <c r="DA191" s="173"/>
    </row>
    <row r="192" spans="2:105" x14ac:dyDescent="0.25">
      <c r="B192" s="172"/>
      <c r="C192" s="141" t="s">
        <v>2612</v>
      </c>
      <c r="D192" s="141" t="s">
        <v>2613</v>
      </c>
      <c r="E192" s="141" t="s">
        <v>2614</v>
      </c>
      <c r="F192" s="141" t="s">
        <v>437</v>
      </c>
      <c r="G192" s="141"/>
      <c r="H192" s="141" t="s">
        <v>353</v>
      </c>
      <c r="I192" s="141"/>
      <c r="J192" s="141" t="s">
        <v>354</v>
      </c>
      <c r="K192" s="141" t="s">
        <v>2142</v>
      </c>
      <c r="L192" s="141" t="s">
        <v>2595</v>
      </c>
      <c r="M192" s="141" t="s">
        <v>2615</v>
      </c>
      <c r="N192" s="141" t="s">
        <v>358</v>
      </c>
      <c r="O192" s="141" t="s">
        <v>393</v>
      </c>
      <c r="P192" s="141" t="s">
        <v>424</v>
      </c>
      <c r="Q192" s="141" t="s">
        <v>425</v>
      </c>
      <c r="R192" s="141" t="s">
        <v>361</v>
      </c>
      <c r="S192" s="141" t="s">
        <v>1410</v>
      </c>
      <c r="T192" s="141" t="s">
        <v>2426</v>
      </c>
      <c r="U192" s="141" t="s">
        <v>2426</v>
      </c>
      <c r="V192" s="141"/>
      <c r="W192" s="141"/>
      <c r="X192" s="141"/>
      <c r="Y192" s="141"/>
      <c r="Z192" s="141"/>
      <c r="AA192" s="141"/>
      <c r="AB192" s="141"/>
      <c r="AC192" s="141"/>
      <c r="AD192" s="141"/>
      <c r="AE192" s="141"/>
      <c r="AF192" s="141"/>
      <c r="AG192" s="141"/>
      <c r="AH192" s="141"/>
      <c r="AI192" s="141"/>
      <c r="AJ192" s="141"/>
      <c r="AK192" s="141" t="s">
        <v>354</v>
      </c>
      <c r="AL192" s="141" t="s">
        <v>364</v>
      </c>
      <c r="AM192" s="141" t="s">
        <v>354</v>
      </c>
      <c r="AN192" s="141" t="s">
        <v>781</v>
      </c>
      <c r="AO192" s="141" t="s">
        <v>2426</v>
      </c>
      <c r="AP192" s="141" t="s">
        <v>2427</v>
      </c>
      <c r="AQ192" s="141" t="s">
        <v>654</v>
      </c>
      <c r="AR192" s="141" t="s">
        <v>490</v>
      </c>
      <c r="AS192" s="141"/>
      <c r="AT192" s="141"/>
      <c r="AU192" s="141" t="s">
        <v>2595</v>
      </c>
      <c r="AV192" s="141" t="s">
        <v>489</v>
      </c>
      <c r="AW192" s="141" t="s">
        <v>2616</v>
      </c>
      <c r="AX192" s="141"/>
      <c r="AY192" s="141"/>
      <c r="AZ192" s="141"/>
      <c r="BA192" s="141"/>
      <c r="BB192" s="141"/>
      <c r="BC192" s="141"/>
      <c r="BD192" s="141"/>
      <c r="BE192" s="141"/>
      <c r="BF192" s="141"/>
      <c r="BG192" s="141"/>
      <c r="BH192" s="141"/>
      <c r="BI192" s="141"/>
      <c r="BJ192" s="141"/>
      <c r="BK192" s="141"/>
      <c r="BL192" s="141"/>
      <c r="BM192" s="141"/>
      <c r="BN192" s="141"/>
      <c r="BO192" s="141"/>
      <c r="BP192" s="141"/>
      <c r="BQ192" s="141"/>
      <c r="BR192" s="141"/>
      <c r="BS192" s="141"/>
      <c r="BT192" s="141"/>
      <c r="BU192" s="141"/>
      <c r="BV192" s="141"/>
      <c r="BW192" s="141"/>
      <c r="BX192" s="141"/>
      <c r="BY192" s="141"/>
      <c r="BZ192" s="141"/>
      <c r="CA192" s="141"/>
      <c r="CB192" s="141"/>
      <c r="CC192" s="141"/>
      <c r="CD192" s="141"/>
      <c r="CE192" s="141"/>
      <c r="CF192" s="141"/>
      <c r="CG192" s="141"/>
      <c r="CH192" s="141"/>
      <c r="CI192" s="141"/>
      <c r="CJ192" s="141"/>
      <c r="CK192" s="141"/>
      <c r="CL192" s="141"/>
      <c r="CM192" s="141"/>
      <c r="CN192" s="141"/>
      <c r="CO192" s="141"/>
      <c r="CP192" s="141"/>
      <c r="CQ192" s="141"/>
      <c r="CR192" s="141"/>
      <c r="CS192" s="141"/>
      <c r="CT192" s="141"/>
      <c r="CU192" s="141"/>
      <c r="CV192" s="141"/>
      <c r="CW192" s="141"/>
      <c r="CX192" s="141"/>
      <c r="CY192" s="141"/>
      <c r="CZ192" s="141"/>
      <c r="DA192" s="173"/>
    </row>
    <row r="193" spans="2:105" x14ac:dyDescent="0.25">
      <c r="B193" s="172"/>
      <c r="C193" s="141"/>
      <c r="D193" s="141" t="s">
        <v>2617</v>
      </c>
      <c r="E193" s="141" t="s">
        <v>2618</v>
      </c>
      <c r="F193" s="141" t="s">
        <v>508</v>
      </c>
      <c r="G193" s="141"/>
      <c r="H193" s="141" t="s">
        <v>353</v>
      </c>
      <c r="I193" s="141"/>
      <c r="J193" s="141" t="s">
        <v>354</v>
      </c>
      <c r="K193" s="141" t="s">
        <v>2120</v>
      </c>
      <c r="L193" s="141"/>
      <c r="M193" s="141"/>
      <c r="N193" s="141" t="s">
        <v>369</v>
      </c>
      <c r="O193" s="141"/>
      <c r="P193" s="141"/>
      <c r="Q193" s="141"/>
      <c r="R193" s="141"/>
      <c r="S193" s="141" t="s">
        <v>1410</v>
      </c>
      <c r="T193" s="141" t="s">
        <v>2426</v>
      </c>
      <c r="U193" s="141" t="s">
        <v>2426</v>
      </c>
      <c r="V193" s="141"/>
      <c r="W193" s="141"/>
      <c r="X193" s="141"/>
      <c r="Y193" s="141"/>
      <c r="Z193" s="141"/>
      <c r="AA193" s="141"/>
      <c r="AB193" s="141"/>
      <c r="AC193" s="141"/>
      <c r="AD193" s="141"/>
      <c r="AE193" s="141"/>
      <c r="AF193" s="141"/>
      <c r="AG193" s="141"/>
      <c r="AH193" s="141"/>
      <c r="AI193" s="141"/>
      <c r="AJ193" s="141"/>
      <c r="AK193" s="141" t="s">
        <v>354</v>
      </c>
      <c r="AL193" s="141" t="s">
        <v>364</v>
      </c>
      <c r="AM193" s="141" t="s">
        <v>354</v>
      </c>
      <c r="AN193" s="141" t="s">
        <v>781</v>
      </c>
      <c r="AO193" s="141" t="s">
        <v>2426</v>
      </c>
      <c r="AP193" s="141" t="s">
        <v>2427</v>
      </c>
      <c r="AQ193" s="141" t="s">
        <v>654</v>
      </c>
      <c r="AR193" s="141" t="s">
        <v>490</v>
      </c>
      <c r="AS193" s="141"/>
      <c r="AT193" s="141"/>
      <c r="AU193" s="141"/>
      <c r="AV193" s="141"/>
      <c r="AW193" s="141"/>
      <c r="AX193" s="141"/>
      <c r="AY193" s="141"/>
      <c r="AZ193" s="141"/>
      <c r="BA193" s="141"/>
      <c r="BB193" s="141"/>
      <c r="BC193" s="141"/>
      <c r="BD193" s="141"/>
      <c r="BE193" s="141"/>
      <c r="BF193" s="141"/>
      <c r="BG193" s="141"/>
      <c r="BH193" s="141"/>
      <c r="BI193" s="141"/>
      <c r="BJ193" s="141"/>
      <c r="BK193" s="141"/>
      <c r="BL193" s="141"/>
      <c r="BM193" s="141"/>
      <c r="BN193" s="141"/>
      <c r="BO193" s="141"/>
      <c r="BP193" s="141"/>
      <c r="BQ193" s="141"/>
      <c r="BR193" s="141"/>
      <c r="BS193" s="141"/>
      <c r="BT193" s="141"/>
      <c r="BU193" s="141"/>
      <c r="BV193" s="141"/>
      <c r="BW193" s="141"/>
      <c r="BX193" s="141"/>
      <c r="BY193" s="141"/>
      <c r="BZ193" s="141"/>
      <c r="CA193" s="141"/>
      <c r="CB193" s="141"/>
      <c r="CC193" s="141"/>
      <c r="CD193" s="141"/>
      <c r="CE193" s="141"/>
      <c r="CF193" s="141"/>
      <c r="CG193" s="141"/>
      <c r="CH193" s="141"/>
      <c r="CI193" s="141"/>
      <c r="CJ193" s="141"/>
      <c r="CK193" s="141"/>
      <c r="CL193" s="141"/>
      <c r="CM193" s="141"/>
      <c r="CN193" s="141"/>
      <c r="CO193" s="141"/>
      <c r="CP193" s="141"/>
      <c r="CQ193" s="141"/>
      <c r="CR193" s="141"/>
      <c r="CS193" s="141"/>
      <c r="CT193" s="141"/>
      <c r="CU193" s="141"/>
      <c r="CV193" s="141"/>
      <c r="CW193" s="141"/>
      <c r="CX193" s="141"/>
      <c r="CY193" s="141"/>
      <c r="CZ193" s="141"/>
      <c r="DA193" s="173"/>
    </row>
    <row r="194" spans="2:105" x14ac:dyDescent="0.25">
      <c r="B194" s="172"/>
      <c r="C194" s="141" t="s">
        <v>2619</v>
      </c>
      <c r="D194" s="141" t="s">
        <v>2620</v>
      </c>
      <c r="E194" s="141" t="s">
        <v>2386</v>
      </c>
      <c r="F194" s="141" t="s">
        <v>1496</v>
      </c>
      <c r="G194" s="141"/>
      <c r="H194" s="141" t="s">
        <v>353</v>
      </c>
      <c r="I194" s="141"/>
      <c r="J194" s="141" t="s">
        <v>354</v>
      </c>
      <c r="K194" s="141" t="s">
        <v>453</v>
      </c>
      <c r="L194" s="141"/>
      <c r="M194" s="141"/>
      <c r="N194" s="141" t="s">
        <v>354</v>
      </c>
      <c r="O194" s="141" t="s">
        <v>408</v>
      </c>
      <c r="P194" s="141" t="s">
        <v>409</v>
      </c>
      <c r="Q194" s="141" t="s">
        <v>409</v>
      </c>
      <c r="R194" s="141" t="s">
        <v>361</v>
      </c>
      <c r="S194" s="141" t="s">
        <v>1410</v>
      </c>
      <c r="T194" s="141" t="s">
        <v>2426</v>
      </c>
      <c r="U194" s="141" t="s">
        <v>2426</v>
      </c>
      <c r="V194" s="141"/>
      <c r="W194" s="141"/>
      <c r="X194" s="141"/>
      <c r="Y194" s="141"/>
      <c r="Z194" s="141"/>
      <c r="AA194" s="141"/>
      <c r="AB194" s="141"/>
      <c r="AC194" s="141"/>
      <c r="AD194" s="141"/>
      <c r="AE194" s="141"/>
      <c r="AF194" s="141"/>
      <c r="AG194" s="141"/>
      <c r="AH194" s="141"/>
      <c r="AI194" s="141"/>
      <c r="AJ194" s="141"/>
      <c r="AK194" s="141" t="s">
        <v>354</v>
      </c>
      <c r="AL194" s="141" t="s">
        <v>364</v>
      </c>
      <c r="AM194" s="141" t="s">
        <v>354</v>
      </c>
      <c r="AN194" s="141" t="s">
        <v>781</v>
      </c>
      <c r="AO194" s="141" t="s">
        <v>2426</v>
      </c>
      <c r="AP194" s="141" t="s">
        <v>2427</v>
      </c>
      <c r="AQ194" s="141" t="s">
        <v>654</v>
      </c>
      <c r="AR194" s="141" t="s">
        <v>490</v>
      </c>
      <c r="AS194" s="141"/>
      <c r="AT194" s="141"/>
      <c r="AU194" s="141"/>
      <c r="AV194" s="141"/>
      <c r="AW194" s="141"/>
      <c r="AX194" s="141"/>
      <c r="AY194" s="141"/>
      <c r="AZ194" s="141"/>
      <c r="BA194" s="141"/>
      <c r="BB194" s="141"/>
      <c r="BC194" s="141"/>
      <c r="BD194" s="141"/>
      <c r="BE194" s="141"/>
      <c r="BF194" s="141"/>
      <c r="BG194" s="141"/>
      <c r="BH194" s="141"/>
      <c r="BI194" s="141"/>
      <c r="BJ194" s="141"/>
      <c r="BK194" s="141"/>
      <c r="BL194" s="141"/>
      <c r="BM194" s="141"/>
      <c r="BN194" s="141"/>
      <c r="BO194" s="141"/>
      <c r="BP194" s="141"/>
      <c r="BQ194" s="141"/>
      <c r="BR194" s="141"/>
      <c r="BS194" s="141"/>
      <c r="BT194" s="141"/>
      <c r="BU194" s="141"/>
      <c r="BV194" s="141"/>
      <c r="BW194" s="141"/>
      <c r="BX194" s="141"/>
      <c r="BY194" s="141"/>
      <c r="BZ194" s="141"/>
      <c r="CA194" s="141"/>
      <c r="CB194" s="141"/>
      <c r="CC194" s="141"/>
      <c r="CD194" s="141"/>
      <c r="CE194" s="141"/>
      <c r="CF194" s="141"/>
      <c r="CG194" s="141"/>
      <c r="CH194" s="141"/>
      <c r="CI194" s="141"/>
      <c r="CJ194" s="141"/>
      <c r="CK194" s="141"/>
      <c r="CL194" s="141"/>
      <c r="CM194" s="141"/>
      <c r="CN194" s="141"/>
      <c r="CO194" s="141"/>
      <c r="CP194" s="141"/>
      <c r="CQ194" s="141"/>
      <c r="CR194" s="141"/>
      <c r="CS194" s="141"/>
      <c r="CT194" s="141"/>
      <c r="CU194" s="141"/>
      <c r="CV194" s="141"/>
      <c r="CW194" s="141"/>
      <c r="CX194" s="141"/>
      <c r="CY194" s="141"/>
      <c r="CZ194" s="141"/>
      <c r="DA194" s="173"/>
    </row>
    <row r="195" spans="2:105" x14ac:dyDescent="0.25">
      <c r="B195" s="172"/>
      <c r="C195" s="141" t="s">
        <v>2621</v>
      </c>
      <c r="D195" s="141" t="s">
        <v>382</v>
      </c>
      <c r="E195" s="141" t="s">
        <v>2523</v>
      </c>
      <c r="F195" s="141" t="s">
        <v>2622</v>
      </c>
      <c r="G195" s="141"/>
      <c r="H195" s="141" t="s">
        <v>353</v>
      </c>
      <c r="I195" s="141"/>
      <c r="J195" s="141" t="s">
        <v>354</v>
      </c>
      <c r="K195" s="141" t="s">
        <v>622</v>
      </c>
      <c r="L195" s="141"/>
      <c r="M195" s="141"/>
      <c r="N195" s="141" t="s">
        <v>369</v>
      </c>
      <c r="O195" s="141" t="s">
        <v>393</v>
      </c>
      <c r="P195" s="141" t="s">
        <v>424</v>
      </c>
      <c r="Q195" s="141" t="s">
        <v>425</v>
      </c>
      <c r="R195" s="141" t="s">
        <v>361</v>
      </c>
      <c r="S195" s="141" t="s">
        <v>1410</v>
      </c>
      <c r="T195" s="141" t="s">
        <v>2426</v>
      </c>
      <c r="U195" s="141" t="s">
        <v>2426</v>
      </c>
      <c r="V195" s="141"/>
      <c r="W195" s="141"/>
      <c r="X195" s="141"/>
      <c r="Y195" s="141"/>
      <c r="Z195" s="141"/>
      <c r="AA195" s="141"/>
      <c r="AB195" s="141"/>
      <c r="AC195" s="141"/>
      <c r="AD195" s="141"/>
      <c r="AE195" s="141"/>
      <c r="AF195" s="141"/>
      <c r="AG195" s="141"/>
      <c r="AH195" s="141"/>
      <c r="AI195" s="141"/>
      <c r="AJ195" s="141"/>
      <c r="AK195" s="141" t="s">
        <v>354</v>
      </c>
      <c r="AL195" s="141" t="s">
        <v>364</v>
      </c>
      <c r="AM195" s="141" t="s">
        <v>354</v>
      </c>
      <c r="AN195" s="141" t="s">
        <v>781</v>
      </c>
      <c r="AO195" s="141" t="s">
        <v>2426</v>
      </c>
      <c r="AP195" s="141" t="s">
        <v>2427</v>
      </c>
      <c r="AQ195" s="141" t="s">
        <v>654</v>
      </c>
      <c r="AR195" s="141" t="s">
        <v>490</v>
      </c>
      <c r="AS195" s="141"/>
      <c r="AT195" s="141"/>
      <c r="AU195" s="141"/>
      <c r="AV195" s="141"/>
      <c r="AW195" s="141"/>
      <c r="AX195" s="141"/>
      <c r="AY195" s="141"/>
      <c r="AZ195" s="141"/>
      <c r="BA195" s="141"/>
      <c r="BB195" s="141"/>
      <c r="BC195" s="141"/>
      <c r="BD195" s="141"/>
      <c r="BE195" s="141"/>
      <c r="BF195" s="141"/>
      <c r="BG195" s="141"/>
      <c r="BH195" s="141"/>
      <c r="BI195" s="141"/>
      <c r="BJ195" s="141"/>
      <c r="BK195" s="141"/>
      <c r="BL195" s="141"/>
      <c r="BM195" s="141"/>
      <c r="BN195" s="141"/>
      <c r="BO195" s="141"/>
      <c r="BP195" s="141"/>
      <c r="BQ195" s="141"/>
      <c r="BR195" s="141"/>
      <c r="BS195" s="141"/>
      <c r="BT195" s="141"/>
      <c r="BU195" s="141"/>
      <c r="BV195" s="141"/>
      <c r="BW195" s="141"/>
      <c r="BX195" s="141"/>
      <c r="BY195" s="141"/>
      <c r="BZ195" s="141"/>
      <c r="CA195" s="141"/>
      <c r="CB195" s="141"/>
      <c r="CC195" s="141"/>
      <c r="CD195" s="141"/>
      <c r="CE195" s="141"/>
      <c r="CF195" s="141"/>
      <c r="CG195" s="141"/>
      <c r="CH195" s="141"/>
      <c r="CI195" s="141"/>
      <c r="CJ195" s="141"/>
      <c r="CK195" s="141"/>
      <c r="CL195" s="141"/>
      <c r="CM195" s="141"/>
      <c r="CN195" s="141"/>
      <c r="CO195" s="141"/>
      <c r="CP195" s="141"/>
      <c r="CQ195" s="141"/>
      <c r="CR195" s="141"/>
      <c r="CS195" s="141"/>
      <c r="CT195" s="141"/>
      <c r="CU195" s="141"/>
      <c r="CV195" s="141"/>
      <c r="CW195" s="141"/>
      <c r="CX195" s="141"/>
      <c r="CY195" s="141"/>
      <c r="CZ195" s="141"/>
      <c r="DA195" s="173"/>
    </row>
    <row r="196" spans="2:105" x14ac:dyDescent="0.25">
      <c r="B196" s="172"/>
      <c r="C196" s="141" t="s">
        <v>2623</v>
      </c>
      <c r="D196" s="141" t="s">
        <v>2624</v>
      </c>
      <c r="E196" s="141" t="s">
        <v>2625</v>
      </c>
      <c r="F196" s="141" t="s">
        <v>2524</v>
      </c>
      <c r="G196" s="141"/>
      <c r="H196" s="141" t="s">
        <v>353</v>
      </c>
      <c r="I196" s="141"/>
      <c r="J196" s="141" t="s">
        <v>354</v>
      </c>
      <c r="K196" s="141" t="s">
        <v>2175</v>
      </c>
      <c r="L196" s="141"/>
      <c r="M196" s="141"/>
      <c r="N196" s="141" t="s">
        <v>393</v>
      </c>
      <c r="O196" s="141" t="s">
        <v>408</v>
      </c>
      <c r="P196" s="141" t="s">
        <v>409</v>
      </c>
      <c r="Q196" s="141" t="s">
        <v>409</v>
      </c>
      <c r="R196" s="141" t="s">
        <v>361</v>
      </c>
      <c r="S196" s="141" t="s">
        <v>1410</v>
      </c>
      <c r="T196" s="141" t="s">
        <v>2426</v>
      </c>
      <c r="U196" s="141" t="s">
        <v>2426</v>
      </c>
      <c r="V196" s="141"/>
      <c r="W196" s="141"/>
      <c r="X196" s="141"/>
      <c r="Y196" s="141"/>
      <c r="Z196" s="141"/>
      <c r="AA196" s="141"/>
      <c r="AB196" s="141"/>
      <c r="AC196" s="141"/>
      <c r="AD196" s="141"/>
      <c r="AE196" s="141"/>
      <c r="AF196" s="141"/>
      <c r="AG196" s="141"/>
      <c r="AH196" s="141"/>
      <c r="AI196" s="141"/>
      <c r="AJ196" s="141"/>
      <c r="AK196" s="141" t="s">
        <v>354</v>
      </c>
      <c r="AL196" s="141" t="s">
        <v>364</v>
      </c>
      <c r="AM196" s="141" t="s">
        <v>354</v>
      </c>
      <c r="AN196" s="141" t="s">
        <v>781</v>
      </c>
      <c r="AO196" s="141" t="s">
        <v>2426</v>
      </c>
      <c r="AP196" s="141" t="s">
        <v>2427</v>
      </c>
      <c r="AQ196" s="141" t="s">
        <v>654</v>
      </c>
      <c r="AR196" s="141" t="s">
        <v>490</v>
      </c>
      <c r="AS196" s="141"/>
      <c r="AT196" s="141"/>
      <c r="AU196" s="141"/>
      <c r="AV196" s="141" t="s">
        <v>489</v>
      </c>
      <c r="AW196" s="141" t="s">
        <v>2626</v>
      </c>
      <c r="AX196" s="141"/>
      <c r="AY196" s="141"/>
      <c r="AZ196" s="141"/>
      <c r="BA196" s="141"/>
      <c r="BB196" s="141"/>
      <c r="BC196" s="141"/>
      <c r="BD196" s="141"/>
      <c r="BE196" s="141"/>
      <c r="BF196" s="141"/>
      <c r="BG196" s="141"/>
      <c r="BH196" s="141"/>
      <c r="BI196" s="141"/>
      <c r="BJ196" s="141"/>
      <c r="BK196" s="141"/>
      <c r="BL196" s="141"/>
      <c r="BM196" s="141"/>
      <c r="BN196" s="141"/>
      <c r="BO196" s="141"/>
      <c r="BP196" s="141"/>
      <c r="BQ196" s="141"/>
      <c r="BR196" s="141"/>
      <c r="BS196" s="141"/>
      <c r="BT196" s="141"/>
      <c r="BU196" s="141"/>
      <c r="BV196" s="141"/>
      <c r="BW196" s="141"/>
      <c r="BX196" s="141"/>
      <c r="BY196" s="141"/>
      <c r="BZ196" s="141"/>
      <c r="CA196" s="141"/>
      <c r="CB196" s="141"/>
      <c r="CC196" s="141"/>
      <c r="CD196" s="141"/>
      <c r="CE196" s="141"/>
      <c r="CF196" s="141"/>
      <c r="CG196" s="141"/>
      <c r="CH196" s="141"/>
      <c r="CI196" s="141"/>
      <c r="CJ196" s="141"/>
      <c r="CK196" s="141"/>
      <c r="CL196" s="141"/>
      <c r="CM196" s="141"/>
      <c r="CN196" s="141"/>
      <c r="CO196" s="141"/>
      <c r="CP196" s="141"/>
      <c r="CQ196" s="141"/>
      <c r="CR196" s="141"/>
      <c r="CS196" s="141"/>
      <c r="CT196" s="141"/>
      <c r="CU196" s="141"/>
      <c r="CV196" s="141"/>
      <c r="CW196" s="141"/>
      <c r="CX196" s="141"/>
      <c r="CY196" s="141"/>
      <c r="CZ196" s="141"/>
      <c r="DA196" s="173"/>
    </row>
    <row r="197" spans="2:105" x14ac:dyDescent="0.25">
      <c r="B197" s="172"/>
      <c r="C197" s="141"/>
      <c r="D197" s="141" t="s">
        <v>362</v>
      </c>
      <c r="E197" s="141" t="s">
        <v>2627</v>
      </c>
      <c r="F197" s="141" t="s">
        <v>463</v>
      </c>
      <c r="G197" s="141"/>
      <c r="H197" s="141" t="s">
        <v>353</v>
      </c>
      <c r="I197" s="141"/>
      <c r="J197" s="141" t="s">
        <v>354</v>
      </c>
      <c r="K197" s="141" t="s">
        <v>2628</v>
      </c>
      <c r="L197" s="141"/>
      <c r="M197" s="141"/>
      <c r="N197" s="141" t="s">
        <v>369</v>
      </c>
      <c r="O197" s="141"/>
      <c r="P197" s="141"/>
      <c r="Q197" s="141"/>
      <c r="R197" s="141"/>
      <c r="S197" s="141" t="s">
        <v>1410</v>
      </c>
      <c r="T197" s="141" t="s">
        <v>2426</v>
      </c>
      <c r="U197" s="141" t="s">
        <v>2426</v>
      </c>
      <c r="V197" s="141"/>
      <c r="W197" s="141"/>
      <c r="X197" s="141"/>
      <c r="Y197" s="141"/>
      <c r="Z197" s="141"/>
      <c r="AA197" s="141"/>
      <c r="AB197" s="141"/>
      <c r="AC197" s="141"/>
      <c r="AD197" s="141"/>
      <c r="AE197" s="141"/>
      <c r="AF197" s="141"/>
      <c r="AG197" s="141"/>
      <c r="AH197" s="141"/>
      <c r="AI197" s="141"/>
      <c r="AJ197" s="141"/>
      <c r="AK197" s="141" t="s">
        <v>354</v>
      </c>
      <c r="AL197" s="141" t="s">
        <v>364</v>
      </c>
      <c r="AM197" s="141" t="s">
        <v>354</v>
      </c>
      <c r="AN197" s="141" t="s">
        <v>781</v>
      </c>
      <c r="AO197" s="141" t="s">
        <v>2426</v>
      </c>
      <c r="AP197" s="141" t="s">
        <v>2427</v>
      </c>
      <c r="AQ197" s="141" t="s">
        <v>654</v>
      </c>
      <c r="AR197" s="141" t="s">
        <v>490</v>
      </c>
      <c r="AS197" s="141"/>
      <c r="AT197" s="141"/>
      <c r="AU197" s="141"/>
      <c r="AV197" s="141"/>
      <c r="AW197" s="141"/>
      <c r="AX197" s="141"/>
      <c r="AY197" s="141"/>
      <c r="AZ197" s="141"/>
      <c r="BA197" s="141"/>
      <c r="BB197" s="141"/>
      <c r="BC197" s="141"/>
      <c r="BD197" s="141"/>
      <c r="BE197" s="141"/>
      <c r="BF197" s="141"/>
      <c r="BG197" s="141"/>
      <c r="BH197" s="141"/>
      <c r="BI197" s="141"/>
      <c r="BJ197" s="141"/>
      <c r="BK197" s="141"/>
      <c r="BL197" s="141"/>
      <c r="BM197" s="141"/>
      <c r="BN197" s="141"/>
      <c r="BO197" s="141"/>
      <c r="BP197" s="141"/>
      <c r="BQ197" s="141"/>
      <c r="BR197" s="141"/>
      <c r="BS197" s="141"/>
      <c r="BT197" s="141"/>
      <c r="BU197" s="141"/>
      <c r="BV197" s="141"/>
      <c r="BW197" s="141"/>
      <c r="BX197" s="141"/>
      <c r="BY197" s="141"/>
      <c r="BZ197" s="141"/>
      <c r="CA197" s="141"/>
      <c r="CB197" s="141"/>
      <c r="CC197" s="141"/>
      <c r="CD197" s="141"/>
      <c r="CE197" s="141"/>
      <c r="CF197" s="141"/>
      <c r="CG197" s="141"/>
      <c r="CH197" s="141"/>
      <c r="CI197" s="141"/>
      <c r="CJ197" s="141"/>
      <c r="CK197" s="141"/>
      <c r="CL197" s="141"/>
      <c r="CM197" s="141"/>
      <c r="CN197" s="141"/>
      <c r="CO197" s="141"/>
      <c r="CP197" s="141"/>
      <c r="CQ197" s="141"/>
      <c r="CR197" s="141"/>
      <c r="CS197" s="141"/>
      <c r="CT197" s="141"/>
      <c r="CU197" s="141"/>
      <c r="CV197" s="141"/>
      <c r="CW197" s="141"/>
      <c r="CX197" s="141"/>
      <c r="CY197" s="141"/>
      <c r="CZ197" s="141"/>
      <c r="DA197" s="173"/>
    </row>
    <row r="198" spans="2:105" x14ac:dyDescent="0.25">
      <c r="B198" s="172"/>
      <c r="C198" s="141" t="s">
        <v>2629</v>
      </c>
      <c r="D198" s="141" t="s">
        <v>2630</v>
      </c>
      <c r="E198" s="141" t="s">
        <v>2631</v>
      </c>
      <c r="F198" s="141" t="s">
        <v>452</v>
      </c>
      <c r="G198" s="141"/>
      <c r="H198" s="141" t="s">
        <v>353</v>
      </c>
      <c r="I198" s="141"/>
      <c r="J198" s="141" t="s">
        <v>354</v>
      </c>
      <c r="K198" s="141" t="s">
        <v>421</v>
      </c>
      <c r="L198" s="141"/>
      <c r="M198" s="141"/>
      <c r="N198" s="141" t="s">
        <v>369</v>
      </c>
      <c r="O198" s="141" t="s">
        <v>408</v>
      </c>
      <c r="P198" s="141" t="s">
        <v>409</v>
      </c>
      <c r="Q198" s="141" t="s">
        <v>409</v>
      </c>
      <c r="R198" s="141" t="s">
        <v>361</v>
      </c>
      <c r="S198" s="141" t="s">
        <v>1410</v>
      </c>
      <c r="T198" s="141" t="s">
        <v>2426</v>
      </c>
      <c r="U198" s="141" t="s">
        <v>2426</v>
      </c>
      <c r="V198" s="141"/>
      <c r="W198" s="141"/>
      <c r="X198" s="141"/>
      <c r="Y198" s="141"/>
      <c r="Z198" s="141"/>
      <c r="AA198" s="141"/>
      <c r="AB198" s="141"/>
      <c r="AC198" s="141"/>
      <c r="AD198" s="141"/>
      <c r="AE198" s="141"/>
      <c r="AF198" s="141"/>
      <c r="AG198" s="141"/>
      <c r="AH198" s="141"/>
      <c r="AI198" s="141"/>
      <c r="AJ198" s="141"/>
      <c r="AK198" s="141" t="s">
        <v>354</v>
      </c>
      <c r="AL198" s="141" t="s">
        <v>364</v>
      </c>
      <c r="AM198" s="141" t="s">
        <v>354</v>
      </c>
      <c r="AN198" s="141" t="s">
        <v>781</v>
      </c>
      <c r="AO198" s="141" t="s">
        <v>2426</v>
      </c>
      <c r="AP198" s="141" t="s">
        <v>2427</v>
      </c>
      <c r="AQ198" s="141" t="s">
        <v>654</v>
      </c>
      <c r="AR198" s="141" t="s">
        <v>490</v>
      </c>
      <c r="AS198" s="141"/>
      <c r="AT198" s="141"/>
      <c r="AU198" s="141"/>
      <c r="AV198" s="141"/>
      <c r="AW198" s="141"/>
      <c r="AX198" s="141"/>
      <c r="AY198" s="141"/>
      <c r="AZ198" s="141"/>
      <c r="BA198" s="141"/>
      <c r="BB198" s="141"/>
      <c r="BC198" s="141"/>
      <c r="BD198" s="141"/>
      <c r="BE198" s="141"/>
      <c r="BF198" s="141"/>
      <c r="BG198" s="141"/>
      <c r="BH198" s="141"/>
      <c r="BI198" s="141"/>
      <c r="BJ198" s="141"/>
      <c r="BK198" s="141"/>
      <c r="BL198" s="141"/>
      <c r="BM198" s="141"/>
      <c r="BN198" s="141"/>
      <c r="BO198" s="141"/>
      <c r="BP198" s="141"/>
      <c r="BQ198" s="141"/>
      <c r="BR198" s="141"/>
      <c r="BS198" s="141"/>
      <c r="BT198" s="141"/>
      <c r="BU198" s="141"/>
      <c r="BV198" s="141"/>
      <c r="BW198" s="141"/>
      <c r="BX198" s="141"/>
      <c r="BY198" s="141"/>
      <c r="BZ198" s="141"/>
      <c r="CA198" s="141"/>
      <c r="CB198" s="141"/>
      <c r="CC198" s="141"/>
      <c r="CD198" s="141"/>
      <c r="CE198" s="141"/>
      <c r="CF198" s="141"/>
      <c r="CG198" s="141"/>
      <c r="CH198" s="141"/>
      <c r="CI198" s="141"/>
      <c r="CJ198" s="141"/>
      <c r="CK198" s="141"/>
      <c r="CL198" s="141"/>
      <c r="CM198" s="141"/>
      <c r="CN198" s="141"/>
      <c r="CO198" s="141"/>
      <c r="CP198" s="141"/>
      <c r="CQ198" s="141"/>
      <c r="CR198" s="141"/>
      <c r="CS198" s="141"/>
      <c r="CT198" s="141"/>
      <c r="CU198" s="141"/>
      <c r="CV198" s="141"/>
      <c r="CW198" s="141"/>
      <c r="CX198" s="141"/>
      <c r="CY198" s="141"/>
      <c r="CZ198" s="141"/>
      <c r="DA198" s="173"/>
    </row>
    <row r="199" spans="2:105" x14ac:dyDescent="0.25">
      <c r="B199" s="172"/>
      <c r="C199" s="141" t="s">
        <v>2632</v>
      </c>
      <c r="D199" s="141" t="s">
        <v>902</v>
      </c>
      <c r="E199" s="141" t="s">
        <v>1591</v>
      </c>
      <c r="F199" s="141" t="s">
        <v>2633</v>
      </c>
      <c r="G199" s="141"/>
      <c r="H199" s="141" t="s">
        <v>353</v>
      </c>
      <c r="I199" s="141"/>
      <c r="J199" s="141" t="s">
        <v>354</v>
      </c>
      <c r="K199" s="141" t="s">
        <v>636</v>
      </c>
      <c r="L199" s="141" t="s">
        <v>2634</v>
      </c>
      <c r="M199" s="141" t="s">
        <v>2635</v>
      </c>
      <c r="N199" s="141" t="s">
        <v>354</v>
      </c>
      <c r="O199" s="141" t="s">
        <v>391</v>
      </c>
      <c r="P199" s="141" t="s">
        <v>392</v>
      </c>
      <c r="Q199" s="141" t="s">
        <v>392</v>
      </c>
      <c r="R199" s="141" t="s">
        <v>361</v>
      </c>
      <c r="S199" s="141" t="s">
        <v>1396</v>
      </c>
      <c r="T199" s="141" t="s">
        <v>2636</v>
      </c>
      <c r="U199" s="141" t="s">
        <v>2636</v>
      </c>
      <c r="V199" s="141"/>
      <c r="W199" s="141"/>
      <c r="X199" s="141"/>
      <c r="Y199" s="141"/>
      <c r="Z199" s="141"/>
      <c r="AA199" s="141"/>
      <c r="AB199" s="141"/>
      <c r="AC199" s="141"/>
      <c r="AD199" s="141"/>
      <c r="AE199" s="141"/>
      <c r="AF199" s="141"/>
      <c r="AG199" s="141"/>
      <c r="AH199" s="141"/>
      <c r="AI199" s="141"/>
      <c r="AJ199" s="141"/>
      <c r="AK199" s="141" t="s">
        <v>354</v>
      </c>
      <c r="AL199" s="141" t="s">
        <v>364</v>
      </c>
      <c r="AM199" s="141" t="s">
        <v>354</v>
      </c>
      <c r="AN199" s="141" t="s">
        <v>2637</v>
      </c>
      <c r="AO199" s="141" t="s">
        <v>2636</v>
      </c>
      <c r="AP199" s="141" t="s">
        <v>366</v>
      </c>
      <c r="AQ199" s="141" t="s">
        <v>367</v>
      </c>
      <c r="AR199" s="141" t="s">
        <v>368</v>
      </c>
      <c r="AS199" s="141" t="s">
        <v>369</v>
      </c>
      <c r="AT199" s="141"/>
      <c r="AU199" s="141" t="s">
        <v>2634</v>
      </c>
      <c r="AV199" s="141" t="s">
        <v>370</v>
      </c>
      <c r="AW199" s="141" t="s">
        <v>2638</v>
      </c>
      <c r="AX199" s="141" t="s">
        <v>372</v>
      </c>
      <c r="AY199" s="141" t="s">
        <v>2639</v>
      </c>
      <c r="AZ199" s="141" t="s">
        <v>374</v>
      </c>
      <c r="BA199" s="141" t="s">
        <v>2640</v>
      </c>
      <c r="BB199" s="141" t="s">
        <v>376</v>
      </c>
      <c r="BC199" s="141" t="s">
        <v>2641</v>
      </c>
      <c r="BD199" s="141" t="s">
        <v>378</v>
      </c>
      <c r="BE199" s="141" t="s">
        <v>2642</v>
      </c>
      <c r="BF199" s="141" t="s">
        <v>380</v>
      </c>
      <c r="BG199" s="141" t="s">
        <v>2643</v>
      </c>
      <c r="BH199" s="141" t="s">
        <v>382</v>
      </c>
      <c r="BI199" s="141" t="s">
        <v>2644</v>
      </c>
      <c r="BJ199" s="141"/>
      <c r="BK199" s="141"/>
      <c r="BL199" s="141"/>
      <c r="BM199" s="141"/>
      <c r="BN199" s="141"/>
      <c r="BO199" s="141"/>
      <c r="BP199" s="141"/>
      <c r="BQ199" s="141"/>
      <c r="BR199" s="141"/>
      <c r="BS199" s="141"/>
      <c r="BT199" s="141"/>
      <c r="BU199" s="141"/>
      <c r="BV199" s="141"/>
      <c r="BW199" s="141"/>
      <c r="BX199" s="141"/>
      <c r="BY199" s="141"/>
      <c r="BZ199" s="141"/>
      <c r="CA199" s="141"/>
      <c r="CB199" s="141"/>
      <c r="CC199" s="141"/>
      <c r="CD199" s="141"/>
      <c r="CE199" s="141"/>
      <c r="CF199" s="141"/>
      <c r="CG199" s="141"/>
      <c r="CH199" s="141"/>
      <c r="CI199" s="141"/>
      <c r="CJ199" s="141"/>
      <c r="CK199" s="141"/>
      <c r="CL199" s="141"/>
      <c r="CM199" s="141"/>
      <c r="CN199" s="141"/>
      <c r="CO199" s="141"/>
      <c r="CP199" s="141"/>
      <c r="CQ199" s="141"/>
      <c r="CR199" s="141"/>
      <c r="CS199" s="141"/>
      <c r="CT199" s="141"/>
      <c r="CU199" s="141"/>
      <c r="CV199" s="141"/>
      <c r="CW199" s="141"/>
      <c r="CX199" s="141"/>
      <c r="CY199" s="141"/>
      <c r="CZ199" s="141"/>
      <c r="DA199" s="173"/>
    </row>
    <row r="200" spans="2:105" x14ac:dyDescent="0.25">
      <c r="B200" s="172"/>
      <c r="C200" s="141" t="s">
        <v>2645</v>
      </c>
      <c r="D200" s="141" t="s">
        <v>908</v>
      </c>
      <c r="E200" s="141" t="s">
        <v>1591</v>
      </c>
      <c r="F200" s="141" t="s">
        <v>2646</v>
      </c>
      <c r="G200" s="141"/>
      <c r="H200" s="141" t="s">
        <v>353</v>
      </c>
      <c r="I200" s="141"/>
      <c r="J200" s="141" t="s">
        <v>354</v>
      </c>
      <c r="K200" s="141" t="s">
        <v>620</v>
      </c>
      <c r="L200" s="141" t="s">
        <v>2647</v>
      </c>
      <c r="M200" s="141" t="s">
        <v>1972</v>
      </c>
      <c r="N200" s="141" t="s">
        <v>354</v>
      </c>
      <c r="O200" s="141" t="s">
        <v>391</v>
      </c>
      <c r="P200" s="141" t="s">
        <v>392</v>
      </c>
      <c r="Q200" s="141" t="s">
        <v>392</v>
      </c>
      <c r="R200" s="141" t="s">
        <v>361</v>
      </c>
      <c r="S200" s="141" t="s">
        <v>1396</v>
      </c>
      <c r="T200" s="141" t="s">
        <v>2636</v>
      </c>
      <c r="U200" s="141" t="s">
        <v>2636</v>
      </c>
      <c r="V200" s="141"/>
      <c r="W200" s="141"/>
      <c r="X200" s="141"/>
      <c r="Y200" s="141"/>
      <c r="Z200" s="141"/>
      <c r="AA200" s="141"/>
      <c r="AB200" s="141"/>
      <c r="AC200" s="141"/>
      <c r="AD200" s="141"/>
      <c r="AE200" s="141"/>
      <c r="AF200" s="141"/>
      <c r="AG200" s="141"/>
      <c r="AH200" s="141"/>
      <c r="AI200" s="141"/>
      <c r="AJ200" s="141"/>
      <c r="AK200" s="141" t="s">
        <v>354</v>
      </c>
      <c r="AL200" s="141" t="s">
        <v>364</v>
      </c>
      <c r="AM200" s="141" t="s">
        <v>354</v>
      </c>
      <c r="AN200" s="141" t="s">
        <v>2637</v>
      </c>
      <c r="AO200" s="141" t="s">
        <v>2636</v>
      </c>
      <c r="AP200" s="141" t="s">
        <v>366</v>
      </c>
      <c r="AQ200" s="141" t="s">
        <v>367</v>
      </c>
      <c r="AR200" s="141" t="s">
        <v>368</v>
      </c>
      <c r="AS200" s="141" t="s">
        <v>393</v>
      </c>
      <c r="AT200" s="141"/>
      <c r="AU200" s="141" t="s">
        <v>2647</v>
      </c>
      <c r="AV200" s="141" t="s">
        <v>370</v>
      </c>
      <c r="AW200" s="141" t="s">
        <v>2051</v>
      </c>
      <c r="AX200" s="141" t="s">
        <v>372</v>
      </c>
      <c r="AY200" s="141" t="s">
        <v>2648</v>
      </c>
      <c r="AZ200" s="141" t="s">
        <v>374</v>
      </c>
      <c r="BA200" s="141" t="s">
        <v>1265</v>
      </c>
      <c r="BB200" s="141" t="s">
        <v>376</v>
      </c>
      <c r="BC200" s="141" t="s">
        <v>2649</v>
      </c>
      <c r="BD200" s="141" t="s">
        <v>378</v>
      </c>
      <c r="BE200" s="141" t="s">
        <v>2650</v>
      </c>
      <c r="BF200" s="141" t="s">
        <v>380</v>
      </c>
      <c r="BG200" s="141" t="s">
        <v>2651</v>
      </c>
      <c r="BH200" s="141" t="s">
        <v>382</v>
      </c>
      <c r="BI200" s="141" t="s">
        <v>2288</v>
      </c>
      <c r="BJ200" s="141"/>
      <c r="BK200" s="141"/>
      <c r="BL200" s="141"/>
      <c r="BM200" s="141"/>
      <c r="BN200" s="141"/>
      <c r="BO200" s="141"/>
      <c r="BP200" s="141"/>
      <c r="BQ200" s="141"/>
      <c r="BR200" s="141"/>
      <c r="BS200" s="141"/>
      <c r="BT200" s="141"/>
      <c r="BU200" s="141"/>
      <c r="BV200" s="141"/>
      <c r="BW200" s="141"/>
      <c r="BX200" s="141"/>
      <c r="BY200" s="141"/>
      <c r="BZ200" s="141"/>
      <c r="CA200" s="141"/>
      <c r="CB200" s="141"/>
      <c r="CC200" s="141"/>
      <c r="CD200" s="141"/>
      <c r="CE200" s="141"/>
      <c r="CF200" s="141"/>
      <c r="CG200" s="141"/>
      <c r="CH200" s="141"/>
      <c r="CI200" s="141"/>
      <c r="CJ200" s="141"/>
      <c r="CK200" s="141"/>
      <c r="CL200" s="141"/>
      <c r="CM200" s="141"/>
      <c r="CN200" s="141"/>
      <c r="CO200" s="141"/>
      <c r="CP200" s="141"/>
      <c r="CQ200" s="141"/>
      <c r="CR200" s="141"/>
      <c r="CS200" s="141"/>
      <c r="CT200" s="141"/>
      <c r="CU200" s="141"/>
      <c r="CV200" s="141"/>
      <c r="CW200" s="141"/>
      <c r="CX200" s="141"/>
      <c r="CY200" s="141"/>
      <c r="CZ200" s="141"/>
      <c r="DA200" s="173"/>
    </row>
    <row r="201" spans="2:105" x14ac:dyDescent="0.25">
      <c r="B201" s="172"/>
      <c r="C201" s="141" t="s">
        <v>2652</v>
      </c>
      <c r="D201" s="141" t="s">
        <v>772</v>
      </c>
      <c r="E201" s="141" t="s">
        <v>2058</v>
      </c>
      <c r="F201" s="141" t="s">
        <v>2653</v>
      </c>
      <c r="G201" s="141"/>
      <c r="H201" s="141" t="s">
        <v>353</v>
      </c>
      <c r="I201" s="141"/>
      <c r="J201" s="141" t="s">
        <v>354</v>
      </c>
      <c r="K201" s="141" t="s">
        <v>648</v>
      </c>
      <c r="L201" s="141" t="s">
        <v>2654</v>
      </c>
      <c r="M201" s="141" t="s">
        <v>2655</v>
      </c>
      <c r="N201" s="141" t="s">
        <v>354</v>
      </c>
      <c r="O201" s="141" t="s">
        <v>485</v>
      </c>
      <c r="P201" s="141" t="s">
        <v>1630</v>
      </c>
      <c r="Q201" s="141" t="s">
        <v>1631</v>
      </c>
      <c r="R201" s="141" t="s">
        <v>361</v>
      </c>
      <c r="S201" s="141" t="s">
        <v>1396</v>
      </c>
      <c r="T201" s="141" t="s">
        <v>2636</v>
      </c>
      <c r="U201" s="141" t="s">
        <v>2636</v>
      </c>
      <c r="V201" s="141"/>
      <c r="W201" s="141"/>
      <c r="X201" s="141"/>
      <c r="Y201" s="141"/>
      <c r="Z201" s="141"/>
      <c r="AA201" s="141"/>
      <c r="AB201" s="141"/>
      <c r="AC201" s="141"/>
      <c r="AD201" s="141"/>
      <c r="AE201" s="141"/>
      <c r="AF201" s="141"/>
      <c r="AG201" s="141"/>
      <c r="AH201" s="141"/>
      <c r="AI201" s="141"/>
      <c r="AJ201" s="141"/>
      <c r="AK201" s="141" t="s">
        <v>354</v>
      </c>
      <c r="AL201" s="141" t="s">
        <v>364</v>
      </c>
      <c r="AM201" s="141" t="s">
        <v>354</v>
      </c>
      <c r="AN201" s="141" t="s">
        <v>2637</v>
      </c>
      <c r="AO201" s="141" t="s">
        <v>2636</v>
      </c>
      <c r="AP201" s="141" t="s">
        <v>366</v>
      </c>
      <c r="AQ201" s="141" t="s">
        <v>367</v>
      </c>
      <c r="AR201" s="141" t="s">
        <v>368</v>
      </c>
      <c r="AS201" s="141" t="s">
        <v>358</v>
      </c>
      <c r="AT201" s="141"/>
      <c r="AU201" s="141" t="s">
        <v>2654</v>
      </c>
      <c r="AV201" s="141" t="s">
        <v>370</v>
      </c>
      <c r="AW201" s="141" t="s">
        <v>2656</v>
      </c>
      <c r="AX201" s="141" t="s">
        <v>372</v>
      </c>
      <c r="AY201" s="141" t="s">
        <v>2657</v>
      </c>
      <c r="AZ201" s="141" t="s">
        <v>374</v>
      </c>
      <c r="BA201" s="141" t="s">
        <v>2658</v>
      </c>
      <c r="BB201" s="141" t="s">
        <v>376</v>
      </c>
      <c r="BC201" s="141" t="s">
        <v>2659</v>
      </c>
      <c r="BD201" s="141" t="s">
        <v>378</v>
      </c>
      <c r="BE201" s="141" t="s">
        <v>1935</v>
      </c>
      <c r="BF201" s="141" t="s">
        <v>380</v>
      </c>
      <c r="BG201" s="141" t="s">
        <v>2239</v>
      </c>
      <c r="BH201" s="141" t="s">
        <v>382</v>
      </c>
      <c r="BI201" s="141" t="s">
        <v>2660</v>
      </c>
      <c r="BJ201" s="141"/>
      <c r="BK201" s="141"/>
      <c r="BL201" s="141"/>
      <c r="BM201" s="141"/>
      <c r="BN201" s="141"/>
      <c r="BO201" s="141"/>
      <c r="BP201" s="141"/>
      <c r="BQ201" s="141"/>
      <c r="BR201" s="141"/>
      <c r="BS201" s="141"/>
      <c r="BT201" s="141"/>
      <c r="BU201" s="141"/>
      <c r="BV201" s="141"/>
      <c r="BW201" s="141"/>
      <c r="BX201" s="141"/>
      <c r="BY201" s="141"/>
      <c r="BZ201" s="141"/>
      <c r="CA201" s="141"/>
      <c r="CB201" s="141"/>
      <c r="CC201" s="141"/>
      <c r="CD201" s="141"/>
      <c r="CE201" s="141"/>
      <c r="CF201" s="141"/>
      <c r="CG201" s="141"/>
      <c r="CH201" s="141"/>
      <c r="CI201" s="141"/>
      <c r="CJ201" s="141"/>
      <c r="CK201" s="141"/>
      <c r="CL201" s="141"/>
      <c r="CM201" s="141"/>
      <c r="CN201" s="141"/>
      <c r="CO201" s="141"/>
      <c r="CP201" s="141"/>
      <c r="CQ201" s="141"/>
      <c r="CR201" s="141"/>
      <c r="CS201" s="141"/>
      <c r="CT201" s="141"/>
      <c r="CU201" s="141"/>
      <c r="CV201" s="141"/>
      <c r="CW201" s="141"/>
      <c r="CX201" s="141"/>
      <c r="CY201" s="141"/>
      <c r="CZ201" s="141"/>
      <c r="DA201" s="173"/>
    </row>
    <row r="202" spans="2:105" x14ac:dyDescent="0.25">
      <c r="B202" s="172"/>
      <c r="C202" s="141" t="s">
        <v>2661</v>
      </c>
      <c r="D202" s="141" t="s">
        <v>2662</v>
      </c>
      <c r="E202" s="141" t="s">
        <v>2058</v>
      </c>
      <c r="F202" s="141" t="s">
        <v>2663</v>
      </c>
      <c r="G202" s="141"/>
      <c r="H202" s="141" t="s">
        <v>353</v>
      </c>
      <c r="I202" s="141"/>
      <c r="J202" s="141" t="s">
        <v>354</v>
      </c>
      <c r="K202" s="141" t="s">
        <v>761</v>
      </c>
      <c r="L202" s="141" t="s">
        <v>2664</v>
      </c>
      <c r="M202" s="141" t="s">
        <v>2665</v>
      </c>
      <c r="N202" s="141" t="s">
        <v>354</v>
      </c>
      <c r="O202" s="141" t="s">
        <v>485</v>
      </c>
      <c r="P202" s="141" t="s">
        <v>1630</v>
      </c>
      <c r="Q202" s="141" t="s">
        <v>1631</v>
      </c>
      <c r="R202" s="141" t="s">
        <v>361</v>
      </c>
      <c r="S202" s="141" t="s">
        <v>1396</v>
      </c>
      <c r="T202" s="141" t="s">
        <v>2636</v>
      </c>
      <c r="U202" s="141" t="s">
        <v>2636</v>
      </c>
      <c r="V202" s="141"/>
      <c r="W202" s="141"/>
      <c r="X202" s="141"/>
      <c r="Y202" s="141"/>
      <c r="Z202" s="141"/>
      <c r="AA202" s="141"/>
      <c r="AB202" s="141"/>
      <c r="AC202" s="141"/>
      <c r="AD202" s="141"/>
      <c r="AE202" s="141"/>
      <c r="AF202" s="141"/>
      <c r="AG202" s="141"/>
      <c r="AH202" s="141"/>
      <c r="AI202" s="141"/>
      <c r="AJ202" s="141"/>
      <c r="AK202" s="141" t="s">
        <v>354</v>
      </c>
      <c r="AL202" s="141" t="s">
        <v>364</v>
      </c>
      <c r="AM202" s="141" t="s">
        <v>354</v>
      </c>
      <c r="AN202" s="141" t="s">
        <v>2637</v>
      </c>
      <c r="AO202" s="141" t="s">
        <v>2636</v>
      </c>
      <c r="AP202" s="141" t="s">
        <v>366</v>
      </c>
      <c r="AQ202" s="141" t="s">
        <v>367</v>
      </c>
      <c r="AR202" s="141" t="s">
        <v>368</v>
      </c>
      <c r="AS202" s="141" t="s">
        <v>426</v>
      </c>
      <c r="AT202" s="141"/>
      <c r="AU202" s="141" t="s">
        <v>2664</v>
      </c>
      <c r="AV202" s="141" t="s">
        <v>370</v>
      </c>
      <c r="AW202" s="141" t="s">
        <v>2666</v>
      </c>
      <c r="AX202" s="141" t="s">
        <v>372</v>
      </c>
      <c r="AY202" s="141" t="s">
        <v>2667</v>
      </c>
      <c r="AZ202" s="141" t="s">
        <v>374</v>
      </c>
      <c r="BA202" s="141" t="s">
        <v>2668</v>
      </c>
      <c r="BB202" s="141" t="s">
        <v>376</v>
      </c>
      <c r="BC202" s="141" t="s">
        <v>2669</v>
      </c>
      <c r="BD202" s="141" t="s">
        <v>378</v>
      </c>
      <c r="BE202" s="141" t="s">
        <v>2670</v>
      </c>
      <c r="BF202" s="141" t="s">
        <v>380</v>
      </c>
      <c r="BG202" s="141" t="s">
        <v>1617</v>
      </c>
      <c r="BH202" s="141" t="s">
        <v>382</v>
      </c>
      <c r="BI202" s="141" t="s">
        <v>1457</v>
      </c>
      <c r="BJ202" s="141"/>
      <c r="BK202" s="141"/>
      <c r="BL202" s="141"/>
      <c r="BM202" s="141"/>
      <c r="BN202" s="141"/>
      <c r="BO202" s="141"/>
      <c r="BP202" s="141"/>
      <c r="BQ202" s="141"/>
      <c r="BR202" s="141"/>
      <c r="BS202" s="141"/>
      <c r="BT202" s="141"/>
      <c r="BU202" s="141"/>
      <c r="BV202" s="141"/>
      <c r="BW202" s="141"/>
      <c r="BX202" s="141"/>
      <c r="BY202" s="141"/>
      <c r="BZ202" s="141"/>
      <c r="CA202" s="141"/>
      <c r="CB202" s="141"/>
      <c r="CC202" s="141"/>
      <c r="CD202" s="141"/>
      <c r="CE202" s="141"/>
      <c r="CF202" s="141"/>
      <c r="CG202" s="141"/>
      <c r="CH202" s="141"/>
      <c r="CI202" s="141"/>
      <c r="CJ202" s="141"/>
      <c r="CK202" s="141"/>
      <c r="CL202" s="141"/>
      <c r="CM202" s="141"/>
      <c r="CN202" s="141"/>
      <c r="CO202" s="141"/>
      <c r="CP202" s="141"/>
      <c r="CQ202" s="141"/>
      <c r="CR202" s="141"/>
      <c r="CS202" s="141"/>
      <c r="CT202" s="141"/>
      <c r="CU202" s="141"/>
      <c r="CV202" s="141"/>
      <c r="CW202" s="141"/>
      <c r="CX202" s="141"/>
      <c r="CY202" s="141"/>
      <c r="CZ202" s="141"/>
      <c r="DA202" s="173"/>
    </row>
    <row r="203" spans="2:105" x14ac:dyDescent="0.25">
      <c r="B203" s="172"/>
      <c r="C203" s="141" t="s">
        <v>2671</v>
      </c>
      <c r="D203" s="141" t="s">
        <v>2672</v>
      </c>
      <c r="E203" s="141" t="s">
        <v>2673</v>
      </c>
      <c r="F203" s="141" t="s">
        <v>2674</v>
      </c>
      <c r="G203" s="141"/>
      <c r="H203" s="141" t="s">
        <v>353</v>
      </c>
      <c r="I203" s="141"/>
      <c r="J203" s="141" t="s">
        <v>354</v>
      </c>
      <c r="K203" s="141" t="s">
        <v>1563</v>
      </c>
      <c r="L203" s="141" t="s">
        <v>2675</v>
      </c>
      <c r="M203" s="141" t="s">
        <v>2676</v>
      </c>
      <c r="N203" s="141" t="s">
        <v>354</v>
      </c>
      <c r="O203" s="141" t="s">
        <v>393</v>
      </c>
      <c r="P203" s="141" t="s">
        <v>424</v>
      </c>
      <c r="Q203" s="141" t="s">
        <v>425</v>
      </c>
      <c r="R203" s="141" t="s">
        <v>361</v>
      </c>
      <c r="S203" s="141" t="s">
        <v>1396</v>
      </c>
      <c r="T203" s="141" t="s">
        <v>2636</v>
      </c>
      <c r="U203" s="141" t="s">
        <v>2636</v>
      </c>
      <c r="V203" s="141"/>
      <c r="W203" s="141"/>
      <c r="X203" s="141"/>
      <c r="Y203" s="141"/>
      <c r="Z203" s="141"/>
      <c r="AA203" s="141"/>
      <c r="AB203" s="141"/>
      <c r="AC203" s="141"/>
      <c r="AD203" s="141"/>
      <c r="AE203" s="141"/>
      <c r="AF203" s="141"/>
      <c r="AG203" s="141"/>
      <c r="AH203" s="141"/>
      <c r="AI203" s="141"/>
      <c r="AJ203" s="141"/>
      <c r="AK203" s="141" t="s">
        <v>354</v>
      </c>
      <c r="AL203" s="141" t="s">
        <v>364</v>
      </c>
      <c r="AM203" s="141" t="s">
        <v>354</v>
      </c>
      <c r="AN203" s="141" t="s">
        <v>2637</v>
      </c>
      <c r="AO203" s="141" t="s">
        <v>2636</v>
      </c>
      <c r="AP203" s="141" t="s">
        <v>366</v>
      </c>
      <c r="AQ203" s="141" t="s">
        <v>367</v>
      </c>
      <c r="AR203" s="141" t="s">
        <v>368</v>
      </c>
      <c r="AS203" s="141" t="s">
        <v>441</v>
      </c>
      <c r="AT203" s="141"/>
      <c r="AU203" s="141" t="s">
        <v>2675</v>
      </c>
      <c r="AV203" s="141" t="s">
        <v>370</v>
      </c>
      <c r="AW203" s="141" t="s">
        <v>2677</v>
      </c>
      <c r="AX203" s="141" t="s">
        <v>372</v>
      </c>
      <c r="AY203" s="141" t="s">
        <v>2539</v>
      </c>
      <c r="AZ203" s="141" t="s">
        <v>374</v>
      </c>
      <c r="BA203" s="141" t="s">
        <v>2678</v>
      </c>
      <c r="BB203" s="141" t="s">
        <v>376</v>
      </c>
      <c r="BC203" s="141" t="s">
        <v>532</v>
      </c>
      <c r="BD203" s="141" t="s">
        <v>378</v>
      </c>
      <c r="BE203" s="141" t="s">
        <v>2679</v>
      </c>
      <c r="BF203" s="141" t="s">
        <v>380</v>
      </c>
      <c r="BG203" s="141" t="s">
        <v>1295</v>
      </c>
      <c r="BH203" s="141" t="s">
        <v>382</v>
      </c>
      <c r="BI203" s="141" t="s">
        <v>2680</v>
      </c>
      <c r="BJ203" s="141"/>
      <c r="BK203" s="141"/>
      <c r="BL203" s="141"/>
      <c r="BM203" s="141"/>
      <c r="BN203" s="141"/>
      <c r="BO203" s="141"/>
      <c r="BP203" s="141"/>
      <c r="BQ203" s="141"/>
      <c r="BR203" s="141"/>
      <c r="BS203" s="141"/>
      <c r="BT203" s="141"/>
      <c r="BU203" s="141"/>
      <c r="BV203" s="141"/>
      <c r="BW203" s="141"/>
      <c r="BX203" s="141"/>
      <c r="BY203" s="141"/>
      <c r="BZ203" s="141"/>
      <c r="CA203" s="141"/>
      <c r="CB203" s="141"/>
      <c r="CC203" s="141"/>
      <c r="CD203" s="141"/>
      <c r="CE203" s="141"/>
      <c r="CF203" s="141"/>
      <c r="CG203" s="141"/>
      <c r="CH203" s="141"/>
      <c r="CI203" s="141"/>
      <c r="CJ203" s="141"/>
      <c r="CK203" s="141"/>
      <c r="CL203" s="141"/>
      <c r="CM203" s="141"/>
      <c r="CN203" s="141"/>
      <c r="CO203" s="141"/>
      <c r="CP203" s="141"/>
      <c r="CQ203" s="141"/>
      <c r="CR203" s="141"/>
      <c r="CS203" s="141"/>
      <c r="CT203" s="141"/>
      <c r="CU203" s="141"/>
      <c r="CV203" s="141"/>
      <c r="CW203" s="141"/>
      <c r="CX203" s="141"/>
      <c r="CY203" s="141"/>
      <c r="CZ203" s="141"/>
      <c r="DA203" s="173"/>
    </row>
    <row r="204" spans="2:105" x14ac:dyDescent="0.25">
      <c r="B204" s="172"/>
      <c r="C204" s="141" t="s">
        <v>2681</v>
      </c>
      <c r="D204" s="141" t="s">
        <v>2682</v>
      </c>
      <c r="E204" s="141" t="s">
        <v>2058</v>
      </c>
      <c r="F204" s="141" t="s">
        <v>2683</v>
      </c>
      <c r="G204" s="141"/>
      <c r="H204" s="141" t="s">
        <v>353</v>
      </c>
      <c r="I204" s="141"/>
      <c r="J204" s="141" t="s">
        <v>354</v>
      </c>
      <c r="K204" s="141" t="s">
        <v>734</v>
      </c>
      <c r="L204" s="141" t="s">
        <v>2684</v>
      </c>
      <c r="M204" s="141" t="s">
        <v>2685</v>
      </c>
      <c r="N204" s="141" t="s">
        <v>354</v>
      </c>
      <c r="O204" s="141" t="s">
        <v>485</v>
      </c>
      <c r="P204" s="141" t="s">
        <v>1630</v>
      </c>
      <c r="Q204" s="141" t="s">
        <v>1631</v>
      </c>
      <c r="R204" s="141" t="s">
        <v>361</v>
      </c>
      <c r="S204" s="141" t="s">
        <v>1396</v>
      </c>
      <c r="T204" s="141" t="s">
        <v>2636</v>
      </c>
      <c r="U204" s="141" t="s">
        <v>2636</v>
      </c>
      <c r="V204" s="141"/>
      <c r="W204" s="141"/>
      <c r="X204" s="141"/>
      <c r="Y204" s="141"/>
      <c r="Z204" s="141"/>
      <c r="AA204" s="141"/>
      <c r="AB204" s="141"/>
      <c r="AC204" s="141"/>
      <c r="AD204" s="141"/>
      <c r="AE204" s="141"/>
      <c r="AF204" s="141"/>
      <c r="AG204" s="141"/>
      <c r="AH204" s="141"/>
      <c r="AI204" s="141"/>
      <c r="AJ204" s="141"/>
      <c r="AK204" s="141" t="s">
        <v>354</v>
      </c>
      <c r="AL204" s="141" t="s">
        <v>364</v>
      </c>
      <c r="AM204" s="141" t="s">
        <v>354</v>
      </c>
      <c r="AN204" s="141" t="s">
        <v>2637</v>
      </c>
      <c r="AO204" s="141" t="s">
        <v>2636</v>
      </c>
      <c r="AP204" s="141" t="s">
        <v>366</v>
      </c>
      <c r="AQ204" s="141" t="s">
        <v>367</v>
      </c>
      <c r="AR204" s="141" t="s">
        <v>368</v>
      </c>
      <c r="AS204" s="141" t="s">
        <v>391</v>
      </c>
      <c r="AT204" s="141"/>
      <c r="AU204" s="141" t="s">
        <v>2684</v>
      </c>
      <c r="AV204" s="141" t="s">
        <v>370</v>
      </c>
      <c r="AW204" s="141" t="s">
        <v>2686</v>
      </c>
      <c r="AX204" s="141" t="s">
        <v>372</v>
      </c>
      <c r="AY204" s="141" t="s">
        <v>442</v>
      </c>
      <c r="AZ204" s="141" t="s">
        <v>374</v>
      </c>
      <c r="BA204" s="141" t="s">
        <v>1382</v>
      </c>
      <c r="BB204" s="141" t="s">
        <v>376</v>
      </c>
      <c r="BC204" s="141" t="s">
        <v>2687</v>
      </c>
      <c r="BD204" s="141" t="s">
        <v>378</v>
      </c>
      <c r="BE204" s="141" t="s">
        <v>2688</v>
      </c>
      <c r="BF204" s="141" t="s">
        <v>380</v>
      </c>
      <c r="BG204" s="141" t="s">
        <v>2689</v>
      </c>
      <c r="BH204" s="141" t="s">
        <v>382</v>
      </c>
      <c r="BI204" s="141" t="s">
        <v>2690</v>
      </c>
      <c r="BJ204" s="141"/>
      <c r="BK204" s="141"/>
      <c r="BL204" s="141"/>
      <c r="BM204" s="141"/>
      <c r="BN204" s="141"/>
      <c r="BO204" s="141"/>
      <c r="BP204" s="141"/>
      <c r="BQ204" s="141"/>
      <c r="BR204" s="141"/>
      <c r="BS204" s="141"/>
      <c r="BT204" s="141"/>
      <c r="BU204" s="141"/>
      <c r="BV204" s="141"/>
      <c r="BW204" s="141"/>
      <c r="BX204" s="141"/>
      <c r="BY204" s="141"/>
      <c r="BZ204" s="141"/>
      <c r="CA204" s="141"/>
      <c r="CB204" s="141"/>
      <c r="CC204" s="141"/>
      <c r="CD204" s="141"/>
      <c r="CE204" s="141"/>
      <c r="CF204" s="141"/>
      <c r="CG204" s="141"/>
      <c r="CH204" s="141"/>
      <c r="CI204" s="141"/>
      <c r="CJ204" s="141"/>
      <c r="CK204" s="141"/>
      <c r="CL204" s="141"/>
      <c r="CM204" s="141"/>
      <c r="CN204" s="141"/>
      <c r="CO204" s="141"/>
      <c r="CP204" s="141"/>
      <c r="CQ204" s="141"/>
      <c r="CR204" s="141"/>
      <c r="CS204" s="141"/>
      <c r="CT204" s="141"/>
      <c r="CU204" s="141"/>
      <c r="CV204" s="141"/>
      <c r="CW204" s="141"/>
      <c r="CX204" s="141"/>
      <c r="CY204" s="141"/>
      <c r="CZ204" s="141"/>
      <c r="DA204" s="173"/>
    </row>
    <row r="205" spans="2:105" x14ac:dyDescent="0.25">
      <c r="B205" s="172"/>
      <c r="C205" s="141" t="s">
        <v>2691</v>
      </c>
      <c r="D205" s="141" t="s">
        <v>912</v>
      </c>
      <c r="E205" s="141" t="s">
        <v>713</v>
      </c>
      <c r="F205" s="141" t="s">
        <v>2524</v>
      </c>
      <c r="G205" s="141"/>
      <c r="H205" s="141" t="s">
        <v>353</v>
      </c>
      <c r="I205" s="141"/>
      <c r="J205" s="141" t="s">
        <v>354</v>
      </c>
      <c r="K205" s="141" t="s">
        <v>2692</v>
      </c>
      <c r="L205" s="141" t="s">
        <v>2693</v>
      </c>
      <c r="M205" s="141" t="s">
        <v>2694</v>
      </c>
      <c r="N205" s="141" t="s">
        <v>354</v>
      </c>
      <c r="O205" s="141" t="s">
        <v>408</v>
      </c>
      <c r="P205" s="141" t="s">
        <v>409</v>
      </c>
      <c r="Q205" s="141" t="s">
        <v>409</v>
      </c>
      <c r="R205" s="141" t="s">
        <v>361</v>
      </c>
      <c r="S205" s="141" t="s">
        <v>1396</v>
      </c>
      <c r="T205" s="141" t="s">
        <v>2636</v>
      </c>
      <c r="U205" s="141" t="s">
        <v>2636</v>
      </c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141"/>
      <c r="AH205" s="141"/>
      <c r="AI205" s="141"/>
      <c r="AJ205" s="141"/>
      <c r="AK205" s="141" t="s">
        <v>354</v>
      </c>
      <c r="AL205" s="141" t="s">
        <v>364</v>
      </c>
      <c r="AM205" s="141" t="s">
        <v>354</v>
      </c>
      <c r="AN205" s="141" t="s">
        <v>2637</v>
      </c>
      <c r="AO205" s="141" t="s">
        <v>2636</v>
      </c>
      <c r="AP205" s="141" t="s">
        <v>366</v>
      </c>
      <c r="AQ205" s="141" t="s">
        <v>367</v>
      </c>
      <c r="AR205" s="141" t="s">
        <v>368</v>
      </c>
      <c r="AS205" s="141" t="s">
        <v>368</v>
      </c>
      <c r="AT205" s="141"/>
      <c r="AU205" s="141" t="s">
        <v>2693</v>
      </c>
      <c r="AV205" s="141" t="s">
        <v>370</v>
      </c>
      <c r="AW205" s="141" t="s">
        <v>2695</v>
      </c>
      <c r="AX205" s="141" t="s">
        <v>372</v>
      </c>
      <c r="AY205" s="141" t="s">
        <v>2696</v>
      </c>
      <c r="AZ205" s="141" t="s">
        <v>374</v>
      </c>
      <c r="BA205" s="141" t="s">
        <v>2697</v>
      </c>
      <c r="BB205" s="141" t="s">
        <v>376</v>
      </c>
      <c r="BC205" s="141" t="s">
        <v>2698</v>
      </c>
      <c r="BD205" s="141" t="s">
        <v>378</v>
      </c>
      <c r="BE205" s="141" t="s">
        <v>2699</v>
      </c>
      <c r="BF205" s="141" t="s">
        <v>380</v>
      </c>
      <c r="BG205" s="141" t="s">
        <v>1162</v>
      </c>
      <c r="BH205" s="141" t="s">
        <v>382</v>
      </c>
      <c r="BI205" s="141" t="s">
        <v>2700</v>
      </c>
      <c r="BJ205" s="141"/>
      <c r="BK205" s="141"/>
      <c r="BL205" s="141"/>
      <c r="BM205" s="141"/>
      <c r="BN205" s="141"/>
      <c r="BO205" s="141"/>
      <c r="BP205" s="141"/>
      <c r="BQ205" s="141"/>
      <c r="BR205" s="141"/>
      <c r="BS205" s="141"/>
      <c r="BT205" s="141"/>
      <c r="BU205" s="141"/>
      <c r="BV205" s="141"/>
      <c r="BW205" s="141"/>
      <c r="BX205" s="141"/>
      <c r="BY205" s="141"/>
      <c r="BZ205" s="141"/>
      <c r="CA205" s="141"/>
      <c r="CB205" s="141"/>
      <c r="CC205" s="141"/>
      <c r="CD205" s="141"/>
      <c r="CE205" s="141"/>
      <c r="CF205" s="141"/>
      <c r="CG205" s="141"/>
      <c r="CH205" s="141"/>
      <c r="CI205" s="141"/>
      <c r="CJ205" s="141"/>
      <c r="CK205" s="141"/>
      <c r="CL205" s="141"/>
      <c r="CM205" s="141"/>
      <c r="CN205" s="141"/>
      <c r="CO205" s="141"/>
      <c r="CP205" s="141"/>
      <c r="CQ205" s="141"/>
      <c r="CR205" s="141"/>
      <c r="CS205" s="141"/>
      <c r="CT205" s="141"/>
      <c r="CU205" s="141"/>
      <c r="CV205" s="141"/>
      <c r="CW205" s="141"/>
      <c r="CX205" s="141"/>
      <c r="CY205" s="141"/>
      <c r="CZ205" s="141"/>
      <c r="DA205" s="173"/>
    </row>
    <row r="206" spans="2:105" x14ac:dyDescent="0.25">
      <c r="B206" s="172"/>
      <c r="C206" s="141" t="s">
        <v>2701</v>
      </c>
      <c r="D206" s="141" t="s">
        <v>2702</v>
      </c>
      <c r="E206" s="141" t="s">
        <v>2625</v>
      </c>
      <c r="F206" s="141" t="s">
        <v>2703</v>
      </c>
      <c r="G206" s="141"/>
      <c r="H206" s="141" t="s">
        <v>353</v>
      </c>
      <c r="I206" s="141"/>
      <c r="J206" s="141" t="s">
        <v>354</v>
      </c>
      <c r="K206" s="141" t="s">
        <v>525</v>
      </c>
      <c r="L206" s="141" t="s">
        <v>2704</v>
      </c>
      <c r="M206" s="141" t="s">
        <v>2705</v>
      </c>
      <c r="N206" s="141" t="s">
        <v>354</v>
      </c>
      <c r="O206" s="141" t="s">
        <v>408</v>
      </c>
      <c r="P206" s="141" t="s">
        <v>409</v>
      </c>
      <c r="Q206" s="141" t="s">
        <v>409</v>
      </c>
      <c r="R206" s="141" t="s">
        <v>361</v>
      </c>
      <c r="S206" s="141" t="s">
        <v>1396</v>
      </c>
      <c r="T206" s="141" t="s">
        <v>2636</v>
      </c>
      <c r="U206" s="141" t="s">
        <v>2636</v>
      </c>
      <c r="V206" s="141"/>
      <c r="W206" s="141"/>
      <c r="X206" s="141"/>
      <c r="Y206" s="141"/>
      <c r="Z206" s="141"/>
      <c r="AA206" s="141"/>
      <c r="AB206" s="141"/>
      <c r="AC206" s="141"/>
      <c r="AD206" s="141"/>
      <c r="AE206" s="141"/>
      <c r="AF206" s="141"/>
      <c r="AG206" s="141"/>
      <c r="AH206" s="141"/>
      <c r="AI206" s="141"/>
      <c r="AJ206" s="141"/>
      <c r="AK206" s="141" t="s">
        <v>354</v>
      </c>
      <c r="AL206" s="141" t="s">
        <v>364</v>
      </c>
      <c r="AM206" s="141" t="s">
        <v>354</v>
      </c>
      <c r="AN206" s="141" t="s">
        <v>2637</v>
      </c>
      <c r="AO206" s="141" t="s">
        <v>2636</v>
      </c>
      <c r="AP206" s="141" t="s">
        <v>366</v>
      </c>
      <c r="AQ206" s="141" t="s">
        <v>367</v>
      </c>
      <c r="AR206" s="141" t="s">
        <v>368</v>
      </c>
      <c r="AS206" s="141" t="s">
        <v>408</v>
      </c>
      <c r="AT206" s="141"/>
      <c r="AU206" s="141" t="s">
        <v>2704</v>
      </c>
      <c r="AV206" s="141" t="s">
        <v>370</v>
      </c>
      <c r="AW206" s="141" t="s">
        <v>2286</v>
      </c>
      <c r="AX206" s="141" t="s">
        <v>372</v>
      </c>
      <c r="AY206" s="141" t="s">
        <v>2706</v>
      </c>
      <c r="AZ206" s="141" t="s">
        <v>374</v>
      </c>
      <c r="BA206" s="141" t="s">
        <v>2707</v>
      </c>
      <c r="BB206" s="141" t="s">
        <v>376</v>
      </c>
      <c r="BC206" s="141" t="s">
        <v>2708</v>
      </c>
      <c r="BD206" s="141" t="s">
        <v>378</v>
      </c>
      <c r="BE206" s="141" t="s">
        <v>1216</v>
      </c>
      <c r="BF206" s="141" t="s">
        <v>380</v>
      </c>
      <c r="BG206" s="141" t="s">
        <v>2709</v>
      </c>
      <c r="BH206" s="141" t="s">
        <v>382</v>
      </c>
      <c r="BI206" s="141" t="s">
        <v>2710</v>
      </c>
      <c r="BJ206" s="141"/>
      <c r="BK206" s="141"/>
      <c r="BL206" s="141"/>
      <c r="BM206" s="141"/>
      <c r="BN206" s="141"/>
      <c r="BO206" s="141"/>
      <c r="BP206" s="141"/>
      <c r="BQ206" s="141"/>
      <c r="BR206" s="141"/>
      <c r="BS206" s="141"/>
      <c r="BT206" s="141"/>
      <c r="BU206" s="141"/>
      <c r="BV206" s="141"/>
      <c r="BW206" s="141"/>
      <c r="BX206" s="141"/>
      <c r="BY206" s="141"/>
      <c r="BZ206" s="141"/>
      <c r="CA206" s="141"/>
      <c r="CB206" s="141"/>
      <c r="CC206" s="141"/>
      <c r="CD206" s="141"/>
      <c r="CE206" s="141"/>
      <c r="CF206" s="141"/>
      <c r="CG206" s="141"/>
      <c r="CH206" s="141"/>
      <c r="CI206" s="141"/>
      <c r="CJ206" s="141"/>
      <c r="CK206" s="141"/>
      <c r="CL206" s="141"/>
      <c r="CM206" s="141"/>
      <c r="CN206" s="141"/>
      <c r="CO206" s="141"/>
      <c r="CP206" s="141"/>
      <c r="CQ206" s="141"/>
      <c r="CR206" s="141"/>
      <c r="CS206" s="141"/>
      <c r="CT206" s="141"/>
      <c r="CU206" s="141"/>
      <c r="CV206" s="141"/>
      <c r="CW206" s="141"/>
      <c r="CX206" s="141"/>
      <c r="CY206" s="141"/>
      <c r="CZ206" s="141"/>
      <c r="DA206" s="173"/>
    </row>
    <row r="207" spans="2:105" x14ac:dyDescent="0.25">
      <c r="B207" s="172"/>
      <c r="C207" s="141" t="s">
        <v>2711</v>
      </c>
      <c r="D207" s="141" t="s">
        <v>2712</v>
      </c>
      <c r="E207" s="141" t="s">
        <v>1350</v>
      </c>
      <c r="F207" s="141" t="s">
        <v>2713</v>
      </c>
      <c r="G207" s="141"/>
      <c r="H207" s="141" t="s">
        <v>353</v>
      </c>
      <c r="I207" s="141"/>
      <c r="J207" s="141" t="s">
        <v>354</v>
      </c>
      <c r="K207" s="141" t="s">
        <v>2207</v>
      </c>
      <c r="L207" s="141" t="s">
        <v>2714</v>
      </c>
      <c r="M207" s="141" t="s">
        <v>2715</v>
      </c>
      <c r="N207" s="141" t="s">
        <v>354</v>
      </c>
      <c r="O207" s="141" t="s">
        <v>408</v>
      </c>
      <c r="P207" s="141" t="s">
        <v>409</v>
      </c>
      <c r="Q207" s="141" t="s">
        <v>409</v>
      </c>
      <c r="R207" s="141" t="s">
        <v>361</v>
      </c>
      <c r="S207" s="141" t="s">
        <v>1396</v>
      </c>
      <c r="T207" s="141" t="s">
        <v>2636</v>
      </c>
      <c r="U207" s="141" t="s">
        <v>2636</v>
      </c>
      <c r="V207" s="141"/>
      <c r="W207" s="141"/>
      <c r="X207" s="141"/>
      <c r="Y207" s="141"/>
      <c r="Z207" s="141"/>
      <c r="AA207" s="141"/>
      <c r="AB207" s="141"/>
      <c r="AC207" s="141"/>
      <c r="AD207" s="141"/>
      <c r="AE207" s="141"/>
      <c r="AF207" s="141"/>
      <c r="AG207" s="141"/>
      <c r="AH207" s="141"/>
      <c r="AI207" s="141"/>
      <c r="AJ207" s="141"/>
      <c r="AK207" s="141" t="s">
        <v>354</v>
      </c>
      <c r="AL207" s="141" t="s">
        <v>364</v>
      </c>
      <c r="AM207" s="141" t="s">
        <v>354</v>
      </c>
      <c r="AN207" s="141" t="s">
        <v>2637</v>
      </c>
      <c r="AO207" s="141" t="s">
        <v>2636</v>
      </c>
      <c r="AP207" s="141" t="s">
        <v>366</v>
      </c>
      <c r="AQ207" s="141" t="s">
        <v>367</v>
      </c>
      <c r="AR207" s="141" t="s">
        <v>368</v>
      </c>
      <c r="AS207" s="141" t="s">
        <v>490</v>
      </c>
      <c r="AT207" s="141"/>
      <c r="AU207" s="141" t="s">
        <v>2714</v>
      </c>
      <c r="AV207" s="141" t="s">
        <v>370</v>
      </c>
      <c r="AW207" s="141" t="s">
        <v>2716</v>
      </c>
      <c r="AX207" s="141" t="s">
        <v>372</v>
      </c>
      <c r="AY207" s="141" t="s">
        <v>2717</v>
      </c>
      <c r="AZ207" s="141" t="s">
        <v>374</v>
      </c>
      <c r="BA207" s="141" t="s">
        <v>2718</v>
      </c>
      <c r="BB207" s="141" t="s">
        <v>376</v>
      </c>
      <c r="BC207" s="141" t="s">
        <v>1272</v>
      </c>
      <c r="BD207" s="141" t="s">
        <v>378</v>
      </c>
      <c r="BE207" s="141" t="s">
        <v>2719</v>
      </c>
      <c r="BF207" s="141" t="s">
        <v>380</v>
      </c>
      <c r="BG207" s="141" t="s">
        <v>2720</v>
      </c>
      <c r="BH207" s="141" t="s">
        <v>382</v>
      </c>
      <c r="BI207" s="141" t="s">
        <v>822</v>
      </c>
      <c r="BJ207" s="141"/>
      <c r="BK207" s="141"/>
      <c r="BL207" s="141"/>
      <c r="BM207" s="141"/>
      <c r="BN207" s="141"/>
      <c r="BO207" s="141"/>
      <c r="BP207" s="141"/>
      <c r="BQ207" s="141"/>
      <c r="BR207" s="141"/>
      <c r="BS207" s="141"/>
      <c r="BT207" s="141"/>
      <c r="BU207" s="141"/>
      <c r="BV207" s="141"/>
      <c r="BW207" s="141"/>
      <c r="BX207" s="141"/>
      <c r="BY207" s="141"/>
      <c r="BZ207" s="141"/>
      <c r="CA207" s="141"/>
      <c r="CB207" s="141"/>
      <c r="CC207" s="141"/>
      <c r="CD207" s="141"/>
      <c r="CE207" s="141"/>
      <c r="CF207" s="141"/>
      <c r="CG207" s="141"/>
      <c r="CH207" s="141"/>
      <c r="CI207" s="141"/>
      <c r="CJ207" s="141"/>
      <c r="CK207" s="141"/>
      <c r="CL207" s="141"/>
      <c r="CM207" s="141"/>
      <c r="CN207" s="141"/>
      <c r="CO207" s="141"/>
      <c r="CP207" s="141"/>
      <c r="CQ207" s="141"/>
      <c r="CR207" s="141"/>
      <c r="CS207" s="141"/>
      <c r="CT207" s="141"/>
      <c r="CU207" s="141"/>
      <c r="CV207" s="141"/>
      <c r="CW207" s="141"/>
      <c r="CX207" s="141"/>
      <c r="CY207" s="141"/>
      <c r="CZ207" s="141"/>
      <c r="DA207" s="173"/>
    </row>
    <row r="208" spans="2:105" x14ac:dyDescent="0.25">
      <c r="B208" s="172"/>
      <c r="C208" s="141" t="s">
        <v>2721</v>
      </c>
      <c r="D208" s="141" t="s">
        <v>2722</v>
      </c>
      <c r="E208" s="141" t="s">
        <v>1644</v>
      </c>
      <c r="F208" s="141" t="s">
        <v>2436</v>
      </c>
      <c r="G208" s="141"/>
      <c r="H208" s="141" t="s">
        <v>353</v>
      </c>
      <c r="I208" s="141"/>
      <c r="J208" s="141" t="s">
        <v>354</v>
      </c>
      <c r="K208" s="141" t="s">
        <v>1980</v>
      </c>
      <c r="L208" s="141"/>
      <c r="M208" s="141"/>
      <c r="N208" s="141" t="s">
        <v>369</v>
      </c>
      <c r="O208" s="141" t="s">
        <v>358</v>
      </c>
      <c r="P208" s="141" t="s">
        <v>359</v>
      </c>
      <c r="Q208" s="141" t="s">
        <v>360</v>
      </c>
      <c r="R208" s="141" t="s">
        <v>361</v>
      </c>
      <c r="S208" s="141" t="s">
        <v>1396</v>
      </c>
      <c r="T208" s="141" t="s">
        <v>2636</v>
      </c>
      <c r="U208" s="141" t="s">
        <v>2636</v>
      </c>
      <c r="V208" s="141"/>
      <c r="W208" s="141"/>
      <c r="X208" s="141"/>
      <c r="Y208" s="141"/>
      <c r="Z208" s="141"/>
      <c r="AA208" s="141"/>
      <c r="AB208" s="141"/>
      <c r="AC208" s="141"/>
      <c r="AD208" s="141"/>
      <c r="AE208" s="141"/>
      <c r="AF208" s="141"/>
      <c r="AG208" s="141"/>
      <c r="AH208" s="141"/>
      <c r="AI208" s="141"/>
      <c r="AJ208" s="141"/>
      <c r="AK208" s="141" t="s">
        <v>354</v>
      </c>
      <c r="AL208" s="141" t="s">
        <v>364</v>
      </c>
      <c r="AM208" s="141" t="s">
        <v>354</v>
      </c>
      <c r="AN208" s="141" t="s">
        <v>2637</v>
      </c>
      <c r="AO208" s="141" t="s">
        <v>2636</v>
      </c>
      <c r="AP208" s="141" t="s">
        <v>366</v>
      </c>
      <c r="AQ208" s="141" t="s">
        <v>367</v>
      </c>
      <c r="AR208" s="141" t="s">
        <v>368</v>
      </c>
      <c r="AS208" s="141"/>
      <c r="AT208" s="141"/>
      <c r="AU208" s="141"/>
      <c r="AV208" s="141"/>
      <c r="AW208" s="141"/>
      <c r="AX208" s="141"/>
      <c r="AY208" s="141"/>
      <c r="AZ208" s="141"/>
      <c r="BA208" s="141"/>
      <c r="BB208" s="141"/>
      <c r="BC208" s="141"/>
      <c r="BD208" s="141"/>
      <c r="BE208" s="141"/>
      <c r="BF208" s="141"/>
      <c r="BG208" s="141"/>
      <c r="BH208" s="141"/>
      <c r="BI208" s="141"/>
      <c r="BJ208" s="141"/>
      <c r="BK208" s="141"/>
      <c r="BL208" s="141"/>
      <c r="BM208" s="141"/>
      <c r="BN208" s="141"/>
      <c r="BO208" s="141"/>
      <c r="BP208" s="141"/>
      <c r="BQ208" s="141"/>
      <c r="BR208" s="141"/>
      <c r="BS208" s="141"/>
      <c r="BT208" s="141"/>
      <c r="BU208" s="141"/>
      <c r="BV208" s="141"/>
      <c r="BW208" s="141"/>
      <c r="BX208" s="141"/>
      <c r="BY208" s="141"/>
      <c r="BZ208" s="141"/>
      <c r="CA208" s="141"/>
      <c r="CB208" s="141"/>
      <c r="CC208" s="141"/>
      <c r="CD208" s="141"/>
      <c r="CE208" s="141"/>
      <c r="CF208" s="141"/>
      <c r="CG208" s="141"/>
      <c r="CH208" s="141"/>
      <c r="CI208" s="141"/>
      <c r="CJ208" s="141"/>
      <c r="CK208" s="141"/>
      <c r="CL208" s="141"/>
      <c r="CM208" s="141"/>
      <c r="CN208" s="141"/>
      <c r="CO208" s="141"/>
      <c r="CP208" s="141"/>
      <c r="CQ208" s="141"/>
      <c r="CR208" s="141"/>
      <c r="CS208" s="141"/>
      <c r="CT208" s="141"/>
      <c r="CU208" s="141"/>
      <c r="CV208" s="141"/>
      <c r="CW208" s="141"/>
      <c r="CX208" s="141"/>
      <c r="CY208" s="141"/>
      <c r="CZ208" s="141"/>
      <c r="DA208" s="173"/>
    </row>
    <row r="209" spans="2:105" x14ac:dyDescent="0.25">
      <c r="B209" s="172"/>
      <c r="C209" s="141" t="s">
        <v>2723</v>
      </c>
      <c r="D209" s="141" t="s">
        <v>2724</v>
      </c>
      <c r="E209" s="141" t="s">
        <v>699</v>
      </c>
      <c r="F209" s="141" t="s">
        <v>2703</v>
      </c>
      <c r="G209" s="141"/>
      <c r="H209" s="141" t="s">
        <v>353</v>
      </c>
      <c r="I209" s="141"/>
      <c r="J209" s="141" t="s">
        <v>354</v>
      </c>
      <c r="K209" s="141" t="s">
        <v>2725</v>
      </c>
      <c r="L209" s="141"/>
      <c r="M209" s="141"/>
      <c r="N209" s="141" t="s">
        <v>369</v>
      </c>
      <c r="O209" s="141" t="s">
        <v>393</v>
      </c>
      <c r="P209" s="141" t="s">
        <v>424</v>
      </c>
      <c r="Q209" s="141" t="s">
        <v>425</v>
      </c>
      <c r="R209" s="141" t="s">
        <v>361</v>
      </c>
      <c r="S209" s="141" t="s">
        <v>1396</v>
      </c>
      <c r="T209" s="141" t="s">
        <v>2636</v>
      </c>
      <c r="U209" s="141" t="s">
        <v>2636</v>
      </c>
      <c r="V209" s="141"/>
      <c r="W209" s="141"/>
      <c r="X209" s="141"/>
      <c r="Y209" s="141"/>
      <c r="Z209" s="141"/>
      <c r="AA209" s="141"/>
      <c r="AB209" s="141"/>
      <c r="AC209" s="141"/>
      <c r="AD209" s="141"/>
      <c r="AE209" s="141"/>
      <c r="AF209" s="141"/>
      <c r="AG209" s="141"/>
      <c r="AH209" s="141"/>
      <c r="AI209" s="141"/>
      <c r="AJ209" s="141"/>
      <c r="AK209" s="141" t="s">
        <v>354</v>
      </c>
      <c r="AL209" s="141" t="s">
        <v>364</v>
      </c>
      <c r="AM209" s="141" t="s">
        <v>354</v>
      </c>
      <c r="AN209" s="141" t="s">
        <v>2637</v>
      </c>
      <c r="AO209" s="141" t="s">
        <v>2636</v>
      </c>
      <c r="AP209" s="141" t="s">
        <v>366</v>
      </c>
      <c r="AQ209" s="141" t="s">
        <v>367</v>
      </c>
      <c r="AR209" s="141" t="s">
        <v>368</v>
      </c>
      <c r="AS209" s="141"/>
      <c r="AT209" s="141"/>
      <c r="AU209" s="141"/>
      <c r="AV209" s="141"/>
      <c r="AW209" s="141"/>
      <c r="AX209" s="141"/>
      <c r="AY209" s="141"/>
      <c r="AZ209" s="141"/>
      <c r="BA209" s="141"/>
      <c r="BB209" s="141"/>
      <c r="BC209" s="141"/>
      <c r="BD209" s="141"/>
      <c r="BE209" s="141"/>
      <c r="BF209" s="141"/>
      <c r="BG209" s="141"/>
      <c r="BH209" s="141"/>
      <c r="BI209" s="141"/>
      <c r="BJ209" s="141"/>
      <c r="BK209" s="141"/>
      <c r="BL209" s="141"/>
      <c r="BM209" s="141"/>
      <c r="BN209" s="141"/>
      <c r="BO209" s="141"/>
      <c r="BP209" s="141"/>
      <c r="BQ209" s="141"/>
      <c r="BR209" s="141"/>
      <c r="BS209" s="141"/>
      <c r="BT209" s="141"/>
      <c r="BU209" s="141"/>
      <c r="BV209" s="141"/>
      <c r="BW209" s="141"/>
      <c r="BX209" s="141"/>
      <c r="BY209" s="141"/>
      <c r="BZ209" s="141"/>
      <c r="CA209" s="141"/>
      <c r="CB209" s="141"/>
      <c r="CC209" s="141"/>
      <c r="CD209" s="141"/>
      <c r="CE209" s="141"/>
      <c r="CF209" s="141"/>
      <c r="CG209" s="141"/>
      <c r="CH209" s="141"/>
      <c r="CI209" s="141"/>
      <c r="CJ209" s="141"/>
      <c r="CK209" s="141"/>
      <c r="CL209" s="141"/>
      <c r="CM209" s="141"/>
      <c r="CN209" s="141"/>
      <c r="CO209" s="141"/>
      <c r="CP209" s="141"/>
      <c r="CQ209" s="141"/>
      <c r="CR209" s="141"/>
      <c r="CS209" s="141"/>
      <c r="CT209" s="141"/>
      <c r="CU209" s="141"/>
      <c r="CV209" s="141"/>
      <c r="CW209" s="141"/>
      <c r="CX209" s="141"/>
      <c r="CY209" s="141"/>
      <c r="CZ209" s="141"/>
      <c r="DA209" s="173"/>
    </row>
    <row r="210" spans="2:105" x14ac:dyDescent="0.25">
      <c r="B210" s="172"/>
      <c r="C210" s="141"/>
      <c r="D210" s="141" t="s">
        <v>2726</v>
      </c>
      <c r="E210" s="141"/>
      <c r="F210" s="141" t="s">
        <v>466</v>
      </c>
      <c r="G210" s="141"/>
      <c r="H210" s="141" t="s">
        <v>353</v>
      </c>
      <c r="I210" s="141"/>
      <c r="J210" s="141" t="s">
        <v>354</v>
      </c>
      <c r="K210" s="141" t="s">
        <v>580</v>
      </c>
      <c r="L210" s="141"/>
      <c r="M210" s="141"/>
      <c r="N210" s="141" t="s">
        <v>354</v>
      </c>
      <c r="O210" s="141"/>
      <c r="P210" s="141"/>
      <c r="Q210" s="141"/>
      <c r="R210" s="141"/>
      <c r="S210" s="141" t="s">
        <v>1396</v>
      </c>
      <c r="T210" s="141" t="s">
        <v>2636</v>
      </c>
      <c r="U210" s="141" t="s">
        <v>2636</v>
      </c>
      <c r="V210" s="141"/>
      <c r="W210" s="141"/>
      <c r="X210" s="141"/>
      <c r="Y210" s="141"/>
      <c r="Z210" s="141"/>
      <c r="AA210" s="141"/>
      <c r="AB210" s="141"/>
      <c r="AC210" s="141"/>
      <c r="AD210" s="141"/>
      <c r="AE210" s="141"/>
      <c r="AF210" s="141"/>
      <c r="AG210" s="141"/>
      <c r="AH210" s="141"/>
      <c r="AI210" s="141"/>
      <c r="AJ210" s="141"/>
      <c r="AK210" s="141" t="s">
        <v>354</v>
      </c>
      <c r="AL210" s="141" t="s">
        <v>364</v>
      </c>
      <c r="AM210" s="141" t="s">
        <v>354</v>
      </c>
      <c r="AN210" s="141" t="s">
        <v>2637</v>
      </c>
      <c r="AO210" s="141" t="s">
        <v>2636</v>
      </c>
      <c r="AP210" s="141" t="s">
        <v>366</v>
      </c>
      <c r="AQ210" s="141" t="s">
        <v>367</v>
      </c>
      <c r="AR210" s="141" t="s">
        <v>368</v>
      </c>
      <c r="AS210" s="141"/>
      <c r="AT210" s="141"/>
      <c r="AU210" s="141"/>
      <c r="AV210" s="141"/>
      <c r="AW210" s="141"/>
      <c r="AX210" s="141"/>
      <c r="AY210" s="141"/>
      <c r="AZ210" s="141"/>
      <c r="BA210" s="141"/>
      <c r="BB210" s="141"/>
      <c r="BC210" s="141"/>
      <c r="BD210" s="141"/>
      <c r="BE210" s="141"/>
      <c r="BF210" s="141"/>
      <c r="BG210" s="141"/>
      <c r="BH210" s="141"/>
      <c r="BI210" s="141"/>
      <c r="BJ210" s="141"/>
      <c r="BK210" s="141"/>
      <c r="BL210" s="141"/>
      <c r="BM210" s="141"/>
      <c r="BN210" s="141"/>
      <c r="BO210" s="141"/>
      <c r="BP210" s="141"/>
      <c r="BQ210" s="141"/>
      <c r="BR210" s="141"/>
      <c r="BS210" s="141"/>
      <c r="BT210" s="141"/>
      <c r="BU210" s="141"/>
      <c r="BV210" s="141"/>
      <c r="BW210" s="141"/>
      <c r="BX210" s="141"/>
      <c r="BY210" s="141"/>
      <c r="BZ210" s="141"/>
      <c r="CA210" s="141"/>
      <c r="CB210" s="141"/>
      <c r="CC210" s="141"/>
      <c r="CD210" s="141"/>
      <c r="CE210" s="141"/>
      <c r="CF210" s="141"/>
      <c r="CG210" s="141"/>
      <c r="CH210" s="141"/>
      <c r="CI210" s="141"/>
      <c r="CJ210" s="141"/>
      <c r="CK210" s="141"/>
      <c r="CL210" s="141"/>
      <c r="CM210" s="141"/>
      <c r="CN210" s="141"/>
      <c r="CO210" s="141"/>
      <c r="CP210" s="141"/>
      <c r="CQ210" s="141"/>
      <c r="CR210" s="141"/>
      <c r="CS210" s="141"/>
      <c r="CT210" s="141"/>
      <c r="CU210" s="141"/>
      <c r="CV210" s="141"/>
      <c r="CW210" s="141"/>
      <c r="CX210" s="141"/>
      <c r="CY210" s="141"/>
      <c r="CZ210" s="141"/>
      <c r="DA210" s="173"/>
    </row>
    <row r="211" spans="2:105" x14ac:dyDescent="0.25">
      <c r="B211" s="172"/>
      <c r="C211" s="141" t="s">
        <v>2727</v>
      </c>
      <c r="D211" s="141" t="s">
        <v>2728</v>
      </c>
      <c r="E211" s="141" t="s">
        <v>462</v>
      </c>
      <c r="F211" s="141" t="s">
        <v>2729</v>
      </c>
      <c r="G211" s="141"/>
      <c r="H211" s="141" t="s">
        <v>353</v>
      </c>
      <c r="I211" s="141"/>
      <c r="J211" s="141" t="s">
        <v>354</v>
      </c>
      <c r="K211" s="141" t="s">
        <v>1096</v>
      </c>
      <c r="L211" s="141" t="s">
        <v>2730</v>
      </c>
      <c r="M211" s="141" t="s">
        <v>1013</v>
      </c>
      <c r="N211" s="141" t="s">
        <v>354</v>
      </c>
      <c r="O211" s="141" t="s">
        <v>393</v>
      </c>
      <c r="P211" s="141" t="s">
        <v>424</v>
      </c>
      <c r="Q211" s="141" t="s">
        <v>425</v>
      </c>
      <c r="R211" s="141" t="s">
        <v>361</v>
      </c>
      <c r="S211" s="141" t="s">
        <v>1380</v>
      </c>
      <c r="T211" s="141" t="s">
        <v>2731</v>
      </c>
      <c r="U211" s="141" t="s">
        <v>2731</v>
      </c>
      <c r="V211" s="141"/>
      <c r="W211" s="141"/>
      <c r="X211" s="141"/>
      <c r="Y211" s="141"/>
      <c r="Z211" s="141"/>
      <c r="AA211" s="141"/>
      <c r="AB211" s="141"/>
      <c r="AC211" s="141"/>
      <c r="AD211" s="141"/>
      <c r="AE211" s="141"/>
      <c r="AF211" s="141"/>
      <c r="AG211" s="141"/>
      <c r="AH211" s="141"/>
      <c r="AI211" s="141"/>
      <c r="AJ211" s="141"/>
      <c r="AK211" s="141" t="s">
        <v>354</v>
      </c>
      <c r="AL211" s="141" t="s">
        <v>364</v>
      </c>
      <c r="AM211" s="141" t="s">
        <v>354</v>
      </c>
      <c r="AN211" s="141" t="s">
        <v>1966</v>
      </c>
      <c r="AO211" s="141" t="s">
        <v>2731</v>
      </c>
      <c r="AP211" s="141" t="s">
        <v>488</v>
      </c>
      <c r="AQ211" s="141" t="s">
        <v>489</v>
      </c>
      <c r="AR211" s="141" t="s">
        <v>490</v>
      </c>
      <c r="AS211" s="141" t="s">
        <v>369</v>
      </c>
      <c r="AT211" s="141"/>
      <c r="AU211" s="141" t="s">
        <v>2730</v>
      </c>
      <c r="AV211" s="141" t="s">
        <v>489</v>
      </c>
      <c r="AW211" s="141" t="s">
        <v>2732</v>
      </c>
      <c r="AX211" s="141" t="s">
        <v>372</v>
      </c>
      <c r="AY211" s="141" t="s">
        <v>2733</v>
      </c>
      <c r="AZ211" s="141" t="s">
        <v>493</v>
      </c>
      <c r="BA211" s="141" t="s">
        <v>2734</v>
      </c>
      <c r="BB211" s="141" t="s">
        <v>495</v>
      </c>
      <c r="BC211" s="141" t="s">
        <v>2735</v>
      </c>
      <c r="BD211" s="141" t="s">
        <v>497</v>
      </c>
      <c r="BE211" s="141" t="s">
        <v>498</v>
      </c>
      <c r="BF211" s="141" t="s">
        <v>499</v>
      </c>
      <c r="BG211" s="141" t="s">
        <v>2736</v>
      </c>
      <c r="BH211" s="141" t="s">
        <v>501</v>
      </c>
      <c r="BI211" s="141" t="s">
        <v>2737</v>
      </c>
      <c r="BJ211" s="141" t="s">
        <v>380</v>
      </c>
      <c r="BK211" s="141" t="s">
        <v>2738</v>
      </c>
      <c r="BL211" s="141" t="s">
        <v>382</v>
      </c>
      <c r="BM211" s="141" t="s">
        <v>2739</v>
      </c>
      <c r="BN211" s="141"/>
      <c r="BO211" s="141"/>
      <c r="BP211" s="141"/>
      <c r="BQ211" s="141"/>
      <c r="BR211" s="141"/>
      <c r="BS211" s="141"/>
      <c r="BT211" s="141"/>
      <c r="BU211" s="141"/>
      <c r="BV211" s="141"/>
      <c r="BW211" s="141"/>
      <c r="BX211" s="141"/>
      <c r="BY211" s="141"/>
      <c r="BZ211" s="141"/>
      <c r="CA211" s="141"/>
      <c r="CB211" s="141"/>
      <c r="CC211" s="141"/>
      <c r="CD211" s="141"/>
      <c r="CE211" s="141"/>
      <c r="CF211" s="141"/>
      <c r="CG211" s="141"/>
      <c r="CH211" s="141"/>
      <c r="CI211" s="141"/>
      <c r="CJ211" s="141"/>
      <c r="CK211" s="141"/>
      <c r="CL211" s="141"/>
      <c r="CM211" s="141"/>
      <c r="CN211" s="141"/>
      <c r="CO211" s="141"/>
      <c r="CP211" s="141"/>
      <c r="CQ211" s="141"/>
      <c r="CR211" s="141"/>
      <c r="CS211" s="141"/>
      <c r="CT211" s="141"/>
      <c r="CU211" s="141"/>
      <c r="CV211" s="141"/>
      <c r="CW211" s="141"/>
      <c r="CX211" s="141"/>
      <c r="CY211" s="141"/>
      <c r="CZ211" s="141"/>
      <c r="DA211" s="173"/>
    </row>
    <row r="212" spans="2:105" x14ac:dyDescent="0.25">
      <c r="B212" s="172"/>
      <c r="C212" s="141" t="s">
        <v>2740</v>
      </c>
      <c r="D212" s="141" t="s">
        <v>2196</v>
      </c>
      <c r="E212" s="141" t="s">
        <v>2386</v>
      </c>
      <c r="F212" s="141" t="s">
        <v>2741</v>
      </c>
      <c r="G212" s="141"/>
      <c r="H212" s="141" t="s">
        <v>353</v>
      </c>
      <c r="I212" s="141"/>
      <c r="J212" s="141" t="s">
        <v>354</v>
      </c>
      <c r="K212" s="141" t="s">
        <v>2170</v>
      </c>
      <c r="L212" s="141" t="s">
        <v>2742</v>
      </c>
      <c r="M212" s="141" t="s">
        <v>2743</v>
      </c>
      <c r="N212" s="141" t="s">
        <v>354</v>
      </c>
      <c r="O212" s="141" t="s">
        <v>393</v>
      </c>
      <c r="P212" s="141" t="s">
        <v>424</v>
      </c>
      <c r="Q212" s="141" t="s">
        <v>425</v>
      </c>
      <c r="R212" s="141" t="s">
        <v>361</v>
      </c>
      <c r="S212" s="141" t="s">
        <v>1380</v>
      </c>
      <c r="T212" s="141" t="s">
        <v>2731</v>
      </c>
      <c r="U212" s="141" t="s">
        <v>2731</v>
      </c>
      <c r="V212" s="141"/>
      <c r="W212" s="141"/>
      <c r="X212" s="141"/>
      <c r="Y212" s="141"/>
      <c r="Z212" s="141"/>
      <c r="AA212" s="141"/>
      <c r="AB212" s="141"/>
      <c r="AC212" s="141"/>
      <c r="AD212" s="141"/>
      <c r="AE212" s="141"/>
      <c r="AF212" s="141"/>
      <c r="AG212" s="141"/>
      <c r="AH212" s="141"/>
      <c r="AI212" s="141"/>
      <c r="AJ212" s="141"/>
      <c r="AK212" s="141" t="s">
        <v>354</v>
      </c>
      <c r="AL212" s="141" t="s">
        <v>364</v>
      </c>
      <c r="AM212" s="141" t="s">
        <v>354</v>
      </c>
      <c r="AN212" s="141" t="s">
        <v>1966</v>
      </c>
      <c r="AO212" s="141" t="s">
        <v>2731</v>
      </c>
      <c r="AP212" s="141" t="s">
        <v>488</v>
      </c>
      <c r="AQ212" s="141" t="s">
        <v>489</v>
      </c>
      <c r="AR212" s="141" t="s">
        <v>490</v>
      </c>
      <c r="AS212" s="141" t="s">
        <v>393</v>
      </c>
      <c r="AT212" s="141"/>
      <c r="AU212" s="141" t="s">
        <v>2742</v>
      </c>
      <c r="AV212" s="141" t="s">
        <v>489</v>
      </c>
      <c r="AW212" s="141" t="s">
        <v>2744</v>
      </c>
      <c r="AX212" s="141" t="s">
        <v>372</v>
      </c>
      <c r="AY212" s="141" t="s">
        <v>2227</v>
      </c>
      <c r="AZ212" s="141" t="s">
        <v>493</v>
      </c>
      <c r="BA212" s="141" t="s">
        <v>2745</v>
      </c>
      <c r="BB212" s="141" t="s">
        <v>495</v>
      </c>
      <c r="BC212" s="141" t="s">
        <v>947</v>
      </c>
      <c r="BD212" s="141" t="s">
        <v>497</v>
      </c>
      <c r="BE212" s="141" t="s">
        <v>2746</v>
      </c>
      <c r="BF212" s="141" t="s">
        <v>499</v>
      </c>
      <c r="BG212" s="141" t="s">
        <v>2747</v>
      </c>
      <c r="BH212" s="141" t="s">
        <v>501</v>
      </c>
      <c r="BI212" s="141" t="s">
        <v>2748</v>
      </c>
      <c r="BJ212" s="141" t="s">
        <v>380</v>
      </c>
      <c r="BK212" s="141" t="s">
        <v>2749</v>
      </c>
      <c r="BL212" s="141" t="s">
        <v>382</v>
      </c>
      <c r="BM212" s="141" t="s">
        <v>2750</v>
      </c>
      <c r="BN212" s="141"/>
      <c r="BO212" s="141"/>
      <c r="BP212" s="141"/>
      <c r="BQ212" s="141"/>
      <c r="BR212" s="141"/>
      <c r="BS212" s="141"/>
      <c r="BT212" s="141"/>
      <c r="BU212" s="141"/>
      <c r="BV212" s="141"/>
      <c r="BW212" s="141"/>
      <c r="BX212" s="141"/>
      <c r="BY212" s="141"/>
      <c r="BZ212" s="141"/>
      <c r="CA212" s="141"/>
      <c r="CB212" s="141"/>
      <c r="CC212" s="141"/>
      <c r="CD212" s="141"/>
      <c r="CE212" s="141"/>
      <c r="CF212" s="141"/>
      <c r="CG212" s="141"/>
      <c r="CH212" s="141"/>
      <c r="CI212" s="141"/>
      <c r="CJ212" s="141"/>
      <c r="CK212" s="141"/>
      <c r="CL212" s="141"/>
      <c r="CM212" s="141"/>
      <c r="CN212" s="141"/>
      <c r="CO212" s="141"/>
      <c r="CP212" s="141"/>
      <c r="CQ212" s="141"/>
      <c r="CR212" s="141"/>
      <c r="CS212" s="141"/>
      <c r="CT212" s="141"/>
      <c r="CU212" s="141"/>
      <c r="CV212" s="141"/>
      <c r="CW212" s="141"/>
      <c r="CX212" s="141"/>
      <c r="CY212" s="141"/>
      <c r="CZ212" s="141"/>
      <c r="DA212" s="173"/>
    </row>
    <row r="213" spans="2:105" x14ac:dyDescent="0.25">
      <c r="B213" s="172"/>
      <c r="C213" s="141" t="s">
        <v>2751</v>
      </c>
      <c r="D213" s="141" t="s">
        <v>2752</v>
      </c>
      <c r="E213" s="141" t="s">
        <v>1992</v>
      </c>
      <c r="F213" s="141" t="s">
        <v>2564</v>
      </c>
      <c r="G213" s="141"/>
      <c r="H213" s="141" t="s">
        <v>353</v>
      </c>
      <c r="I213" s="141"/>
      <c r="J213" s="141" t="s">
        <v>354</v>
      </c>
      <c r="K213" s="141" t="s">
        <v>2179</v>
      </c>
      <c r="L213" s="141" t="s">
        <v>2753</v>
      </c>
      <c r="M213" s="141" t="s">
        <v>2754</v>
      </c>
      <c r="N213" s="141" t="s">
        <v>354</v>
      </c>
      <c r="O213" s="141" t="s">
        <v>369</v>
      </c>
      <c r="P213" s="141" t="s">
        <v>528</v>
      </c>
      <c r="Q213" s="141" t="s">
        <v>529</v>
      </c>
      <c r="R213" s="141" t="s">
        <v>361</v>
      </c>
      <c r="S213" s="141" t="s">
        <v>1380</v>
      </c>
      <c r="T213" s="141" t="s">
        <v>2731</v>
      </c>
      <c r="U213" s="141" t="s">
        <v>2731</v>
      </c>
      <c r="V213" s="141"/>
      <c r="W213" s="141"/>
      <c r="X213" s="141"/>
      <c r="Y213" s="141"/>
      <c r="Z213" s="141"/>
      <c r="AA213" s="141"/>
      <c r="AB213" s="141"/>
      <c r="AC213" s="141"/>
      <c r="AD213" s="141"/>
      <c r="AE213" s="141"/>
      <c r="AF213" s="141"/>
      <c r="AG213" s="141"/>
      <c r="AH213" s="141"/>
      <c r="AI213" s="141"/>
      <c r="AJ213" s="141"/>
      <c r="AK213" s="141" t="s">
        <v>354</v>
      </c>
      <c r="AL213" s="141" t="s">
        <v>364</v>
      </c>
      <c r="AM213" s="141" t="s">
        <v>354</v>
      </c>
      <c r="AN213" s="141" t="s">
        <v>1966</v>
      </c>
      <c r="AO213" s="141" t="s">
        <v>2731</v>
      </c>
      <c r="AP213" s="141" t="s">
        <v>488</v>
      </c>
      <c r="AQ213" s="141" t="s">
        <v>489</v>
      </c>
      <c r="AR213" s="141" t="s">
        <v>490</v>
      </c>
      <c r="AS213" s="141" t="s">
        <v>358</v>
      </c>
      <c r="AT213" s="141"/>
      <c r="AU213" s="141" t="s">
        <v>2753</v>
      </c>
      <c r="AV213" s="141" t="s">
        <v>489</v>
      </c>
      <c r="AW213" s="141" t="s">
        <v>2755</v>
      </c>
      <c r="AX213" s="141" t="s">
        <v>372</v>
      </c>
      <c r="AY213" s="141" t="s">
        <v>1783</v>
      </c>
      <c r="AZ213" s="141" t="s">
        <v>493</v>
      </c>
      <c r="BA213" s="141" t="s">
        <v>2756</v>
      </c>
      <c r="BB213" s="141" t="s">
        <v>495</v>
      </c>
      <c r="BC213" s="141" t="s">
        <v>806</v>
      </c>
      <c r="BD213" s="141" t="s">
        <v>497</v>
      </c>
      <c r="BE213" s="141" t="s">
        <v>2757</v>
      </c>
      <c r="BF213" s="141" t="s">
        <v>499</v>
      </c>
      <c r="BG213" s="141" t="s">
        <v>2758</v>
      </c>
      <c r="BH213" s="141" t="s">
        <v>501</v>
      </c>
      <c r="BI213" s="141" t="s">
        <v>2759</v>
      </c>
      <c r="BJ213" s="141" t="s">
        <v>380</v>
      </c>
      <c r="BK213" s="141" t="s">
        <v>1298</v>
      </c>
      <c r="BL213" s="141" t="s">
        <v>382</v>
      </c>
      <c r="BM213" s="141" t="s">
        <v>2760</v>
      </c>
      <c r="BN213" s="141"/>
      <c r="BO213" s="141"/>
      <c r="BP213" s="141"/>
      <c r="BQ213" s="141"/>
      <c r="BR213" s="141"/>
      <c r="BS213" s="141"/>
      <c r="BT213" s="141"/>
      <c r="BU213" s="141"/>
      <c r="BV213" s="141"/>
      <c r="BW213" s="141"/>
      <c r="BX213" s="141"/>
      <c r="BY213" s="141"/>
      <c r="BZ213" s="141"/>
      <c r="CA213" s="141"/>
      <c r="CB213" s="141"/>
      <c r="CC213" s="141"/>
      <c r="CD213" s="141"/>
      <c r="CE213" s="141"/>
      <c r="CF213" s="141"/>
      <c r="CG213" s="141"/>
      <c r="CH213" s="141"/>
      <c r="CI213" s="141"/>
      <c r="CJ213" s="141"/>
      <c r="CK213" s="141"/>
      <c r="CL213" s="141"/>
      <c r="CM213" s="141"/>
      <c r="CN213" s="141"/>
      <c r="CO213" s="141"/>
      <c r="CP213" s="141"/>
      <c r="CQ213" s="141"/>
      <c r="CR213" s="141"/>
      <c r="CS213" s="141"/>
      <c r="CT213" s="141"/>
      <c r="CU213" s="141"/>
      <c r="CV213" s="141"/>
      <c r="CW213" s="141"/>
      <c r="CX213" s="141"/>
      <c r="CY213" s="141"/>
      <c r="CZ213" s="141"/>
      <c r="DA213" s="173"/>
    </row>
    <row r="214" spans="2:105" x14ac:dyDescent="0.25">
      <c r="B214" s="172"/>
      <c r="C214" s="141"/>
      <c r="D214" s="141" t="s">
        <v>2761</v>
      </c>
      <c r="E214" s="141"/>
      <c r="F214" s="141" t="s">
        <v>466</v>
      </c>
      <c r="G214" s="141"/>
      <c r="H214" s="141" t="s">
        <v>353</v>
      </c>
      <c r="I214" s="141"/>
      <c r="J214" s="141" t="s">
        <v>354</v>
      </c>
      <c r="K214" s="141" t="s">
        <v>750</v>
      </c>
      <c r="L214" s="141"/>
      <c r="M214" s="141"/>
      <c r="N214" s="141" t="s">
        <v>354</v>
      </c>
      <c r="O214" s="141"/>
      <c r="P214" s="141"/>
      <c r="Q214" s="141"/>
      <c r="R214" s="141"/>
      <c r="S214" s="141" t="s">
        <v>1380</v>
      </c>
      <c r="T214" s="141" t="s">
        <v>2731</v>
      </c>
      <c r="U214" s="141" t="s">
        <v>2731</v>
      </c>
      <c r="V214" s="141"/>
      <c r="W214" s="141"/>
      <c r="X214" s="141"/>
      <c r="Y214" s="141"/>
      <c r="Z214" s="141"/>
      <c r="AA214" s="141"/>
      <c r="AB214" s="141"/>
      <c r="AC214" s="141"/>
      <c r="AD214" s="141"/>
      <c r="AE214" s="141"/>
      <c r="AF214" s="141"/>
      <c r="AG214" s="141"/>
      <c r="AH214" s="141"/>
      <c r="AI214" s="141"/>
      <c r="AJ214" s="141"/>
      <c r="AK214" s="141" t="s">
        <v>354</v>
      </c>
      <c r="AL214" s="141" t="s">
        <v>364</v>
      </c>
      <c r="AM214" s="141" t="s">
        <v>354</v>
      </c>
      <c r="AN214" s="141" t="s">
        <v>1966</v>
      </c>
      <c r="AO214" s="141" t="s">
        <v>2731</v>
      </c>
      <c r="AP214" s="141" t="s">
        <v>488</v>
      </c>
      <c r="AQ214" s="141" t="s">
        <v>489</v>
      </c>
      <c r="AR214" s="141" t="s">
        <v>490</v>
      </c>
      <c r="AS214" s="141"/>
      <c r="AT214" s="141"/>
      <c r="AU214" s="141"/>
      <c r="AV214" s="141"/>
      <c r="AW214" s="141"/>
      <c r="AX214" s="141"/>
      <c r="AY214" s="141"/>
      <c r="AZ214" s="141"/>
      <c r="BA214" s="141"/>
      <c r="BB214" s="141"/>
      <c r="BC214" s="141"/>
      <c r="BD214" s="141"/>
      <c r="BE214" s="141"/>
      <c r="BF214" s="141"/>
      <c r="BG214" s="141"/>
      <c r="BH214" s="141"/>
      <c r="BI214" s="141"/>
      <c r="BJ214" s="141"/>
      <c r="BK214" s="141"/>
      <c r="BL214" s="141"/>
      <c r="BM214" s="141"/>
      <c r="BN214" s="141"/>
      <c r="BO214" s="141"/>
      <c r="BP214" s="141"/>
      <c r="BQ214" s="141"/>
      <c r="BR214" s="141"/>
      <c r="BS214" s="141"/>
      <c r="BT214" s="141"/>
      <c r="BU214" s="141"/>
      <c r="BV214" s="141"/>
      <c r="BW214" s="141"/>
      <c r="BX214" s="141"/>
      <c r="BY214" s="141"/>
      <c r="BZ214" s="141"/>
      <c r="CA214" s="141"/>
      <c r="CB214" s="141"/>
      <c r="CC214" s="141"/>
      <c r="CD214" s="141"/>
      <c r="CE214" s="141"/>
      <c r="CF214" s="141"/>
      <c r="CG214" s="141"/>
      <c r="CH214" s="141"/>
      <c r="CI214" s="141"/>
      <c r="CJ214" s="141"/>
      <c r="CK214" s="141"/>
      <c r="CL214" s="141"/>
      <c r="CM214" s="141"/>
      <c r="CN214" s="141"/>
      <c r="CO214" s="141"/>
      <c r="CP214" s="141"/>
      <c r="CQ214" s="141"/>
      <c r="CR214" s="141"/>
      <c r="CS214" s="141"/>
      <c r="CT214" s="141"/>
      <c r="CU214" s="141"/>
      <c r="CV214" s="141"/>
      <c r="CW214" s="141"/>
      <c r="CX214" s="141"/>
      <c r="CY214" s="141"/>
      <c r="CZ214" s="141"/>
      <c r="DA214" s="173"/>
    </row>
    <row r="215" spans="2:105" x14ac:dyDescent="0.25">
      <c r="B215" s="172"/>
      <c r="C215" s="141"/>
      <c r="D215" s="141" t="s">
        <v>2762</v>
      </c>
      <c r="E215" s="141"/>
      <c r="F215" s="141" t="s">
        <v>466</v>
      </c>
      <c r="G215" s="141"/>
      <c r="H215" s="141" t="s">
        <v>353</v>
      </c>
      <c r="I215" s="141"/>
      <c r="J215" s="141" t="s">
        <v>354</v>
      </c>
      <c r="K215" s="141" t="s">
        <v>1980</v>
      </c>
      <c r="L215" s="141"/>
      <c r="M215" s="141"/>
      <c r="N215" s="141" t="s">
        <v>354</v>
      </c>
      <c r="O215" s="141"/>
      <c r="P215" s="141"/>
      <c r="Q215" s="141"/>
      <c r="R215" s="141"/>
      <c r="S215" s="141" t="s">
        <v>1380</v>
      </c>
      <c r="T215" s="141" t="s">
        <v>2731</v>
      </c>
      <c r="U215" s="141" t="s">
        <v>2731</v>
      </c>
      <c r="V215" s="141"/>
      <c r="W215" s="141"/>
      <c r="X215" s="141"/>
      <c r="Y215" s="141"/>
      <c r="Z215" s="141"/>
      <c r="AA215" s="141"/>
      <c r="AB215" s="141"/>
      <c r="AC215" s="141"/>
      <c r="AD215" s="141"/>
      <c r="AE215" s="141"/>
      <c r="AF215" s="141"/>
      <c r="AG215" s="141"/>
      <c r="AH215" s="141"/>
      <c r="AI215" s="141"/>
      <c r="AJ215" s="141"/>
      <c r="AK215" s="141" t="s">
        <v>354</v>
      </c>
      <c r="AL215" s="141" t="s">
        <v>364</v>
      </c>
      <c r="AM215" s="141" t="s">
        <v>354</v>
      </c>
      <c r="AN215" s="141" t="s">
        <v>1966</v>
      </c>
      <c r="AO215" s="141" t="s">
        <v>2731</v>
      </c>
      <c r="AP215" s="141" t="s">
        <v>488</v>
      </c>
      <c r="AQ215" s="141" t="s">
        <v>489</v>
      </c>
      <c r="AR215" s="141" t="s">
        <v>490</v>
      </c>
      <c r="AS215" s="141"/>
      <c r="AT215" s="141"/>
      <c r="AU215" s="141"/>
      <c r="AV215" s="141"/>
      <c r="AW215" s="141"/>
      <c r="AX215" s="141"/>
      <c r="AY215" s="141"/>
      <c r="AZ215" s="141"/>
      <c r="BA215" s="141"/>
      <c r="BB215" s="141"/>
      <c r="BC215" s="141"/>
      <c r="BD215" s="141"/>
      <c r="BE215" s="141"/>
      <c r="BF215" s="141"/>
      <c r="BG215" s="141"/>
      <c r="BH215" s="141"/>
      <c r="BI215" s="141"/>
      <c r="BJ215" s="141"/>
      <c r="BK215" s="141"/>
      <c r="BL215" s="141"/>
      <c r="BM215" s="141"/>
      <c r="BN215" s="141"/>
      <c r="BO215" s="141"/>
      <c r="BP215" s="141"/>
      <c r="BQ215" s="141"/>
      <c r="BR215" s="141"/>
      <c r="BS215" s="141"/>
      <c r="BT215" s="141"/>
      <c r="BU215" s="141"/>
      <c r="BV215" s="141"/>
      <c r="BW215" s="141"/>
      <c r="BX215" s="141"/>
      <c r="BY215" s="141"/>
      <c r="BZ215" s="141"/>
      <c r="CA215" s="141"/>
      <c r="CB215" s="141"/>
      <c r="CC215" s="141"/>
      <c r="CD215" s="141"/>
      <c r="CE215" s="141"/>
      <c r="CF215" s="141"/>
      <c r="CG215" s="141"/>
      <c r="CH215" s="141"/>
      <c r="CI215" s="141"/>
      <c r="CJ215" s="141"/>
      <c r="CK215" s="141"/>
      <c r="CL215" s="141"/>
      <c r="CM215" s="141"/>
      <c r="CN215" s="141"/>
      <c r="CO215" s="141"/>
      <c r="CP215" s="141"/>
      <c r="CQ215" s="141"/>
      <c r="CR215" s="141"/>
      <c r="CS215" s="141"/>
      <c r="CT215" s="141"/>
      <c r="CU215" s="141"/>
      <c r="CV215" s="141"/>
      <c r="CW215" s="141"/>
      <c r="CX215" s="141"/>
      <c r="CY215" s="141"/>
      <c r="CZ215" s="141"/>
      <c r="DA215" s="173"/>
    </row>
    <row r="216" spans="2:105" x14ac:dyDescent="0.25">
      <c r="B216" s="172"/>
      <c r="C216" s="141" t="s">
        <v>2763</v>
      </c>
      <c r="D216" s="141" t="s">
        <v>2637</v>
      </c>
      <c r="E216" s="141" t="s">
        <v>727</v>
      </c>
      <c r="F216" s="141" t="s">
        <v>2646</v>
      </c>
      <c r="G216" s="141"/>
      <c r="H216" s="141" t="s">
        <v>353</v>
      </c>
      <c r="I216" s="141"/>
      <c r="J216" s="141" t="s">
        <v>354</v>
      </c>
      <c r="K216" s="141" t="s">
        <v>1407</v>
      </c>
      <c r="L216" s="141" t="s">
        <v>2764</v>
      </c>
      <c r="M216" s="141" t="s">
        <v>1297</v>
      </c>
      <c r="N216" s="141" t="s">
        <v>354</v>
      </c>
      <c r="O216" s="141" t="s">
        <v>426</v>
      </c>
      <c r="P216" s="141" t="s">
        <v>454</v>
      </c>
      <c r="Q216" s="141" t="s">
        <v>455</v>
      </c>
      <c r="R216" s="141" t="s">
        <v>361</v>
      </c>
      <c r="S216" s="141" t="s">
        <v>1367</v>
      </c>
      <c r="T216" s="141" t="s">
        <v>2765</v>
      </c>
      <c r="U216" s="141" t="s">
        <v>2765</v>
      </c>
      <c r="V216" s="141"/>
      <c r="W216" s="141"/>
      <c r="X216" s="141"/>
      <c r="Y216" s="141"/>
      <c r="Z216" s="141"/>
      <c r="AA216" s="141"/>
      <c r="AB216" s="141"/>
      <c r="AC216" s="141"/>
      <c r="AD216" s="141"/>
      <c r="AE216" s="141"/>
      <c r="AF216" s="141"/>
      <c r="AG216" s="141"/>
      <c r="AH216" s="141"/>
      <c r="AI216" s="141"/>
      <c r="AJ216" s="141"/>
      <c r="AK216" s="141" t="s">
        <v>354</v>
      </c>
      <c r="AL216" s="141" t="s">
        <v>364</v>
      </c>
      <c r="AM216" s="141" t="s">
        <v>354</v>
      </c>
      <c r="AN216" s="141" t="s">
        <v>380</v>
      </c>
      <c r="AO216" s="141" t="s">
        <v>2765</v>
      </c>
      <c r="AP216" s="141" t="s">
        <v>2427</v>
      </c>
      <c r="AQ216" s="141" t="s">
        <v>848</v>
      </c>
      <c r="AR216" s="141" t="s">
        <v>408</v>
      </c>
      <c r="AS216" s="141" t="s">
        <v>369</v>
      </c>
      <c r="AT216" s="141"/>
      <c r="AU216" s="141" t="s">
        <v>2764</v>
      </c>
      <c r="AV216" s="141" t="s">
        <v>499</v>
      </c>
      <c r="AW216" s="141" t="s">
        <v>1683</v>
      </c>
      <c r="AX216" s="141" t="s">
        <v>657</v>
      </c>
      <c r="AY216" s="141" t="s">
        <v>2766</v>
      </c>
      <c r="AZ216" s="141" t="s">
        <v>910</v>
      </c>
      <c r="BA216" s="141" t="s">
        <v>1889</v>
      </c>
      <c r="BB216" s="141" t="s">
        <v>497</v>
      </c>
      <c r="BC216" s="141" t="s">
        <v>2063</v>
      </c>
      <c r="BD216" s="141" t="s">
        <v>501</v>
      </c>
      <c r="BE216" s="141" t="s">
        <v>2767</v>
      </c>
      <c r="BF216" s="141" t="s">
        <v>900</v>
      </c>
      <c r="BG216" s="141" t="s">
        <v>650</v>
      </c>
      <c r="BH216" s="141" t="s">
        <v>787</v>
      </c>
      <c r="BI216" s="141" t="s">
        <v>2768</v>
      </c>
      <c r="BJ216" s="141" t="s">
        <v>382</v>
      </c>
      <c r="BK216" s="141" t="s">
        <v>2769</v>
      </c>
      <c r="BL216" s="141"/>
      <c r="BM216" s="141"/>
      <c r="BN216" s="141"/>
      <c r="BO216" s="141"/>
      <c r="BP216" s="141"/>
      <c r="BQ216" s="141"/>
      <c r="BR216" s="141"/>
      <c r="BS216" s="141"/>
      <c r="BT216" s="141"/>
      <c r="BU216" s="141"/>
      <c r="BV216" s="141"/>
      <c r="BW216" s="141"/>
      <c r="BX216" s="141"/>
      <c r="BY216" s="141"/>
      <c r="BZ216" s="141"/>
      <c r="CA216" s="141"/>
      <c r="CB216" s="141"/>
      <c r="CC216" s="141"/>
      <c r="CD216" s="141"/>
      <c r="CE216" s="141"/>
      <c r="CF216" s="141"/>
      <c r="CG216" s="141"/>
      <c r="CH216" s="141"/>
      <c r="CI216" s="141"/>
      <c r="CJ216" s="141"/>
      <c r="CK216" s="141"/>
      <c r="CL216" s="141"/>
      <c r="CM216" s="141"/>
      <c r="CN216" s="141"/>
      <c r="CO216" s="141"/>
      <c r="CP216" s="141"/>
      <c r="CQ216" s="141"/>
      <c r="CR216" s="141"/>
      <c r="CS216" s="141"/>
      <c r="CT216" s="141"/>
      <c r="CU216" s="141"/>
      <c r="CV216" s="141"/>
      <c r="CW216" s="141"/>
      <c r="CX216" s="141"/>
      <c r="CY216" s="141"/>
      <c r="CZ216" s="141"/>
      <c r="DA216" s="173"/>
    </row>
    <row r="217" spans="2:105" x14ac:dyDescent="0.25">
      <c r="B217" s="172"/>
      <c r="C217" s="141" t="s">
        <v>2770</v>
      </c>
      <c r="D217" s="141" t="s">
        <v>2771</v>
      </c>
      <c r="E217" s="141" t="s">
        <v>643</v>
      </c>
      <c r="F217" s="141" t="s">
        <v>2772</v>
      </c>
      <c r="G217" s="141"/>
      <c r="H217" s="141" t="s">
        <v>353</v>
      </c>
      <c r="I217" s="141"/>
      <c r="J217" s="141" t="s">
        <v>354</v>
      </c>
      <c r="K217" s="141" t="s">
        <v>459</v>
      </c>
      <c r="L217" s="141" t="s">
        <v>2773</v>
      </c>
      <c r="M217" s="141" t="s">
        <v>2774</v>
      </c>
      <c r="N217" s="141" t="s">
        <v>354</v>
      </c>
      <c r="O217" s="141" t="s">
        <v>393</v>
      </c>
      <c r="P217" s="141" t="s">
        <v>424</v>
      </c>
      <c r="Q217" s="141" t="s">
        <v>425</v>
      </c>
      <c r="R217" s="141" t="s">
        <v>361</v>
      </c>
      <c r="S217" s="141" t="s">
        <v>1367</v>
      </c>
      <c r="T217" s="141" t="s">
        <v>2765</v>
      </c>
      <c r="U217" s="141" t="s">
        <v>2765</v>
      </c>
      <c r="V217" s="141"/>
      <c r="W217" s="141"/>
      <c r="X217" s="141"/>
      <c r="Y217" s="141"/>
      <c r="Z217" s="141"/>
      <c r="AA217" s="141"/>
      <c r="AB217" s="141"/>
      <c r="AC217" s="141"/>
      <c r="AD217" s="141"/>
      <c r="AE217" s="141"/>
      <c r="AF217" s="141"/>
      <c r="AG217" s="141"/>
      <c r="AH217" s="141"/>
      <c r="AI217" s="141"/>
      <c r="AJ217" s="141"/>
      <c r="AK217" s="141" t="s">
        <v>354</v>
      </c>
      <c r="AL217" s="141" t="s">
        <v>364</v>
      </c>
      <c r="AM217" s="141" t="s">
        <v>354</v>
      </c>
      <c r="AN217" s="141" t="s">
        <v>380</v>
      </c>
      <c r="AO217" s="141" t="s">
        <v>2765</v>
      </c>
      <c r="AP217" s="141" t="s">
        <v>2427</v>
      </c>
      <c r="AQ217" s="141" t="s">
        <v>848</v>
      </c>
      <c r="AR217" s="141" t="s">
        <v>408</v>
      </c>
      <c r="AS217" s="141" t="s">
        <v>393</v>
      </c>
      <c r="AT217" s="141"/>
      <c r="AU217" s="141" t="s">
        <v>2773</v>
      </c>
      <c r="AV217" s="141" t="s">
        <v>499</v>
      </c>
      <c r="AW217" s="141" t="s">
        <v>2775</v>
      </c>
      <c r="AX217" s="141" t="s">
        <v>657</v>
      </c>
      <c r="AY217" s="141" t="s">
        <v>715</v>
      </c>
      <c r="AZ217" s="141" t="s">
        <v>910</v>
      </c>
      <c r="BA217" s="141" t="s">
        <v>2776</v>
      </c>
      <c r="BB217" s="141" t="s">
        <v>497</v>
      </c>
      <c r="BC217" s="141" t="s">
        <v>2777</v>
      </c>
      <c r="BD217" s="141" t="s">
        <v>501</v>
      </c>
      <c r="BE217" s="141" t="s">
        <v>2030</v>
      </c>
      <c r="BF217" s="141" t="s">
        <v>900</v>
      </c>
      <c r="BG217" s="141" t="s">
        <v>2778</v>
      </c>
      <c r="BH217" s="141" t="s">
        <v>787</v>
      </c>
      <c r="BI217" s="141" t="s">
        <v>2779</v>
      </c>
      <c r="BJ217" s="141" t="s">
        <v>382</v>
      </c>
      <c r="BK217" s="141" t="s">
        <v>2780</v>
      </c>
      <c r="BL217" s="141"/>
      <c r="BM217" s="141"/>
      <c r="BN217" s="141"/>
      <c r="BO217" s="141"/>
      <c r="BP217" s="141"/>
      <c r="BQ217" s="141"/>
      <c r="BR217" s="141"/>
      <c r="BS217" s="141"/>
      <c r="BT217" s="141"/>
      <c r="BU217" s="141"/>
      <c r="BV217" s="141"/>
      <c r="BW217" s="141"/>
      <c r="BX217" s="141"/>
      <c r="BY217" s="141"/>
      <c r="BZ217" s="141"/>
      <c r="CA217" s="141"/>
      <c r="CB217" s="141"/>
      <c r="CC217" s="141"/>
      <c r="CD217" s="141"/>
      <c r="CE217" s="141"/>
      <c r="CF217" s="141"/>
      <c r="CG217" s="141"/>
      <c r="CH217" s="141"/>
      <c r="CI217" s="141"/>
      <c r="CJ217" s="141"/>
      <c r="CK217" s="141"/>
      <c r="CL217" s="141"/>
      <c r="CM217" s="141"/>
      <c r="CN217" s="141"/>
      <c r="CO217" s="141"/>
      <c r="CP217" s="141"/>
      <c r="CQ217" s="141"/>
      <c r="CR217" s="141"/>
      <c r="CS217" s="141"/>
      <c r="CT217" s="141"/>
      <c r="CU217" s="141"/>
      <c r="CV217" s="141"/>
      <c r="CW217" s="141"/>
      <c r="CX217" s="141"/>
      <c r="CY217" s="141"/>
      <c r="CZ217" s="141"/>
      <c r="DA217" s="173"/>
    </row>
    <row r="218" spans="2:105" x14ac:dyDescent="0.25">
      <c r="B218" s="172"/>
      <c r="C218" s="141" t="s">
        <v>2781</v>
      </c>
      <c r="D218" s="141" t="s">
        <v>2782</v>
      </c>
      <c r="E218" s="141" t="s">
        <v>2783</v>
      </c>
      <c r="F218" s="141" t="s">
        <v>2784</v>
      </c>
      <c r="G218" s="141"/>
      <c r="H218" s="141" t="s">
        <v>353</v>
      </c>
      <c r="I218" s="141"/>
      <c r="J218" s="141" t="s">
        <v>354</v>
      </c>
      <c r="K218" s="141" t="s">
        <v>686</v>
      </c>
      <c r="L218" s="141" t="s">
        <v>2785</v>
      </c>
      <c r="M218" s="141" t="s">
        <v>2786</v>
      </c>
      <c r="N218" s="141" t="s">
        <v>354</v>
      </c>
      <c r="O218" s="141" t="s">
        <v>369</v>
      </c>
      <c r="P218" s="141" t="s">
        <v>528</v>
      </c>
      <c r="Q218" s="141" t="s">
        <v>529</v>
      </c>
      <c r="R218" s="141" t="s">
        <v>361</v>
      </c>
      <c r="S218" s="141" t="s">
        <v>1367</v>
      </c>
      <c r="T218" s="141" t="s">
        <v>2765</v>
      </c>
      <c r="U218" s="141" t="s">
        <v>2765</v>
      </c>
      <c r="V218" s="141"/>
      <c r="W218" s="141"/>
      <c r="X218" s="141"/>
      <c r="Y218" s="141"/>
      <c r="Z218" s="141"/>
      <c r="AA218" s="141"/>
      <c r="AB218" s="141"/>
      <c r="AC218" s="141"/>
      <c r="AD218" s="141"/>
      <c r="AE218" s="141"/>
      <c r="AF218" s="141"/>
      <c r="AG218" s="141"/>
      <c r="AH218" s="141"/>
      <c r="AI218" s="141"/>
      <c r="AJ218" s="141"/>
      <c r="AK218" s="141" t="s">
        <v>354</v>
      </c>
      <c r="AL218" s="141" t="s">
        <v>364</v>
      </c>
      <c r="AM218" s="141" t="s">
        <v>354</v>
      </c>
      <c r="AN218" s="141" t="s">
        <v>380</v>
      </c>
      <c r="AO218" s="141" t="s">
        <v>2765</v>
      </c>
      <c r="AP218" s="141" t="s">
        <v>2427</v>
      </c>
      <c r="AQ218" s="141" t="s">
        <v>848</v>
      </c>
      <c r="AR218" s="141" t="s">
        <v>408</v>
      </c>
      <c r="AS218" s="141" t="s">
        <v>358</v>
      </c>
      <c r="AT218" s="141"/>
      <c r="AU218" s="141" t="s">
        <v>2785</v>
      </c>
      <c r="AV218" s="141" t="s">
        <v>499</v>
      </c>
      <c r="AW218" s="141" t="s">
        <v>2787</v>
      </c>
      <c r="AX218" s="141" t="s">
        <v>657</v>
      </c>
      <c r="AY218" s="141" t="s">
        <v>2788</v>
      </c>
      <c r="AZ218" s="141" t="s">
        <v>910</v>
      </c>
      <c r="BA218" s="141" t="s">
        <v>2789</v>
      </c>
      <c r="BB218" s="141" t="s">
        <v>497</v>
      </c>
      <c r="BC218" s="141" t="s">
        <v>2790</v>
      </c>
      <c r="BD218" s="141" t="s">
        <v>501</v>
      </c>
      <c r="BE218" s="141" t="s">
        <v>2791</v>
      </c>
      <c r="BF218" s="141" t="s">
        <v>900</v>
      </c>
      <c r="BG218" s="141" t="s">
        <v>2792</v>
      </c>
      <c r="BH218" s="141" t="s">
        <v>787</v>
      </c>
      <c r="BI218" s="141" t="s">
        <v>2793</v>
      </c>
      <c r="BJ218" s="141" t="s">
        <v>382</v>
      </c>
      <c r="BK218" s="141" t="s">
        <v>2794</v>
      </c>
      <c r="BL218" s="141"/>
      <c r="BM218" s="141"/>
      <c r="BN218" s="141"/>
      <c r="BO218" s="141"/>
      <c r="BP218" s="141"/>
      <c r="BQ218" s="141"/>
      <c r="BR218" s="141"/>
      <c r="BS218" s="141"/>
      <c r="BT218" s="141"/>
      <c r="BU218" s="141"/>
      <c r="BV218" s="141"/>
      <c r="BW218" s="141"/>
      <c r="BX218" s="141"/>
      <c r="BY218" s="141"/>
      <c r="BZ218" s="141"/>
      <c r="CA218" s="141"/>
      <c r="CB218" s="141"/>
      <c r="CC218" s="141"/>
      <c r="CD218" s="141"/>
      <c r="CE218" s="141"/>
      <c r="CF218" s="141"/>
      <c r="CG218" s="141"/>
      <c r="CH218" s="141"/>
      <c r="CI218" s="141"/>
      <c r="CJ218" s="141"/>
      <c r="CK218" s="141"/>
      <c r="CL218" s="141"/>
      <c r="CM218" s="141"/>
      <c r="CN218" s="141"/>
      <c r="CO218" s="141"/>
      <c r="CP218" s="141"/>
      <c r="CQ218" s="141"/>
      <c r="CR218" s="141"/>
      <c r="CS218" s="141"/>
      <c r="CT218" s="141"/>
      <c r="CU218" s="141"/>
      <c r="CV218" s="141"/>
      <c r="CW218" s="141"/>
      <c r="CX218" s="141"/>
      <c r="CY218" s="141"/>
      <c r="CZ218" s="141"/>
      <c r="DA218" s="173"/>
    </row>
    <row r="219" spans="2:105" x14ac:dyDescent="0.25">
      <c r="B219" s="172"/>
      <c r="C219" s="141" t="s">
        <v>2795</v>
      </c>
      <c r="D219" s="141" t="s">
        <v>785</v>
      </c>
      <c r="E219" s="141" t="s">
        <v>2095</v>
      </c>
      <c r="F219" s="141" t="s">
        <v>2601</v>
      </c>
      <c r="G219" s="141"/>
      <c r="H219" s="141" t="s">
        <v>353</v>
      </c>
      <c r="I219" s="141"/>
      <c r="J219" s="141" t="s">
        <v>354</v>
      </c>
      <c r="K219" s="141" t="s">
        <v>1563</v>
      </c>
      <c r="L219" s="141" t="s">
        <v>1527</v>
      </c>
      <c r="M219" s="141" t="s">
        <v>2796</v>
      </c>
      <c r="N219" s="141" t="s">
        <v>354</v>
      </c>
      <c r="O219" s="141" t="s">
        <v>369</v>
      </c>
      <c r="P219" s="141" t="s">
        <v>528</v>
      </c>
      <c r="Q219" s="141" t="s">
        <v>529</v>
      </c>
      <c r="R219" s="141" t="s">
        <v>361</v>
      </c>
      <c r="S219" s="141" t="s">
        <v>1367</v>
      </c>
      <c r="T219" s="141" t="s">
        <v>2765</v>
      </c>
      <c r="U219" s="141" t="s">
        <v>2765</v>
      </c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141"/>
      <c r="AH219" s="141"/>
      <c r="AI219" s="141"/>
      <c r="AJ219" s="141"/>
      <c r="AK219" s="141" t="s">
        <v>354</v>
      </c>
      <c r="AL219" s="141" t="s">
        <v>364</v>
      </c>
      <c r="AM219" s="141" t="s">
        <v>354</v>
      </c>
      <c r="AN219" s="141" t="s">
        <v>380</v>
      </c>
      <c r="AO219" s="141" t="s">
        <v>2765</v>
      </c>
      <c r="AP219" s="141" t="s">
        <v>2427</v>
      </c>
      <c r="AQ219" s="141" t="s">
        <v>848</v>
      </c>
      <c r="AR219" s="141" t="s">
        <v>408</v>
      </c>
      <c r="AS219" s="141" t="s">
        <v>426</v>
      </c>
      <c r="AT219" s="141"/>
      <c r="AU219" s="141" t="s">
        <v>1527</v>
      </c>
      <c r="AV219" s="141" t="s">
        <v>499</v>
      </c>
      <c r="AW219" s="141" t="s">
        <v>2797</v>
      </c>
      <c r="AX219" s="141" t="s">
        <v>657</v>
      </c>
      <c r="AY219" s="141" t="s">
        <v>2798</v>
      </c>
      <c r="AZ219" s="141" t="s">
        <v>910</v>
      </c>
      <c r="BA219" s="141" t="s">
        <v>2799</v>
      </c>
      <c r="BB219" s="141" t="s">
        <v>497</v>
      </c>
      <c r="BC219" s="141" t="s">
        <v>1296</v>
      </c>
      <c r="BD219" s="141" t="s">
        <v>501</v>
      </c>
      <c r="BE219" s="141" t="s">
        <v>1148</v>
      </c>
      <c r="BF219" s="141" t="s">
        <v>900</v>
      </c>
      <c r="BG219" s="141" t="s">
        <v>2800</v>
      </c>
      <c r="BH219" s="141" t="s">
        <v>787</v>
      </c>
      <c r="BI219" s="141" t="s">
        <v>2149</v>
      </c>
      <c r="BJ219" s="141" t="s">
        <v>382</v>
      </c>
      <c r="BK219" s="141" t="s">
        <v>2452</v>
      </c>
      <c r="BL219" s="141"/>
      <c r="BM219" s="141"/>
      <c r="BN219" s="141"/>
      <c r="BO219" s="141"/>
      <c r="BP219" s="141"/>
      <c r="BQ219" s="141"/>
      <c r="BR219" s="141"/>
      <c r="BS219" s="141"/>
      <c r="BT219" s="141"/>
      <c r="BU219" s="141"/>
      <c r="BV219" s="141"/>
      <c r="BW219" s="141"/>
      <c r="BX219" s="141"/>
      <c r="BY219" s="141"/>
      <c r="BZ219" s="141"/>
      <c r="CA219" s="141"/>
      <c r="CB219" s="141"/>
      <c r="CC219" s="141"/>
      <c r="CD219" s="141"/>
      <c r="CE219" s="141"/>
      <c r="CF219" s="141"/>
      <c r="CG219" s="141"/>
      <c r="CH219" s="141"/>
      <c r="CI219" s="141"/>
      <c r="CJ219" s="141"/>
      <c r="CK219" s="141"/>
      <c r="CL219" s="141"/>
      <c r="CM219" s="141"/>
      <c r="CN219" s="141"/>
      <c r="CO219" s="141"/>
      <c r="CP219" s="141"/>
      <c r="CQ219" s="141"/>
      <c r="CR219" s="141"/>
      <c r="CS219" s="141"/>
      <c r="CT219" s="141"/>
      <c r="CU219" s="141"/>
      <c r="CV219" s="141"/>
      <c r="CW219" s="141"/>
      <c r="CX219" s="141"/>
      <c r="CY219" s="141"/>
      <c r="CZ219" s="141"/>
      <c r="DA219" s="173"/>
    </row>
    <row r="220" spans="2:105" x14ac:dyDescent="0.25">
      <c r="B220" s="172"/>
      <c r="C220" s="141" t="s">
        <v>2801</v>
      </c>
      <c r="D220" s="141" t="s">
        <v>2802</v>
      </c>
      <c r="E220" s="141" t="s">
        <v>764</v>
      </c>
      <c r="F220" s="141" t="s">
        <v>2803</v>
      </c>
      <c r="G220" s="141"/>
      <c r="H220" s="141" t="s">
        <v>353</v>
      </c>
      <c r="I220" s="141"/>
      <c r="J220" s="141" t="s">
        <v>354</v>
      </c>
      <c r="K220" s="141" t="s">
        <v>1117</v>
      </c>
      <c r="L220" s="141" t="s">
        <v>2804</v>
      </c>
      <c r="M220" s="141" t="s">
        <v>2805</v>
      </c>
      <c r="N220" s="141" t="s">
        <v>354</v>
      </c>
      <c r="O220" s="141" t="s">
        <v>393</v>
      </c>
      <c r="P220" s="141" t="s">
        <v>424</v>
      </c>
      <c r="Q220" s="141" t="s">
        <v>425</v>
      </c>
      <c r="R220" s="141" t="s">
        <v>361</v>
      </c>
      <c r="S220" s="141" t="s">
        <v>1367</v>
      </c>
      <c r="T220" s="141" t="s">
        <v>2765</v>
      </c>
      <c r="U220" s="141" t="s">
        <v>2765</v>
      </c>
      <c r="V220" s="141"/>
      <c r="W220" s="141"/>
      <c r="X220" s="141"/>
      <c r="Y220" s="141"/>
      <c r="Z220" s="141"/>
      <c r="AA220" s="141"/>
      <c r="AB220" s="141"/>
      <c r="AC220" s="141"/>
      <c r="AD220" s="141"/>
      <c r="AE220" s="141"/>
      <c r="AF220" s="141"/>
      <c r="AG220" s="141"/>
      <c r="AH220" s="141"/>
      <c r="AI220" s="141"/>
      <c r="AJ220" s="141"/>
      <c r="AK220" s="141" t="s">
        <v>354</v>
      </c>
      <c r="AL220" s="141" t="s">
        <v>364</v>
      </c>
      <c r="AM220" s="141" t="s">
        <v>354</v>
      </c>
      <c r="AN220" s="141" t="s">
        <v>380</v>
      </c>
      <c r="AO220" s="141" t="s">
        <v>2765</v>
      </c>
      <c r="AP220" s="141" t="s">
        <v>2427</v>
      </c>
      <c r="AQ220" s="141" t="s">
        <v>848</v>
      </c>
      <c r="AR220" s="141" t="s">
        <v>408</v>
      </c>
      <c r="AS220" s="141" t="s">
        <v>441</v>
      </c>
      <c r="AT220" s="141"/>
      <c r="AU220" s="141" t="s">
        <v>2804</v>
      </c>
      <c r="AV220" s="141" t="s">
        <v>499</v>
      </c>
      <c r="AW220" s="141" t="s">
        <v>2109</v>
      </c>
      <c r="AX220" s="141" t="s">
        <v>657</v>
      </c>
      <c r="AY220" s="141" t="s">
        <v>1871</v>
      </c>
      <c r="AZ220" s="141" t="s">
        <v>910</v>
      </c>
      <c r="BA220" s="141" t="s">
        <v>2806</v>
      </c>
      <c r="BB220" s="141" t="s">
        <v>497</v>
      </c>
      <c r="BC220" s="141" t="s">
        <v>2053</v>
      </c>
      <c r="BD220" s="141" t="s">
        <v>501</v>
      </c>
      <c r="BE220" s="141" t="s">
        <v>2807</v>
      </c>
      <c r="BF220" s="141" t="s">
        <v>900</v>
      </c>
      <c r="BG220" s="141" t="s">
        <v>2808</v>
      </c>
      <c r="BH220" s="141" t="s">
        <v>787</v>
      </c>
      <c r="BI220" s="141" t="s">
        <v>2809</v>
      </c>
      <c r="BJ220" s="141" t="s">
        <v>382</v>
      </c>
      <c r="BK220" s="141" t="s">
        <v>2810</v>
      </c>
      <c r="BL220" s="141"/>
      <c r="BM220" s="141"/>
      <c r="BN220" s="141"/>
      <c r="BO220" s="141"/>
      <c r="BP220" s="141"/>
      <c r="BQ220" s="141"/>
      <c r="BR220" s="141"/>
      <c r="BS220" s="141"/>
      <c r="BT220" s="141"/>
      <c r="BU220" s="141"/>
      <c r="BV220" s="141"/>
      <c r="BW220" s="141"/>
      <c r="BX220" s="141"/>
      <c r="BY220" s="141"/>
      <c r="BZ220" s="141"/>
      <c r="CA220" s="141"/>
      <c r="CB220" s="141"/>
      <c r="CC220" s="141"/>
      <c r="CD220" s="141"/>
      <c r="CE220" s="141"/>
      <c r="CF220" s="141"/>
      <c r="CG220" s="141"/>
      <c r="CH220" s="141"/>
      <c r="CI220" s="141"/>
      <c r="CJ220" s="141"/>
      <c r="CK220" s="141"/>
      <c r="CL220" s="141"/>
      <c r="CM220" s="141"/>
      <c r="CN220" s="141"/>
      <c r="CO220" s="141"/>
      <c r="CP220" s="141"/>
      <c r="CQ220" s="141"/>
      <c r="CR220" s="141"/>
      <c r="CS220" s="141"/>
      <c r="CT220" s="141"/>
      <c r="CU220" s="141"/>
      <c r="CV220" s="141"/>
      <c r="CW220" s="141"/>
      <c r="CX220" s="141"/>
      <c r="CY220" s="141"/>
      <c r="CZ220" s="141"/>
      <c r="DA220" s="173"/>
    </row>
    <row r="221" spans="2:105" x14ac:dyDescent="0.25">
      <c r="B221" s="172"/>
      <c r="C221" s="141" t="s">
        <v>2811</v>
      </c>
      <c r="D221" s="141" t="s">
        <v>2812</v>
      </c>
      <c r="E221" s="141" t="s">
        <v>2813</v>
      </c>
      <c r="F221" s="141" t="s">
        <v>2814</v>
      </c>
      <c r="G221" s="141"/>
      <c r="H221" s="141" t="s">
        <v>353</v>
      </c>
      <c r="I221" s="141"/>
      <c r="J221" s="141" t="s">
        <v>354</v>
      </c>
      <c r="K221" s="141" t="s">
        <v>761</v>
      </c>
      <c r="L221" s="141" t="s">
        <v>1622</v>
      </c>
      <c r="M221" s="141" t="s">
        <v>2815</v>
      </c>
      <c r="N221" s="141" t="s">
        <v>354</v>
      </c>
      <c r="O221" s="141" t="s">
        <v>369</v>
      </c>
      <c r="P221" s="141" t="s">
        <v>528</v>
      </c>
      <c r="Q221" s="141" t="s">
        <v>529</v>
      </c>
      <c r="R221" s="141" t="s">
        <v>361</v>
      </c>
      <c r="S221" s="141" t="s">
        <v>1367</v>
      </c>
      <c r="T221" s="141" t="s">
        <v>2765</v>
      </c>
      <c r="U221" s="141" t="s">
        <v>2765</v>
      </c>
      <c r="V221" s="141"/>
      <c r="W221" s="141"/>
      <c r="X221" s="141"/>
      <c r="Y221" s="141"/>
      <c r="Z221" s="141"/>
      <c r="AA221" s="141"/>
      <c r="AB221" s="141"/>
      <c r="AC221" s="141"/>
      <c r="AD221" s="141"/>
      <c r="AE221" s="141"/>
      <c r="AF221" s="141"/>
      <c r="AG221" s="141"/>
      <c r="AH221" s="141"/>
      <c r="AI221" s="141"/>
      <c r="AJ221" s="141"/>
      <c r="AK221" s="141" t="s">
        <v>354</v>
      </c>
      <c r="AL221" s="141" t="s">
        <v>364</v>
      </c>
      <c r="AM221" s="141" t="s">
        <v>354</v>
      </c>
      <c r="AN221" s="141" t="s">
        <v>380</v>
      </c>
      <c r="AO221" s="141" t="s">
        <v>2765</v>
      </c>
      <c r="AP221" s="141" t="s">
        <v>2427</v>
      </c>
      <c r="AQ221" s="141" t="s">
        <v>848</v>
      </c>
      <c r="AR221" s="141" t="s">
        <v>408</v>
      </c>
      <c r="AS221" s="141" t="s">
        <v>391</v>
      </c>
      <c r="AT221" s="141"/>
      <c r="AU221" s="141" t="s">
        <v>1622</v>
      </c>
      <c r="AV221" s="141" t="s">
        <v>499</v>
      </c>
      <c r="AW221" s="141" t="s">
        <v>2816</v>
      </c>
      <c r="AX221" s="141" t="s">
        <v>657</v>
      </c>
      <c r="AY221" s="141" t="s">
        <v>2817</v>
      </c>
      <c r="AZ221" s="141" t="s">
        <v>910</v>
      </c>
      <c r="BA221" s="141" t="s">
        <v>2818</v>
      </c>
      <c r="BB221" s="141" t="s">
        <v>497</v>
      </c>
      <c r="BC221" s="141" t="s">
        <v>2819</v>
      </c>
      <c r="BD221" s="141" t="s">
        <v>501</v>
      </c>
      <c r="BE221" s="141" t="s">
        <v>2820</v>
      </c>
      <c r="BF221" s="141" t="s">
        <v>900</v>
      </c>
      <c r="BG221" s="141" t="s">
        <v>2821</v>
      </c>
      <c r="BH221" s="141" t="s">
        <v>787</v>
      </c>
      <c r="BI221" s="141" t="s">
        <v>2382</v>
      </c>
      <c r="BJ221" s="141" t="s">
        <v>382</v>
      </c>
      <c r="BK221" s="141" t="s">
        <v>2822</v>
      </c>
      <c r="BL221" s="141"/>
      <c r="BM221" s="141"/>
      <c r="BN221" s="141"/>
      <c r="BO221" s="141"/>
      <c r="BP221" s="141"/>
      <c r="BQ221" s="141"/>
      <c r="BR221" s="141"/>
      <c r="BS221" s="141"/>
      <c r="BT221" s="141"/>
      <c r="BU221" s="141"/>
      <c r="BV221" s="141"/>
      <c r="BW221" s="141"/>
      <c r="BX221" s="141"/>
      <c r="BY221" s="141"/>
      <c r="BZ221" s="141"/>
      <c r="CA221" s="141"/>
      <c r="CB221" s="141"/>
      <c r="CC221" s="141"/>
      <c r="CD221" s="141"/>
      <c r="CE221" s="141"/>
      <c r="CF221" s="141"/>
      <c r="CG221" s="141"/>
      <c r="CH221" s="141"/>
      <c r="CI221" s="141"/>
      <c r="CJ221" s="141"/>
      <c r="CK221" s="141"/>
      <c r="CL221" s="141"/>
      <c r="CM221" s="141"/>
      <c r="CN221" s="141"/>
      <c r="CO221" s="141"/>
      <c r="CP221" s="141"/>
      <c r="CQ221" s="141"/>
      <c r="CR221" s="141"/>
      <c r="CS221" s="141"/>
      <c r="CT221" s="141"/>
      <c r="CU221" s="141"/>
      <c r="CV221" s="141"/>
      <c r="CW221" s="141"/>
      <c r="CX221" s="141"/>
      <c r="CY221" s="141"/>
      <c r="CZ221" s="141"/>
      <c r="DA221" s="173"/>
    </row>
    <row r="222" spans="2:105" x14ac:dyDescent="0.25">
      <c r="B222" s="172"/>
      <c r="C222" s="141" t="s">
        <v>2823</v>
      </c>
      <c r="D222" s="141" t="s">
        <v>783</v>
      </c>
      <c r="E222" s="141" t="s">
        <v>572</v>
      </c>
      <c r="F222" s="141" t="s">
        <v>2824</v>
      </c>
      <c r="G222" s="141"/>
      <c r="H222" s="141" t="s">
        <v>353</v>
      </c>
      <c r="I222" s="141"/>
      <c r="J222" s="141" t="s">
        <v>354</v>
      </c>
      <c r="K222" s="141" t="s">
        <v>671</v>
      </c>
      <c r="L222" s="141" t="s">
        <v>2825</v>
      </c>
      <c r="M222" s="141" t="s">
        <v>2826</v>
      </c>
      <c r="N222" s="141" t="s">
        <v>354</v>
      </c>
      <c r="O222" s="141" t="s">
        <v>393</v>
      </c>
      <c r="P222" s="141" t="s">
        <v>424</v>
      </c>
      <c r="Q222" s="141" t="s">
        <v>425</v>
      </c>
      <c r="R222" s="141" t="s">
        <v>361</v>
      </c>
      <c r="S222" s="141" t="s">
        <v>1367</v>
      </c>
      <c r="T222" s="141" t="s">
        <v>2765</v>
      </c>
      <c r="U222" s="141" t="s">
        <v>2765</v>
      </c>
      <c r="V222" s="141"/>
      <c r="W222" s="141"/>
      <c r="X222" s="141"/>
      <c r="Y222" s="141"/>
      <c r="Z222" s="141"/>
      <c r="AA222" s="141"/>
      <c r="AB222" s="141"/>
      <c r="AC222" s="141"/>
      <c r="AD222" s="141"/>
      <c r="AE222" s="141"/>
      <c r="AF222" s="141"/>
      <c r="AG222" s="141"/>
      <c r="AH222" s="141"/>
      <c r="AI222" s="141"/>
      <c r="AJ222" s="141"/>
      <c r="AK222" s="141" t="s">
        <v>354</v>
      </c>
      <c r="AL222" s="141" t="s">
        <v>364</v>
      </c>
      <c r="AM222" s="141" t="s">
        <v>354</v>
      </c>
      <c r="AN222" s="141" t="s">
        <v>380</v>
      </c>
      <c r="AO222" s="141" t="s">
        <v>2765</v>
      </c>
      <c r="AP222" s="141" t="s">
        <v>2427</v>
      </c>
      <c r="AQ222" s="141" t="s">
        <v>848</v>
      </c>
      <c r="AR222" s="141" t="s">
        <v>408</v>
      </c>
      <c r="AS222" s="141" t="s">
        <v>368</v>
      </c>
      <c r="AT222" s="141"/>
      <c r="AU222" s="141" t="s">
        <v>2825</v>
      </c>
      <c r="AV222" s="141" t="s">
        <v>499</v>
      </c>
      <c r="AW222" s="141" t="s">
        <v>2827</v>
      </c>
      <c r="AX222" s="141" t="s">
        <v>657</v>
      </c>
      <c r="AY222" s="141" t="s">
        <v>660</v>
      </c>
      <c r="AZ222" s="141" t="s">
        <v>910</v>
      </c>
      <c r="BA222" s="141" t="s">
        <v>2828</v>
      </c>
      <c r="BB222" s="141" t="s">
        <v>497</v>
      </c>
      <c r="BC222" s="141" t="s">
        <v>2829</v>
      </c>
      <c r="BD222" s="141" t="s">
        <v>501</v>
      </c>
      <c r="BE222" s="141" t="s">
        <v>1940</v>
      </c>
      <c r="BF222" s="141" t="s">
        <v>900</v>
      </c>
      <c r="BG222" s="141" t="s">
        <v>2830</v>
      </c>
      <c r="BH222" s="141" t="s">
        <v>787</v>
      </c>
      <c r="BI222" s="141" t="s">
        <v>2831</v>
      </c>
      <c r="BJ222" s="141" t="s">
        <v>382</v>
      </c>
      <c r="BK222" s="141" t="s">
        <v>2832</v>
      </c>
      <c r="BL222" s="141"/>
      <c r="BM222" s="141"/>
      <c r="BN222" s="141"/>
      <c r="BO222" s="141"/>
      <c r="BP222" s="141"/>
      <c r="BQ222" s="141"/>
      <c r="BR222" s="141"/>
      <c r="BS222" s="141"/>
      <c r="BT222" s="141"/>
      <c r="BU222" s="141"/>
      <c r="BV222" s="141"/>
      <c r="BW222" s="141"/>
      <c r="BX222" s="141"/>
      <c r="BY222" s="141"/>
      <c r="BZ222" s="141"/>
      <c r="CA222" s="141"/>
      <c r="CB222" s="141"/>
      <c r="CC222" s="141"/>
      <c r="CD222" s="141"/>
      <c r="CE222" s="141"/>
      <c r="CF222" s="141"/>
      <c r="CG222" s="141"/>
      <c r="CH222" s="141"/>
      <c r="CI222" s="141"/>
      <c r="CJ222" s="141"/>
      <c r="CK222" s="141"/>
      <c r="CL222" s="141"/>
      <c r="CM222" s="141"/>
      <c r="CN222" s="141"/>
      <c r="CO222" s="141"/>
      <c r="CP222" s="141"/>
      <c r="CQ222" s="141"/>
      <c r="CR222" s="141"/>
      <c r="CS222" s="141"/>
      <c r="CT222" s="141"/>
      <c r="CU222" s="141"/>
      <c r="CV222" s="141"/>
      <c r="CW222" s="141"/>
      <c r="CX222" s="141"/>
      <c r="CY222" s="141"/>
      <c r="CZ222" s="141"/>
      <c r="DA222" s="173"/>
    </row>
    <row r="223" spans="2:105" x14ac:dyDescent="0.25">
      <c r="B223" s="172"/>
      <c r="C223" s="141" t="s">
        <v>2833</v>
      </c>
      <c r="D223" s="141" t="s">
        <v>2834</v>
      </c>
      <c r="E223" s="141" t="s">
        <v>2835</v>
      </c>
      <c r="F223" s="141" t="s">
        <v>2836</v>
      </c>
      <c r="G223" s="141"/>
      <c r="H223" s="141" t="s">
        <v>353</v>
      </c>
      <c r="I223" s="141"/>
      <c r="J223" s="141" t="s">
        <v>354</v>
      </c>
      <c r="K223" s="141" t="s">
        <v>754</v>
      </c>
      <c r="L223" s="141" t="s">
        <v>2416</v>
      </c>
      <c r="M223" s="141" t="s">
        <v>2837</v>
      </c>
      <c r="N223" s="141" t="s">
        <v>354</v>
      </c>
      <c r="O223" s="141" t="s">
        <v>358</v>
      </c>
      <c r="P223" s="141" t="s">
        <v>359</v>
      </c>
      <c r="Q223" s="141" t="s">
        <v>360</v>
      </c>
      <c r="R223" s="141" t="s">
        <v>361</v>
      </c>
      <c r="S223" s="141" t="s">
        <v>1367</v>
      </c>
      <c r="T223" s="141" t="s">
        <v>2765</v>
      </c>
      <c r="U223" s="141" t="s">
        <v>2765</v>
      </c>
      <c r="V223" s="141"/>
      <c r="W223" s="141"/>
      <c r="X223" s="141"/>
      <c r="Y223" s="141"/>
      <c r="Z223" s="141"/>
      <c r="AA223" s="141"/>
      <c r="AB223" s="141"/>
      <c r="AC223" s="141"/>
      <c r="AD223" s="141"/>
      <c r="AE223" s="141"/>
      <c r="AF223" s="141"/>
      <c r="AG223" s="141"/>
      <c r="AH223" s="141"/>
      <c r="AI223" s="141"/>
      <c r="AJ223" s="141"/>
      <c r="AK223" s="141" t="s">
        <v>354</v>
      </c>
      <c r="AL223" s="141" t="s">
        <v>364</v>
      </c>
      <c r="AM223" s="141" t="s">
        <v>354</v>
      </c>
      <c r="AN223" s="141" t="s">
        <v>380</v>
      </c>
      <c r="AO223" s="141" t="s">
        <v>2765</v>
      </c>
      <c r="AP223" s="141" t="s">
        <v>2427</v>
      </c>
      <c r="AQ223" s="141" t="s">
        <v>848</v>
      </c>
      <c r="AR223" s="141" t="s">
        <v>408</v>
      </c>
      <c r="AS223" s="141" t="s">
        <v>408</v>
      </c>
      <c r="AT223" s="141"/>
      <c r="AU223" s="141" t="s">
        <v>2416</v>
      </c>
      <c r="AV223" s="141" t="s">
        <v>499</v>
      </c>
      <c r="AW223" s="141" t="s">
        <v>2838</v>
      </c>
      <c r="AX223" s="141" t="s">
        <v>657</v>
      </c>
      <c r="AY223" s="141" t="s">
        <v>2839</v>
      </c>
      <c r="AZ223" s="141" t="s">
        <v>910</v>
      </c>
      <c r="BA223" s="141" t="s">
        <v>2840</v>
      </c>
      <c r="BB223" s="141" t="s">
        <v>497</v>
      </c>
      <c r="BC223" s="141" t="s">
        <v>1786</v>
      </c>
      <c r="BD223" s="141" t="s">
        <v>501</v>
      </c>
      <c r="BE223" s="141" t="s">
        <v>2841</v>
      </c>
      <c r="BF223" s="141" t="s">
        <v>900</v>
      </c>
      <c r="BG223" s="141" t="s">
        <v>2842</v>
      </c>
      <c r="BH223" s="141" t="s">
        <v>787</v>
      </c>
      <c r="BI223" s="141" t="s">
        <v>913</v>
      </c>
      <c r="BJ223" s="141" t="s">
        <v>382</v>
      </c>
      <c r="BK223" s="141" t="s">
        <v>2843</v>
      </c>
      <c r="BL223" s="141"/>
      <c r="BM223" s="141"/>
      <c r="BN223" s="141"/>
      <c r="BO223" s="141"/>
      <c r="BP223" s="141"/>
      <c r="BQ223" s="141"/>
      <c r="BR223" s="141"/>
      <c r="BS223" s="141"/>
      <c r="BT223" s="141"/>
      <c r="BU223" s="141"/>
      <c r="BV223" s="141"/>
      <c r="BW223" s="141"/>
      <c r="BX223" s="141"/>
      <c r="BY223" s="141"/>
      <c r="BZ223" s="141"/>
      <c r="CA223" s="141"/>
      <c r="CB223" s="141"/>
      <c r="CC223" s="141"/>
      <c r="CD223" s="141"/>
      <c r="CE223" s="141"/>
      <c r="CF223" s="141"/>
      <c r="CG223" s="141"/>
      <c r="CH223" s="141"/>
      <c r="CI223" s="141"/>
      <c r="CJ223" s="141"/>
      <c r="CK223" s="141"/>
      <c r="CL223" s="141"/>
      <c r="CM223" s="141"/>
      <c r="CN223" s="141"/>
      <c r="CO223" s="141"/>
      <c r="CP223" s="141"/>
      <c r="CQ223" s="141"/>
      <c r="CR223" s="141"/>
      <c r="CS223" s="141"/>
      <c r="CT223" s="141"/>
      <c r="CU223" s="141"/>
      <c r="CV223" s="141"/>
      <c r="CW223" s="141"/>
      <c r="CX223" s="141"/>
      <c r="CY223" s="141"/>
      <c r="CZ223" s="141"/>
      <c r="DA223" s="173"/>
    </row>
    <row r="224" spans="2:105" x14ac:dyDescent="0.25">
      <c r="B224" s="172"/>
      <c r="C224" s="141" t="s">
        <v>2844</v>
      </c>
      <c r="D224" s="141" t="s">
        <v>1910</v>
      </c>
      <c r="E224" s="141" t="s">
        <v>2845</v>
      </c>
      <c r="F224" s="141" t="s">
        <v>2846</v>
      </c>
      <c r="G224" s="141"/>
      <c r="H224" s="141" t="s">
        <v>353</v>
      </c>
      <c r="I224" s="141"/>
      <c r="J224" s="141" t="s">
        <v>354</v>
      </c>
      <c r="K224" s="141" t="s">
        <v>715</v>
      </c>
      <c r="L224" s="141" t="s">
        <v>2847</v>
      </c>
      <c r="M224" s="141" t="s">
        <v>2848</v>
      </c>
      <c r="N224" s="141" t="s">
        <v>354</v>
      </c>
      <c r="O224" s="141" t="s">
        <v>369</v>
      </c>
      <c r="P224" s="141" t="s">
        <v>528</v>
      </c>
      <c r="Q224" s="141" t="s">
        <v>529</v>
      </c>
      <c r="R224" s="141" t="s">
        <v>361</v>
      </c>
      <c r="S224" s="141" t="s">
        <v>1367</v>
      </c>
      <c r="T224" s="141" t="s">
        <v>2765</v>
      </c>
      <c r="U224" s="141" t="s">
        <v>2765</v>
      </c>
      <c r="V224" s="141"/>
      <c r="W224" s="141"/>
      <c r="X224" s="141"/>
      <c r="Y224" s="141"/>
      <c r="Z224" s="141"/>
      <c r="AA224" s="141"/>
      <c r="AB224" s="141"/>
      <c r="AC224" s="141"/>
      <c r="AD224" s="141"/>
      <c r="AE224" s="141"/>
      <c r="AF224" s="141"/>
      <c r="AG224" s="141"/>
      <c r="AH224" s="141"/>
      <c r="AI224" s="141"/>
      <c r="AJ224" s="141"/>
      <c r="AK224" s="141" t="s">
        <v>354</v>
      </c>
      <c r="AL224" s="141" t="s">
        <v>364</v>
      </c>
      <c r="AM224" s="141" t="s">
        <v>354</v>
      </c>
      <c r="AN224" s="141" t="s">
        <v>380</v>
      </c>
      <c r="AO224" s="141" t="s">
        <v>2765</v>
      </c>
      <c r="AP224" s="141" t="s">
        <v>2427</v>
      </c>
      <c r="AQ224" s="141" t="s">
        <v>848</v>
      </c>
      <c r="AR224" s="141" t="s">
        <v>408</v>
      </c>
      <c r="AS224" s="141" t="s">
        <v>490</v>
      </c>
      <c r="AT224" s="141"/>
      <c r="AU224" s="141" t="s">
        <v>2847</v>
      </c>
      <c r="AV224" s="141" t="s">
        <v>499</v>
      </c>
      <c r="AW224" s="141" t="s">
        <v>2849</v>
      </c>
      <c r="AX224" s="141" t="s">
        <v>657</v>
      </c>
      <c r="AY224" s="141" t="s">
        <v>2850</v>
      </c>
      <c r="AZ224" s="141" t="s">
        <v>910</v>
      </c>
      <c r="BA224" s="141" t="s">
        <v>2262</v>
      </c>
      <c r="BB224" s="141" t="s">
        <v>497</v>
      </c>
      <c r="BC224" s="141" t="s">
        <v>1841</v>
      </c>
      <c r="BD224" s="141" t="s">
        <v>501</v>
      </c>
      <c r="BE224" s="141" t="s">
        <v>2851</v>
      </c>
      <c r="BF224" s="141" t="s">
        <v>900</v>
      </c>
      <c r="BG224" s="141" t="s">
        <v>2852</v>
      </c>
      <c r="BH224" s="141" t="s">
        <v>787</v>
      </c>
      <c r="BI224" s="141" t="s">
        <v>2853</v>
      </c>
      <c r="BJ224" s="141" t="s">
        <v>382</v>
      </c>
      <c r="BK224" s="141" t="s">
        <v>2854</v>
      </c>
      <c r="BL224" s="141"/>
      <c r="BM224" s="141"/>
      <c r="BN224" s="141"/>
      <c r="BO224" s="141"/>
      <c r="BP224" s="141"/>
      <c r="BQ224" s="141"/>
      <c r="BR224" s="141"/>
      <c r="BS224" s="141"/>
      <c r="BT224" s="141"/>
      <c r="BU224" s="141"/>
      <c r="BV224" s="141"/>
      <c r="BW224" s="141"/>
      <c r="BX224" s="141"/>
      <c r="BY224" s="141"/>
      <c r="BZ224" s="141"/>
      <c r="CA224" s="141"/>
      <c r="CB224" s="141"/>
      <c r="CC224" s="141"/>
      <c r="CD224" s="141"/>
      <c r="CE224" s="141"/>
      <c r="CF224" s="141"/>
      <c r="CG224" s="141"/>
      <c r="CH224" s="141"/>
      <c r="CI224" s="141"/>
      <c r="CJ224" s="141"/>
      <c r="CK224" s="141"/>
      <c r="CL224" s="141"/>
      <c r="CM224" s="141"/>
      <c r="CN224" s="141"/>
      <c r="CO224" s="141"/>
      <c r="CP224" s="141"/>
      <c r="CQ224" s="141"/>
      <c r="CR224" s="141"/>
      <c r="CS224" s="141"/>
      <c r="CT224" s="141"/>
      <c r="CU224" s="141"/>
      <c r="CV224" s="141"/>
      <c r="CW224" s="141"/>
      <c r="CX224" s="141"/>
      <c r="CY224" s="141"/>
      <c r="CZ224" s="141"/>
      <c r="DA224" s="173"/>
    </row>
    <row r="225" spans="2:105" x14ac:dyDescent="0.25">
      <c r="B225" s="172"/>
      <c r="C225" s="141" t="s">
        <v>2855</v>
      </c>
      <c r="D225" s="141" t="s">
        <v>2856</v>
      </c>
      <c r="E225" s="141" t="s">
        <v>2857</v>
      </c>
      <c r="F225" s="141" t="s">
        <v>2858</v>
      </c>
      <c r="G225" s="141"/>
      <c r="H225" s="141" t="s">
        <v>353</v>
      </c>
      <c r="I225" s="141"/>
      <c r="J225" s="141" t="s">
        <v>354</v>
      </c>
      <c r="K225" s="141" t="s">
        <v>648</v>
      </c>
      <c r="L225" s="141" t="s">
        <v>2859</v>
      </c>
      <c r="M225" s="141" t="s">
        <v>2860</v>
      </c>
      <c r="N225" s="141" t="s">
        <v>354</v>
      </c>
      <c r="O225" s="141" t="s">
        <v>369</v>
      </c>
      <c r="P225" s="141" t="s">
        <v>528</v>
      </c>
      <c r="Q225" s="141" t="s">
        <v>529</v>
      </c>
      <c r="R225" s="141" t="s">
        <v>361</v>
      </c>
      <c r="S225" s="141" t="s">
        <v>1367</v>
      </c>
      <c r="T225" s="141" t="s">
        <v>2765</v>
      </c>
      <c r="U225" s="141" t="s">
        <v>2765</v>
      </c>
      <c r="V225" s="141"/>
      <c r="W225" s="141"/>
      <c r="X225" s="141"/>
      <c r="Y225" s="141"/>
      <c r="Z225" s="141"/>
      <c r="AA225" s="141"/>
      <c r="AB225" s="141"/>
      <c r="AC225" s="141"/>
      <c r="AD225" s="141"/>
      <c r="AE225" s="141"/>
      <c r="AF225" s="141"/>
      <c r="AG225" s="141"/>
      <c r="AH225" s="141"/>
      <c r="AI225" s="141"/>
      <c r="AJ225" s="141"/>
      <c r="AK225" s="141" t="s">
        <v>354</v>
      </c>
      <c r="AL225" s="141" t="s">
        <v>364</v>
      </c>
      <c r="AM225" s="141" t="s">
        <v>354</v>
      </c>
      <c r="AN225" s="141" t="s">
        <v>380</v>
      </c>
      <c r="AO225" s="141" t="s">
        <v>2765</v>
      </c>
      <c r="AP225" s="141" t="s">
        <v>2427</v>
      </c>
      <c r="AQ225" s="141" t="s">
        <v>848</v>
      </c>
      <c r="AR225" s="141" t="s">
        <v>408</v>
      </c>
      <c r="AS225" s="141" t="s">
        <v>485</v>
      </c>
      <c r="AT225" s="141"/>
      <c r="AU225" s="141" t="s">
        <v>2859</v>
      </c>
      <c r="AV225" s="141" t="s">
        <v>499</v>
      </c>
      <c r="AW225" s="141" t="s">
        <v>2861</v>
      </c>
      <c r="AX225" s="141" t="s">
        <v>657</v>
      </c>
      <c r="AY225" s="141" t="s">
        <v>2862</v>
      </c>
      <c r="AZ225" s="141" t="s">
        <v>910</v>
      </c>
      <c r="BA225" s="141" t="s">
        <v>2863</v>
      </c>
      <c r="BB225" s="141" t="s">
        <v>497</v>
      </c>
      <c r="BC225" s="141" t="s">
        <v>2864</v>
      </c>
      <c r="BD225" s="141" t="s">
        <v>501</v>
      </c>
      <c r="BE225" s="141" t="s">
        <v>2865</v>
      </c>
      <c r="BF225" s="141" t="s">
        <v>900</v>
      </c>
      <c r="BG225" s="141" t="s">
        <v>2866</v>
      </c>
      <c r="BH225" s="141" t="s">
        <v>787</v>
      </c>
      <c r="BI225" s="141" t="s">
        <v>2867</v>
      </c>
      <c r="BJ225" s="141" t="s">
        <v>382</v>
      </c>
      <c r="BK225" s="141" t="s">
        <v>2868</v>
      </c>
      <c r="BL225" s="141"/>
      <c r="BM225" s="141"/>
      <c r="BN225" s="141"/>
      <c r="BO225" s="141"/>
      <c r="BP225" s="141"/>
      <c r="BQ225" s="141"/>
      <c r="BR225" s="141"/>
      <c r="BS225" s="141"/>
      <c r="BT225" s="141"/>
      <c r="BU225" s="141"/>
      <c r="BV225" s="141"/>
      <c r="BW225" s="141"/>
      <c r="BX225" s="141"/>
      <c r="BY225" s="141"/>
      <c r="BZ225" s="141"/>
      <c r="CA225" s="141"/>
      <c r="CB225" s="141"/>
      <c r="CC225" s="141"/>
      <c r="CD225" s="141"/>
      <c r="CE225" s="141"/>
      <c r="CF225" s="141"/>
      <c r="CG225" s="141"/>
      <c r="CH225" s="141"/>
      <c r="CI225" s="141"/>
      <c r="CJ225" s="141"/>
      <c r="CK225" s="141"/>
      <c r="CL225" s="141"/>
      <c r="CM225" s="141"/>
      <c r="CN225" s="141"/>
      <c r="CO225" s="141"/>
      <c r="CP225" s="141"/>
      <c r="CQ225" s="141"/>
      <c r="CR225" s="141"/>
      <c r="CS225" s="141"/>
      <c r="CT225" s="141"/>
      <c r="CU225" s="141"/>
      <c r="CV225" s="141"/>
      <c r="CW225" s="141"/>
      <c r="CX225" s="141"/>
      <c r="CY225" s="141"/>
      <c r="CZ225" s="141"/>
      <c r="DA225" s="173"/>
    </row>
    <row r="226" spans="2:105" x14ac:dyDescent="0.25">
      <c r="B226" s="172"/>
      <c r="C226" s="141" t="s">
        <v>2869</v>
      </c>
      <c r="D226" s="141" t="s">
        <v>2870</v>
      </c>
      <c r="E226" s="141" t="s">
        <v>2871</v>
      </c>
      <c r="F226" s="141" t="s">
        <v>2703</v>
      </c>
      <c r="G226" s="141"/>
      <c r="H226" s="141" t="s">
        <v>353</v>
      </c>
      <c r="I226" s="141"/>
      <c r="J226" s="141" t="s">
        <v>354</v>
      </c>
      <c r="K226" s="141" t="s">
        <v>1140</v>
      </c>
      <c r="L226" s="141" t="s">
        <v>2872</v>
      </c>
      <c r="M226" s="141" t="s">
        <v>2873</v>
      </c>
      <c r="N226" s="141" t="s">
        <v>354</v>
      </c>
      <c r="O226" s="141" t="s">
        <v>408</v>
      </c>
      <c r="P226" s="141" t="s">
        <v>409</v>
      </c>
      <c r="Q226" s="141" t="s">
        <v>409</v>
      </c>
      <c r="R226" s="141" t="s">
        <v>361</v>
      </c>
      <c r="S226" s="141" t="s">
        <v>1367</v>
      </c>
      <c r="T226" s="141" t="s">
        <v>2765</v>
      </c>
      <c r="U226" s="141" t="s">
        <v>2765</v>
      </c>
      <c r="V226" s="141"/>
      <c r="W226" s="141"/>
      <c r="X226" s="141"/>
      <c r="Y226" s="141"/>
      <c r="Z226" s="141"/>
      <c r="AA226" s="141"/>
      <c r="AB226" s="141"/>
      <c r="AC226" s="141"/>
      <c r="AD226" s="141"/>
      <c r="AE226" s="141"/>
      <c r="AF226" s="141"/>
      <c r="AG226" s="141"/>
      <c r="AH226" s="141"/>
      <c r="AI226" s="141"/>
      <c r="AJ226" s="141"/>
      <c r="AK226" s="141" t="s">
        <v>354</v>
      </c>
      <c r="AL226" s="141" t="s">
        <v>364</v>
      </c>
      <c r="AM226" s="141" t="s">
        <v>354</v>
      </c>
      <c r="AN226" s="141" t="s">
        <v>380</v>
      </c>
      <c r="AO226" s="141" t="s">
        <v>2765</v>
      </c>
      <c r="AP226" s="141" t="s">
        <v>2427</v>
      </c>
      <c r="AQ226" s="141" t="s">
        <v>848</v>
      </c>
      <c r="AR226" s="141" t="s">
        <v>408</v>
      </c>
      <c r="AS226" s="141" t="s">
        <v>362</v>
      </c>
      <c r="AT226" s="141"/>
      <c r="AU226" s="141" t="s">
        <v>2872</v>
      </c>
      <c r="AV226" s="141" t="s">
        <v>499</v>
      </c>
      <c r="AW226" s="141" t="s">
        <v>1472</v>
      </c>
      <c r="AX226" s="141" t="s">
        <v>657</v>
      </c>
      <c r="AY226" s="141" t="s">
        <v>2235</v>
      </c>
      <c r="AZ226" s="141" t="s">
        <v>910</v>
      </c>
      <c r="BA226" s="141" t="s">
        <v>2874</v>
      </c>
      <c r="BB226" s="141" t="s">
        <v>497</v>
      </c>
      <c r="BC226" s="141" t="s">
        <v>2875</v>
      </c>
      <c r="BD226" s="141" t="s">
        <v>501</v>
      </c>
      <c r="BE226" s="141" t="s">
        <v>2876</v>
      </c>
      <c r="BF226" s="141" t="s">
        <v>900</v>
      </c>
      <c r="BG226" s="141" t="s">
        <v>2877</v>
      </c>
      <c r="BH226" s="141" t="s">
        <v>787</v>
      </c>
      <c r="BI226" s="141" t="s">
        <v>2878</v>
      </c>
      <c r="BJ226" s="141" t="s">
        <v>382</v>
      </c>
      <c r="BK226" s="141" t="s">
        <v>2879</v>
      </c>
      <c r="BL226" s="141"/>
      <c r="BM226" s="141"/>
      <c r="BN226" s="141"/>
      <c r="BO226" s="141"/>
      <c r="BP226" s="141"/>
      <c r="BQ226" s="141"/>
      <c r="BR226" s="141"/>
      <c r="BS226" s="141"/>
      <c r="BT226" s="141"/>
      <c r="BU226" s="141"/>
      <c r="BV226" s="141"/>
      <c r="BW226" s="141"/>
      <c r="BX226" s="141"/>
      <c r="BY226" s="141"/>
      <c r="BZ226" s="141"/>
      <c r="CA226" s="141"/>
      <c r="CB226" s="141"/>
      <c r="CC226" s="141"/>
      <c r="CD226" s="141"/>
      <c r="CE226" s="141"/>
      <c r="CF226" s="141"/>
      <c r="CG226" s="141"/>
      <c r="CH226" s="141"/>
      <c r="CI226" s="141"/>
      <c r="CJ226" s="141"/>
      <c r="CK226" s="141"/>
      <c r="CL226" s="141"/>
      <c r="CM226" s="141"/>
      <c r="CN226" s="141"/>
      <c r="CO226" s="141"/>
      <c r="CP226" s="141"/>
      <c r="CQ226" s="141"/>
      <c r="CR226" s="141"/>
      <c r="CS226" s="141"/>
      <c r="CT226" s="141"/>
      <c r="CU226" s="141"/>
      <c r="CV226" s="141"/>
      <c r="CW226" s="141"/>
      <c r="CX226" s="141"/>
      <c r="CY226" s="141"/>
      <c r="CZ226" s="141"/>
      <c r="DA226" s="173"/>
    </row>
    <row r="227" spans="2:105" x14ac:dyDescent="0.25">
      <c r="B227" s="172"/>
      <c r="C227" s="141" t="s">
        <v>2880</v>
      </c>
      <c r="D227" s="141" t="s">
        <v>661</v>
      </c>
      <c r="E227" s="141" t="s">
        <v>2082</v>
      </c>
      <c r="F227" s="141" t="s">
        <v>2881</v>
      </c>
      <c r="G227" s="141"/>
      <c r="H227" s="141" t="s">
        <v>353</v>
      </c>
      <c r="I227" s="141"/>
      <c r="J227" s="141" t="s">
        <v>354</v>
      </c>
      <c r="K227" s="141" t="s">
        <v>736</v>
      </c>
      <c r="L227" s="141" t="s">
        <v>2882</v>
      </c>
      <c r="M227" s="141" t="s">
        <v>2883</v>
      </c>
      <c r="N227" s="141" t="s">
        <v>354</v>
      </c>
      <c r="O227" s="141" t="s">
        <v>393</v>
      </c>
      <c r="P227" s="141" t="s">
        <v>424</v>
      </c>
      <c r="Q227" s="141" t="s">
        <v>425</v>
      </c>
      <c r="R227" s="141" t="s">
        <v>361</v>
      </c>
      <c r="S227" s="141" t="s">
        <v>1367</v>
      </c>
      <c r="T227" s="141" t="s">
        <v>2765</v>
      </c>
      <c r="U227" s="141" t="s">
        <v>2765</v>
      </c>
      <c r="V227" s="141"/>
      <c r="W227" s="141"/>
      <c r="X227" s="141"/>
      <c r="Y227" s="141"/>
      <c r="Z227" s="141"/>
      <c r="AA227" s="141"/>
      <c r="AB227" s="141"/>
      <c r="AC227" s="141"/>
      <c r="AD227" s="141"/>
      <c r="AE227" s="141"/>
      <c r="AF227" s="141"/>
      <c r="AG227" s="141"/>
      <c r="AH227" s="141"/>
      <c r="AI227" s="141"/>
      <c r="AJ227" s="141"/>
      <c r="AK227" s="141" t="s">
        <v>354</v>
      </c>
      <c r="AL227" s="141" t="s">
        <v>364</v>
      </c>
      <c r="AM227" s="141" t="s">
        <v>354</v>
      </c>
      <c r="AN227" s="141" t="s">
        <v>380</v>
      </c>
      <c r="AO227" s="141" t="s">
        <v>2765</v>
      </c>
      <c r="AP227" s="141" t="s">
        <v>2427</v>
      </c>
      <c r="AQ227" s="141" t="s">
        <v>848</v>
      </c>
      <c r="AR227" s="141" t="s">
        <v>408</v>
      </c>
      <c r="AS227" s="141" t="s">
        <v>1279</v>
      </c>
      <c r="AT227" s="141"/>
      <c r="AU227" s="141" t="s">
        <v>2882</v>
      </c>
      <c r="AV227" s="141" t="s">
        <v>499</v>
      </c>
      <c r="AW227" s="141" t="s">
        <v>1413</v>
      </c>
      <c r="AX227" s="141" t="s">
        <v>657</v>
      </c>
      <c r="AY227" s="141" t="s">
        <v>2884</v>
      </c>
      <c r="AZ227" s="141" t="s">
        <v>910</v>
      </c>
      <c r="BA227" s="141" t="s">
        <v>2184</v>
      </c>
      <c r="BB227" s="141" t="s">
        <v>497</v>
      </c>
      <c r="BC227" s="141" t="s">
        <v>2885</v>
      </c>
      <c r="BD227" s="141" t="s">
        <v>501</v>
      </c>
      <c r="BE227" s="141" t="s">
        <v>2886</v>
      </c>
      <c r="BF227" s="141" t="s">
        <v>900</v>
      </c>
      <c r="BG227" s="141" t="s">
        <v>2887</v>
      </c>
      <c r="BH227" s="141" t="s">
        <v>787</v>
      </c>
      <c r="BI227" s="141" t="s">
        <v>2888</v>
      </c>
      <c r="BJ227" s="141" t="s">
        <v>382</v>
      </c>
      <c r="BK227" s="141" t="s">
        <v>2889</v>
      </c>
      <c r="BL227" s="141"/>
      <c r="BM227" s="141"/>
      <c r="BN227" s="141"/>
      <c r="BO227" s="141"/>
      <c r="BP227" s="141"/>
      <c r="BQ227" s="141"/>
      <c r="BR227" s="141"/>
      <c r="BS227" s="141"/>
      <c r="BT227" s="141"/>
      <c r="BU227" s="141"/>
      <c r="BV227" s="141"/>
      <c r="BW227" s="141"/>
      <c r="BX227" s="141"/>
      <c r="BY227" s="141"/>
      <c r="BZ227" s="141"/>
      <c r="CA227" s="141"/>
      <c r="CB227" s="141"/>
      <c r="CC227" s="141"/>
      <c r="CD227" s="141"/>
      <c r="CE227" s="141"/>
      <c r="CF227" s="141"/>
      <c r="CG227" s="141"/>
      <c r="CH227" s="141"/>
      <c r="CI227" s="141"/>
      <c r="CJ227" s="141"/>
      <c r="CK227" s="141"/>
      <c r="CL227" s="141"/>
      <c r="CM227" s="141"/>
      <c r="CN227" s="141"/>
      <c r="CO227" s="141"/>
      <c r="CP227" s="141"/>
      <c r="CQ227" s="141"/>
      <c r="CR227" s="141"/>
      <c r="CS227" s="141"/>
      <c r="CT227" s="141"/>
      <c r="CU227" s="141"/>
      <c r="CV227" s="141"/>
      <c r="CW227" s="141"/>
      <c r="CX227" s="141"/>
      <c r="CY227" s="141"/>
      <c r="CZ227" s="141"/>
      <c r="DA227" s="173"/>
    </row>
    <row r="228" spans="2:105" x14ac:dyDescent="0.25">
      <c r="B228" s="172"/>
      <c r="C228" s="141" t="s">
        <v>2890</v>
      </c>
      <c r="D228" s="141" t="s">
        <v>2891</v>
      </c>
      <c r="E228" s="141" t="s">
        <v>2243</v>
      </c>
      <c r="F228" s="141" t="s">
        <v>2892</v>
      </c>
      <c r="G228" s="141"/>
      <c r="H228" s="141" t="s">
        <v>353</v>
      </c>
      <c r="I228" s="141"/>
      <c r="J228" s="141" t="s">
        <v>354</v>
      </c>
      <c r="K228" s="141" t="s">
        <v>734</v>
      </c>
      <c r="L228" s="141" t="s">
        <v>2893</v>
      </c>
      <c r="M228" s="141" t="s">
        <v>2894</v>
      </c>
      <c r="N228" s="141" t="s">
        <v>354</v>
      </c>
      <c r="O228" s="141" t="s">
        <v>369</v>
      </c>
      <c r="P228" s="141" t="s">
        <v>528</v>
      </c>
      <c r="Q228" s="141" t="s">
        <v>529</v>
      </c>
      <c r="R228" s="141" t="s">
        <v>361</v>
      </c>
      <c r="S228" s="141" t="s">
        <v>1367</v>
      </c>
      <c r="T228" s="141" t="s">
        <v>2765</v>
      </c>
      <c r="U228" s="141" t="s">
        <v>2765</v>
      </c>
      <c r="V228" s="141"/>
      <c r="W228" s="141"/>
      <c r="X228" s="141"/>
      <c r="Y228" s="141"/>
      <c r="Z228" s="141"/>
      <c r="AA228" s="141"/>
      <c r="AB228" s="141"/>
      <c r="AC228" s="141"/>
      <c r="AD228" s="141"/>
      <c r="AE228" s="141"/>
      <c r="AF228" s="141"/>
      <c r="AG228" s="141"/>
      <c r="AH228" s="141"/>
      <c r="AI228" s="141"/>
      <c r="AJ228" s="141"/>
      <c r="AK228" s="141" t="s">
        <v>354</v>
      </c>
      <c r="AL228" s="141" t="s">
        <v>364</v>
      </c>
      <c r="AM228" s="141" t="s">
        <v>354</v>
      </c>
      <c r="AN228" s="141" t="s">
        <v>380</v>
      </c>
      <c r="AO228" s="141" t="s">
        <v>2765</v>
      </c>
      <c r="AP228" s="141" t="s">
        <v>2427</v>
      </c>
      <c r="AQ228" s="141" t="s">
        <v>848</v>
      </c>
      <c r="AR228" s="141" t="s">
        <v>408</v>
      </c>
      <c r="AS228" s="141" t="s">
        <v>1294</v>
      </c>
      <c r="AT228" s="141"/>
      <c r="AU228" s="141" t="s">
        <v>2893</v>
      </c>
      <c r="AV228" s="141" t="s">
        <v>499</v>
      </c>
      <c r="AW228" s="141" t="s">
        <v>1838</v>
      </c>
      <c r="AX228" s="141" t="s">
        <v>657</v>
      </c>
      <c r="AY228" s="141" t="s">
        <v>1082</v>
      </c>
      <c r="AZ228" s="141" t="s">
        <v>910</v>
      </c>
      <c r="BA228" s="141" t="s">
        <v>2895</v>
      </c>
      <c r="BB228" s="141" t="s">
        <v>497</v>
      </c>
      <c r="BC228" s="141" t="s">
        <v>552</v>
      </c>
      <c r="BD228" s="141" t="s">
        <v>501</v>
      </c>
      <c r="BE228" s="141" t="s">
        <v>2896</v>
      </c>
      <c r="BF228" s="141" t="s">
        <v>900</v>
      </c>
      <c r="BG228" s="141" t="s">
        <v>2572</v>
      </c>
      <c r="BH228" s="141" t="s">
        <v>787</v>
      </c>
      <c r="BI228" s="141" t="s">
        <v>2897</v>
      </c>
      <c r="BJ228" s="141" t="s">
        <v>382</v>
      </c>
      <c r="BK228" s="141" t="s">
        <v>2898</v>
      </c>
      <c r="BL228" s="141"/>
      <c r="BM228" s="141"/>
      <c r="BN228" s="141"/>
      <c r="BO228" s="141"/>
      <c r="BP228" s="141"/>
      <c r="BQ228" s="141"/>
      <c r="BR228" s="141"/>
      <c r="BS228" s="141"/>
      <c r="BT228" s="141"/>
      <c r="BU228" s="141"/>
      <c r="BV228" s="141"/>
      <c r="BW228" s="141"/>
      <c r="BX228" s="141"/>
      <c r="BY228" s="141"/>
      <c r="BZ228" s="141"/>
      <c r="CA228" s="141"/>
      <c r="CB228" s="141"/>
      <c r="CC228" s="141"/>
      <c r="CD228" s="141"/>
      <c r="CE228" s="141"/>
      <c r="CF228" s="141"/>
      <c r="CG228" s="141"/>
      <c r="CH228" s="141"/>
      <c r="CI228" s="141"/>
      <c r="CJ228" s="141"/>
      <c r="CK228" s="141"/>
      <c r="CL228" s="141"/>
      <c r="CM228" s="141"/>
      <c r="CN228" s="141"/>
      <c r="CO228" s="141"/>
      <c r="CP228" s="141"/>
      <c r="CQ228" s="141"/>
      <c r="CR228" s="141"/>
      <c r="CS228" s="141"/>
      <c r="CT228" s="141"/>
      <c r="CU228" s="141"/>
      <c r="CV228" s="141"/>
      <c r="CW228" s="141"/>
      <c r="CX228" s="141"/>
      <c r="CY228" s="141"/>
      <c r="CZ228" s="141"/>
      <c r="DA228" s="173"/>
    </row>
    <row r="229" spans="2:105" x14ac:dyDescent="0.25">
      <c r="B229" s="172"/>
      <c r="C229" s="141" t="s">
        <v>2899</v>
      </c>
      <c r="D229" s="141" t="s">
        <v>1367</v>
      </c>
      <c r="E229" s="141" t="s">
        <v>2190</v>
      </c>
      <c r="F229" s="141" t="s">
        <v>2900</v>
      </c>
      <c r="G229" s="141"/>
      <c r="H229" s="141" t="s">
        <v>353</v>
      </c>
      <c r="I229" s="141"/>
      <c r="J229" s="141" t="s">
        <v>354</v>
      </c>
      <c r="K229" s="141" t="s">
        <v>1543</v>
      </c>
      <c r="L229" s="141" t="s">
        <v>2901</v>
      </c>
      <c r="M229" s="141" t="s">
        <v>2902</v>
      </c>
      <c r="N229" s="141" t="s">
        <v>354</v>
      </c>
      <c r="O229" s="141" t="s">
        <v>441</v>
      </c>
      <c r="P229" s="141" t="s">
        <v>477</v>
      </c>
      <c r="Q229" s="141" t="s">
        <v>478</v>
      </c>
      <c r="R229" s="141" t="s">
        <v>361</v>
      </c>
      <c r="S229" s="141" t="s">
        <v>1367</v>
      </c>
      <c r="T229" s="141" t="s">
        <v>2765</v>
      </c>
      <c r="U229" s="141" t="s">
        <v>2765</v>
      </c>
      <c r="V229" s="141"/>
      <c r="W229" s="141"/>
      <c r="X229" s="141"/>
      <c r="Y229" s="141"/>
      <c r="Z229" s="141"/>
      <c r="AA229" s="141"/>
      <c r="AB229" s="141"/>
      <c r="AC229" s="141"/>
      <c r="AD229" s="141"/>
      <c r="AE229" s="141"/>
      <c r="AF229" s="141"/>
      <c r="AG229" s="141"/>
      <c r="AH229" s="141"/>
      <c r="AI229" s="141"/>
      <c r="AJ229" s="141"/>
      <c r="AK229" s="141" t="s">
        <v>354</v>
      </c>
      <c r="AL229" s="141" t="s">
        <v>364</v>
      </c>
      <c r="AM229" s="141" t="s">
        <v>354</v>
      </c>
      <c r="AN229" s="141" t="s">
        <v>380</v>
      </c>
      <c r="AO229" s="141" t="s">
        <v>2765</v>
      </c>
      <c r="AP229" s="141" t="s">
        <v>2427</v>
      </c>
      <c r="AQ229" s="141" t="s">
        <v>848</v>
      </c>
      <c r="AR229" s="141" t="s">
        <v>408</v>
      </c>
      <c r="AS229" s="141" t="s">
        <v>1308</v>
      </c>
      <c r="AT229" s="141"/>
      <c r="AU229" s="141" t="s">
        <v>2901</v>
      </c>
      <c r="AV229" s="141" t="s">
        <v>499</v>
      </c>
      <c r="AW229" s="141" t="s">
        <v>1229</v>
      </c>
      <c r="AX229" s="141" t="s">
        <v>657</v>
      </c>
      <c r="AY229" s="141" t="s">
        <v>2903</v>
      </c>
      <c r="AZ229" s="141" t="s">
        <v>910</v>
      </c>
      <c r="BA229" s="141" t="s">
        <v>2904</v>
      </c>
      <c r="BB229" s="141" t="s">
        <v>497</v>
      </c>
      <c r="BC229" s="141" t="s">
        <v>2905</v>
      </c>
      <c r="BD229" s="141" t="s">
        <v>501</v>
      </c>
      <c r="BE229" s="141" t="s">
        <v>2906</v>
      </c>
      <c r="BF229" s="141" t="s">
        <v>900</v>
      </c>
      <c r="BG229" s="141" t="s">
        <v>2907</v>
      </c>
      <c r="BH229" s="141" t="s">
        <v>787</v>
      </c>
      <c r="BI229" s="141" t="s">
        <v>2908</v>
      </c>
      <c r="BJ229" s="141" t="s">
        <v>382</v>
      </c>
      <c r="BK229" s="141" t="s">
        <v>2909</v>
      </c>
      <c r="BL229" s="141"/>
      <c r="BM229" s="141"/>
      <c r="BN229" s="141"/>
      <c r="BO229" s="141"/>
      <c r="BP229" s="141"/>
      <c r="BQ229" s="141"/>
      <c r="BR229" s="141"/>
      <c r="BS229" s="141"/>
      <c r="BT229" s="141"/>
      <c r="BU229" s="141"/>
      <c r="BV229" s="141"/>
      <c r="BW229" s="141"/>
      <c r="BX229" s="141"/>
      <c r="BY229" s="141"/>
      <c r="BZ229" s="141"/>
      <c r="CA229" s="141"/>
      <c r="CB229" s="141"/>
      <c r="CC229" s="141"/>
      <c r="CD229" s="141"/>
      <c r="CE229" s="141"/>
      <c r="CF229" s="141"/>
      <c r="CG229" s="141"/>
      <c r="CH229" s="141"/>
      <c r="CI229" s="141"/>
      <c r="CJ229" s="141"/>
      <c r="CK229" s="141"/>
      <c r="CL229" s="141"/>
      <c r="CM229" s="141"/>
      <c r="CN229" s="141"/>
      <c r="CO229" s="141"/>
      <c r="CP229" s="141"/>
      <c r="CQ229" s="141"/>
      <c r="CR229" s="141"/>
      <c r="CS229" s="141"/>
      <c r="CT229" s="141"/>
      <c r="CU229" s="141"/>
      <c r="CV229" s="141"/>
      <c r="CW229" s="141"/>
      <c r="CX229" s="141"/>
      <c r="CY229" s="141"/>
      <c r="CZ229" s="141"/>
      <c r="DA229" s="173"/>
    </row>
    <row r="230" spans="2:105" x14ac:dyDescent="0.25">
      <c r="B230" s="172"/>
      <c r="C230" s="141" t="s">
        <v>2910</v>
      </c>
      <c r="D230" s="141" t="s">
        <v>886</v>
      </c>
      <c r="E230" s="141" t="s">
        <v>507</v>
      </c>
      <c r="F230" s="141" t="s">
        <v>2911</v>
      </c>
      <c r="G230" s="141"/>
      <c r="H230" s="141" t="s">
        <v>353</v>
      </c>
      <c r="I230" s="141"/>
      <c r="J230" s="141" t="s">
        <v>354</v>
      </c>
      <c r="K230" s="141" t="s">
        <v>700</v>
      </c>
      <c r="L230" s="141" t="s">
        <v>2912</v>
      </c>
      <c r="M230" s="141" t="s">
        <v>2913</v>
      </c>
      <c r="N230" s="141" t="s">
        <v>358</v>
      </c>
      <c r="O230" s="141" t="s">
        <v>441</v>
      </c>
      <c r="P230" s="141" t="s">
        <v>477</v>
      </c>
      <c r="Q230" s="141" t="s">
        <v>478</v>
      </c>
      <c r="R230" s="141" t="s">
        <v>361</v>
      </c>
      <c r="S230" s="141" t="s">
        <v>1367</v>
      </c>
      <c r="T230" s="141" t="s">
        <v>2765</v>
      </c>
      <c r="U230" s="141" t="s">
        <v>2765</v>
      </c>
      <c r="V230" s="141"/>
      <c r="W230" s="141"/>
      <c r="X230" s="141"/>
      <c r="Y230" s="141"/>
      <c r="Z230" s="141"/>
      <c r="AA230" s="141"/>
      <c r="AB230" s="141"/>
      <c r="AC230" s="141"/>
      <c r="AD230" s="141"/>
      <c r="AE230" s="141"/>
      <c r="AF230" s="141"/>
      <c r="AG230" s="141"/>
      <c r="AH230" s="141"/>
      <c r="AI230" s="141"/>
      <c r="AJ230" s="141"/>
      <c r="AK230" s="141" t="s">
        <v>354</v>
      </c>
      <c r="AL230" s="141" t="s">
        <v>364</v>
      </c>
      <c r="AM230" s="141" t="s">
        <v>354</v>
      </c>
      <c r="AN230" s="141" t="s">
        <v>380</v>
      </c>
      <c r="AO230" s="141" t="s">
        <v>2765</v>
      </c>
      <c r="AP230" s="141" t="s">
        <v>2427</v>
      </c>
      <c r="AQ230" s="141" t="s">
        <v>848</v>
      </c>
      <c r="AR230" s="141" t="s">
        <v>408</v>
      </c>
      <c r="AS230" s="141"/>
      <c r="AT230" s="141"/>
      <c r="AU230" s="141" t="s">
        <v>2912</v>
      </c>
      <c r="AV230" s="141" t="s">
        <v>499</v>
      </c>
      <c r="AW230" s="141" t="s">
        <v>2914</v>
      </c>
      <c r="AX230" s="141"/>
      <c r="AY230" s="141"/>
      <c r="AZ230" s="141"/>
      <c r="BA230" s="141"/>
      <c r="BB230" s="141" t="s">
        <v>497</v>
      </c>
      <c r="BC230" s="141" t="s">
        <v>2915</v>
      </c>
      <c r="BD230" s="141" t="s">
        <v>501</v>
      </c>
      <c r="BE230" s="141" t="s">
        <v>2793</v>
      </c>
      <c r="BF230" s="141" t="s">
        <v>900</v>
      </c>
      <c r="BG230" s="141" t="s">
        <v>2916</v>
      </c>
      <c r="BH230" s="141"/>
      <c r="BI230" s="141"/>
      <c r="BJ230" s="141" t="s">
        <v>382</v>
      </c>
      <c r="BK230" s="141" t="s">
        <v>2917</v>
      </c>
      <c r="BL230" s="141"/>
      <c r="BM230" s="141"/>
      <c r="BN230" s="141"/>
      <c r="BO230" s="141"/>
      <c r="BP230" s="141"/>
      <c r="BQ230" s="141"/>
      <c r="BR230" s="141"/>
      <c r="BS230" s="141"/>
      <c r="BT230" s="141"/>
      <c r="BU230" s="141"/>
      <c r="BV230" s="141"/>
      <c r="BW230" s="141"/>
      <c r="BX230" s="141"/>
      <c r="BY230" s="141"/>
      <c r="BZ230" s="141"/>
      <c r="CA230" s="141"/>
      <c r="CB230" s="141"/>
      <c r="CC230" s="141"/>
      <c r="CD230" s="141"/>
      <c r="CE230" s="141"/>
      <c r="CF230" s="141"/>
      <c r="CG230" s="141"/>
      <c r="CH230" s="141"/>
      <c r="CI230" s="141"/>
      <c r="CJ230" s="141"/>
      <c r="CK230" s="141"/>
      <c r="CL230" s="141"/>
      <c r="CM230" s="141"/>
      <c r="CN230" s="141"/>
      <c r="CO230" s="141"/>
      <c r="CP230" s="141"/>
      <c r="CQ230" s="141"/>
      <c r="CR230" s="141"/>
      <c r="CS230" s="141"/>
      <c r="CT230" s="141"/>
      <c r="CU230" s="141"/>
      <c r="CV230" s="141"/>
      <c r="CW230" s="141"/>
      <c r="CX230" s="141"/>
      <c r="CY230" s="141"/>
      <c r="CZ230" s="141"/>
      <c r="DA230" s="173"/>
    </row>
    <row r="231" spans="2:105" x14ac:dyDescent="0.25">
      <c r="B231" s="172"/>
      <c r="C231" s="141"/>
      <c r="D231" s="141" t="s">
        <v>2918</v>
      </c>
      <c r="E231" s="141"/>
      <c r="F231" s="141" t="s">
        <v>466</v>
      </c>
      <c r="G231" s="141"/>
      <c r="H231" s="141" t="s">
        <v>353</v>
      </c>
      <c r="I231" s="141"/>
      <c r="J231" s="141" t="s">
        <v>354</v>
      </c>
      <c r="K231" s="141" t="s">
        <v>729</v>
      </c>
      <c r="L231" s="141"/>
      <c r="M231" s="141"/>
      <c r="N231" s="141" t="s">
        <v>354</v>
      </c>
      <c r="O231" s="141"/>
      <c r="P231" s="141"/>
      <c r="Q231" s="141"/>
      <c r="R231" s="141"/>
      <c r="S231" s="141" t="s">
        <v>1367</v>
      </c>
      <c r="T231" s="141" t="s">
        <v>2765</v>
      </c>
      <c r="U231" s="141" t="s">
        <v>2765</v>
      </c>
      <c r="V231" s="141"/>
      <c r="W231" s="141"/>
      <c r="X231" s="141"/>
      <c r="Y231" s="141"/>
      <c r="Z231" s="141"/>
      <c r="AA231" s="141"/>
      <c r="AB231" s="141"/>
      <c r="AC231" s="141"/>
      <c r="AD231" s="141"/>
      <c r="AE231" s="141"/>
      <c r="AF231" s="141"/>
      <c r="AG231" s="141"/>
      <c r="AH231" s="141"/>
      <c r="AI231" s="141"/>
      <c r="AJ231" s="141"/>
      <c r="AK231" s="141" t="s">
        <v>354</v>
      </c>
      <c r="AL231" s="141" t="s">
        <v>364</v>
      </c>
      <c r="AM231" s="141" t="s">
        <v>354</v>
      </c>
      <c r="AN231" s="141" t="s">
        <v>380</v>
      </c>
      <c r="AO231" s="141" t="s">
        <v>2765</v>
      </c>
      <c r="AP231" s="141" t="s">
        <v>2427</v>
      </c>
      <c r="AQ231" s="141" t="s">
        <v>848</v>
      </c>
      <c r="AR231" s="141" t="s">
        <v>408</v>
      </c>
      <c r="AS231" s="141"/>
      <c r="AT231" s="141"/>
      <c r="AU231" s="141"/>
      <c r="AV231" s="141"/>
      <c r="AW231" s="141"/>
      <c r="AX231" s="141"/>
      <c r="AY231" s="141"/>
      <c r="AZ231" s="141"/>
      <c r="BA231" s="141"/>
      <c r="BB231" s="141"/>
      <c r="BC231" s="141"/>
      <c r="BD231" s="141"/>
      <c r="BE231" s="141"/>
      <c r="BF231" s="141"/>
      <c r="BG231" s="141"/>
      <c r="BH231" s="141"/>
      <c r="BI231" s="141"/>
      <c r="BJ231" s="141"/>
      <c r="BK231" s="141"/>
      <c r="BL231" s="141"/>
      <c r="BM231" s="141"/>
      <c r="BN231" s="141"/>
      <c r="BO231" s="141"/>
      <c r="BP231" s="141"/>
      <c r="BQ231" s="141"/>
      <c r="BR231" s="141"/>
      <c r="BS231" s="141"/>
      <c r="BT231" s="141"/>
      <c r="BU231" s="141"/>
      <c r="BV231" s="141"/>
      <c r="BW231" s="141"/>
      <c r="BX231" s="141"/>
      <c r="BY231" s="141"/>
      <c r="BZ231" s="141"/>
      <c r="CA231" s="141"/>
      <c r="CB231" s="141"/>
      <c r="CC231" s="141"/>
      <c r="CD231" s="141"/>
      <c r="CE231" s="141"/>
      <c r="CF231" s="141"/>
      <c r="CG231" s="141"/>
      <c r="CH231" s="141"/>
      <c r="CI231" s="141"/>
      <c r="CJ231" s="141"/>
      <c r="CK231" s="141"/>
      <c r="CL231" s="141"/>
      <c r="CM231" s="141"/>
      <c r="CN231" s="141"/>
      <c r="CO231" s="141"/>
      <c r="CP231" s="141"/>
      <c r="CQ231" s="141"/>
      <c r="CR231" s="141"/>
      <c r="CS231" s="141"/>
      <c r="CT231" s="141"/>
      <c r="CU231" s="141"/>
      <c r="CV231" s="141"/>
      <c r="CW231" s="141"/>
      <c r="CX231" s="141"/>
      <c r="CY231" s="141"/>
      <c r="CZ231" s="141"/>
      <c r="DA231" s="173"/>
    </row>
    <row r="232" spans="2:105" x14ac:dyDescent="0.25">
      <c r="B232" s="172"/>
      <c r="C232" s="141" t="s">
        <v>2919</v>
      </c>
      <c r="D232" s="141" t="s">
        <v>2920</v>
      </c>
      <c r="E232" s="141" t="s">
        <v>1319</v>
      </c>
      <c r="F232" s="141" t="s">
        <v>2646</v>
      </c>
      <c r="G232" s="141"/>
      <c r="H232" s="141" t="s">
        <v>353</v>
      </c>
      <c r="I232" s="141"/>
      <c r="J232" s="141" t="s">
        <v>354</v>
      </c>
      <c r="K232" s="141" t="s">
        <v>741</v>
      </c>
      <c r="L232" s="141"/>
      <c r="M232" s="141"/>
      <c r="N232" s="141" t="s">
        <v>369</v>
      </c>
      <c r="O232" s="141" t="s">
        <v>393</v>
      </c>
      <c r="P232" s="141" t="s">
        <v>424</v>
      </c>
      <c r="Q232" s="141" t="s">
        <v>425</v>
      </c>
      <c r="R232" s="141" t="s">
        <v>361</v>
      </c>
      <c r="S232" s="141" t="s">
        <v>1367</v>
      </c>
      <c r="T232" s="141" t="s">
        <v>2765</v>
      </c>
      <c r="U232" s="141" t="s">
        <v>2765</v>
      </c>
      <c r="V232" s="141"/>
      <c r="W232" s="141"/>
      <c r="X232" s="141"/>
      <c r="Y232" s="141"/>
      <c r="Z232" s="141"/>
      <c r="AA232" s="141"/>
      <c r="AB232" s="141"/>
      <c r="AC232" s="141"/>
      <c r="AD232" s="141"/>
      <c r="AE232" s="141"/>
      <c r="AF232" s="141"/>
      <c r="AG232" s="141"/>
      <c r="AH232" s="141"/>
      <c r="AI232" s="141"/>
      <c r="AJ232" s="141"/>
      <c r="AK232" s="141" t="s">
        <v>354</v>
      </c>
      <c r="AL232" s="141" t="s">
        <v>364</v>
      </c>
      <c r="AM232" s="141" t="s">
        <v>354</v>
      </c>
      <c r="AN232" s="141" t="s">
        <v>380</v>
      </c>
      <c r="AO232" s="141" t="s">
        <v>2765</v>
      </c>
      <c r="AP232" s="141" t="s">
        <v>2427</v>
      </c>
      <c r="AQ232" s="141" t="s">
        <v>848</v>
      </c>
      <c r="AR232" s="141" t="s">
        <v>408</v>
      </c>
      <c r="AS232" s="141"/>
      <c r="AT232" s="141"/>
      <c r="AU232" s="141"/>
      <c r="AV232" s="141"/>
      <c r="AW232" s="141"/>
      <c r="AX232" s="141"/>
      <c r="AY232" s="141"/>
      <c r="AZ232" s="141"/>
      <c r="BA232" s="141"/>
      <c r="BB232" s="141"/>
      <c r="BC232" s="141"/>
      <c r="BD232" s="141"/>
      <c r="BE232" s="141"/>
      <c r="BF232" s="141"/>
      <c r="BG232" s="141"/>
      <c r="BH232" s="141"/>
      <c r="BI232" s="141"/>
      <c r="BJ232" s="141"/>
      <c r="BK232" s="141"/>
      <c r="BL232" s="141"/>
      <c r="BM232" s="141"/>
      <c r="BN232" s="141"/>
      <c r="BO232" s="141"/>
      <c r="BP232" s="141"/>
      <c r="BQ232" s="141"/>
      <c r="BR232" s="141"/>
      <c r="BS232" s="141"/>
      <c r="BT232" s="141"/>
      <c r="BU232" s="141"/>
      <c r="BV232" s="141"/>
      <c r="BW232" s="141"/>
      <c r="BX232" s="141"/>
      <c r="BY232" s="141"/>
      <c r="BZ232" s="141"/>
      <c r="CA232" s="141"/>
      <c r="CB232" s="141"/>
      <c r="CC232" s="141"/>
      <c r="CD232" s="141"/>
      <c r="CE232" s="141"/>
      <c r="CF232" s="141"/>
      <c r="CG232" s="141"/>
      <c r="CH232" s="141"/>
      <c r="CI232" s="141"/>
      <c r="CJ232" s="141"/>
      <c r="CK232" s="141"/>
      <c r="CL232" s="141"/>
      <c r="CM232" s="141"/>
      <c r="CN232" s="141"/>
      <c r="CO232" s="141"/>
      <c r="CP232" s="141"/>
      <c r="CQ232" s="141"/>
      <c r="CR232" s="141"/>
      <c r="CS232" s="141"/>
      <c r="CT232" s="141"/>
      <c r="CU232" s="141"/>
      <c r="CV232" s="141"/>
      <c r="CW232" s="141"/>
      <c r="CX232" s="141"/>
      <c r="CY232" s="141"/>
      <c r="CZ232" s="141"/>
      <c r="DA232" s="173"/>
    </row>
    <row r="233" spans="2:105" x14ac:dyDescent="0.25">
      <c r="B233" s="172"/>
      <c r="C233" s="141"/>
      <c r="D233" s="141" t="s">
        <v>2921</v>
      </c>
      <c r="E233" s="141"/>
      <c r="F233" s="141" t="s">
        <v>466</v>
      </c>
      <c r="G233" s="141"/>
      <c r="H233" s="141" t="s">
        <v>353</v>
      </c>
      <c r="I233" s="141"/>
      <c r="J233" s="141" t="s">
        <v>354</v>
      </c>
      <c r="K233" s="141" t="s">
        <v>1336</v>
      </c>
      <c r="L233" s="141"/>
      <c r="M233" s="141"/>
      <c r="N233" s="141" t="s">
        <v>354</v>
      </c>
      <c r="O233" s="141"/>
      <c r="P233" s="141"/>
      <c r="Q233" s="141"/>
      <c r="R233" s="141"/>
      <c r="S233" s="141" t="s">
        <v>1367</v>
      </c>
      <c r="T233" s="141" t="s">
        <v>2765</v>
      </c>
      <c r="U233" s="141" t="s">
        <v>2765</v>
      </c>
      <c r="V233" s="141"/>
      <c r="W233" s="141"/>
      <c r="X233" s="141"/>
      <c r="Y233" s="141"/>
      <c r="Z233" s="141"/>
      <c r="AA233" s="141"/>
      <c r="AB233" s="141"/>
      <c r="AC233" s="141"/>
      <c r="AD233" s="141"/>
      <c r="AE233" s="141"/>
      <c r="AF233" s="141"/>
      <c r="AG233" s="141"/>
      <c r="AH233" s="141"/>
      <c r="AI233" s="141"/>
      <c r="AJ233" s="141"/>
      <c r="AK233" s="141" t="s">
        <v>354</v>
      </c>
      <c r="AL233" s="141" t="s">
        <v>364</v>
      </c>
      <c r="AM233" s="141" t="s">
        <v>354</v>
      </c>
      <c r="AN233" s="141" t="s">
        <v>380</v>
      </c>
      <c r="AO233" s="141" t="s">
        <v>2765</v>
      </c>
      <c r="AP233" s="141" t="s">
        <v>2427</v>
      </c>
      <c r="AQ233" s="141" t="s">
        <v>848</v>
      </c>
      <c r="AR233" s="141" t="s">
        <v>408</v>
      </c>
      <c r="AS233" s="141"/>
      <c r="AT233" s="141"/>
      <c r="AU233" s="141"/>
      <c r="AV233" s="141"/>
      <c r="AW233" s="141"/>
      <c r="AX233" s="141"/>
      <c r="AY233" s="141"/>
      <c r="AZ233" s="141"/>
      <c r="BA233" s="141"/>
      <c r="BB233" s="141"/>
      <c r="BC233" s="141"/>
      <c r="BD233" s="141"/>
      <c r="BE233" s="141"/>
      <c r="BF233" s="141"/>
      <c r="BG233" s="141"/>
      <c r="BH233" s="141"/>
      <c r="BI233" s="141"/>
      <c r="BJ233" s="141"/>
      <c r="BK233" s="141"/>
      <c r="BL233" s="141"/>
      <c r="BM233" s="141"/>
      <c r="BN233" s="141"/>
      <c r="BO233" s="141"/>
      <c r="BP233" s="141"/>
      <c r="BQ233" s="141"/>
      <c r="BR233" s="141"/>
      <c r="BS233" s="141"/>
      <c r="BT233" s="141"/>
      <c r="BU233" s="141"/>
      <c r="BV233" s="141"/>
      <c r="BW233" s="141"/>
      <c r="BX233" s="141"/>
      <c r="BY233" s="141"/>
      <c r="BZ233" s="141"/>
      <c r="CA233" s="141"/>
      <c r="CB233" s="141"/>
      <c r="CC233" s="141"/>
      <c r="CD233" s="141"/>
      <c r="CE233" s="141"/>
      <c r="CF233" s="141"/>
      <c r="CG233" s="141"/>
      <c r="CH233" s="141"/>
      <c r="CI233" s="141"/>
      <c r="CJ233" s="141"/>
      <c r="CK233" s="141"/>
      <c r="CL233" s="141"/>
      <c r="CM233" s="141"/>
      <c r="CN233" s="141"/>
      <c r="CO233" s="141"/>
      <c r="CP233" s="141"/>
      <c r="CQ233" s="141"/>
      <c r="CR233" s="141"/>
      <c r="CS233" s="141"/>
      <c r="CT233" s="141"/>
      <c r="CU233" s="141"/>
      <c r="CV233" s="141"/>
      <c r="CW233" s="141"/>
      <c r="CX233" s="141"/>
      <c r="CY233" s="141"/>
      <c r="CZ233" s="141"/>
      <c r="DA233" s="173"/>
    </row>
    <row r="234" spans="2:105" x14ac:dyDescent="0.25">
      <c r="B234" s="172"/>
      <c r="C234" s="141" t="s">
        <v>2922</v>
      </c>
      <c r="D234" s="141" t="s">
        <v>2923</v>
      </c>
      <c r="E234" s="141" t="s">
        <v>1920</v>
      </c>
      <c r="F234" s="141" t="s">
        <v>2924</v>
      </c>
      <c r="G234" s="141"/>
      <c r="H234" s="141" t="s">
        <v>353</v>
      </c>
      <c r="I234" s="141"/>
      <c r="J234" s="141" t="s">
        <v>354</v>
      </c>
      <c r="K234" s="141" t="s">
        <v>543</v>
      </c>
      <c r="L234" s="141" t="s">
        <v>2925</v>
      </c>
      <c r="M234" s="141" t="s">
        <v>2926</v>
      </c>
      <c r="N234" s="141" t="s">
        <v>354</v>
      </c>
      <c r="O234" s="141" t="s">
        <v>368</v>
      </c>
      <c r="P234" s="141" t="s">
        <v>1923</v>
      </c>
      <c r="Q234" s="141" t="s">
        <v>1924</v>
      </c>
      <c r="R234" s="141" t="s">
        <v>361</v>
      </c>
      <c r="S234" s="141" t="s">
        <v>889</v>
      </c>
      <c r="T234" s="141" t="s">
        <v>2927</v>
      </c>
      <c r="U234" s="141" t="s">
        <v>2927</v>
      </c>
      <c r="V234" s="141"/>
      <c r="W234" s="141"/>
      <c r="X234" s="141"/>
      <c r="Y234" s="141"/>
      <c r="Z234" s="141"/>
      <c r="AA234" s="141"/>
      <c r="AB234" s="141"/>
      <c r="AC234" s="141"/>
      <c r="AD234" s="141"/>
      <c r="AE234" s="141"/>
      <c r="AF234" s="141"/>
      <c r="AG234" s="141"/>
      <c r="AH234" s="141"/>
      <c r="AI234" s="141"/>
      <c r="AJ234" s="141"/>
      <c r="AK234" s="141" t="s">
        <v>354</v>
      </c>
      <c r="AL234" s="141" t="s">
        <v>364</v>
      </c>
      <c r="AM234" s="141" t="s">
        <v>354</v>
      </c>
      <c r="AN234" s="141" t="s">
        <v>659</v>
      </c>
      <c r="AO234" s="141" t="s">
        <v>2927</v>
      </c>
      <c r="AP234" s="141" t="s">
        <v>2928</v>
      </c>
      <c r="AQ234" s="141" t="s">
        <v>2929</v>
      </c>
      <c r="AR234" s="141" t="s">
        <v>490</v>
      </c>
      <c r="AS234" s="141" t="s">
        <v>369</v>
      </c>
      <c r="AT234" s="141"/>
      <c r="AU234" s="141" t="s">
        <v>2925</v>
      </c>
      <c r="AV234" s="141" t="s">
        <v>2637</v>
      </c>
      <c r="AW234" s="141" t="s">
        <v>865</v>
      </c>
      <c r="AX234" s="141" t="s">
        <v>763</v>
      </c>
      <c r="AY234" s="141" t="s">
        <v>640</v>
      </c>
      <c r="AZ234" s="141" t="s">
        <v>908</v>
      </c>
      <c r="BA234" s="141" t="s">
        <v>2930</v>
      </c>
      <c r="BB234" s="141" t="s">
        <v>910</v>
      </c>
      <c r="BC234" s="141" t="s">
        <v>2199</v>
      </c>
      <c r="BD234" s="141" t="s">
        <v>902</v>
      </c>
      <c r="BE234" s="141" t="s">
        <v>2931</v>
      </c>
      <c r="BF234" s="141" t="s">
        <v>904</v>
      </c>
      <c r="BG234" s="141" t="s">
        <v>2932</v>
      </c>
      <c r="BH234" s="141" t="s">
        <v>906</v>
      </c>
      <c r="BI234" s="141" t="s">
        <v>1457</v>
      </c>
      <c r="BJ234" s="141" t="s">
        <v>912</v>
      </c>
      <c r="BK234" s="141" t="s">
        <v>2933</v>
      </c>
      <c r="BL234" s="141" t="s">
        <v>382</v>
      </c>
      <c r="BM234" s="141" t="s">
        <v>2934</v>
      </c>
      <c r="BN234" s="141"/>
      <c r="BO234" s="141"/>
      <c r="BP234" s="141"/>
      <c r="BQ234" s="141"/>
      <c r="BR234" s="141"/>
      <c r="BS234" s="141"/>
      <c r="BT234" s="141"/>
      <c r="BU234" s="141"/>
      <c r="BV234" s="141"/>
      <c r="BW234" s="141"/>
      <c r="BX234" s="141"/>
      <c r="BY234" s="141"/>
      <c r="BZ234" s="141"/>
      <c r="CA234" s="141"/>
      <c r="CB234" s="141"/>
      <c r="CC234" s="141"/>
      <c r="CD234" s="141"/>
      <c r="CE234" s="141"/>
      <c r="CF234" s="141"/>
      <c r="CG234" s="141"/>
      <c r="CH234" s="141"/>
      <c r="CI234" s="141"/>
      <c r="CJ234" s="141"/>
      <c r="CK234" s="141"/>
      <c r="CL234" s="141"/>
      <c r="CM234" s="141"/>
      <c r="CN234" s="141"/>
      <c r="CO234" s="141"/>
      <c r="CP234" s="141"/>
      <c r="CQ234" s="141"/>
      <c r="CR234" s="141"/>
      <c r="CS234" s="141"/>
      <c r="CT234" s="141"/>
      <c r="CU234" s="141"/>
      <c r="CV234" s="141"/>
      <c r="CW234" s="141"/>
      <c r="CX234" s="141"/>
      <c r="CY234" s="141"/>
      <c r="CZ234" s="141"/>
      <c r="DA234" s="173"/>
    </row>
    <row r="235" spans="2:105" x14ac:dyDescent="0.25">
      <c r="B235" s="172"/>
      <c r="C235" s="141" t="s">
        <v>2935</v>
      </c>
      <c r="D235" s="141" t="s">
        <v>2936</v>
      </c>
      <c r="E235" s="141" t="s">
        <v>2190</v>
      </c>
      <c r="F235" s="141" t="s">
        <v>2937</v>
      </c>
      <c r="G235" s="141"/>
      <c r="H235" s="141" t="s">
        <v>353</v>
      </c>
      <c r="I235" s="141"/>
      <c r="J235" s="141" t="s">
        <v>354</v>
      </c>
      <c r="K235" s="141" t="s">
        <v>482</v>
      </c>
      <c r="L235" s="141" t="s">
        <v>2938</v>
      </c>
      <c r="M235" s="141" t="s">
        <v>2939</v>
      </c>
      <c r="N235" s="141" t="s">
        <v>354</v>
      </c>
      <c r="O235" s="141" t="s">
        <v>441</v>
      </c>
      <c r="P235" s="141" t="s">
        <v>477</v>
      </c>
      <c r="Q235" s="141" t="s">
        <v>478</v>
      </c>
      <c r="R235" s="141" t="s">
        <v>361</v>
      </c>
      <c r="S235" s="141" t="s">
        <v>889</v>
      </c>
      <c r="T235" s="141" t="s">
        <v>2927</v>
      </c>
      <c r="U235" s="141" t="s">
        <v>2927</v>
      </c>
      <c r="V235" s="141"/>
      <c r="W235" s="141"/>
      <c r="X235" s="141"/>
      <c r="Y235" s="141"/>
      <c r="Z235" s="141"/>
      <c r="AA235" s="141"/>
      <c r="AB235" s="141"/>
      <c r="AC235" s="141"/>
      <c r="AD235" s="141"/>
      <c r="AE235" s="141"/>
      <c r="AF235" s="141"/>
      <c r="AG235" s="141"/>
      <c r="AH235" s="141"/>
      <c r="AI235" s="141"/>
      <c r="AJ235" s="141"/>
      <c r="AK235" s="141" t="s">
        <v>354</v>
      </c>
      <c r="AL235" s="141" t="s">
        <v>364</v>
      </c>
      <c r="AM235" s="141" t="s">
        <v>354</v>
      </c>
      <c r="AN235" s="141" t="s">
        <v>659</v>
      </c>
      <c r="AO235" s="141" t="s">
        <v>2927</v>
      </c>
      <c r="AP235" s="141" t="s">
        <v>2928</v>
      </c>
      <c r="AQ235" s="141" t="s">
        <v>2929</v>
      </c>
      <c r="AR235" s="141" t="s">
        <v>490</v>
      </c>
      <c r="AS235" s="141" t="s">
        <v>393</v>
      </c>
      <c r="AT235" s="141"/>
      <c r="AU235" s="141" t="s">
        <v>2938</v>
      </c>
      <c r="AV235" s="141" t="s">
        <v>2637</v>
      </c>
      <c r="AW235" s="141" t="s">
        <v>2236</v>
      </c>
      <c r="AX235" s="141" t="s">
        <v>763</v>
      </c>
      <c r="AY235" s="141" t="s">
        <v>2940</v>
      </c>
      <c r="AZ235" s="141" t="s">
        <v>908</v>
      </c>
      <c r="BA235" s="141" t="s">
        <v>2941</v>
      </c>
      <c r="BB235" s="141" t="s">
        <v>910</v>
      </c>
      <c r="BC235" s="141" t="s">
        <v>2735</v>
      </c>
      <c r="BD235" s="141" t="s">
        <v>902</v>
      </c>
      <c r="BE235" s="141" t="s">
        <v>2942</v>
      </c>
      <c r="BF235" s="141" t="s">
        <v>904</v>
      </c>
      <c r="BG235" s="141" t="s">
        <v>2943</v>
      </c>
      <c r="BH235" s="141" t="s">
        <v>906</v>
      </c>
      <c r="BI235" s="141" t="s">
        <v>2944</v>
      </c>
      <c r="BJ235" s="141" t="s">
        <v>912</v>
      </c>
      <c r="BK235" s="141" t="s">
        <v>2945</v>
      </c>
      <c r="BL235" s="141" t="s">
        <v>382</v>
      </c>
      <c r="BM235" s="141" t="s">
        <v>2946</v>
      </c>
      <c r="BN235" s="141"/>
      <c r="BO235" s="141"/>
      <c r="BP235" s="141"/>
      <c r="BQ235" s="141"/>
      <c r="BR235" s="141"/>
      <c r="BS235" s="141"/>
      <c r="BT235" s="141"/>
      <c r="BU235" s="141"/>
      <c r="BV235" s="141"/>
      <c r="BW235" s="141"/>
      <c r="BX235" s="141"/>
      <c r="BY235" s="141"/>
      <c r="BZ235" s="141"/>
      <c r="CA235" s="141"/>
      <c r="CB235" s="141"/>
      <c r="CC235" s="141"/>
      <c r="CD235" s="141"/>
      <c r="CE235" s="141"/>
      <c r="CF235" s="141"/>
      <c r="CG235" s="141"/>
      <c r="CH235" s="141"/>
      <c r="CI235" s="141"/>
      <c r="CJ235" s="141"/>
      <c r="CK235" s="141"/>
      <c r="CL235" s="141"/>
      <c r="CM235" s="141"/>
      <c r="CN235" s="141"/>
      <c r="CO235" s="141"/>
      <c r="CP235" s="141"/>
      <c r="CQ235" s="141"/>
      <c r="CR235" s="141"/>
      <c r="CS235" s="141"/>
      <c r="CT235" s="141"/>
      <c r="CU235" s="141"/>
      <c r="CV235" s="141"/>
      <c r="CW235" s="141"/>
      <c r="CX235" s="141"/>
      <c r="CY235" s="141"/>
      <c r="CZ235" s="141"/>
      <c r="DA235" s="173"/>
    </row>
    <row r="236" spans="2:105" x14ac:dyDescent="0.25">
      <c r="B236" s="172"/>
      <c r="C236" s="141" t="s">
        <v>2947</v>
      </c>
      <c r="D236" s="141" t="s">
        <v>2948</v>
      </c>
      <c r="E236" s="141" t="s">
        <v>2119</v>
      </c>
      <c r="F236" s="141" t="s">
        <v>2949</v>
      </c>
      <c r="G236" s="141"/>
      <c r="H236" s="141" t="s">
        <v>353</v>
      </c>
      <c r="I236" s="141"/>
      <c r="J236" s="141" t="s">
        <v>354</v>
      </c>
      <c r="K236" s="141" t="s">
        <v>605</v>
      </c>
      <c r="L236" s="141" t="s">
        <v>2950</v>
      </c>
      <c r="M236" s="141" t="s">
        <v>1311</v>
      </c>
      <c r="N236" s="141" t="s">
        <v>354</v>
      </c>
      <c r="O236" s="141" t="s">
        <v>393</v>
      </c>
      <c r="P236" s="141" t="s">
        <v>424</v>
      </c>
      <c r="Q236" s="141" t="s">
        <v>425</v>
      </c>
      <c r="R236" s="141" t="s">
        <v>361</v>
      </c>
      <c r="S236" s="141" t="s">
        <v>889</v>
      </c>
      <c r="T236" s="141" t="s">
        <v>2927</v>
      </c>
      <c r="U236" s="141" t="s">
        <v>2927</v>
      </c>
      <c r="V236" s="141"/>
      <c r="W236" s="141"/>
      <c r="X236" s="141"/>
      <c r="Y236" s="141"/>
      <c r="Z236" s="141"/>
      <c r="AA236" s="141"/>
      <c r="AB236" s="141"/>
      <c r="AC236" s="141"/>
      <c r="AD236" s="141"/>
      <c r="AE236" s="141"/>
      <c r="AF236" s="141"/>
      <c r="AG236" s="141"/>
      <c r="AH236" s="141"/>
      <c r="AI236" s="141"/>
      <c r="AJ236" s="141"/>
      <c r="AK236" s="141" t="s">
        <v>354</v>
      </c>
      <c r="AL236" s="141" t="s">
        <v>364</v>
      </c>
      <c r="AM236" s="141" t="s">
        <v>354</v>
      </c>
      <c r="AN236" s="141" t="s">
        <v>659</v>
      </c>
      <c r="AO236" s="141" t="s">
        <v>2927</v>
      </c>
      <c r="AP236" s="141" t="s">
        <v>2928</v>
      </c>
      <c r="AQ236" s="141" t="s">
        <v>2929</v>
      </c>
      <c r="AR236" s="141" t="s">
        <v>490</v>
      </c>
      <c r="AS236" s="141" t="s">
        <v>358</v>
      </c>
      <c r="AT236" s="141"/>
      <c r="AU236" s="141" t="s">
        <v>2950</v>
      </c>
      <c r="AV236" s="141" t="s">
        <v>2637</v>
      </c>
      <c r="AW236" s="141" t="s">
        <v>2951</v>
      </c>
      <c r="AX236" s="141" t="s">
        <v>763</v>
      </c>
      <c r="AY236" s="141" t="s">
        <v>2666</v>
      </c>
      <c r="AZ236" s="141" t="s">
        <v>908</v>
      </c>
      <c r="BA236" s="141" t="s">
        <v>2952</v>
      </c>
      <c r="BB236" s="141" t="s">
        <v>910</v>
      </c>
      <c r="BC236" s="141" t="s">
        <v>2953</v>
      </c>
      <c r="BD236" s="141" t="s">
        <v>902</v>
      </c>
      <c r="BE236" s="141" t="s">
        <v>2954</v>
      </c>
      <c r="BF236" s="141" t="s">
        <v>904</v>
      </c>
      <c r="BG236" s="141" t="s">
        <v>2489</v>
      </c>
      <c r="BH236" s="141" t="s">
        <v>906</v>
      </c>
      <c r="BI236" s="141" t="s">
        <v>2955</v>
      </c>
      <c r="BJ236" s="141" t="s">
        <v>912</v>
      </c>
      <c r="BK236" s="141" t="s">
        <v>2956</v>
      </c>
      <c r="BL236" s="141" t="s">
        <v>382</v>
      </c>
      <c r="BM236" s="141" t="s">
        <v>2957</v>
      </c>
      <c r="BN236" s="141"/>
      <c r="BO236" s="141"/>
      <c r="BP236" s="141"/>
      <c r="BQ236" s="141"/>
      <c r="BR236" s="141"/>
      <c r="BS236" s="141"/>
      <c r="BT236" s="141"/>
      <c r="BU236" s="141"/>
      <c r="BV236" s="141"/>
      <c r="BW236" s="141"/>
      <c r="BX236" s="141"/>
      <c r="BY236" s="141"/>
      <c r="BZ236" s="141"/>
      <c r="CA236" s="141"/>
      <c r="CB236" s="141"/>
      <c r="CC236" s="141"/>
      <c r="CD236" s="141"/>
      <c r="CE236" s="141"/>
      <c r="CF236" s="141"/>
      <c r="CG236" s="141"/>
      <c r="CH236" s="141"/>
      <c r="CI236" s="141"/>
      <c r="CJ236" s="141"/>
      <c r="CK236" s="141"/>
      <c r="CL236" s="141"/>
      <c r="CM236" s="141"/>
      <c r="CN236" s="141"/>
      <c r="CO236" s="141"/>
      <c r="CP236" s="141"/>
      <c r="CQ236" s="141"/>
      <c r="CR236" s="141"/>
      <c r="CS236" s="141"/>
      <c r="CT236" s="141"/>
      <c r="CU236" s="141"/>
      <c r="CV236" s="141"/>
      <c r="CW236" s="141"/>
      <c r="CX236" s="141"/>
      <c r="CY236" s="141"/>
      <c r="CZ236" s="141"/>
      <c r="DA236" s="173"/>
    </row>
    <row r="237" spans="2:105" x14ac:dyDescent="0.25">
      <c r="B237" s="172"/>
      <c r="C237" s="141" t="s">
        <v>2958</v>
      </c>
      <c r="D237" s="141" t="s">
        <v>2959</v>
      </c>
      <c r="E237" s="141" t="s">
        <v>2835</v>
      </c>
      <c r="F237" s="141" t="s">
        <v>2892</v>
      </c>
      <c r="G237" s="141"/>
      <c r="H237" s="141" t="s">
        <v>353</v>
      </c>
      <c r="I237" s="141"/>
      <c r="J237" s="141" t="s">
        <v>354</v>
      </c>
      <c r="K237" s="141" t="s">
        <v>620</v>
      </c>
      <c r="L237" s="141" t="s">
        <v>2960</v>
      </c>
      <c r="M237" s="141" t="s">
        <v>2961</v>
      </c>
      <c r="N237" s="141" t="s">
        <v>354</v>
      </c>
      <c r="O237" s="141" t="s">
        <v>358</v>
      </c>
      <c r="P237" s="141" t="s">
        <v>359</v>
      </c>
      <c r="Q237" s="141" t="s">
        <v>360</v>
      </c>
      <c r="R237" s="141" t="s">
        <v>361</v>
      </c>
      <c r="S237" s="141" t="s">
        <v>889</v>
      </c>
      <c r="T237" s="141" t="s">
        <v>2927</v>
      </c>
      <c r="U237" s="141" t="s">
        <v>2927</v>
      </c>
      <c r="V237" s="141"/>
      <c r="W237" s="141"/>
      <c r="X237" s="141"/>
      <c r="Y237" s="141"/>
      <c r="Z237" s="141"/>
      <c r="AA237" s="141"/>
      <c r="AB237" s="141"/>
      <c r="AC237" s="141"/>
      <c r="AD237" s="141"/>
      <c r="AE237" s="141"/>
      <c r="AF237" s="141"/>
      <c r="AG237" s="141"/>
      <c r="AH237" s="141"/>
      <c r="AI237" s="141"/>
      <c r="AJ237" s="141"/>
      <c r="AK237" s="141" t="s">
        <v>354</v>
      </c>
      <c r="AL237" s="141" t="s">
        <v>364</v>
      </c>
      <c r="AM237" s="141" t="s">
        <v>354</v>
      </c>
      <c r="AN237" s="141" t="s">
        <v>659</v>
      </c>
      <c r="AO237" s="141" t="s">
        <v>2927</v>
      </c>
      <c r="AP237" s="141" t="s">
        <v>2928</v>
      </c>
      <c r="AQ237" s="141" t="s">
        <v>2929</v>
      </c>
      <c r="AR237" s="141" t="s">
        <v>490</v>
      </c>
      <c r="AS237" s="141" t="s">
        <v>426</v>
      </c>
      <c r="AT237" s="141"/>
      <c r="AU237" s="141" t="s">
        <v>2960</v>
      </c>
      <c r="AV237" s="141" t="s">
        <v>2637</v>
      </c>
      <c r="AW237" s="141" t="s">
        <v>1816</v>
      </c>
      <c r="AX237" s="141" t="s">
        <v>763</v>
      </c>
      <c r="AY237" s="141" t="s">
        <v>2962</v>
      </c>
      <c r="AZ237" s="141" t="s">
        <v>908</v>
      </c>
      <c r="BA237" s="141" t="s">
        <v>2963</v>
      </c>
      <c r="BB237" s="141" t="s">
        <v>910</v>
      </c>
      <c r="BC237" s="141" t="s">
        <v>2964</v>
      </c>
      <c r="BD237" s="141" t="s">
        <v>902</v>
      </c>
      <c r="BE237" s="141" t="s">
        <v>2965</v>
      </c>
      <c r="BF237" s="141" t="s">
        <v>904</v>
      </c>
      <c r="BG237" s="141" t="s">
        <v>2966</v>
      </c>
      <c r="BH237" s="141" t="s">
        <v>906</v>
      </c>
      <c r="BI237" s="141" t="s">
        <v>2967</v>
      </c>
      <c r="BJ237" s="141" t="s">
        <v>912</v>
      </c>
      <c r="BK237" s="141" t="s">
        <v>2968</v>
      </c>
      <c r="BL237" s="141" t="s">
        <v>382</v>
      </c>
      <c r="BM237" s="141" t="s">
        <v>2969</v>
      </c>
      <c r="BN237" s="141"/>
      <c r="BO237" s="141"/>
      <c r="BP237" s="141"/>
      <c r="BQ237" s="141"/>
      <c r="BR237" s="141"/>
      <c r="BS237" s="141"/>
      <c r="BT237" s="141"/>
      <c r="BU237" s="141"/>
      <c r="BV237" s="141"/>
      <c r="BW237" s="141"/>
      <c r="BX237" s="141"/>
      <c r="BY237" s="141"/>
      <c r="BZ237" s="141"/>
      <c r="CA237" s="141"/>
      <c r="CB237" s="141"/>
      <c r="CC237" s="141"/>
      <c r="CD237" s="141"/>
      <c r="CE237" s="141"/>
      <c r="CF237" s="141"/>
      <c r="CG237" s="141"/>
      <c r="CH237" s="141"/>
      <c r="CI237" s="141"/>
      <c r="CJ237" s="141"/>
      <c r="CK237" s="141"/>
      <c r="CL237" s="141"/>
      <c r="CM237" s="141"/>
      <c r="CN237" s="141"/>
      <c r="CO237" s="141"/>
      <c r="CP237" s="141"/>
      <c r="CQ237" s="141"/>
      <c r="CR237" s="141"/>
      <c r="CS237" s="141"/>
      <c r="CT237" s="141"/>
      <c r="CU237" s="141"/>
      <c r="CV237" s="141"/>
      <c r="CW237" s="141"/>
      <c r="CX237" s="141"/>
      <c r="CY237" s="141"/>
      <c r="CZ237" s="141"/>
      <c r="DA237" s="173"/>
    </row>
    <row r="238" spans="2:105" x14ac:dyDescent="0.25">
      <c r="B238" s="172"/>
      <c r="C238" s="141" t="s">
        <v>2970</v>
      </c>
      <c r="D238" s="141" t="s">
        <v>2971</v>
      </c>
      <c r="E238" s="141" t="s">
        <v>588</v>
      </c>
      <c r="F238" s="141" t="s">
        <v>2911</v>
      </c>
      <c r="G238" s="141"/>
      <c r="H238" s="141" t="s">
        <v>353</v>
      </c>
      <c r="I238" s="141"/>
      <c r="J238" s="141" t="s">
        <v>354</v>
      </c>
      <c r="K238" s="141" t="s">
        <v>509</v>
      </c>
      <c r="L238" s="141" t="s">
        <v>2972</v>
      </c>
      <c r="M238" s="141" t="s">
        <v>2973</v>
      </c>
      <c r="N238" s="141" t="s">
        <v>354</v>
      </c>
      <c r="O238" s="141" t="s">
        <v>358</v>
      </c>
      <c r="P238" s="141" t="s">
        <v>359</v>
      </c>
      <c r="Q238" s="141" t="s">
        <v>360</v>
      </c>
      <c r="R238" s="141" t="s">
        <v>361</v>
      </c>
      <c r="S238" s="141" t="s">
        <v>889</v>
      </c>
      <c r="T238" s="141" t="s">
        <v>2927</v>
      </c>
      <c r="U238" s="141" t="s">
        <v>2927</v>
      </c>
      <c r="V238" s="141"/>
      <c r="W238" s="141"/>
      <c r="X238" s="141"/>
      <c r="Y238" s="141"/>
      <c r="Z238" s="141"/>
      <c r="AA238" s="141"/>
      <c r="AB238" s="141"/>
      <c r="AC238" s="141"/>
      <c r="AD238" s="141"/>
      <c r="AE238" s="141"/>
      <c r="AF238" s="141"/>
      <c r="AG238" s="141"/>
      <c r="AH238" s="141"/>
      <c r="AI238" s="141"/>
      <c r="AJ238" s="141"/>
      <c r="AK238" s="141" t="s">
        <v>354</v>
      </c>
      <c r="AL238" s="141" t="s">
        <v>364</v>
      </c>
      <c r="AM238" s="141" t="s">
        <v>354</v>
      </c>
      <c r="AN238" s="141" t="s">
        <v>659</v>
      </c>
      <c r="AO238" s="141" t="s">
        <v>2927</v>
      </c>
      <c r="AP238" s="141" t="s">
        <v>2928</v>
      </c>
      <c r="AQ238" s="141" t="s">
        <v>2929</v>
      </c>
      <c r="AR238" s="141" t="s">
        <v>490</v>
      </c>
      <c r="AS238" s="141" t="s">
        <v>441</v>
      </c>
      <c r="AT238" s="141"/>
      <c r="AU238" s="141" t="s">
        <v>2972</v>
      </c>
      <c r="AV238" s="141" t="s">
        <v>2637</v>
      </c>
      <c r="AW238" s="141" t="s">
        <v>2974</v>
      </c>
      <c r="AX238" s="141" t="s">
        <v>763</v>
      </c>
      <c r="AY238" s="141" t="s">
        <v>2975</v>
      </c>
      <c r="AZ238" s="141" t="s">
        <v>908</v>
      </c>
      <c r="BA238" s="141" t="s">
        <v>2976</v>
      </c>
      <c r="BB238" s="141" t="s">
        <v>910</v>
      </c>
      <c r="BC238" s="141" t="s">
        <v>2977</v>
      </c>
      <c r="BD238" s="141" t="s">
        <v>902</v>
      </c>
      <c r="BE238" s="141" t="s">
        <v>2978</v>
      </c>
      <c r="BF238" s="141" t="s">
        <v>904</v>
      </c>
      <c r="BG238" s="141" t="s">
        <v>2979</v>
      </c>
      <c r="BH238" s="141" t="s">
        <v>906</v>
      </c>
      <c r="BI238" s="141" t="s">
        <v>1826</v>
      </c>
      <c r="BJ238" s="141" t="s">
        <v>912</v>
      </c>
      <c r="BK238" s="141" t="s">
        <v>2980</v>
      </c>
      <c r="BL238" s="141" t="s">
        <v>382</v>
      </c>
      <c r="BM238" s="141" t="s">
        <v>2981</v>
      </c>
      <c r="BN238" s="141"/>
      <c r="BO238" s="141"/>
      <c r="BP238" s="141"/>
      <c r="BQ238" s="141"/>
      <c r="BR238" s="141"/>
      <c r="BS238" s="141"/>
      <c r="BT238" s="141"/>
      <c r="BU238" s="141"/>
      <c r="BV238" s="141"/>
      <c r="BW238" s="141"/>
      <c r="BX238" s="141"/>
      <c r="BY238" s="141"/>
      <c r="BZ238" s="141"/>
      <c r="CA238" s="141"/>
      <c r="CB238" s="141"/>
      <c r="CC238" s="141"/>
      <c r="CD238" s="141"/>
      <c r="CE238" s="141"/>
      <c r="CF238" s="141"/>
      <c r="CG238" s="141"/>
      <c r="CH238" s="141"/>
      <c r="CI238" s="141"/>
      <c r="CJ238" s="141"/>
      <c r="CK238" s="141"/>
      <c r="CL238" s="141"/>
      <c r="CM238" s="141"/>
      <c r="CN238" s="141"/>
      <c r="CO238" s="141"/>
      <c r="CP238" s="141"/>
      <c r="CQ238" s="141"/>
      <c r="CR238" s="141"/>
      <c r="CS238" s="141"/>
      <c r="CT238" s="141"/>
      <c r="CU238" s="141"/>
      <c r="CV238" s="141"/>
      <c r="CW238" s="141"/>
      <c r="CX238" s="141"/>
      <c r="CY238" s="141"/>
      <c r="CZ238" s="141"/>
      <c r="DA238" s="173"/>
    </row>
    <row r="239" spans="2:105" x14ac:dyDescent="0.25">
      <c r="B239" s="172"/>
      <c r="C239" s="141" t="s">
        <v>2982</v>
      </c>
      <c r="D239" s="141" t="s">
        <v>2983</v>
      </c>
      <c r="E239" s="141" t="s">
        <v>819</v>
      </c>
      <c r="F239" s="141" t="s">
        <v>2524</v>
      </c>
      <c r="G239" s="141"/>
      <c r="H239" s="141" t="s">
        <v>353</v>
      </c>
      <c r="I239" s="141"/>
      <c r="J239" s="141" t="s">
        <v>354</v>
      </c>
      <c r="K239" s="141" t="s">
        <v>645</v>
      </c>
      <c r="L239" s="141" t="s">
        <v>2984</v>
      </c>
      <c r="M239" s="141" t="s">
        <v>2985</v>
      </c>
      <c r="N239" s="141" t="s">
        <v>354</v>
      </c>
      <c r="O239" s="141" t="s">
        <v>393</v>
      </c>
      <c r="P239" s="141" t="s">
        <v>424</v>
      </c>
      <c r="Q239" s="141" t="s">
        <v>425</v>
      </c>
      <c r="R239" s="141" t="s">
        <v>361</v>
      </c>
      <c r="S239" s="141" t="s">
        <v>889</v>
      </c>
      <c r="T239" s="141" t="s">
        <v>2927</v>
      </c>
      <c r="U239" s="141" t="s">
        <v>2927</v>
      </c>
      <c r="V239" s="141"/>
      <c r="W239" s="141"/>
      <c r="X239" s="141"/>
      <c r="Y239" s="141"/>
      <c r="Z239" s="141"/>
      <c r="AA239" s="141"/>
      <c r="AB239" s="141"/>
      <c r="AC239" s="141"/>
      <c r="AD239" s="141"/>
      <c r="AE239" s="141"/>
      <c r="AF239" s="141"/>
      <c r="AG239" s="141"/>
      <c r="AH239" s="141"/>
      <c r="AI239" s="141"/>
      <c r="AJ239" s="141"/>
      <c r="AK239" s="141" t="s">
        <v>354</v>
      </c>
      <c r="AL239" s="141" t="s">
        <v>364</v>
      </c>
      <c r="AM239" s="141" t="s">
        <v>354</v>
      </c>
      <c r="AN239" s="141" t="s">
        <v>659</v>
      </c>
      <c r="AO239" s="141" t="s">
        <v>2927</v>
      </c>
      <c r="AP239" s="141" t="s">
        <v>2928</v>
      </c>
      <c r="AQ239" s="141" t="s">
        <v>2929</v>
      </c>
      <c r="AR239" s="141" t="s">
        <v>490</v>
      </c>
      <c r="AS239" s="141" t="s">
        <v>391</v>
      </c>
      <c r="AT239" s="141"/>
      <c r="AU239" s="141" t="s">
        <v>2984</v>
      </c>
      <c r="AV239" s="141" t="s">
        <v>2637</v>
      </c>
      <c r="AW239" s="141" t="s">
        <v>944</v>
      </c>
      <c r="AX239" s="141" t="s">
        <v>763</v>
      </c>
      <c r="AY239" s="141" t="s">
        <v>2986</v>
      </c>
      <c r="AZ239" s="141" t="s">
        <v>908</v>
      </c>
      <c r="BA239" s="141" t="s">
        <v>2943</v>
      </c>
      <c r="BB239" s="141" t="s">
        <v>910</v>
      </c>
      <c r="BC239" s="141" t="s">
        <v>1620</v>
      </c>
      <c r="BD239" s="141" t="s">
        <v>902</v>
      </c>
      <c r="BE239" s="141" t="s">
        <v>1041</v>
      </c>
      <c r="BF239" s="141" t="s">
        <v>904</v>
      </c>
      <c r="BG239" s="141" t="s">
        <v>2987</v>
      </c>
      <c r="BH239" s="141" t="s">
        <v>906</v>
      </c>
      <c r="BI239" s="141" t="s">
        <v>2988</v>
      </c>
      <c r="BJ239" s="141" t="s">
        <v>912</v>
      </c>
      <c r="BK239" s="141" t="s">
        <v>2989</v>
      </c>
      <c r="BL239" s="141" t="s">
        <v>382</v>
      </c>
      <c r="BM239" s="141" t="s">
        <v>2902</v>
      </c>
      <c r="BN239" s="141"/>
      <c r="BO239" s="141"/>
      <c r="BP239" s="141"/>
      <c r="BQ239" s="141"/>
      <c r="BR239" s="141"/>
      <c r="BS239" s="141"/>
      <c r="BT239" s="141"/>
      <c r="BU239" s="141"/>
      <c r="BV239" s="141"/>
      <c r="BW239" s="141"/>
      <c r="BX239" s="141"/>
      <c r="BY239" s="141"/>
      <c r="BZ239" s="141"/>
      <c r="CA239" s="141"/>
      <c r="CB239" s="141"/>
      <c r="CC239" s="141"/>
      <c r="CD239" s="141"/>
      <c r="CE239" s="141"/>
      <c r="CF239" s="141"/>
      <c r="CG239" s="141"/>
      <c r="CH239" s="141"/>
      <c r="CI239" s="141"/>
      <c r="CJ239" s="141"/>
      <c r="CK239" s="141"/>
      <c r="CL239" s="141"/>
      <c r="CM239" s="141"/>
      <c r="CN239" s="141"/>
      <c r="CO239" s="141"/>
      <c r="CP239" s="141"/>
      <c r="CQ239" s="141"/>
      <c r="CR239" s="141"/>
      <c r="CS239" s="141"/>
      <c r="CT239" s="141"/>
      <c r="CU239" s="141"/>
      <c r="CV239" s="141"/>
      <c r="CW239" s="141"/>
      <c r="CX239" s="141"/>
      <c r="CY239" s="141"/>
      <c r="CZ239" s="141"/>
      <c r="DA239" s="173"/>
    </row>
    <row r="240" spans="2:105" x14ac:dyDescent="0.25">
      <c r="B240" s="172"/>
      <c r="C240" s="141" t="s">
        <v>2990</v>
      </c>
      <c r="D240" s="141" t="s">
        <v>2991</v>
      </c>
      <c r="E240" s="141" t="s">
        <v>2992</v>
      </c>
      <c r="F240" s="141" t="s">
        <v>2436</v>
      </c>
      <c r="G240" s="141"/>
      <c r="H240" s="141" t="s">
        <v>353</v>
      </c>
      <c r="I240" s="141"/>
      <c r="J240" s="141" t="s">
        <v>354</v>
      </c>
      <c r="K240" s="141" t="s">
        <v>640</v>
      </c>
      <c r="L240" s="141"/>
      <c r="M240" s="141"/>
      <c r="N240" s="141" t="s">
        <v>369</v>
      </c>
      <c r="O240" s="141" t="s">
        <v>408</v>
      </c>
      <c r="P240" s="141" t="s">
        <v>409</v>
      </c>
      <c r="Q240" s="141" t="s">
        <v>409</v>
      </c>
      <c r="R240" s="141" t="s">
        <v>361</v>
      </c>
      <c r="S240" s="141" t="s">
        <v>889</v>
      </c>
      <c r="T240" s="141" t="s">
        <v>2927</v>
      </c>
      <c r="U240" s="141" t="s">
        <v>2927</v>
      </c>
      <c r="V240" s="141"/>
      <c r="W240" s="141"/>
      <c r="X240" s="141"/>
      <c r="Y240" s="141"/>
      <c r="Z240" s="141"/>
      <c r="AA240" s="141"/>
      <c r="AB240" s="141"/>
      <c r="AC240" s="141"/>
      <c r="AD240" s="141"/>
      <c r="AE240" s="141"/>
      <c r="AF240" s="141"/>
      <c r="AG240" s="141"/>
      <c r="AH240" s="141"/>
      <c r="AI240" s="141"/>
      <c r="AJ240" s="141"/>
      <c r="AK240" s="141" t="s">
        <v>354</v>
      </c>
      <c r="AL240" s="141" t="s">
        <v>364</v>
      </c>
      <c r="AM240" s="141" t="s">
        <v>354</v>
      </c>
      <c r="AN240" s="141" t="s">
        <v>659</v>
      </c>
      <c r="AO240" s="141" t="s">
        <v>2927</v>
      </c>
      <c r="AP240" s="141" t="s">
        <v>2928</v>
      </c>
      <c r="AQ240" s="141" t="s">
        <v>2929</v>
      </c>
      <c r="AR240" s="141" t="s">
        <v>490</v>
      </c>
      <c r="AS240" s="141"/>
      <c r="AT240" s="141"/>
      <c r="AU240" s="141"/>
      <c r="AV240" s="141"/>
      <c r="AW240" s="141"/>
      <c r="AX240" s="141"/>
      <c r="AY240" s="141"/>
      <c r="AZ240" s="141"/>
      <c r="BA240" s="141"/>
      <c r="BB240" s="141"/>
      <c r="BC240" s="141"/>
      <c r="BD240" s="141"/>
      <c r="BE240" s="141"/>
      <c r="BF240" s="141"/>
      <c r="BG240" s="141"/>
      <c r="BH240" s="141"/>
      <c r="BI240" s="141"/>
      <c r="BJ240" s="141"/>
      <c r="BK240" s="141"/>
      <c r="BL240" s="141"/>
      <c r="BM240" s="141"/>
      <c r="BN240" s="141"/>
      <c r="BO240" s="141"/>
      <c r="BP240" s="141"/>
      <c r="BQ240" s="141"/>
      <c r="BR240" s="141"/>
      <c r="BS240" s="141"/>
      <c r="BT240" s="141"/>
      <c r="BU240" s="141"/>
      <c r="BV240" s="141"/>
      <c r="BW240" s="141"/>
      <c r="BX240" s="141"/>
      <c r="BY240" s="141"/>
      <c r="BZ240" s="141"/>
      <c r="CA240" s="141"/>
      <c r="CB240" s="141"/>
      <c r="CC240" s="141"/>
      <c r="CD240" s="141"/>
      <c r="CE240" s="141"/>
      <c r="CF240" s="141"/>
      <c r="CG240" s="141"/>
      <c r="CH240" s="141"/>
      <c r="CI240" s="141"/>
      <c r="CJ240" s="141"/>
      <c r="CK240" s="141"/>
      <c r="CL240" s="141"/>
      <c r="CM240" s="141"/>
      <c r="CN240" s="141"/>
      <c r="CO240" s="141"/>
      <c r="CP240" s="141"/>
      <c r="CQ240" s="141"/>
      <c r="CR240" s="141"/>
      <c r="CS240" s="141"/>
      <c r="CT240" s="141"/>
      <c r="CU240" s="141"/>
      <c r="CV240" s="141"/>
      <c r="CW240" s="141"/>
      <c r="CX240" s="141"/>
      <c r="CY240" s="141"/>
      <c r="CZ240" s="141"/>
      <c r="DA240" s="173"/>
    </row>
    <row r="241" spans="2:105" x14ac:dyDescent="0.25">
      <c r="B241" s="172"/>
      <c r="C241" s="141"/>
      <c r="D241" s="141" t="s">
        <v>2993</v>
      </c>
      <c r="E241" s="141"/>
      <c r="F241" s="141" t="s">
        <v>466</v>
      </c>
      <c r="G241" s="141"/>
      <c r="H241" s="141" t="s">
        <v>353</v>
      </c>
      <c r="I241" s="141"/>
      <c r="J241" s="141" t="s">
        <v>354</v>
      </c>
      <c r="K241" s="141" t="s">
        <v>636</v>
      </c>
      <c r="L241" s="141"/>
      <c r="M241" s="141"/>
      <c r="N241" s="141" t="s">
        <v>354</v>
      </c>
      <c r="O241" s="141"/>
      <c r="P241" s="141"/>
      <c r="Q241" s="141"/>
      <c r="R241" s="141"/>
      <c r="S241" s="141" t="s">
        <v>889</v>
      </c>
      <c r="T241" s="141" t="s">
        <v>2927</v>
      </c>
      <c r="U241" s="141" t="s">
        <v>2927</v>
      </c>
      <c r="V241" s="141"/>
      <c r="W241" s="141"/>
      <c r="X241" s="141"/>
      <c r="Y241" s="141"/>
      <c r="Z241" s="141"/>
      <c r="AA241" s="141"/>
      <c r="AB241" s="141"/>
      <c r="AC241" s="141"/>
      <c r="AD241" s="141"/>
      <c r="AE241" s="141"/>
      <c r="AF241" s="141"/>
      <c r="AG241" s="141"/>
      <c r="AH241" s="141"/>
      <c r="AI241" s="141"/>
      <c r="AJ241" s="141"/>
      <c r="AK241" s="141" t="s">
        <v>354</v>
      </c>
      <c r="AL241" s="141" t="s">
        <v>364</v>
      </c>
      <c r="AM241" s="141" t="s">
        <v>354</v>
      </c>
      <c r="AN241" s="141" t="s">
        <v>659</v>
      </c>
      <c r="AO241" s="141" t="s">
        <v>2927</v>
      </c>
      <c r="AP241" s="141" t="s">
        <v>2928</v>
      </c>
      <c r="AQ241" s="141" t="s">
        <v>2929</v>
      </c>
      <c r="AR241" s="141" t="s">
        <v>490</v>
      </c>
      <c r="AS241" s="141"/>
      <c r="AT241" s="141"/>
      <c r="AU241" s="141"/>
      <c r="AV241" s="141"/>
      <c r="AW241" s="141"/>
      <c r="AX241" s="141"/>
      <c r="AY241" s="141"/>
      <c r="AZ241" s="141"/>
      <c r="BA241" s="141"/>
      <c r="BB241" s="141"/>
      <c r="BC241" s="141"/>
      <c r="BD241" s="141"/>
      <c r="BE241" s="141"/>
      <c r="BF241" s="141"/>
      <c r="BG241" s="141"/>
      <c r="BH241" s="141"/>
      <c r="BI241" s="141"/>
      <c r="BJ241" s="141"/>
      <c r="BK241" s="141"/>
      <c r="BL241" s="141"/>
      <c r="BM241" s="141"/>
      <c r="BN241" s="141"/>
      <c r="BO241" s="141"/>
      <c r="BP241" s="141"/>
      <c r="BQ241" s="141"/>
      <c r="BR241" s="141"/>
      <c r="BS241" s="141"/>
      <c r="BT241" s="141"/>
      <c r="BU241" s="141"/>
      <c r="BV241" s="141"/>
      <c r="BW241" s="141"/>
      <c r="BX241" s="141"/>
      <c r="BY241" s="141"/>
      <c r="BZ241" s="141"/>
      <c r="CA241" s="141"/>
      <c r="CB241" s="141"/>
      <c r="CC241" s="141"/>
      <c r="CD241" s="141"/>
      <c r="CE241" s="141"/>
      <c r="CF241" s="141"/>
      <c r="CG241" s="141"/>
      <c r="CH241" s="141"/>
      <c r="CI241" s="141"/>
      <c r="CJ241" s="141"/>
      <c r="CK241" s="141"/>
      <c r="CL241" s="141"/>
      <c r="CM241" s="141"/>
      <c r="CN241" s="141"/>
      <c r="CO241" s="141"/>
      <c r="CP241" s="141"/>
      <c r="CQ241" s="141"/>
      <c r="CR241" s="141"/>
      <c r="CS241" s="141"/>
      <c r="CT241" s="141"/>
      <c r="CU241" s="141"/>
      <c r="CV241" s="141"/>
      <c r="CW241" s="141"/>
      <c r="CX241" s="141"/>
      <c r="CY241" s="141"/>
      <c r="CZ241" s="141"/>
      <c r="DA241" s="173"/>
    </row>
    <row r="242" spans="2:105" x14ac:dyDescent="0.25">
      <c r="B242" s="172"/>
      <c r="C242" s="141"/>
      <c r="D242" s="141" t="s">
        <v>2994</v>
      </c>
      <c r="E242" s="141"/>
      <c r="F242" s="141" t="s">
        <v>466</v>
      </c>
      <c r="G242" s="141"/>
      <c r="H242" s="141" t="s">
        <v>353</v>
      </c>
      <c r="I242" s="141"/>
      <c r="J242" s="141" t="s">
        <v>354</v>
      </c>
      <c r="K242" s="141" t="s">
        <v>638</v>
      </c>
      <c r="L242" s="141"/>
      <c r="M242" s="141"/>
      <c r="N242" s="141" t="s">
        <v>354</v>
      </c>
      <c r="O242" s="141"/>
      <c r="P242" s="141"/>
      <c r="Q242" s="141"/>
      <c r="R242" s="141"/>
      <c r="S242" s="141" t="s">
        <v>889</v>
      </c>
      <c r="T242" s="141" t="s">
        <v>2927</v>
      </c>
      <c r="U242" s="141" t="s">
        <v>2927</v>
      </c>
      <c r="V242" s="141"/>
      <c r="W242" s="141"/>
      <c r="X242" s="141"/>
      <c r="Y242" s="141"/>
      <c r="Z242" s="141"/>
      <c r="AA242" s="141"/>
      <c r="AB242" s="141"/>
      <c r="AC242" s="141"/>
      <c r="AD242" s="141"/>
      <c r="AE242" s="141"/>
      <c r="AF242" s="141"/>
      <c r="AG242" s="141"/>
      <c r="AH242" s="141"/>
      <c r="AI242" s="141"/>
      <c r="AJ242" s="141"/>
      <c r="AK242" s="141" t="s">
        <v>354</v>
      </c>
      <c r="AL242" s="141" t="s">
        <v>364</v>
      </c>
      <c r="AM242" s="141" t="s">
        <v>354</v>
      </c>
      <c r="AN242" s="141" t="s">
        <v>659</v>
      </c>
      <c r="AO242" s="141" t="s">
        <v>2927</v>
      </c>
      <c r="AP242" s="141" t="s">
        <v>2928</v>
      </c>
      <c r="AQ242" s="141" t="s">
        <v>2929</v>
      </c>
      <c r="AR242" s="141" t="s">
        <v>490</v>
      </c>
      <c r="AS242" s="141"/>
      <c r="AT242" s="141"/>
      <c r="AU242" s="141"/>
      <c r="AV242" s="141"/>
      <c r="AW242" s="141"/>
      <c r="AX242" s="141"/>
      <c r="AY242" s="141"/>
      <c r="AZ242" s="141"/>
      <c r="BA242" s="141"/>
      <c r="BB242" s="141"/>
      <c r="BC242" s="141"/>
      <c r="BD242" s="141"/>
      <c r="BE242" s="141"/>
      <c r="BF242" s="141"/>
      <c r="BG242" s="141"/>
      <c r="BH242" s="141"/>
      <c r="BI242" s="141"/>
      <c r="BJ242" s="141"/>
      <c r="BK242" s="141"/>
      <c r="BL242" s="141"/>
      <c r="BM242" s="141"/>
      <c r="BN242" s="141"/>
      <c r="BO242" s="141"/>
      <c r="BP242" s="141"/>
      <c r="BQ242" s="141"/>
      <c r="BR242" s="141"/>
      <c r="BS242" s="141"/>
      <c r="BT242" s="141"/>
      <c r="BU242" s="141"/>
      <c r="BV242" s="141"/>
      <c r="BW242" s="141"/>
      <c r="BX242" s="141"/>
      <c r="BY242" s="141"/>
      <c r="BZ242" s="141"/>
      <c r="CA242" s="141"/>
      <c r="CB242" s="141"/>
      <c r="CC242" s="141"/>
      <c r="CD242" s="141"/>
      <c r="CE242" s="141"/>
      <c r="CF242" s="141"/>
      <c r="CG242" s="141"/>
      <c r="CH242" s="141"/>
      <c r="CI242" s="141"/>
      <c r="CJ242" s="141"/>
      <c r="CK242" s="141"/>
      <c r="CL242" s="141"/>
      <c r="CM242" s="141"/>
      <c r="CN242" s="141"/>
      <c r="CO242" s="141"/>
      <c r="CP242" s="141"/>
      <c r="CQ242" s="141"/>
      <c r="CR242" s="141"/>
      <c r="CS242" s="141"/>
      <c r="CT242" s="141"/>
      <c r="CU242" s="141"/>
      <c r="CV242" s="141"/>
      <c r="CW242" s="141"/>
      <c r="CX242" s="141"/>
      <c r="CY242" s="141"/>
      <c r="CZ242" s="141"/>
      <c r="DA242" s="173"/>
    </row>
    <row r="243" spans="2:105" x14ac:dyDescent="0.25">
      <c r="B243" s="172"/>
      <c r="C243" s="141" t="s">
        <v>2995</v>
      </c>
      <c r="D243" s="141" t="s">
        <v>2996</v>
      </c>
      <c r="E243" s="141" t="s">
        <v>2386</v>
      </c>
      <c r="F243" s="141" t="s">
        <v>2997</v>
      </c>
      <c r="G243" s="141"/>
      <c r="H243" s="141" t="s">
        <v>353</v>
      </c>
      <c r="I243" s="141"/>
      <c r="J243" s="141" t="s">
        <v>354</v>
      </c>
      <c r="K243" s="141" t="s">
        <v>671</v>
      </c>
      <c r="L243" s="141" t="s">
        <v>2998</v>
      </c>
      <c r="M243" s="141" t="s">
        <v>2999</v>
      </c>
      <c r="N243" s="141" t="s">
        <v>354</v>
      </c>
      <c r="O243" s="141" t="s">
        <v>358</v>
      </c>
      <c r="P243" s="141" t="s">
        <v>359</v>
      </c>
      <c r="Q243" s="141" t="s">
        <v>360</v>
      </c>
      <c r="R243" s="141" t="s">
        <v>361</v>
      </c>
      <c r="S243" s="141" t="s">
        <v>393</v>
      </c>
      <c r="T243" s="141" t="s">
        <v>3000</v>
      </c>
      <c r="U243" s="141" t="s">
        <v>3000</v>
      </c>
      <c r="V243" s="141"/>
      <c r="W243" s="141"/>
      <c r="X243" s="141"/>
      <c r="Y243" s="141"/>
      <c r="Z243" s="141"/>
      <c r="AA243" s="141"/>
      <c r="AB243" s="141"/>
      <c r="AC243" s="141"/>
      <c r="AD243" s="141"/>
      <c r="AE243" s="141"/>
      <c r="AF243" s="141"/>
      <c r="AG243" s="141"/>
      <c r="AH243" s="141"/>
      <c r="AI243" s="141"/>
      <c r="AJ243" s="141"/>
      <c r="AK243" s="141" t="s">
        <v>354</v>
      </c>
      <c r="AL243" s="141" t="s">
        <v>364</v>
      </c>
      <c r="AM243" s="141" t="s">
        <v>354</v>
      </c>
      <c r="AN243" s="141" t="s">
        <v>1471</v>
      </c>
      <c r="AO243" s="141" t="s">
        <v>3000</v>
      </c>
      <c r="AP243" s="141" t="s">
        <v>770</v>
      </c>
      <c r="AQ243" s="141" t="s">
        <v>2168</v>
      </c>
      <c r="AR243" s="141" t="s">
        <v>1279</v>
      </c>
      <c r="AS243" s="141" t="s">
        <v>369</v>
      </c>
      <c r="AT243" s="141"/>
      <c r="AU243" s="141" t="s">
        <v>2998</v>
      </c>
      <c r="AV243" s="141" t="s">
        <v>2662</v>
      </c>
      <c r="AW243" s="141" t="s">
        <v>3001</v>
      </c>
      <c r="AX243" s="141" t="s">
        <v>2637</v>
      </c>
      <c r="AY243" s="141" t="s">
        <v>3002</v>
      </c>
      <c r="AZ243" s="141" t="s">
        <v>890</v>
      </c>
      <c r="BA243" s="141" t="s">
        <v>3003</v>
      </c>
      <c r="BB243" s="141" t="s">
        <v>1881</v>
      </c>
      <c r="BC243" s="141" t="s">
        <v>3004</v>
      </c>
      <c r="BD243" s="141" t="s">
        <v>778</v>
      </c>
      <c r="BE243" s="141" t="s">
        <v>1281</v>
      </c>
      <c r="BF243" s="141" t="s">
        <v>779</v>
      </c>
      <c r="BG243" s="141" t="s">
        <v>3005</v>
      </c>
      <c r="BH243" s="141" t="s">
        <v>781</v>
      </c>
      <c r="BI243" s="141" t="s">
        <v>3006</v>
      </c>
      <c r="BJ243" s="141" t="s">
        <v>783</v>
      </c>
      <c r="BK243" s="141" t="s">
        <v>3007</v>
      </c>
      <c r="BL243" s="141" t="s">
        <v>1586</v>
      </c>
      <c r="BM243" s="141" t="s">
        <v>1204</v>
      </c>
      <c r="BN243" s="141" t="s">
        <v>785</v>
      </c>
      <c r="BO243" s="141" t="s">
        <v>1974</v>
      </c>
      <c r="BP243" s="141" t="s">
        <v>912</v>
      </c>
      <c r="BQ243" s="141" t="s">
        <v>1989</v>
      </c>
      <c r="BR243" s="141" t="s">
        <v>382</v>
      </c>
      <c r="BS243" s="141" t="s">
        <v>3008</v>
      </c>
      <c r="BT243" s="141"/>
      <c r="BU243" s="141"/>
      <c r="BV243" s="141"/>
      <c r="BW243" s="141"/>
      <c r="BX243" s="141"/>
      <c r="BY243" s="141"/>
      <c r="BZ243" s="141"/>
      <c r="CA243" s="141"/>
      <c r="CB243" s="141"/>
      <c r="CC243" s="141"/>
      <c r="CD243" s="141"/>
      <c r="CE243" s="141"/>
      <c r="CF243" s="141"/>
      <c r="CG243" s="141"/>
      <c r="CH243" s="141"/>
      <c r="CI243" s="141"/>
      <c r="CJ243" s="141"/>
      <c r="CK243" s="141"/>
      <c r="CL243" s="141"/>
      <c r="CM243" s="141"/>
      <c r="CN243" s="141"/>
      <c r="CO243" s="141"/>
      <c r="CP243" s="141"/>
      <c r="CQ243" s="141"/>
      <c r="CR243" s="141"/>
      <c r="CS243" s="141"/>
      <c r="CT243" s="141"/>
      <c r="CU243" s="141"/>
      <c r="CV243" s="141"/>
      <c r="CW243" s="141"/>
      <c r="CX243" s="141"/>
      <c r="CY243" s="141"/>
      <c r="CZ243" s="141"/>
      <c r="DA243" s="173"/>
    </row>
    <row r="244" spans="2:105" x14ac:dyDescent="0.25">
      <c r="B244" s="172"/>
      <c r="C244" s="141" t="s">
        <v>3009</v>
      </c>
      <c r="D244" s="141" t="s">
        <v>3010</v>
      </c>
      <c r="E244" s="141" t="s">
        <v>2590</v>
      </c>
      <c r="F244" s="141" t="s">
        <v>3011</v>
      </c>
      <c r="G244" s="141"/>
      <c r="H244" s="141" t="s">
        <v>353</v>
      </c>
      <c r="I244" s="141"/>
      <c r="J244" s="141" t="s">
        <v>354</v>
      </c>
      <c r="K244" s="141" t="s">
        <v>590</v>
      </c>
      <c r="L244" s="141" t="s">
        <v>3012</v>
      </c>
      <c r="M244" s="141" t="s">
        <v>3013</v>
      </c>
      <c r="N244" s="141" t="s">
        <v>354</v>
      </c>
      <c r="O244" s="141" t="s">
        <v>369</v>
      </c>
      <c r="P244" s="141" t="s">
        <v>528</v>
      </c>
      <c r="Q244" s="141" t="s">
        <v>529</v>
      </c>
      <c r="R244" s="141" t="s">
        <v>361</v>
      </c>
      <c r="S244" s="141" t="s">
        <v>393</v>
      </c>
      <c r="T244" s="141" t="s">
        <v>3000</v>
      </c>
      <c r="U244" s="141" t="s">
        <v>3000</v>
      </c>
      <c r="V244" s="141"/>
      <c r="W244" s="141"/>
      <c r="X244" s="141"/>
      <c r="Y244" s="141"/>
      <c r="Z244" s="141"/>
      <c r="AA244" s="141"/>
      <c r="AB244" s="141"/>
      <c r="AC244" s="141"/>
      <c r="AD244" s="141"/>
      <c r="AE244" s="141"/>
      <c r="AF244" s="141"/>
      <c r="AG244" s="141"/>
      <c r="AH244" s="141"/>
      <c r="AI244" s="141"/>
      <c r="AJ244" s="141"/>
      <c r="AK244" s="141" t="s">
        <v>354</v>
      </c>
      <c r="AL244" s="141" t="s">
        <v>364</v>
      </c>
      <c r="AM244" s="141" t="s">
        <v>354</v>
      </c>
      <c r="AN244" s="141" t="s">
        <v>1471</v>
      </c>
      <c r="AO244" s="141" t="s">
        <v>3000</v>
      </c>
      <c r="AP244" s="141" t="s">
        <v>770</v>
      </c>
      <c r="AQ244" s="141" t="s">
        <v>2168</v>
      </c>
      <c r="AR244" s="141" t="s">
        <v>1279</v>
      </c>
      <c r="AS244" s="141" t="s">
        <v>393</v>
      </c>
      <c r="AT244" s="141"/>
      <c r="AU244" s="141" t="s">
        <v>3012</v>
      </c>
      <c r="AV244" s="141" t="s">
        <v>2662</v>
      </c>
      <c r="AW244" s="141" t="s">
        <v>2513</v>
      </c>
      <c r="AX244" s="141" t="s">
        <v>2637</v>
      </c>
      <c r="AY244" s="141" t="s">
        <v>3014</v>
      </c>
      <c r="AZ244" s="141" t="s">
        <v>890</v>
      </c>
      <c r="BA244" s="141" t="s">
        <v>3015</v>
      </c>
      <c r="BB244" s="141" t="s">
        <v>1881</v>
      </c>
      <c r="BC244" s="141" t="s">
        <v>3016</v>
      </c>
      <c r="BD244" s="141" t="s">
        <v>778</v>
      </c>
      <c r="BE244" s="141" t="s">
        <v>715</v>
      </c>
      <c r="BF244" s="141" t="s">
        <v>779</v>
      </c>
      <c r="BG244" s="141" t="s">
        <v>3017</v>
      </c>
      <c r="BH244" s="141" t="s">
        <v>781</v>
      </c>
      <c r="BI244" s="141" t="s">
        <v>3018</v>
      </c>
      <c r="BJ244" s="141" t="s">
        <v>783</v>
      </c>
      <c r="BK244" s="141" t="s">
        <v>1752</v>
      </c>
      <c r="BL244" s="141" t="s">
        <v>1586</v>
      </c>
      <c r="BM244" s="141" t="s">
        <v>3019</v>
      </c>
      <c r="BN244" s="141" t="s">
        <v>785</v>
      </c>
      <c r="BO244" s="141" t="s">
        <v>649</v>
      </c>
      <c r="BP244" s="141" t="s">
        <v>912</v>
      </c>
      <c r="BQ244" s="141" t="s">
        <v>3020</v>
      </c>
      <c r="BR244" s="141" t="s">
        <v>382</v>
      </c>
      <c r="BS244" s="141" t="s">
        <v>1284</v>
      </c>
      <c r="BT244" s="141"/>
      <c r="BU244" s="141"/>
      <c r="BV244" s="141"/>
      <c r="BW244" s="141"/>
      <c r="BX244" s="141"/>
      <c r="BY244" s="141"/>
      <c r="BZ244" s="141"/>
      <c r="CA244" s="141"/>
      <c r="CB244" s="141"/>
      <c r="CC244" s="141"/>
      <c r="CD244" s="141"/>
      <c r="CE244" s="141"/>
      <c r="CF244" s="141"/>
      <c r="CG244" s="141"/>
      <c r="CH244" s="141"/>
      <c r="CI244" s="141"/>
      <c r="CJ244" s="141"/>
      <c r="CK244" s="141"/>
      <c r="CL244" s="141"/>
      <c r="CM244" s="141"/>
      <c r="CN244" s="141"/>
      <c r="CO244" s="141"/>
      <c r="CP244" s="141"/>
      <c r="CQ244" s="141"/>
      <c r="CR244" s="141"/>
      <c r="CS244" s="141"/>
      <c r="CT244" s="141"/>
      <c r="CU244" s="141"/>
      <c r="CV244" s="141"/>
      <c r="CW244" s="141"/>
      <c r="CX244" s="141"/>
      <c r="CY244" s="141"/>
      <c r="CZ244" s="141"/>
      <c r="DA244" s="173"/>
    </row>
    <row r="245" spans="2:105" x14ac:dyDescent="0.25">
      <c r="B245" s="172"/>
      <c r="C245" s="141" t="s">
        <v>3021</v>
      </c>
      <c r="D245" s="141" t="s">
        <v>408</v>
      </c>
      <c r="E245" s="141" t="s">
        <v>3022</v>
      </c>
      <c r="F245" s="141" t="s">
        <v>3023</v>
      </c>
      <c r="G245" s="141"/>
      <c r="H245" s="141" t="s">
        <v>353</v>
      </c>
      <c r="I245" s="141"/>
      <c r="J245" s="141" t="s">
        <v>354</v>
      </c>
      <c r="K245" s="141" t="s">
        <v>729</v>
      </c>
      <c r="L245" s="141" t="s">
        <v>1757</v>
      </c>
      <c r="M245" s="141" t="s">
        <v>3024</v>
      </c>
      <c r="N245" s="141" t="s">
        <v>354</v>
      </c>
      <c r="O245" s="141" t="s">
        <v>369</v>
      </c>
      <c r="P245" s="141" t="s">
        <v>528</v>
      </c>
      <c r="Q245" s="141" t="s">
        <v>529</v>
      </c>
      <c r="R245" s="141" t="s">
        <v>361</v>
      </c>
      <c r="S245" s="141" t="s">
        <v>393</v>
      </c>
      <c r="T245" s="141" t="s">
        <v>3000</v>
      </c>
      <c r="U245" s="141" t="s">
        <v>3000</v>
      </c>
      <c r="V245" s="141"/>
      <c r="W245" s="141"/>
      <c r="X245" s="141"/>
      <c r="Y245" s="141"/>
      <c r="Z245" s="141"/>
      <c r="AA245" s="141"/>
      <c r="AB245" s="141"/>
      <c r="AC245" s="141"/>
      <c r="AD245" s="141"/>
      <c r="AE245" s="141"/>
      <c r="AF245" s="141"/>
      <c r="AG245" s="141"/>
      <c r="AH245" s="141"/>
      <c r="AI245" s="141"/>
      <c r="AJ245" s="141"/>
      <c r="AK245" s="141" t="s">
        <v>354</v>
      </c>
      <c r="AL245" s="141" t="s">
        <v>364</v>
      </c>
      <c r="AM245" s="141" t="s">
        <v>354</v>
      </c>
      <c r="AN245" s="141" t="s">
        <v>1471</v>
      </c>
      <c r="AO245" s="141" t="s">
        <v>3000</v>
      </c>
      <c r="AP245" s="141" t="s">
        <v>770</v>
      </c>
      <c r="AQ245" s="141" t="s">
        <v>2168</v>
      </c>
      <c r="AR245" s="141" t="s">
        <v>1279</v>
      </c>
      <c r="AS245" s="141" t="s">
        <v>358</v>
      </c>
      <c r="AT245" s="141"/>
      <c r="AU245" s="141" t="s">
        <v>1757</v>
      </c>
      <c r="AV245" s="141" t="s">
        <v>2662</v>
      </c>
      <c r="AW245" s="141" t="s">
        <v>3025</v>
      </c>
      <c r="AX245" s="141" t="s">
        <v>2637</v>
      </c>
      <c r="AY245" s="141" t="s">
        <v>2539</v>
      </c>
      <c r="AZ245" s="141" t="s">
        <v>890</v>
      </c>
      <c r="BA245" s="141" t="s">
        <v>3026</v>
      </c>
      <c r="BB245" s="141" t="s">
        <v>1881</v>
      </c>
      <c r="BC245" s="141" t="s">
        <v>3027</v>
      </c>
      <c r="BD245" s="141" t="s">
        <v>778</v>
      </c>
      <c r="BE245" s="141" t="s">
        <v>1011</v>
      </c>
      <c r="BF245" s="141" t="s">
        <v>779</v>
      </c>
      <c r="BG245" s="141" t="s">
        <v>3028</v>
      </c>
      <c r="BH245" s="141" t="s">
        <v>781</v>
      </c>
      <c r="BI245" s="141" t="s">
        <v>3029</v>
      </c>
      <c r="BJ245" s="141" t="s">
        <v>783</v>
      </c>
      <c r="BK245" s="141" t="s">
        <v>736</v>
      </c>
      <c r="BL245" s="141" t="s">
        <v>1586</v>
      </c>
      <c r="BM245" s="141" t="s">
        <v>3030</v>
      </c>
      <c r="BN245" s="141" t="s">
        <v>785</v>
      </c>
      <c r="BO245" s="141" t="s">
        <v>3031</v>
      </c>
      <c r="BP245" s="141" t="s">
        <v>912</v>
      </c>
      <c r="BQ245" s="141" t="s">
        <v>2415</v>
      </c>
      <c r="BR245" s="141" t="s">
        <v>382</v>
      </c>
      <c r="BS245" s="141" t="s">
        <v>1475</v>
      </c>
      <c r="BT245" s="141"/>
      <c r="BU245" s="141"/>
      <c r="BV245" s="141"/>
      <c r="BW245" s="141"/>
      <c r="BX245" s="141"/>
      <c r="BY245" s="141"/>
      <c r="BZ245" s="141"/>
      <c r="CA245" s="141"/>
      <c r="CB245" s="141"/>
      <c r="CC245" s="141"/>
      <c r="CD245" s="141"/>
      <c r="CE245" s="141"/>
      <c r="CF245" s="141"/>
      <c r="CG245" s="141"/>
      <c r="CH245" s="141"/>
      <c r="CI245" s="141"/>
      <c r="CJ245" s="141"/>
      <c r="CK245" s="141"/>
      <c r="CL245" s="141"/>
      <c r="CM245" s="141"/>
      <c r="CN245" s="141"/>
      <c r="CO245" s="141"/>
      <c r="CP245" s="141"/>
      <c r="CQ245" s="141"/>
      <c r="CR245" s="141"/>
      <c r="CS245" s="141"/>
      <c r="CT245" s="141"/>
      <c r="CU245" s="141"/>
      <c r="CV245" s="141"/>
      <c r="CW245" s="141"/>
      <c r="CX245" s="141"/>
      <c r="CY245" s="141"/>
      <c r="CZ245" s="141"/>
      <c r="DA245" s="173"/>
    </row>
    <row r="246" spans="2:105" x14ac:dyDescent="0.25">
      <c r="B246" s="172"/>
      <c r="C246" s="141" t="s">
        <v>3032</v>
      </c>
      <c r="D246" s="141" t="s">
        <v>900</v>
      </c>
      <c r="E246" s="141" t="s">
        <v>2190</v>
      </c>
      <c r="F246" s="141" t="s">
        <v>2484</v>
      </c>
      <c r="G246" s="141"/>
      <c r="H246" s="141" t="s">
        <v>353</v>
      </c>
      <c r="I246" s="141"/>
      <c r="J246" s="141" t="s">
        <v>354</v>
      </c>
      <c r="K246" s="141" t="s">
        <v>1096</v>
      </c>
      <c r="L246" s="141" t="s">
        <v>3033</v>
      </c>
      <c r="M246" s="141" t="s">
        <v>3034</v>
      </c>
      <c r="N246" s="141" t="s">
        <v>354</v>
      </c>
      <c r="O246" s="141" t="s">
        <v>426</v>
      </c>
      <c r="P246" s="141" t="s">
        <v>454</v>
      </c>
      <c r="Q246" s="141" t="s">
        <v>455</v>
      </c>
      <c r="R246" s="141" t="s">
        <v>361</v>
      </c>
      <c r="S246" s="141" t="s">
        <v>393</v>
      </c>
      <c r="T246" s="141" t="s">
        <v>3000</v>
      </c>
      <c r="U246" s="141" t="s">
        <v>3000</v>
      </c>
      <c r="V246" s="141"/>
      <c r="W246" s="141"/>
      <c r="X246" s="141"/>
      <c r="Y246" s="141"/>
      <c r="Z246" s="141"/>
      <c r="AA246" s="141"/>
      <c r="AB246" s="141"/>
      <c r="AC246" s="141"/>
      <c r="AD246" s="141"/>
      <c r="AE246" s="141"/>
      <c r="AF246" s="141"/>
      <c r="AG246" s="141"/>
      <c r="AH246" s="141"/>
      <c r="AI246" s="141"/>
      <c r="AJ246" s="141"/>
      <c r="AK246" s="141" t="s">
        <v>354</v>
      </c>
      <c r="AL246" s="141" t="s">
        <v>364</v>
      </c>
      <c r="AM246" s="141" t="s">
        <v>354</v>
      </c>
      <c r="AN246" s="141" t="s">
        <v>1471</v>
      </c>
      <c r="AO246" s="141" t="s">
        <v>3000</v>
      </c>
      <c r="AP246" s="141" t="s">
        <v>770</v>
      </c>
      <c r="AQ246" s="141" t="s">
        <v>2168</v>
      </c>
      <c r="AR246" s="141" t="s">
        <v>1279</v>
      </c>
      <c r="AS246" s="141" t="s">
        <v>426</v>
      </c>
      <c r="AT246" s="141"/>
      <c r="AU246" s="141" t="s">
        <v>3033</v>
      </c>
      <c r="AV246" s="141" t="s">
        <v>2662</v>
      </c>
      <c r="AW246" s="141" t="s">
        <v>3035</v>
      </c>
      <c r="AX246" s="141" t="s">
        <v>2637</v>
      </c>
      <c r="AY246" s="141" t="s">
        <v>3036</v>
      </c>
      <c r="AZ246" s="141" t="s">
        <v>890</v>
      </c>
      <c r="BA246" s="141" t="s">
        <v>3037</v>
      </c>
      <c r="BB246" s="141" t="s">
        <v>1881</v>
      </c>
      <c r="BC246" s="141" t="s">
        <v>379</v>
      </c>
      <c r="BD246" s="141" t="s">
        <v>778</v>
      </c>
      <c r="BE246" s="141" t="s">
        <v>3038</v>
      </c>
      <c r="BF246" s="141" t="s">
        <v>779</v>
      </c>
      <c r="BG246" s="141" t="s">
        <v>3039</v>
      </c>
      <c r="BH246" s="141" t="s">
        <v>781</v>
      </c>
      <c r="BI246" s="141" t="s">
        <v>2647</v>
      </c>
      <c r="BJ246" s="141" t="s">
        <v>783</v>
      </c>
      <c r="BK246" s="141" t="s">
        <v>3040</v>
      </c>
      <c r="BL246" s="141" t="s">
        <v>1586</v>
      </c>
      <c r="BM246" s="141" t="s">
        <v>3041</v>
      </c>
      <c r="BN246" s="141" t="s">
        <v>785</v>
      </c>
      <c r="BO246" s="141" t="s">
        <v>3042</v>
      </c>
      <c r="BP246" s="141" t="s">
        <v>912</v>
      </c>
      <c r="BQ246" s="141" t="s">
        <v>3043</v>
      </c>
      <c r="BR246" s="141" t="s">
        <v>382</v>
      </c>
      <c r="BS246" s="141" t="s">
        <v>3044</v>
      </c>
      <c r="BT246" s="141"/>
      <c r="BU246" s="141"/>
      <c r="BV246" s="141"/>
      <c r="BW246" s="141"/>
      <c r="BX246" s="141"/>
      <c r="BY246" s="141"/>
      <c r="BZ246" s="141"/>
      <c r="CA246" s="141"/>
      <c r="CB246" s="141"/>
      <c r="CC246" s="141"/>
      <c r="CD246" s="141"/>
      <c r="CE246" s="141"/>
      <c r="CF246" s="141"/>
      <c r="CG246" s="141"/>
      <c r="CH246" s="141"/>
      <c r="CI246" s="141"/>
      <c r="CJ246" s="141"/>
      <c r="CK246" s="141"/>
      <c r="CL246" s="141"/>
      <c r="CM246" s="141"/>
      <c r="CN246" s="141"/>
      <c r="CO246" s="141"/>
      <c r="CP246" s="141"/>
      <c r="CQ246" s="141"/>
      <c r="CR246" s="141"/>
      <c r="CS246" s="141"/>
      <c r="CT246" s="141"/>
      <c r="CU246" s="141"/>
      <c r="CV246" s="141"/>
      <c r="CW246" s="141"/>
      <c r="CX246" s="141"/>
      <c r="CY246" s="141"/>
      <c r="CZ246" s="141"/>
      <c r="DA246" s="173"/>
    </row>
    <row r="247" spans="2:105" x14ac:dyDescent="0.25">
      <c r="B247" s="172"/>
      <c r="C247" s="141" t="s">
        <v>3045</v>
      </c>
      <c r="D247" s="141" t="s">
        <v>778</v>
      </c>
      <c r="E247" s="141" t="s">
        <v>3046</v>
      </c>
      <c r="F247" s="141" t="s">
        <v>2510</v>
      </c>
      <c r="G247" s="141"/>
      <c r="H247" s="141" t="s">
        <v>353</v>
      </c>
      <c r="I247" s="141"/>
      <c r="J247" s="141" t="s">
        <v>354</v>
      </c>
      <c r="K247" s="141" t="s">
        <v>1006</v>
      </c>
      <c r="L247" s="141" t="s">
        <v>2327</v>
      </c>
      <c r="M247" s="141" t="s">
        <v>3047</v>
      </c>
      <c r="N247" s="141" t="s">
        <v>354</v>
      </c>
      <c r="O247" s="141" t="s">
        <v>485</v>
      </c>
      <c r="P247" s="141" t="s">
        <v>1630</v>
      </c>
      <c r="Q247" s="141" t="s">
        <v>1631</v>
      </c>
      <c r="R247" s="141" t="s">
        <v>361</v>
      </c>
      <c r="S247" s="141" t="s">
        <v>393</v>
      </c>
      <c r="T247" s="141" t="s">
        <v>3000</v>
      </c>
      <c r="U247" s="141" t="s">
        <v>3000</v>
      </c>
      <c r="V247" s="141"/>
      <c r="W247" s="141"/>
      <c r="X247" s="141"/>
      <c r="Y247" s="141"/>
      <c r="Z247" s="141"/>
      <c r="AA247" s="141"/>
      <c r="AB247" s="141"/>
      <c r="AC247" s="141"/>
      <c r="AD247" s="141"/>
      <c r="AE247" s="141"/>
      <c r="AF247" s="141"/>
      <c r="AG247" s="141"/>
      <c r="AH247" s="141"/>
      <c r="AI247" s="141"/>
      <c r="AJ247" s="141"/>
      <c r="AK247" s="141" t="s">
        <v>354</v>
      </c>
      <c r="AL247" s="141" t="s">
        <v>364</v>
      </c>
      <c r="AM247" s="141" t="s">
        <v>354</v>
      </c>
      <c r="AN247" s="141" t="s">
        <v>1471</v>
      </c>
      <c r="AO247" s="141" t="s">
        <v>3000</v>
      </c>
      <c r="AP247" s="141" t="s">
        <v>770</v>
      </c>
      <c r="AQ247" s="141" t="s">
        <v>2168</v>
      </c>
      <c r="AR247" s="141" t="s">
        <v>1279</v>
      </c>
      <c r="AS247" s="141" t="s">
        <v>441</v>
      </c>
      <c r="AT247" s="141"/>
      <c r="AU247" s="141" t="s">
        <v>2327</v>
      </c>
      <c r="AV247" s="141" t="s">
        <v>2662</v>
      </c>
      <c r="AW247" s="141" t="s">
        <v>3048</v>
      </c>
      <c r="AX247" s="141" t="s">
        <v>2637</v>
      </c>
      <c r="AY247" s="141" t="s">
        <v>3049</v>
      </c>
      <c r="AZ247" s="141" t="s">
        <v>890</v>
      </c>
      <c r="BA247" s="141" t="s">
        <v>397</v>
      </c>
      <c r="BB247" s="141" t="s">
        <v>1881</v>
      </c>
      <c r="BC247" s="141" t="s">
        <v>1636</v>
      </c>
      <c r="BD247" s="141" t="s">
        <v>778</v>
      </c>
      <c r="BE247" s="141" t="s">
        <v>3050</v>
      </c>
      <c r="BF247" s="141" t="s">
        <v>779</v>
      </c>
      <c r="BG247" s="141" t="s">
        <v>3051</v>
      </c>
      <c r="BH247" s="141" t="s">
        <v>781</v>
      </c>
      <c r="BI247" s="141" t="s">
        <v>1058</v>
      </c>
      <c r="BJ247" s="141" t="s">
        <v>783</v>
      </c>
      <c r="BK247" s="141" t="s">
        <v>3052</v>
      </c>
      <c r="BL247" s="141" t="s">
        <v>1586</v>
      </c>
      <c r="BM247" s="141" t="s">
        <v>3053</v>
      </c>
      <c r="BN247" s="141" t="s">
        <v>785</v>
      </c>
      <c r="BO247" s="141" t="s">
        <v>3054</v>
      </c>
      <c r="BP247" s="141" t="s">
        <v>912</v>
      </c>
      <c r="BQ247" s="141" t="s">
        <v>3055</v>
      </c>
      <c r="BR247" s="141" t="s">
        <v>382</v>
      </c>
      <c r="BS247" s="141" t="s">
        <v>3056</v>
      </c>
      <c r="BT247" s="141"/>
      <c r="BU247" s="141"/>
      <c r="BV247" s="141"/>
      <c r="BW247" s="141"/>
      <c r="BX247" s="141"/>
      <c r="BY247" s="141"/>
      <c r="BZ247" s="141"/>
      <c r="CA247" s="141"/>
      <c r="CB247" s="141"/>
      <c r="CC247" s="141"/>
      <c r="CD247" s="141"/>
      <c r="CE247" s="141"/>
      <c r="CF247" s="141"/>
      <c r="CG247" s="141"/>
      <c r="CH247" s="141"/>
      <c r="CI247" s="141"/>
      <c r="CJ247" s="141"/>
      <c r="CK247" s="141"/>
      <c r="CL247" s="141"/>
      <c r="CM247" s="141"/>
      <c r="CN247" s="141"/>
      <c r="CO247" s="141"/>
      <c r="CP247" s="141"/>
      <c r="CQ247" s="141"/>
      <c r="CR247" s="141"/>
      <c r="CS247" s="141"/>
      <c r="CT247" s="141"/>
      <c r="CU247" s="141"/>
      <c r="CV247" s="141"/>
      <c r="CW247" s="141"/>
      <c r="CX247" s="141"/>
      <c r="CY247" s="141"/>
      <c r="CZ247" s="141"/>
      <c r="DA247" s="173"/>
    </row>
    <row r="248" spans="2:105" x14ac:dyDescent="0.25">
      <c r="B248" s="172"/>
      <c r="C248" s="141" t="s">
        <v>3057</v>
      </c>
      <c r="D248" s="141" t="s">
        <v>3058</v>
      </c>
      <c r="E248" s="141" t="s">
        <v>1220</v>
      </c>
      <c r="F248" s="141" t="s">
        <v>3059</v>
      </c>
      <c r="G248" s="141"/>
      <c r="H248" s="141" t="s">
        <v>353</v>
      </c>
      <c r="I248" s="141"/>
      <c r="J248" s="141" t="s">
        <v>354</v>
      </c>
      <c r="K248" s="141" t="s">
        <v>640</v>
      </c>
      <c r="L248" s="141" t="s">
        <v>3060</v>
      </c>
      <c r="M248" s="141" t="s">
        <v>3061</v>
      </c>
      <c r="N248" s="141" t="s">
        <v>354</v>
      </c>
      <c r="O248" s="141" t="s">
        <v>369</v>
      </c>
      <c r="P248" s="141" t="s">
        <v>528</v>
      </c>
      <c r="Q248" s="141" t="s">
        <v>529</v>
      </c>
      <c r="R248" s="141" t="s">
        <v>361</v>
      </c>
      <c r="S248" s="141" t="s">
        <v>393</v>
      </c>
      <c r="T248" s="141" t="s">
        <v>3000</v>
      </c>
      <c r="U248" s="141" t="s">
        <v>3000</v>
      </c>
      <c r="V248" s="141"/>
      <c r="W248" s="141"/>
      <c r="X248" s="141"/>
      <c r="Y248" s="141"/>
      <c r="Z248" s="141"/>
      <c r="AA248" s="141"/>
      <c r="AB248" s="141"/>
      <c r="AC248" s="141"/>
      <c r="AD248" s="141"/>
      <c r="AE248" s="141"/>
      <c r="AF248" s="141"/>
      <c r="AG248" s="141"/>
      <c r="AH248" s="141"/>
      <c r="AI248" s="141"/>
      <c r="AJ248" s="141"/>
      <c r="AK248" s="141" t="s">
        <v>354</v>
      </c>
      <c r="AL248" s="141" t="s">
        <v>364</v>
      </c>
      <c r="AM248" s="141" t="s">
        <v>354</v>
      </c>
      <c r="AN248" s="141" t="s">
        <v>1471</v>
      </c>
      <c r="AO248" s="141" t="s">
        <v>3000</v>
      </c>
      <c r="AP248" s="141" t="s">
        <v>770</v>
      </c>
      <c r="AQ248" s="141" t="s">
        <v>2168</v>
      </c>
      <c r="AR248" s="141" t="s">
        <v>1279</v>
      </c>
      <c r="AS248" s="141" t="s">
        <v>391</v>
      </c>
      <c r="AT248" s="141"/>
      <c r="AU248" s="141" t="s">
        <v>3060</v>
      </c>
      <c r="AV248" s="141" t="s">
        <v>2662</v>
      </c>
      <c r="AW248" s="141" t="s">
        <v>2220</v>
      </c>
      <c r="AX248" s="141" t="s">
        <v>2637</v>
      </c>
      <c r="AY248" s="141" t="s">
        <v>3062</v>
      </c>
      <c r="AZ248" s="141" t="s">
        <v>890</v>
      </c>
      <c r="BA248" s="141" t="s">
        <v>3063</v>
      </c>
      <c r="BB248" s="141" t="s">
        <v>1881</v>
      </c>
      <c r="BC248" s="141" t="s">
        <v>3064</v>
      </c>
      <c r="BD248" s="141" t="s">
        <v>778</v>
      </c>
      <c r="BE248" s="141" t="s">
        <v>3065</v>
      </c>
      <c r="BF248" s="141" t="s">
        <v>779</v>
      </c>
      <c r="BG248" s="141" t="s">
        <v>3066</v>
      </c>
      <c r="BH248" s="141" t="s">
        <v>781</v>
      </c>
      <c r="BI248" s="141" t="s">
        <v>3067</v>
      </c>
      <c r="BJ248" s="141" t="s">
        <v>783</v>
      </c>
      <c r="BK248" s="141" t="s">
        <v>827</v>
      </c>
      <c r="BL248" s="141" t="s">
        <v>1586</v>
      </c>
      <c r="BM248" s="141" t="s">
        <v>1357</v>
      </c>
      <c r="BN248" s="141" t="s">
        <v>785</v>
      </c>
      <c r="BO248" s="141" t="s">
        <v>3068</v>
      </c>
      <c r="BP248" s="141" t="s">
        <v>912</v>
      </c>
      <c r="BQ248" s="141" t="s">
        <v>2443</v>
      </c>
      <c r="BR248" s="141" t="s">
        <v>382</v>
      </c>
      <c r="BS248" s="141" t="s">
        <v>3069</v>
      </c>
      <c r="BT248" s="141"/>
      <c r="BU248" s="141"/>
      <c r="BV248" s="141"/>
      <c r="BW248" s="141"/>
      <c r="BX248" s="141"/>
      <c r="BY248" s="141"/>
      <c r="BZ248" s="141"/>
      <c r="CA248" s="141"/>
      <c r="CB248" s="141"/>
      <c r="CC248" s="141"/>
      <c r="CD248" s="141"/>
      <c r="CE248" s="141"/>
      <c r="CF248" s="141"/>
      <c r="CG248" s="141"/>
      <c r="CH248" s="141"/>
      <c r="CI248" s="141"/>
      <c r="CJ248" s="141"/>
      <c r="CK248" s="141"/>
      <c r="CL248" s="141"/>
      <c r="CM248" s="141"/>
      <c r="CN248" s="141"/>
      <c r="CO248" s="141"/>
      <c r="CP248" s="141"/>
      <c r="CQ248" s="141"/>
      <c r="CR248" s="141"/>
      <c r="CS248" s="141"/>
      <c r="CT248" s="141"/>
      <c r="CU248" s="141"/>
      <c r="CV248" s="141"/>
      <c r="CW248" s="141"/>
      <c r="CX248" s="141"/>
      <c r="CY248" s="141"/>
      <c r="CZ248" s="141"/>
      <c r="DA248" s="173"/>
    </row>
    <row r="249" spans="2:105" x14ac:dyDescent="0.25">
      <c r="B249" s="172"/>
      <c r="C249" s="141" t="s">
        <v>3070</v>
      </c>
      <c r="D249" s="141" t="s">
        <v>3071</v>
      </c>
      <c r="E249" s="141" t="s">
        <v>764</v>
      </c>
      <c r="F249" s="141" t="s">
        <v>3072</v>
      </c>
      <c r="G249" s="141"/>
      <c r="H249" s="141" t="s">
        <v>353</v>
      </c>
      <c r="I249" s="141"/>
      <c r="J249" s="141" t="s">
        <v>354</v>
      </c>
      <c r="K249" s="141" t="s">
        <v>1029</v>
      </c>
      <c r="L249" s="141" t="s">
        <v>3073</v>
      </c>
      <c r="M249" s="141" t="s">
        <v>3074</v>
      </c>
      <c r="N249" s="141" t="s">
        <v>354</v>
      </c>
      <c r="O249" s="141" t="s">
        <v>393</v>
      </c>
      <c r="P249" s="141" t="s">
        <v>424</v>
      </c>
      <c r="Q249" s="141" t="s">
        <v>425</v>
      </c>
      <c r="R249" s="141" t="s">
        <v>361</v>
      </c>
      <c r="S249" s="141" t="s">
        <v>393</v>
      </c>
      <c r="T249" s="141" t="s">
        <v>3000</v>
      </c>
      <c r="U249" s="141" t="s">
        <v>3000</v>
      </c>
      <c r="V249" s="141"/>
      <c r="W249" s="141"/>
      <c r="X249" s="141"/>
      <c r="Y249" s="141"/>
      <c r="Z249" s="141"/>
      <c r="AA249" s="141"/>
      <c r="AB249" s="141"/>
      <c r="AC249" s="141"/>
      <c r="AD249" s="141"/>
      <c r="AE249" s="141"/>
      <c r="AF249" s="141"/>
      <c r="AG249" s="141"/>
      <c r="AH249" s="141"/>
      <c r="AI249" s="141"/>
      <c r="AJ249" s="141"/>
      <c r="AK249" s="141" t="s">
        <v>354</v>
      </c>
      <c r="AL249" s="141" t="s">
        <v>364</v>
      </c>
      <c r="AM249" s="141" t="s">
        <v>354</v>
      </c>
      <c r="AN249" s="141" t="s">
        <v>1471</v>
      </c>
      <c r="AO249" s="141" t="s">
        <v>3000</v>
      </c>
      <c r="AP249" s="141" t="s">
        <v>770</v>
      </c>
      <c r="AQ249" s="141" t="s">
        <v>2168</v>
      </c>
      <c r="AR249" s="141" t="s">
        <v>1279</v>
      </c>
      <c r="AS249" s="141" t="s">
        <v>368</v>
      </c>
      <c r="AT249" s="141"/>
      <c r="AU249" s="141" t="s">
        <v>3073</v>
      </c>
      <c r="AV249" s="141" t="s">
        <v>2662</v>
      </c>
      <c r="AW249" s="141" t="s">
        <v>3075</v>
      </c>
      <c r="AX249" s="141" t="s">
        <v>2637</v>
      </c>
      <c r="AY249" s="141" t="s">
        <v>3076</v>
      </c>
      <c r="AZ249" s="141" t="s">
        <v>890</v>
      </c>
      <c r="BA249" s="141" t="s">
        <v>1033</v>
      </c>
      <c r="BB249" s="141" t="s">
        <v>1881</v>
      </c>
      <c r="BC249" s="141" t="s">
        <v>1948</v>
      </c>
      <c r="BD249" s="141" t="s">
        <v>778</v>
      </c>
      <c r="BE249" s="141" t="s">
        <v>2933</v>
      </c>
      <c r="BF249" s="141" t="s">
        <v>779</v>
      </c>
      <c r="BG249" s="141" t="s">
        <v>705</v>
      </c>
      <c r="BH249" s="141" t="s">
        <v>781</v>
      </c>
      <c r="BI249" s="141" t="s">
        <v>2778</v>
      </c>
      <c r="BJ249" s="141" t="s">
        <v>783</v>
      </c>
      <c r="BK249" s="141" t="s">
        <v>3077</v>
      </c>
      <c r="BL249" s="141" t="s">
        <v>1586</v>
      </c>
      <c r="BM249" s="141" t="s">
        <v>3078</v>
      </c>
      <c r="BN249" s="141" t="s">
        <v>785</v>
      </c>
      <c r="BO249" s="141" t="s">
        <v>2586</v>
      </c>
      <c r="BP249" s="141" t="s">
        <v>912</v>
      </c>
      <c r="BQ249" s="141" t="s">
        <v>3079</v>
      </c>
      <c r="BR249" s="141" t="s">
        <v>382</v>
      </c>
      <c r="BS249" s="141" t="s">
        <v>3080</v>
      </c>
      <c r="BT249" s="141"/>
      <c r="BU249" s="141"/>
      <c r="BV249" s="141"/>
      <c r="BW249" s="141"/>
      <c r="BX249" s="141"/>
      <c r="BY249" s="141"/>
      <c r="BZ249" s="141"/>
      <c r="CA249" s="141"/>
      <c r="CB249" s="141"/>
      <c r="CC249" s="141"/>
      <c r="CD249" s="141"/>
      <c r="CE249" s="141"/>
      <c r="CF249" s="141"/>
      <c r="CG249" s="141"/>
      <c r="CH249" s="141"/>
      <c r="CI249" s="141"/>
      <c r="CJ249" s="141"/>
      <c r="CK249" s="141"/>
      <c r="CL249" s="141"/>
      <c r="CM249" s="141"/>
      <c r="CN249" s="141"/>
      <c r="CO249" s="141"/>
      <c r="CP249" s="141"/>
      <c r="CQ249" s="141"/>
      <c r="CR249" s="141"/>
      <c r="CS249" s="141"/>
      <c r="CT249" s="141"/>
      <c r="CU249" s="141"/>
      <c r="CV249" s="141"/>
      <c r="CW249" s="141"/>
      <c r="CX249" s="141"/>
      <c r="CY249" s="141"/>
      <c r="CZ249" s="141"/>
      <c r="DA249" s="173"/>
    </row>
    <row r="250" spans="2:105" x14ac:dyDescent="0.25">
      <c r="B250" s="172"/>
      <c r="C250" s="141" t="s">
        <v>3081</v>
      </c>
      <c r="D250" s="141" t="s">
        <v>889</v>
      </c>
      <c r="E250" s="141" t="s">
        <v>3082</v>
      </c>
      <c r="F250" s="141" t="s">
        <v>2436</v>
      </c>
      <c r="G250" s="141"/>
      <c r="H250" s="141" t="s">
        <v>353</v>
      </c>
      <c r="I250" s="141"/>
      <c r="J250" s="141" t="s">
        <v>354</v>
      </c>
      <c r="K250" s="141" t="s">
        <v>700</v>
      </c>
      <c r="L250" s="141"/>
      <c r="M250" s="141"/>
      <c r="N250" s="141" t="s">
        <v>369</v>
      </c>
      <c r="O250" s="141" t="s">
        <v>391</v>
      </c>
      <c r="P250" s="141" t="s">
        <v>392</v>
      </c>
      <c r="Q250" s="141" t="s">
        <v>392</v>
      </c>
      <c r="R250" s="141" t="s">
        <v>361</v>
      </c>
      <c r="S250" s="141" t="s">
        <v>393</v>
      </c>
      <c r="T250" s="141" t="s">
        <v>3000</v>
      </c>
      <c r="U250" s="141" t="s">
        <v>3000</v>
      </c>
      <c r="V250" s="141"/>
      <c r="W250" s="141"/>
      <c r="X250" s="141"/>
      <c r="Y250" s="141"/>
      <c r="Z250" s="141"/>
      <c r="AA250" s="141"/>
      <c r="AB250" s="141"/>
      <c r="AC250" s="141"/>
      <c r="AD250" s="141"/>
      <c r="AE250" s="141"/>
      <c r="AF250" s="141"/>
      <c r="AG250" s="141"/>
      <c r="AH250" s="141"/>
      <c r="AI250" s="141"/>
      <c r="AJ250" s="141"/>
      <c r="AK250" s="141" t="s">
        <v>354</v>
      </c>
      <c r="AL250" s="141" t="s">
        <v>364</v>
      </c>
      <c r="AM250" s="141" t="s">
        <v>354</v>
      </c>
      <c r="AN250" s="141" t="s">
        <v>1471</v>
      </c>
      <c r="AO250" s="141" t="s">
        <v>3000</v>
      </c>
      <c r="AP250" s="141" t="s">
        <v>770</v>
      </c>
      <c r="AQ250" s="141" t="s">
        <v>2168</v>
      </c>
      <c r="AR250" s="141" t="s">
        <v>1279</v>
      </c>
      <c r="AS250" s="141"/>
      <c r="AT250" s="141"/>
      <c r="AU250" s="141"/>
      <c r="AV250" s="141"/>
      <c r="AW250" s="141"/>
      <c r="AX250" s="141"/>
      <c r="AY250" s="141"/>
      <c r="AZ250" s="141"/>
      <c r="BA250" s="141"/>
      <c r="BB250" s="141"/>
      <c r="BC250" s="141"/>
      <c r="BD250" s="141"/>
      <c r="BE250" s="141"/>
      <c r="BF250" s="141"/>
      <c r="BG250" s="141"/>
      <c r="BH250" s="141"/>
      <c r="BI250" s="141"/>
      <c r="BJ250" s="141"/>
      <c r="BK250" s="141"/>
      <c r="BL250" s="141"/>
      <c r="BM250" s="141"/>
      <c r="BN250" s="141"/>
      <c r="BO250" s="141"/>
      <c r="BP250" s="141"/>
      <c r="BQ250" s="141"/>
      <c r="BR250" s="141"/>
      <c r="BS250" s="141"/>
      <c r="BT250" s="141"/>
      <c r="BU250" s="141"/>
      <c r="BV250" s="141"/>
      <c r="BW250" s="141"/>
      <c r="BX250" s="141"/>
      <c r="BY250" s="141"/>
      <c r="BZ250" s="141"/>
      <c r="CA250" s="141"/>
      <c r="CB250" s="141"/>
      <c r="CC250" s="141"/>
      <c r="CD250" s="141"/>
      <c r="CE250" s="141"/>
      <c r="CF250" s="141"/>
      <c r="CG250" s="141"/>
      <c r="CH250" s="141"/>
      <c r="CI250" s="141"/>
      <c r="CJ250" s="141"/>
      <c r="CK250" s="141"/>
      <c r="CL250" s="141"/>
      <c r="CM250" s="141"/>
      <c r="CN250" s="141"/>
      <c r="CO250" s="141"/>
      <c r="CP250" s="141"/>
      <c r="CQ250" s="141"/>
      <c r="CR250" s="141"/>
      <c r="CS250" s="141"/>
      <c r="CT250" s="141"/>
      <c r="CU250" s="141"/>
      <c r="CV250" s="141"/>
      <c r="CW250" s="141"/>
      <c r="CX250" s="141"/>
      <c r="CY250" s="141"/>
      <c r="CZ250" s="141"/>
      <c r="DA250" s="173"/>
    </row>
    <row r="251" spans="2:105" x14ac:dyDescent="0.25">
      <c r="B251" s="172"/>
      <c r="C251" s="141"/>
      <c r="D251" s="141" t="s">
        <v>3083</v>
      </c>
      <c r="E251" s="141"/>
      <c r="F251" s="141" t="s">
        <v>466</v>
      </c>
      <c r="G251" s="141"/>
      <c r="H251" s="141" t="s">
        <v>353</v>
      </c>
      <c r="I251" s="141"/>
      <c r="J251" s="141" t="s">
        <v>354</v>
      </c>
      <c r="K251" s="141" t="s">
        <v>920</v>
      </c>
      <c r="L251" s="141"/>
      <c r="M251" s="141"/>
      <c r="N251" s="141" t="s">
        <v>354</v>
      </c>
      <c r="O251" s="141"/>
      <c r="P251" s="141"/>
      <c r="Q251" s="141"/>
      <c r="R251" s="141"/>
      <c r="S251" s="141" t="s">
        <v>393</v>
      </c>
      <c r="T251" s="141" t="s">
        <v>3000</v>
      </c>
      <c r="U251" s="141" t="s">
        <v>3000</v>
      </c>
      <c r="V251" s="141"/>
      <c r="W251" s="141"/>
      <c r="X251" s="141"/>
      <c r="Y251" s="141"/>
      <c r="Z251" s="141"/>
      <c r="AA251" s="141"/>
      <c r="AB251" s="141"/>
      <c r="AC251" s="141"/>
      <c r="AD251" s="141"/>
      <c r="AE251" s="141"/>
      <c r="AF251" s="141"/>
      <c r="AG251" s="141"/>
      <c r="AH251" s="141"/>
      <c r="AI251" s="141"/>
      <c r="AJ251" s="141"/>
      <c r="AK251" s="141" t="s">
        <v>354</v>
      </c>
      <c r="AL251" s="141" t="s">
        <v>364</v>
      </c>
      <c r="AM251" s="141" t="s">
        <v>354</v>
      </c>
      <c r="AN251" s="141" t="s">
        <v>1471</v>
      </c>
      <c r="AO251" s="141" t="s">
        <v>3000</v>
      </c>
      <c r="AP251" s="141" t="s">
        <v>770</v>
      </c>
      <c r="AQ251" s="141" t="s">
        <v>2168</v>
      </c>
      <c r="AR251" s="141" t="s">
        <v>1279</v>
      </c>
      <c r="AS251" s="141"/>
      <c r="AT251" s="141"/>
      <c r="AU251" s="141"/>
      <c r="AV251" s="141"/>
      <c r="AW251" s="141"/>
      <c r="AX251" s="141"/>
      <c r="AY251" s="141"/>
      <c r="AZ251" s="141"/>
      <c r="BA251" s="141"/>
      <c r="BB251" s="141"/>
      <c r="BC251" s="141"/>
      <c r="BD251" s="141"/>
      <c r="BE251" s="141"/>
      <c r="BF251" s="141"/>
      <c r="BG251" s="141"/>
      <c r="BH251" s="141"/>
      <c r="BI251" s="141"/>
      <c r="BJ251" s="141"/>
      <c r="BK251" s="141"/>
      <c r="BL251" s="141"/>
      <c r="BM251" s="141"/>
      <c r="BN251" s="141"/>
      <c r="BO251" s="141"/>
      <c r="BP251" s="141"/>
      <c r="BQ251" s="141"/>
      <c r="BR251" s="141"/>
      <c r="BS251" s="141"/>
      <c r="BT251" s="141"/>
      <c r="BU251" s="141"/>
      <c r="BV251" s="141"/>
      <c r="BW251" s="141"/>
      <c r="BX251" s="141"/>
      <c r="BY251" s="141"/>
      <c r="BZ251" s="141"/>
      <c r="CA251" s="141"/>
      <c r="CB251" s="141"/>
      <c r="CC251" s="141"/>
      <c r="CD251" s="141"/>
      <c r="CE251" s="141"/>
      <c r="CF251" s="141"/>
      <c r="CG251" s="141"/>
      <c r="CH251" s="141"/>
      <c r="CI251" s="141"/>
      <c r="CJ251" s="141"/>
      <c r="CK251" s="141"/>
      <c r="CL251" s="141"/>
      <c r="CM251" s="141"/>
      <c r="CN251" s="141"/>
      <c r="CO251" s="141"/>
      <c r="CP251" s="141"/>
      <c r="CQ251" s="141"/>
      <c r="CR251" s="141"/>
      <c r="CS251" s="141"/>
      <c r="CT251" s="141"/>
      <c r="CU251" s="141"/>
      <c r="CV251" s="141"/>
      <c r="CW251" s="141"/>
      <c r="CX251" s="141"/>
      <c r="CY251" s="141"/>
      <c r="CZ251" s="141"/>
      <c r="DA251" s="173"/>
    </row>
    <row r="252" spans="2:105" x14ac:dyDescent="0.25">
      <c r="B252" s="172"/>
      <c r="C252" s="141"/>
      <c r="D252" s="141" t="s">
        <v>3084</v>
      </c>
      <c r="E252" s="141"/>
      <c r="F252" s="141" t="s">
        <v>466</v>
      </c>
      <c r="G252" s="141"/>
      <c r="H252" s="141" t="s">
        <v>353</v>
      </c>
      <c r="I252" s="141"/>
      <c r="J252" s="141" t="s">
        <v>354</v>
      </c>
      <c r="K252" s="141" t="s">
        <v>1117</v>
      </c>
      <c r="L252" s="141"/>
      <c r="M252" s="141"/>
      <c r="N252" s="141" t="s">
        <v>354</v>
      </c>
      <c r="O252" s="141"/>
      <c r="P252" s="141"/>
      <c r="Q252" s="141"/>
      <c r="R252" s="141"/>
      <c r="S252" s="141" t="s">
        <v>393</v>
      </c>
      <c r="T252" s="141" t="s">
        <v>3000</v>
      </c>
      <c r="U252" s="141" t="s">
        <v>3000</v>
      </c>
      <c r="V252" s="141"/>
      <c r="W252" s="141"/>
      <c r="X252" s="141"/>
      <c r="Y252" s="141"/>
      <c r="Z252" s="141"/>
      <c r="AA252" s="141"/>
      <c r="AB252" s="141"/>
      <c r="AC252" s="141"/>
      <c r="AD252" s="141"/>
      <c r="AE252" s="141"/>
      <c r="AF252" s="141"/>
      <c r="AG252" s="141"/>
      <c r="AH252" s="141"/>
      <c r="AI252" s="141"/>
      <c r="AJ252" s="141"/>
      <c r="AK252" s="141" t="s">
        <v>354</v>
      </c>
      <c r="AL252" s="141" t="s">
        <v>364</v>
      </c>
      <c r="AM252" s="141" t="s">
        <v>354</v>
      </c>
      <c r="AN252" s="141" t="s">
        <v>1471</v>
      </c>
      <c r="AO252" s="141" t="s">
        <v>3000</v>
      </c>
      <c r="AP252" s="141" t="s">
        <v>770</v>
      </c>
      <c r="AQ252" s="141" t="s">
        <v>2168</v>
      </c>
      <c r="AR252" s="141" t="s">
        <v>1279</v>
      </c>
      <c r="AS252" s="141"/>
      <c r="AT252" s="141"/>
      <c r="AU252" s="141"/>
      <c r="AV252" s="141"/>
      <c r="AW252" s="141"/>
      <c r="AX252" s="141"/>
      <c r="AY252" s="141"/>
      <c r="AZ252" s="141"/>
      <c r="BA252" s="141"/>
      <c r="BB252" s="141"/>
      <c r="BC252" s="141"/>
      <c r="BD252" s="141"/>
      <c r="BE252" s="141"/>
      <c r="BF252" s="141"/>
      <c r="BG252" s="141"/>
      <c r="BH252" s="141"/>
      <c r="BI252" s="141"/>
      <c r="BJ252" s="141"/>
      <c r="BK252" s="141"/>
      <c r="BL252" s="141"/>
      <c r="BM252" s="141"/>
      <c r="BN252" s="141"/>
      <c r="BO252" s="141"/>
      <c r="BP252" s="141"/>
      <c r="BQ252" s="141"/>
      <c r="BR252" s="141"/>
      <c r="BS252" s="141"/>
      <c r="BT252" s="141"/>
      <c r="BU252" s="141"/>
      <c r="BV252" s="141"/>
      <c r="BW252" s="141"/>
      <c r="BX252" s="141"/>
      <c r="BY252" s="141"/>
      <c r="BZ252" s="141"/>
      <c r="CA252" s="141"/>
      <c r="CB252" s="141"/>
      <c r="CC252" s="141"/>
      <c r="CD252" s="141"/>
      <c r="CE252" s="141"/>
      <c r="CF252" s="141"/>
      <c r="CG252" s="141"/>
      <c r="CH252" s="141"/>
      <c r="CI252" s="141"/>
      <c r="CJ252" s="141"/>
      <c r="CK252" s="141"/>
      <c r="CL252" s="141"/>
      <c r="CM252" s="141"/>
      <c r="CN252" s="141"/>
      <c r="CO252" s="141"/>
      <c r="CP252" s="141"/>
      <c r="CQ252" s="141"/>
      <c r="CR252" s="141"/>
      <c r="CS252" s="141"/>
      <c r="CT252" s="141"/>
      <c r="CU252" s="141"/>
      <c r="CV252" s="141"/>
      <c r="CW252" s="141"/>
      <c r="CX252" s="141"/>
      <c r="CY252" s="141"/>
      <c r="CZ252" s="141"/>
      <c r="DA252" s="173"/>
    </row>
    <row r="253" spans="2:105" x14ac:dyDescent="0.25">
      <c r="B253" s="172"/>
      <c r="C253" s="141" t="s">
        <v>3085</v>
      </c>
      <c r="D253" s="141" t="s">
        <v>365</v>
      </c>
      <c r="E253" s="141" t="s">
        <v>3086</v>
      </c>
      <c r="F253" s="141" t="s">
        <v>3087</v>
      </c>
      <c r="G253" s="141"/>
      <c r="H253" s="141" t="s">
        <v>353</v>
      </c>
      <c r="I253" s="141"/>
      <c r="J253" s="141" t="s">
        <v>354</v>
      </c>
      <c r="K253" s="141" t="s">
        <v>638</v>
      </c>
      <c r="L253" s="141"/>
      <c r="M253" s="141"/>
      <c r="N253" s="141" t="s">
        <v>369</v>
      </c>
      <c r="O253" s="141" t="s">
        <v>391</v>
      </c>
      <c r="P253" s="141" t="s">
        <v>392</v>
      </c>
      <c r="Q253" s="141" t="s">
        <v>392</v>
      </c>
      <c r="R253" s="141" t="s">
        <v>361</v>
      </c>
      <c r="S253" s="141" t="s">
        <v>393</v>
      </c>
      <c r="T253" s="141" t="s">
        <v>3000</v>
      </c>
      <c r="U253" s="141" t="s">
        <v>3000</v>
      </c>
      <c r="V253" s="141"/>
      <c r="W253" s="141"/>
      <c r="X253" s="141"/>
      <c r="Y253" s="141"/>
      <c r="Z253" s="141"/>
      <c r="AA253" s="141"/>
      <c r="AB253" s="141"/>
      <c r="AC253" s="141"/>
      <c r="AD253" s="141"/>
      <c r="AE253" s="141"/>
      <c r="AF253" s="141"/>
      <c r="AG253" s="141"/>
      <c r="AH253" s="141"/>
      <c r="AI253" s="141"/>
      <c r="AJ253" s="141"/>
      <c r="AK253" s="141" t="s">
        <v>354</v>
      </c>
      <c r="AL253" s="141" t="s">
        <v>364</v>
      </c>
      <c r="AM253" s="141" t="s">
        <v>354</v>
      </c>
      <c r="AN253" s="141" t="s">
        <v>1471</v>
      </c>
      <c r="AO253" s="141" t="s">
        <v>3000</v>
      </c>
      <c r="AP253" s="141" t="s">
        <v>770</v>
      </c>
      <c r="AQ253" s="141" t="s">
        <v>2168</v>
      </c>
      <c r="AR253" s="141" t="s">
        <v>1279</v>
      </c>
      <c r="AS253" s="141"/>
      <c r="AT253" s="141"/>
      <c r="AU253" s="141"/>
      <c r="AV253" s="141"/>
      <c r="AW253" s="141"/>
      <c r="AX253" s="141"/>
      <c r="AY253" s="141"/>
      <c r="AZ253" s="141"/>
      <c r="BA253" s="141"/>
      <c r="BB253" s="141"/>
      <c r="BC253" s="141"/>
      <c r="BD253" s="141"/>
      <c r="BE253" s="141"/>
      <c r="BF253" s="141"/>
      <c r="BG253" s="141"/>
      <c r="BH253" s="141"/>
      <c r="BI253" s="141"/>
      <c r="BJ253" s="141"/>
      <c r="BK253" s="141"/>
      <c r="BL253" s="141"/>
      <c r="BM253" s="141"/>
      <c r="BN253" s="141"/>
      <c r="BO253" s="141"/>
      <c r="BP253" s="141"/>
      <c r="BQ253" s="141"/>
      <c r="BR253" s="141"/>
      <c r="BS253" s="141"/>
      <c r="BT253" s="141"/>
      <c r="BU253" s="141"/>
      <c r="BV253" s="141"/>
      <c r="BW253" s="141"/>
      <c r="BX253" s="141"/>
      <c r="BY253" s="141"/>
      <c r="BZ253" s="141"/>
      <c r="CA253" s="141"/>
      <c r="CB253" s="141"/>
      <c r="CC253" s="141"/>
      <c r="CD253" s="141"/>
      <c r="CE253" s="141"/>
      <c r="CF253" s="141"/>
      <c r="CG253" s="141"/>
      <c r="CH253" s="141"/>
      <c r="CI253" s="141"/>
      <c r="CJ253" s="141"/>
      <c r="CK253" s="141"/>
      <c r="CL253" s="141"/>
      <c r="CM253" s="141"/>
      <c r="CN253" s="141"/>
      <c r="CO253" s="141"/>
      <c r="CP253" s="141"/>
      <c r="CQ253" s="141"/>
      <c r="CR253" s="141"/>
      <c r="CS253" s="141"/>
      <c r="CT253" s="141"/>
      <c r="CU253" s="141"/>
      <c r="CV253" s="141"/>
      <c r="CW253" s="141"/>
      <c r="CX253" s="141"/>
      <c r="CY253" s="141"/>
      <c r="CZ253" s="141"/>
      <c r="DA253" s="173"/>
    </row>
    <row r="254" spans="2:105" x14ac:dyDescent="0.25">
      <c r="B254" s="172"/>
      <c r="C254" s="141" t="s">
        <v>3088</v>
      </c>
      <c r="D254" s="141" t="s">
        <v>3089</v>
      </c>
      <c r="E254" s="141" t="s">
        <v>3090</v>
      </c>
      <c r="F254" s="141" t="s">
        <v>2601</v>
      </c>
      <c r="G254" s="141"/>
      <c r="H254" s="141" t="s">
        <v>353</v>
      </c>
      <c r="I254" s="141"/>
      <c r="J254" s="141" t="s">
        <v>354</v>
      </c>
      <c r="K254" s="141" t="s">
        <v>1364</v>
      </c>
      <c r="L254" s="141" t="s">
        <v>3091</v>
      </c>
      <c r="M254" s="141" t="s">
        <v>3092</v>
      </c>
      <c r="N254" s="141" t="s">
        <v>354</v>
      </c>
      <c r="O254" s="141" t="s">
        <v>485</v>
      </c>
      <c r="P254" s="141" t="s">
        <v>1630</v>
      </c>
      <c r="Q254" s="141" t="s">
        <v>1631</v>
      </c>
      <c r="R254" s="141" t="s">
        <v>361</v>
      </c>
      <c r="S254" s="141" t="s">
        <v>1339</v>
      </c>
      <c r="T254" s="141" t="s">
        <v>3093</v>
      </c>
      <c r="U254" s="141" t="s">
        <v>3093</v>
      </c>
      <c r="V254" s="141"/>
      <c r="W254" s="141"/>
      <c r="X254" s="141"/>
      <c r="Y254" s="141"/>
      <c r="Z254" s="141"/>
      <c r="AA254" s="141"/>
      <c r="AB254" s="141"/>
      <c r="AC254" s="141"/>
      <c r="AD254" s="141"/>
      <c r="AE254" s="141"/>
      <c r="AF254" s="141"/>
      <c r="AG254" s="141"/>
      <c r="AH254" s="141"/>
      <c r="AI254" s="141"/>
      <c r="AJ254" s="141"/>
      <c r="AK254" s="141" t="s">
        <v>354</v>
      </c>
      <c r="AL254" s="141" t="s">
        <v>364</v>
      </c>
      <c r="AM254" s="141" t="s">
        <v>354</v>
      </c>
      <c r="AN254" s="141" t="s">
        <v>2662</v>
      </c>
      <c r="AO254" s="141" t="s">
        <v>3093</v>
      </c>
      <c r="AP254" s="141" t="s">
        <v>2427</v>
      </c>
      <c r="AQ254" s="141" t="s">
        <v>848</v>
      </c>
      <c r="AR254" s="141" t="s">
        <v>408</v>
      </c>
      <c r="AS254" s="141" t="s">
        <v>369</v>
      </c>
      <c r="AT254" s="141"/>
      <c r="AU254" s="141" t="s">
        <v>3091</v>
      </c>
      <c r="AV254" s="141" t="s">
        <v>499</v>
      </c>
      <c r="AW254" s="141" t="s">
        <v>1996</v>
      </c>
      <c r="AX254" s="141" t="s">
        <v>657</v>
      </c>
      <c r="AY254" s="141" t="s">
        <v>3094</v>
      </c>
      <c r="AZ254" s="141" t="s">
        <v>910</v>
      </c>
      <c r="BA254" s="141" t="s">
        <v>898</v>
      </c>
      <c r="BB254" s="141" t="s">
        <v>497</v>
      </c>
      <c r="BC254" s="141" t="s">
        <v>3017</v>
      </c>
      <c r="BD254" s="141" t="s">
        <v>501</v>
      </c>
      <c r="BE254" s="141" t="s">
        <v>3095</v>
      </c>
      <c r="BF254" s="141" t="s">
        <v>900</v>
      </c>
      <c r="BG254" s="141" t="s">
        <v>3096</v>
      </c>
      <c r="BH254" s="141" t="s">
        <v>787</v>
      </c>
      <c r="BI254" s="141" t="s">
        <v>3097</v>
      </c>
      <c r="BJ254" s="141" t="s">
        <v>382</v>
      </c>
      <c r="BK254" s="141" t="s">
        <v>3098</v>
      </c>
      <c r="BL254" s="141"/>
      <c r="BM254" s="141"/>
      <c r="BN254" s="141"/>
      <c r="BO254" s="141"/>
      <c r="BP254" s="141"/>
      <c r="BQ254" s="141"/>
      <c r="BR254" s="141"/>
      <c r="BS254" s="141"/>
      <c r="BT254" s="141"/>
      <c r="BU254" s="141"/>
      <c r="BV254" s="141"/>
      <c r="BW254" s="141"/>
      <c r="BX254" s="141"/>
      <c r="BY254" s="141"/>
      <c r="BZ254" s="141"/>
      <c r="CA254" s="141"/>
      <c r="CB254" s="141"/>
      <c r="CC254" s="141"/>
      <c r="CD254" s="141"/>
      <c r="CE254" s="141"/>
      <c r="CF254" s="141"/>
      <c r="CG254" s="141"/>
      <c r="CH254" s="141"/>
      <c r="CI254" s="141"/>
      <c r="CJ254" s="141"/>
      <c r="CK254" s="141"/>
      <c r="CL254" s="141"/>
      <c r="CM254" s="141"/>
      <c r="CN254" s="141"/>
      <c r="CO254" s="141"/>
      <c r="CP254" s="141"/>
      <c r="CQ254" s="141"/>
      <c r="CR254" s="141"/>
      <c r="CS254" s="141"/>
      <c r="CT254" s="141"/>
      <c r="CU254" s="141"/>
      <c r="CV254" s="141"/>
      <c r="CW254" s="141"/>
      <c r="CX254" s="141"/>
      <c r="CY254" s="141"/>
      <c r="CZ254" s="141"/>
      <c r="DA254" s="173"/>
    </row>
    <row r="255" spans="2:105" x14ac:dyDescent="0.25">
      <c r="B255" s="172"/>
      <c r="C255" s="141" t="s">
        <v>3099</v>
      </c>
      <c r="D255" s="141" t="s">
        <v>3100</v>
      </c>
      <c r="E255" s="141" t="s">
        <v>3101</v>
      </c>
      <c r="F255" s="141" t="s">
        <v>3023</v>
      </c>
      <c r="G255" s="141"/>
      <c r="H255" s="141" t="s">
        <v>353</v>
      </c>
      <c r="I255" s="141"/>
      <c r="J255" s="141" t="s">
        <v>354</v>
      </c>
      <c r="K255" s="141" t="s">
        <v>1454</v>
      </c>
      <c r="L255" s="141" t="s">
        <v>3102</v>
      </c>
      <c r="M255" s="141" t="s">
        <v>3103</v>
      </c>
      <c r="N255" s="141" t="s">
        <v>354</v>
      </c>
      <c r="O255" s="141" t="s">
        <v>369</v>
      </c>
      <c r="P255" s="141" t="s">
        <v>528</v>
      </c>
      <c r="Q255" s="141" t="s">
        <v>529</v>
      </c>
      <c r="R255" s="141" t="s">
        <v>361</v>
      </c>
      <c r="S255" s="141" t="s">
        <v>1339</v>
      </c>
      <c r="T255" s="141" t="s">
        <v>3093</v>
      </c>
      <c r="U255" s="141" t="s">
        <v>3093</v>
      </c>
      <c r="V255" s="141"/>
      <c r="W255" s="141"/>
      <c r="X255" s="141"/>
      <c r="Y255" s="141"/>
      <c r="Z255" s="141"/>
      <c r="AA255" s="141"/>
      <c r="AB255" s="141"/>
      <c r="AC255" s="141"/>
      <c r="AD255" s="141"/>
      <c r="AE255" s="141"/>
      <c r="AF255" s="141"/>
      <c r="AG255" s="141"/>
      <c r="AH255" s="141"/>
      <c r="AI255" s="141"/>
      <c r="AJ255" s="141"/>
      <c r="AK255" s="141" t="s">
        <v>354</v>
      </c>
      <c r="AL255" s="141" t="s">
        <v>364</v>
      </c>
      <c r="AM255" s="141" t="s">
        <v>354</v>
      </c>
      <c r="AN255" s="141" t="s">
        <v>2662</v>
      </c>
      <c r="AO255" s="141" t="s">
        <v>3093</v>
      </c>
      <c r="AP255" s="141" t="s">
        <v>2427</v>
      </c>
      <c r="AQ255" s="141" t="s">
        <v>848</v>
      </c>
      <c r="AR255" s="141" t="s">
        <v>408</v>
      </c>
      <c r="AS255" s="141" t="s">
        <v>393</v>
      </c>
      <c r="AT255" s="141"/>
      <c r="AU255" s="141" t="s">
        <v>3102</v>
      </c>
      <c r="AV255" s="141" t="s">
        <v>499</v>
      </c>
      <c r="AW255" s="141" t="s">
        <v>746</v>
      </c>
      <c r="AX255" s="141" t="s">
        <v>657</v>
      </c>
      <c r="AY255" s="141" t="s">
        <v>2926</v>
      </c>
      <c r="AZ255" s="141" t="s">
        <v>910</v>
      </c>
      <c r="BA255" s="141" t="s">
        <v>3104</v>
      </c>
      <c r="BB255" s="141" t="s">
        <v>497</v>
      </c>
      <c r="BC255" s="141" t="s">
        <v>3105</v>
      </c>
      <c r="BD255" s="141" t="s">
        <v>501</v>
      </c>
      <c r="BE255" s="141" t="s">
        <v>3106</v>
      </c>
      <c r="BF255" s="141" t="s">
        <v>900</v>
      </c>
      <c r="BG255" s="141" t="s">
        <v>3107</v>
      </c>
      <c r="BH255" s="141" t="s">
        <v>787</v>
      </c>
      <c r="BI255" s="141" t="s">
        <v>3108</v>
      </c>
      <c r="BJ255" s="141" t="s">
        <v>382</v>
      </c>
      <c r="BK255" s="141" t="s">
        <v>3109</v>
      </c>
      <c r="BL255" s="141"/>
      <c r="BM255" s="141"/>
      <c r="BN255" s="141"/>
      <c r="BO255" s="141"/>
      <c r="BP255" s="141"/>
      <c r="BQ255" s="141"/>
      <c r="BR255" s="141"/>
      <c r="BS255" s="141"/>
      <c r="BT255" s="141"/>
      <c r="BU255" s="141"/>
      <c r="BV255" s="141"/>
      <c r="BW255" s="141"/>
      <c r="BX255" s="141"/>
      <c r="BY255" s="141"/>
      <c r="BZ255" s="141"/>
      <c r="CA255" s="141"/>
      <c r="CB255" s="141"/>
      <c r="CC255" s="141"/>
      <c r="CD255" s="141"/>
      <c r="CE255" s="141"/>
      <c r="CF255" s="141"/>
      <c r="CG255" s="141"/>
      <c r="CH255" s="141"/>
      <c r="CI255" s="141"/>
      <c r="CJ255" s="141"/>
      <c r="CK255" s="141"/>
      <c r="CL255" s="141"/>
      <c r="CM255" s="141"/>
      <c r="CN255" s="141"/>
      <c r="CO255" s="141"/>
      <c r="CP255" s="141"/>
      <c r="CQ255" s="141"/>
      <c r="CR255" s="141"/>
      <c r="CS255" s="141"/>
      <c r="CT255" s="141"/>
      <c r="CU255" s="141"/>
      <c r="CV255" s="141"/>
      <c r="CW255" s="141"/>
      <c r="CX255" s="141"/>
      <c r="CY255" s="141"/>
      <c r="CZ255" s="141"/>
      <c r="DA255" s="173"/>
    </row>
    <row r="256" spans="2:105" x14ac:dyDescent="0.25">
      <c r="B256" s="172"/>
      <c r="C256" s="141" t="s">
        <v>3110</v>
      </c>
      <c r="D256" s="141" t="s">
        <v>3111</v>
      </c>
      <c r="E256" s="141" t="s">
        <v>419</v>
      </c>
      <c r="F256" s="141" t="s">
        <v>3059</v>
      </c>
      <c r="G256" s="141"/>
      <c r="H256" s="141" t="s">
        <v>353</v>
      </c>
      <c r="I256" s="141"/>
      <c r="J256" s="141" t="s">
        <v>354</v>
      </c>
      <c r="K256" s="141" t="s">
        <v>1153</v>
      </c>
      <c r="L256" s="141" t="s">
        <v>3112</v>
      </c>
      <c r="M256" s="141" t="s">
        <v>3113</v>
      </c>
      <c r="N256" s="141" t="s">
        <v>354</v>
      </c>
      <c r="O256" s="141" t="s">
        <v>393</v>
      </c>
      <c r="P256" s="141" t="s">
        <v>424</v>
      </c>
      <c r="Q256" s="141" t="s">
        <v>425</v>
      </c>
      <c r="R256" s="141" t="s">
        <v>361</v>
      </c>
      <c r="S256" s="141" t="s">
        <v>1339</v>
      </c>
      <c r="T256" s="141" t="s">
        <v>3093</v>
      </c>
      <c r="U256" s="141" t="s">
        <v>3093</v>
      </c>
      <c r="V256" s="141"/>
      <c r="W256" s="141"/>
      <c r="X256" s="141"/>
      <c r="Y256" s="141"/>
      <c r="Z256" s="141"/>
      <c r="AA256" s="141"/>
      <c r="AB256" s="141"/>
      <c r="AC256" s="141"/>
      <c r="AD256" s="141"/>
      <c r="AE256" s="141"/>
      <c r="AF256" s="141"/>
      <c r="AG256" s="141"/>
      <c r="AH256" s="141"/>
      <c r="AI256" s="141"/>
      <c r="AJ256" s="141"/>
      <c r="AK256" s="141" t="s">
        <v>354</v>
      </c>
      <c r="AL256" s="141" t="s">
        <v>364</v>
      </c>
      <c r="AM256" s="141" t="s">
        <v>354</v>
      </c>
      <c r="AN256" s="141" t="s">
        <v>2662</v>
      </c>
      <c r="AO256" s="141" t="s">
        <v>3093</v>
      </c>
      <c r="AP256" s="141" t="s">
        <v>2427</v>
      </c>
      <c r="AQ256" s="141" t="s">
        <v>848</v>
      </c>
      <c r="AR256" s="141" t="s">
        <v>408</v>
      </c>
      <c r="AS256" s="141" t="s">
        <v>358</v>
      </c>
      <c r="AT256" s="141"/>
      <c r="AU256" s="141" t="s">
        <v>3112</v>
      </c>
      <c r="AV256" s="141" t="s">
        <v>499</v>
      </c>
      <c r="AW256" s="141" t="s">
        <v>494</v>
      </c>
      <c r="AX256" s="141" t="s">
        <v>657</v>
      </c>
      <c r="AY256" s="141" t="s">
        <v>777</v>
      </c>
      <c r="AZ256" s="141" t="s">
        <v>910</v>
      </c>
      <c r="BA256" s="141" t="s">
        <v>990</v>
      </c>
      <c r="BB256" s="141" t="s">
        <v>497</v>
      </c>
      <c r="BC256" s="141" t="s">
        <v>3114</v>
      </c>
      <c r="BD256" s="141" t="s">
        <v>501</v>
      </c>
      <c r="BE256" s="141" t="s">
        <v>3115</v>
      </c>
      <c r="BF256" s="141" t="s">
        <v>900</v>
      </c>
      <c r="BG256" s="141" t="s">
        <v>3116</v>
      </c>
      <c r="BH256" s="141" t="s">
        <v>787</v>
      </c>
      <c r="BI256" s="141" t="s">
        <v>3043</v>
      </c>
      <c r="BJ256" s="141" t="s">
        <v>382</v>
      </c>
      <c r="BK256" s="141" t="s">
        <v>3117</v>
      </c>
      <c r="BL256" s="141"/>
      <c r="BM256" s="141"/>
      <c r="BN256" s="141"/>
      <c r="BO256" s="141"/>
      <c r="BP256" s="141"/>
      <c r="BQ256" s="141"/>
      <c r="BR256" s="141"/>
      <c r="BS256" s="141"/>
      <c r="BT256" s="141"/>
      <c r="BU256" s="141"/>
      <c r="BV256" s="141"/>
      <c r="BW256" s="141"/>
      <c r="BX256" s="141"/>
      <c r="BY256" s="141"/>
      <c r="BZ256" s="141"/>
      <c r="CA256" s="141"/>
      <c r="CB256" s="141"/>
      <c r="CC256" s="141"/>
      <c r="CD256" s="141"/>
      <c r="CE256" s="141"/>
      <c r="CF256" s="141"/>
      <c r="CG256" s="141"/>
      <c r="CH256" s="141"/>
      <c r="CI256" s="141"/>
      <c r="CJ256" s="141"/>
      <c r="CK256" s="141"/>
      <c r="CL256" s="141"/>
      <c r="CM256" s="141"/>
      <c r="CN256" s="141"/>
      <c r="CO256" s="141"/>
      <c r="CP256" s="141"/>
      <c r="CQ256" s="141"/>
      <c r="CR256" s="141"/>
      <c r="CS256" s="141"/>
      <c r="CT256" s="141"/>
      <c r="CU256" s="141"/>
      <c r="CV256" s="141"/>
      <c r="CW256" s="141"/>
      <c r="CX256" s="141"/>
      <c r="CY256" s="141"/>
      <c r="CZ256" s="141"/>
      <c r="DA256" s="173"/>
    </row>
    <row r="257" spans="2:105" x14ac:dyDescent="0.25">
      <c r="B257" s="172"/>
      <c r="C257" s="141" t="s">
        <v>3118</v>
      </c>
      <c r="D257" s="141" t="s">
        <v>380</v>
      </c>
      <c r="E257" s="141" t="s">
        <v>3119</v>
      </c>
      <c r="F257" s="141" t="s">
        <v>3120</v>
      </c>
      <c r="G257" s="141"/>
      <c r="H257" s="141" t="s">
        <v>353</v>
      </c>
      <c r="I257" s="141"/>
      <c r="J257" s="141" t="s">
        <v>354</v>
      </c>
      <c r="K257" s="141" t="s">
        <v>1321</v>
      </c>
      <c r="L257" s="141" t="s">
        <v>3121</v>
      </c>
      <c r="M257" s="141" t="s">
        <v>3122</v>
      </c>
      <c r="N257" s="141" t="s">
        <v>354</v>
      </c>
      <c r="O257" s="141" t="s">
        <v>369</v>
      </c>
      <c r="P257" s="141" t="s">
        <v>528</v>
      </c>
      <c r="Q257" s="141" t="s">
        <v>529</v>
      </c>
      <c r="R257" s="141" t="s">
        <v>361</v>
      </c>
      <c r="S257" s="141" t="s">
        <v>1339</v>
      </c>
      <c r="T257" s="141" t="s">
        <v>3093</v>
      </c>
      <c r="U257" s="141" t="s">
        <v>3093</v>
      </c>
      <c r="V257" s="141"/>
      <c r="W257" s="141"/>
      <c r="X257" s="141"/>
      <c r="Y257" s="141"/>
      <c r="Z257" s="141"/>
      <c r="AA257" s="141"/>
      <c r="AB257" s="141"/>
      <c r="AC257" s="141"/>
      <c r="AD257" s="141"/>
      <c r="AE257" s="141"/>
      <c r="AF257" s="141"/>
      <c r="AG257" s="141"/>
      <c r="AH257" s="141"/>
      <c r="AI257" s="141"/>
      <c r="AJ257" s="141"/>
      <c r="AK257" s="141" t="s">
        <v>354</v>
      </c>
      <c r="AL257" s="141" t="s">
        <v>364</v>
      </c>
      <c r="AM257" s="141" t="s">
        <v>354</v>
      </c>
      <c r="AN257" s="141" t="s">
        <v>2662</v>
      </c>
      <c r="AO257" s="141" t="s">
        <v>3093</v>
      </c>
      <c r="AP257" s="141" t="s">
        <v>2427</v>
      </c>
      <c r="AQ257" s="141" t="s">
        <v>848</v>
      </c>
      <c r="AR257" s="141" t="s">
        <v>408</v>
      </c>
      <c r="AS257" s="141" t="s">
        <v>426</v>
      </c>
      <c r="AT257" s="141"/>
      <c r="AU257" s="141" t="s">
        <v>3121</v>
      </c>
      <c r="AV257" s="141" t="s">
        <v>499</v>
      </c>
      <c r="AW257" s="141" t="s">
        <v>3123</v>
      </c>
      <c r="AX257" s="141" t="s">
        <v>657</v>
      </c>
      <c r="AY257" s="141" t="s">
        <v>2272</v>
      </c>
      <c r="AZ257" s="141" t="s">
        <v>910</v>
      </c>
      <c r="BA257" s="141" t="s">
        <v>1240</v>
      </c>
      <c r="BB257" s="141" t="s">
        <v>497</v>
      </c>
      <c r="BC257" s="141" t="s">
        <v>3124</v>
      </c>
      <c r="BD257" s="141" t="s">
        <v>501</v>
      </c>
      <c r="BE257" s="141" t="s">
        <v>3125</v>
      </c>
      <c r="BF257" s="141" t="s">
        <v>900</v>
      </c>
      <c r="BG257" s="141" t="s">
        <v>3126</v>
      </c>
      <c r="BH257" s="141" t="s">
        <v>787</v>
      </c>
      <c r="BI257" s="141" t="s">
        <v>2050</v>
      </c>
      <c r="BJ257" s="141" t="s">
        <v>382</v>
      </c>
      <c r="BK257" s="141" t="s">
        <v>884</v>
      </c>
      <c r="BL257" s="141"/>
      <c r="BM257" s="141"/>
      <c r="BN257" s="141"/>
      <c r="BO257" s="141"/>
      <c r="BP257" s="141"/>
      <c r="BQ257" s="141"/>
      <c r="BR257" s="141"/>
      <c r="BS257" s="141"/>
      <c r="BT257" s="141"/>
      <c r="BU257" s="141"/>
      <c r="BV257" s="141"/>
      <c r="BW257" s="141"/>
      <c r="BX257" s="141"/>
      <c r="BY257" s="141"/>
      <c r="BZ257" s="141"/>
      <c r="CA257" s="141"/>
      <c r="CB257" s="141"/>
      <c r="CC257" s="141"/>
      <c r="CD257" s="141"/>
      <c r="CE257" s="141"/>
      <c r="CF257" s="141"/>
      <c r="CG257" s="141"/>
      <c r="CH257" s="141"/>
      <c r="CI257" s="141"/>
      <c r="CJ257" s="141"/>
      <c r="CK257" s="141"/>
      <c r="CL257" s="141"/>
      <c r="CM257" s="141"/>
      <c r="CN257" s="141"/>
      <c r="CO257" s="141"/>
      <c r="CP257" s="141"/>
      <c r="CQ257" s="141"/>
      <c r="CR257" s="141"/>
      <c r="CS257" s="141"/>
      <c r="CT257" s="141"/>
      <c r="CU257" s="141"/>
      <c r="CV257" s="141"/>
      <c r="CW257" s="141"/>
      <c r="CX257" s="141"/>
      <c r="CY257" s="141"/>
      <c r="CZ257" s="141"/>
      <c r="DA257" s="173"/>
    </row>
    <row r="258" spans="2:105" x14ac:dyDescent="0.25">
      <c r="B258" s="172"/>
      <c r="C258" s="141" t="s">
        <v>3127</v>
      </c>
      <c r="D258" s="141" t="s">
        <v>3128</v>
      </c>
      <c r="E258" s="141" t="s">
        <v>2386</v>
      </c>
      <c r="F258" s="141" t="s">
        <v>3129</v>
      </c>
      <c r="G258" s="141"/>
      <c r="H258" s="141" t="s">
        <v>353</v>
      </c>
      <c r="I258" s="141"/>
      <c r="J258" s="141" t="s">
        <v>354</v>
      </c>
      <c r="K258" s="141" t="s">
        <v>1483</v>
      </c>
      <c r="L258" s="141" t="s">
        <v>3130</v>
      </c>
      <c r="M258" s="141" t="s">
        <v>2978</v>
      </c>
      <c r="N258" s="141" t="s">
        <v>354</v>
      </c>
      <c r="O258" s="141" t="s">
        <v>393</v>
      </c>
      <c r="P258" s="141" t="s">
        <v>424</v>
      </c>
      <c r="Q258" s="141" t="s">
        <v>425</v>
      </c>
      <c r="R258" s="141" t="s">
        <v>361</v>
      </c>
      <c r="S258" s="141" t="s">
        <v>1339</v>
      </c>
      <c r="T258" s="141" t="s">
        <v>3093</v>
      </c>
      <c r="U258" s="141" t="s">
        <v>3093</v>
      </c>
      <c r="V258" s="141"/>
      <c r="W258" s="141"/>
      <c r="X258" s="141"/>
      <c r="Y258" s="141"/>
      <c r="Z258" s="141"/>
      <c r="AA258" s="141"/>
      <c r="AB258" s="141"/>
      <c r="AC258" s="141"/>
      <c r="AD258" s="141"/>
      <c r="AE258" s="141"/>
      <c r="AF258" s="141"/>
      <c r="AG258" s="141"/>
      <c r="AH258" s="141"/>
      <c r="AI258" s="141"/>
      <c r="AJ258" s="141"/>
      <c r="AK258" s="141" t="s">
        <v>354</v>
      </c>
      <c r="AL258" s="141" t="s">
        <v>364</v>
      </c>
      <c r="AM258" s="141" t="s">
        <v>354</v>
      </c>
      <c r="AN258" s="141" t="s">
        <v>2662</v>
      </c>
      <c r="AO258" s="141" t="s">
        <v>3093</v>
      </c>
      <c r="AP258" s="141" t="s">
        <v>2427</v>
      </c>
      <c r="AQ258" s="141" t="s">
        <v>848</v>
      </c>
      <c r="AR258" s="141" t="s">
        <v>408</v>
      </c>
      <c r="AS258" s="141" t="s">
        <v>441</v>
      </c>
      <c r="AT258" s="141"/>
      <c r="AU258" s="141" t="s">
        <v>3130</v>
      </c>
      <c r="AV258" s="141" t="s">
        <v>499</v>
      </c>
      <c r="AW258" s="141" t="s">
        <v>3131</v>
      </c>
      <c r="AX258" s="141" t="s">
        <v>657</v>
      </c>
      <c r="AY258" s="141" t="s">
        <v>2679</v>
      </c>
      <c r="AZ258" s="141" t="s">
        <v>910</v>
      </c>
      <c r="BA258" s="141" t="s">
        <v>1186</v>
      </c>
      <c r="BB258" s="141" t="s">
        <v>497</v>
      </c>
      <c r="BC258" s="141" t="s">
        <v>3132</v>
      </c>
      <c r="BD258" s="141" t="s">
        <v>501</v>
      </c>
      <c r="BE258" s="141" t="s">
        <v>3133</v>
      </c>
      <c r="BF258" s="141" t="s">
        <v>900</v>
      </c>
      <c r="BG258" s="141" t="s">
        <v>1327</v>
      </c>
      <c r="BH258" s="141" t="s">
        <v>787</v>
      </c>
      <c r="BI258" s="141" t="s">
        <v>3134</v>
      </c>
      <c r="BJ258" s="141" t="s">
        <v>382</v>
      </c>
      <c r="BK258" s="141" t="s">
        <v>3135</v>
      </c>
      <c r="BL258" s="141"/>
      <c r="BM258" s="141"/>
      <c r="BN258" s="141"/>
      <c r="BO258" s="141"/>
      <c r="BP258" s="141"/>
      <c r="BQ258" s="141"/>
      <c r="BR258" s="141"/>
      <c r="BS258" s="141"/>
      <c r="BT258" s="141"/>
      <c r="BU258" s="141"/>
      <c r="BV258" s="141"/>
      <c r="BW258" s="141"/>
      <c r="BX258" s="141"/>
      <c r="BY258" s="141"/>
      <c r="BZ258" s="141"/>
      <c r="CA258" s="141"/>
      <c r="CB258" s="141"/>
      <c r="CC258" s="141"/>
      <c r="CD258" s="141"/>
      <c r="CE258" s="141"/>
      <c r="CF258" s="141"/>
      <c r="CG258" s="141"/>
      <c r="CH258" s="141"/>
      <c r="CI258" s="141"/>
      <c r="CJ258" s="141"/>
      <c r="CK258" s="141"/>
      <c r="CL258" s="141"/>
      <c r="CM258" s="141"/>
      <c r="CN258" s="141"/>
      <c r="CO258" s="141"/>
      <c r="CP258" s="141"/>
      <c r="CQ258" s="141"/>
      <c r="CR258" s="141"/>
      <c r="CS258" s="141"/>
      <c r="CT258" s="141"/>
      <c r="CU258" s="141"/>
      <c r="CV258" s="141"/>
      <c r="CW258" s="141"/>
      <c r="CX258" s="141"/>
      <c r="CY258" s="141"/>
      <c r="CZ258" s="141"/>
      <c r="DA258" s="173"/>
    </row>
    <row r="259" spans="2:105" x14ac:dyDescent="0.25">
      <c r="B259" s="172"/>
      <c r="C259" s="141" t="s">
        <v>3136</v>
      </c>
      <c r="D259" s="141" t="s">
        <v>3137</v>
      </c>
      <c r="E259" s="141" t="s">
        <v>3138</v>
      </c>
      <c r="F259" s="141" t="s">
        <v>3139</v>
      </c>
      <c r="G259" s="141"/>
      <c r="H259" s="141" t="s">
        <v>353</v>
      </c>
      <c r="I259" s="141"/>
      <c r="J259" s="141" t="s">
        <v>354</v>
      </c>
      <c r="K259" s="141" t="s">
        <v>388</v>
      </c>
      <c r="L259" s="141" t="s">
        <v>3140</v>
      </c>
      <c r="M259" s="141" t="s">
        <v>3141</v>
      </c>
      <c r="N259" s="141" t="s">
        <v>354</v>
      </c>
      <c r="O259" s="141" t="s">
        <v>369</v>
      </c>
      <c r="P259" s="141" t="s">
        <v>528</v>
      </c>
      <c r="Q259" s="141" t="s">
        <v>529</v>
      </c>
      <c r="R259" s="141" t="s">
        <v>361</v>
      </c>
      <c r="S259" s="141" t="s">
        <v>1339</v>
      </c>
      <c r="T259" s="141" t="s">
        <v>3093</v>
      </c>
      <c r="U259" s="141" t="s">
        <v>3093</v>
      </c>
      <c r="V259" s="141"/>
      <c r="W259" s="141"/>
      <c r="X259" s="141"/>
      <c r="Y259" s="141"/>
      <c r="Z259" s="141"/>
      <c r="AA259" s="141"/>
      <c r="AB259" s="141"/>
      <c r="AC259" s="141"/>
      <c r="AD259" s="141"/>
      <c r="AE259" s="141"/>
      <c r="AF259" s="141"/>
      <c r="AG259" s="141"/>
      <c r="AH259" s="141"/>
      <c r="AI259" s="141"/>
      <c r="AJ259" s="141"/>
      <c r="AK259" s="141" t="s">
        <v>354</v>
      </c>
      <c r="AL259" s="141" t="s">
        <v>364</v>
      </c>
      <c r="AM259" s="141" t="s">
        <v>354</v>
      </c>
      <c r="AN259" s="141" t="s">
        <v>2662</v>
      </c>
      <c r="AO259" s="141" t="s">
        <v>3093</v>
      </c>
      <c r="AP259" s="141" t="s">
        <v>2427</v>
      </c>
      <c r="AQ259" s="141" t="s">
        <v>848</v>
      </c>
      <c r="AR259" s="141" t="s">
        <v>408</v>
      </c>
      <c r="AS259" s="141" t="s">
        <v>391</v>
      </c>
      <c r="AT259" s="141"/>
      <c r="AU259" s="141" t="s">
        <v>3140</v>
      </c>
      <c r="AV259" s="141" t="s">
        <v>499</v>
      </c>
      <c r="AW259" s="141" t="s">
        <v>2816</v>
      </c>
      <c r="AX259" s="141" t="s">
        <v>657</v>
      </c>
      <c r="AY259" s="141" t="s">
        <v>3142</v>
      </c>
      <c r="AZ259" s="141" t="s">
        <v>910</v>
      </c>
      <c r="BA259" s="141" t="s">
        <v>3143</v>
      </c>
      <c r="BB259" s="141" t="s">
        <v>497</v>
      </c>
      <c r="BC259" s="141" t="s">
        <v>3144</v>
      </c>
      <c r="BD259" s="141" t="s">
        <v>501</v>
      </c>
      <c r="BE259" s="141" t="s">
        <v>3145</v>
      </c>
      <c r="BF259" s="141" t="s">
        <v>900</v>
      </c>
      <c r="BG259" s="141" t="s">
        <v>3146</v>
      </c>
      <c r="BH259" s="141" t="s">
        <v>787</v>
      </c>
      <c r="BI259" s="141" t="s">
        <v>553</v>
      </c>
      <c r="BJ259" s="141" t="s">
        <v>382</v>
      </c>
      <c r="BK259" s="141" t="s">
        <v>3147</v>
      </c>
      <c r="BL259" s="141"/>
      <c r="BM259" s="141"/>
      <c r="BN259" s="141"/>
      <c r="BO259" s="141"/>
      <c r="BP259" s="141"/>
      <c r="BQ259" s="141"/>
      <c r="BR259" s="141"/>
      <c r="BS259" s="141"/>
      <c r="BT259" s="141"/>
      <c r="BU259" s="141"/>
      <c r="BV259" s="141"/>
      <c r="BW259" s="141"/>
      <c r="BX259" s="141"/>
      <c r="BY259" s="141"/>
      <c r="BZ259" s="141"/>
      <c r="CA259" s="141"/>
      <c r="CB259" s="141"/>
      <c r="CC259" s="141"/>
      <c r="CD259" s="141"/>
      <c r="CE259" s="141"/>
      <c r="CF259" s="141"/>
      <c r="CG259" s="141"/>
      <c r="CH259" s="141"/>
      <c r="CI259" s="141"/>
      <c r="CJ259" s="141"/>
      <c r="CK259" s="141"/>
      <c r="CL259" s="141"/>
      <c r="CM259" s="141"/>
      <c r="CN259" s="141"/>
      <c r="CO259" s="141"/>
      <c r="CP259" s="141"/>
      <c r="CQ259" s="141"/>
      <c r="CR259" s="141"/>
      <c r="CS259" s="141"/>
      <c r="CT259" s="141"/>
      <c r="CU259" s="141"/>
      <c r="CV259" s="141"/>
      <c r="CW259" s="141"/>
      <c r="CX259" s="141"/>
      <c r="CY259" s="141"/>
      <c r="CZ259" s="141"/>
      <c r="DA259" s="173"/>
    </row>
    <row r="260" spans="2:105" x14ac:dyDescent="0.25">
      <c r="B260" s="172"/>
      <c r="C260" s="141" t="s">
        <v>3148</v>
      </c>
      <c r="D260" s="141" t="s">
        <v>3149</v>
      </c>
      <c r="E260" s="141" t="s">
        <v>3150</v>
      </c>
      <c r="F260" s="141" t="s">
        <v>3151</v>
      </c>
      <c r="G260" s="141"/>
      <c r="H260" s="141" t="s">
        <v>353</v>
      </c>
      <c r="I260" s="141"/>
      <c r="J260" s="141" t="s">
        <v>354</v>
      </c>
      <c r="K260" s="141" t="s">
        <v>878</v>
      </c>
      <c r="L260" s="141" t="s">
        <v>3152</v>
      </c>
      <c r="M260" s="141" t="s">
        <v>3153</v>
      </c>
      <c r="N260" s="141" t="s">
        <v>354</v>
      </c>
      <c r="O260" s="141" t="s">
        <v>369</v>
      </c>
      <c r="P260" s="141" t="s">
        <v>528</v>
      </c>
      <c r="Q260" s="141" t="s">
        <v>529</v>
      </c>
      <c r="R260" s="141" t="s">
        <v>361</v>
      </c>
      <c r="S260" s="141" t="s">
        <v>1339</v>
      </c>
      <c r="T260" s="141" t="s">
        <v>3093</v>
      </c>
      <c r="U260" s="141" t="s">
        <v>3093</v>
      </c>
      <c r="V260" s="141"/>
      <c r="W260" s="141"/>
      <c r="X260" s="141"/>
      <c r="Y260" s="141"/>
      <c r="Z260" s="141"/>
      <c r="AA260" s="141"/>
      <c r="AB260" s="141"/>
      <c r="AC260" s="141"/>
      <c r="AD260" s="141"/>
      <c r="AE260" s="141"/>
      <c r="AF260" s="141"/>
      <c r="AG260" s="141"/>
      <c r="AH260" s="141"/>
      <c r="AI260" s="141"/>
      <c r="AJ260" s="141"/>
      <c r="AK260" s="141" t="s">
        <v>354</v>
      </c>
      <c r="AL260" s="141" t="s">
        <v>364</v>
      </c>
      <c r="AM260" s="141" t="s">
        <v>354</v>
      </c>
      <c r="AN260" s="141" t="s">
        <v>2662</v>
      </c>
      <c r="AO260" s="141" t="s">
        <v>3093</v>
      </c>
      <c r="AP260" s="141" t="s">
        <v>2427</v>
      </c>
      <c r="AQ260" s="141" t="s">
        <v>848</v>
      </c>
      <c r="AR260" s="141" t="s">
        <v>408</v>
      </c>
      <c r="AS260" s="141" t="s">
        <v>368</v>
      </c>
      <c r="AT260" s="141"/>
      <c r="AU260" s="141" t="s">
        <v>3152</v>
      </c>
      <c r="AV260" s="141" t="s">
        <v>499</v>
      </c>
      <c r="AW260" s="141" t="s">
        <v>3018</v>
      </c>
      <c r="AX260" s="141" t="s">
        <v>657</v>
      </c>
      <c r="AY260" s="141" t="s">
        <v>3154</v>
      </c>
      <c r="AZ260" s="141" t="s">
        <v>910</v>
      </c>
      <c r="BA260" s="141" t="s">
        <v>688</v>
      </c>
      <c r="BB260" s="141" t="s">
        <v>497</v>
      </c>
      <c r="BC260" s="141" t="s">
        <v>3155</v>
      </c>
      <c r="BD260" s="141" t="s">
        <v>501</v>
      </c>
      <c r="BE260" s="141" t="s">
        <v>3156</v>
      </c>
      <c r="BF260" s="141" t="s">
        <v>900</v>
      </c>
      <c r="BG260" s="141" t="s">
        <v>3157</v>
      </c>
      <c r="BH260" s="141" t="s">
        <v>787</v>
      </c>
      <c r="BI260" s="141" t="s">
        <v>3158</v>
      </c>
      <c r="BJ260" s="141" t="s">
        <v>382</v>
      </c>
      <c r="BK260" s="141" t="s">
        <v>3159</v>
      </c>
      <c r="BL260" s="141"/>
      <c r="BM260" s="141"/>
      <c r="BN260" s="141"/>
      <c r="BO260" s="141"/>
      <c r="BP260" s="141"/>
      <c r="BQ260" s="141"/>
      <c r="BR260" s="141"/>
      <c r="BS260" s="141"/>
      <c r="BT260" s="141"/>
      <c r="BU260" s="141"/>
      <c r="BV260" s="141"/>
      <c r="BW260" s="141"/>
      <c r="BX260" s="141"/>
      <c r="BY260" s="141"/>
      <c r="BZ260" s="141"/>
      <c r="CA260" s="141"/>
      <c r="CB260" s="141"/>
      <c r="CC260" s="141"/>
      <c r="CD260" s="141"/>
      <c r="CE260" s="141"/>
      <c r="CF260" s="141"/>
      <c r="CG260" s="141"/>
      <c r="CH260" s="141"/>
      <c r="CI260" s="141"/>
      <c r="CJ260" s="141"/>
      <c r="CK260" s="141"/>
      <c r="CL260" s="141"/>
      <c r="CM260" s="141"/>
      <c r="CN260" s="141"/>
      <c r="CO260" s="141"/>
      <c r="CP260" s="141"/>
      <c r="CQ260" s="141"/>
      <c r="CR260" s="141"/>
      <c r="CS260" s="141"/>
      <c r="CT260" s="141"/>
      <c r="CU260" s="141"/>
      <c r="CV260" s="141"/>
      <c r="CW260" s="141"/>
      <c r="CX260" s="141"/>
      <c r="CY260" s="141"/>
      <c r="CZ260" s="141"/>
      <c r="DA260" s="173"/>
    </row>
    <row r="261" spans="2:105" x14ac:dyDescent="0.25">
      <c r="B261" s="172"/>
      <c r="C261" s="141" t="s">
        <v>3160</v>
      </c>
      <c r="D261" s="141" t="s">
        <v>3161</v>
      </c>
      <c r="E261" s="141" t="s">
        <v>3162</v>
      </c>
      <c r="F261" s="141" t="s">
        <v>3163</v>
      </c>
      <c r="G261" s="141"/>
      <c r="H261" s="141" t="s">
        <v>353</v>
      </c>
      <c r="I261" s="141"/>
      <c r="J261" s="141" t="s">
        <v>354</v>
      </c>
      <c r="K261" s="141" t="s">
        <v>1468</v>
      </c>
      <c r="L261" s="141" t="s">
        <v>2458</v>
      </c>
      <c r="M261" s="141" t="s">
        <v>3164</v>
      </c>
      <c r="N261" s="141" t="s">
        <v>354</v>
      </c>
      <c r="O261" s="141" t="s">
        <v>393</v>
      </c>
      <c r="P261" s="141" t="s">
        <v>424</v>
      </c>
      <c r="Q261" s="141" t="s">
        <v>425</v>
      </c>
      <c r="R261" s="141" t="s">
        <v>361</v>
      </c>
      <c r="S261" s="141" t="s">
        <v>1339</v>
      </c>
      <c r="T261" s="141" t="s">
        <v>3093</v>
      </c>
      <c r="U261" s="141" t="s">
        <v>3093</v>
      </c>
      <c r="V261" s="141"/>
      <c r="W261" s="141"/>
      <c r="X261" s="141"/>
      <c r="Y261" s="141"/>
      <c r="Z261" s="141"/>
      <c r="AA261" s="141"/>
      <c r="AB261" s="141"/>
      <c r="AC261" s="141"/>
      <c r="AD261" s="141"/>
      <c r="AE261" s="141"/>
      <c r="AF261" s="141"/>
      <c r="AG261" s="141"/>
      <c r="AH261" s="141"/>
      <c r="AI261" s="141"/>
      <c r="AJ261" s="141"/>
      <c r="AK261" s="141" t="s">
        <v>354</v>
      </c>
      <c r="AL261" s="141" t="s">
        <v>364</v>
      </c>
      <c r="AM261" s="141" t="s">
        <v>354</v>
      </c>
      <c r="AN261" s="141" t="s">
        <v>2662</v>
      </c>
      <c r="AO261" s="141" t="s">
        <v>3093</v>
      </c>
      <c r="AP261" s="141" t="s">
        <v>2427</v>
      </c>
      <c r="AQ261" s="141" t="s">
        <v>848</v>
      </c>
      <c r="AR261" s="141" t="s">
        <v>408</v>
      </c>
      <c r="AS261" s="141" t="s">
        <v>408</v>
      </c>
      <c r="AT261" s="141"/>
      <c r="AU261" s="141" t="s">
        <v>2458</v>
      </c>
      <c r="AV261" s="141" t="s">
        <v>499</v>
      </c>
      <c r="AW261" s="141" t="s">
        <v>3165</v>
      </c>
      <c r="AX261" s="141" t="s">
        <v>657</v>
      </c>
      <c r="AY261" s="141" t="s">
        <v>2014</v>
      </c>
      <c r="AZ261" s="141" t="s">
        <v>910</v>
      </c>
      <c r="BA261" s="141" t="s">
        <v>3166</v>
      </c>
      <c r="BB261" s="141" t="s">
        <v>497</v>
      </c>
      <c r="BC261" s="141" t="s">
        <v>3167</v>
      </c>
      <c r="BD261" s="141" t="s">
        <v>501</v>
      </c>
      <c r="BE261" s="141" t="s">
        <v>3168</v>
      </c>
      <c r="BF261" s="141" t="s">
        <v>900</v>
      </c>
      <c r="BG261" s="141" t="s">
        <v>2137</v>
      </c>
      <c r="BH261" s="141" t="s">
        <v>787</v>
      </c>
      <c r="BI261" s="141" t="s">
        <v>3169</v>
      </c>
      <c r="BJ261" s="141" t="s">
        <v>382</v>
      </c>
      <c r="BK261" s="141" t="s">
        <v>3170</v>
      </c>
      <c r="BL261" s="141"/>
      <c r="BM261" s="141"/>
      <c r="BN261" s="141"/>
      <c r="BO261" s="141"/>
      <c r="BP261" s="141"/>
      <c r="BQ261" s="141"/>
      <c r="BR261" s="141"/>
      <c r="BS261" s="141"/>
      <c r="BT261" s="141"/>
      <c r="BU261" s="141"/>
      <c r="BV261" s="141"/>
      <c r="BW261" s="141"/>
      <c r="BX261" s="141"/>
      <c r="BY261" s="141"/>
      <c r="BZ261" s="141"/>
      <c r="CA261" s="141"/>
      <c r="CB261" s="141"/>
      <c r="CC261" s="141"/>
      <c r="CD261" s="141"/>
      <c r="CE261" s="141"/>
      <c r="CF261" s="141"/>
      <c r="CG261" s="141"/>
      <c r="CH261" s="141"/>
      <c r="CI261" s="141"/>
      <c r="CJ261" s="141"/>
      <c r="CK261" s="141"/>
      <c r="CL261" s="141"/>
      <c r="CM261" s="141"/>
      <c r="CN261" s="141"/>
      <c r="CO261" s="141"/>
      <c r="CP261" s="141"/>
      <c r="CQ261" s="141"/>
      <c r="CR261" s="141"/>
      <c r="CS261" s="141"/>
      <c r="CT261" s="141"/>
      <c r="CU261" s="141"/>
      <c r="CV261" s="141"/>
      <c r="CW261" s="141"/>
      <c r="CX261" s="141"/>
      <c r="CY261" s="141"/>
      <c r="CZ261" s="141"/>
      <c r="DA261" s="173"/>
    </row>
    <row r="262" spans="2:105" x14ac:dyDescent="0.25">
      <c r="B262" s="172"/>
      <c r="C262" s="141" t="s">
        <v>3171</v>
      </c>
      <c r="D262" s="141" t="s">
        <v>657</v>
      </c>
      <c r="E262" s="141" t="s">
        <v>880</v>
      </c>
      <c r="F262" s="141" t="s">
        <v>3172</v>
      </c>
      <c r="G262" s="141"/>
      <c r="H262" s="141" t="s">
        <v>353</v>
      </c>
      <c r="I262" s="141"/>
      <c r="J262" s="141" t="s">
        <v>354</v>
      </c>
      <c r="K262" s="141" t="s">
        <v>1547</v>
      </c>
      <c r="L262" s="141" t="s">
        <v>3173</v>
      </c>
      <c r="M262" s="141" t="s">
        <v>1044</v>
      </c>
      <c r="N262" s="141" t="s">
        <v>354</v>
      </c>
      <c r="O262" s="141" t="s">
        <v>393</v>
      </c>
      <c r="P262" s="141" t="s">
        <v>424</v>
      </c>
      <c r="Q262" s="141" t="s">
        <v>425</v>
      </c>
      <c r="R262" s="141" t="s">
        <v>361</v>
      </c>
      <c r="S262" s="141" t="s">
        <v>1339</v>
      </c>
      <c r="T262" s="141" t="s">
        <v>3093</v>
      </c>
      <c r="U262" s="141" t="s">
        <v>3093</v>
      </c>
      <c r="V262" s="141"/>
      <c r="W262" s="141"/>
      <c r="X262" s="141"/>
      <c r="Y262" s="141"/>
      <c r="Z262" s="141"/>
      <c r="AA262" s="141"/>
      <c r="AB262" s="141"/>
      <c r="AC262" s="141"/>
      <c r="AD262" s="141"/>
      <c r="AE262" s="141"/>
      <c r="AF262" s="141"/>
      <c r="AG262" s="141"/>
      <c r="AH262" s="141"/>
      <c r="AI262" s="141"/>
      <c r="AJ262" s="141"/>
      <c r="AK262" s="141" t="s">
        <v>354</v>
      </c>
      <c r="AL262" s="141" t="s">
        <v>364</v>
      </c>
      <c r="AM262" s="141" t="s">
        <v>354</v>
      </c>
      <c r="AN262" s="141" t="s">
        <v>2662</v>
      </c>
      <c r="AO262" s="141" t="s">
        <v>3093</v>
      </c>
      <c r="AP262" s="141" t="s">
        <v>2427</v>
      </c>
      <c r="AQ262" s="141" t="s">
        <v>848</v>
      </c>
      <c r="AR262" s="141" t="s">
        <v>408</v>
      </c>
      <c r="AS262" s="141" t="s">
        <v>490</v>
      </c>
      <c r="AT262" s="141"/>
      <c r="AU262" s="141" t="s">
        <v>3173</v>
      </c>
      <c r="AV262" s="141" t="s">
        <v>499</v>
      </c>
      <c r="AW262" s="141" t="s">
        <v>3174</v>
      </c>
      <c r="AX262" s="141" t="s">
        <v>657</v>
      </c>
      <c r="AY262" s="141" t="s">
        <v>2113</v>
      </c>
      <c r="AZ262" s="141" t="s">
        <v>910</v>
      </c>
      <c r="BA262" s="141" t="s">
        <v>1755</v>
      </c>
      <c r="BB262" s="141" t="s">
        <v>497</v>
      </c>
      <c r="BC262" s="141" t="s">
        <v>3175</v>
      </c>
      <c r="BD262" s="141" t="s">
        <v>501</v>
      </c>
      <c r="BE262" s="141" t="s">
        <v>2364</v>
      </c>
      <c r="BF262" s="141" t="s">
        <v>900</v>
      </c>
      <c r="BG262" s="141" t="s">
        <v>3176</v>
      </c>
      <c r="BH262" s="141" t="s">
        <v>787</v>
      </c>
      <c r="BI262" s="141" t="s">
        <v>3177</v>
      </c>
      <c r="BJ262" s="141" t="s">
        <v>382</v>
      </c>
      <c r="BK262" s="141" t="s">
        <v>3178</v>
      </c>
      <c r="BL262" s="141"/>
      <c r="BM262" s="141"/>
      <c r="BN262" s="141"/>
      <c r="BO262" s="141"/>
      <c r="BP262" s="141"/>
      <c r="BQ262" s="141"/>
      <c r="BR262" s="141"/>
      <c r="BS262" s="141"/>
      <c r="BT262" s="141"/>
      <c r="BU262" s="141"/>
      <c r="BV262" s="141"/>
      <c r="BW262" s="141"/>
      <c r="BX262" s="141"/>
      <c r="BY262" s="141"/>
      <c r="BZ262" s="141"/>
      <c r="CA262" s="141"/>
      <c r="CB262" s="141"/>
      <c r="CC262" s="141"/>
      <c r="CD262" s="141"/>
      <c r="CE262" s="141"/>
      <c r="CF262" s="141"/>
      <c r="CG262" s="141"/>
      <c r="CH262" s="141"/>
      <c r="CI262" s="141"/>
      <c r="CJ262" s="141"/>
      <c r="CK262" s="141"/>
      <c r="CL262" s="141"/>
      <c r="CM262" s="141"/>
      <c r="CN262" s="141"/>
      <c r="CO262" s="141"/>
      <c r="CP262" s="141"/>
      <c r="CQ262" s="141"/>
      <c r="CR262" s="141"/>
      <c r="CS262" s="141"/>
      <c r="CT262" s="141"/>
      <c r="CU262" s="141"/>
      <c r="CV262" s="141"/>
      <c r="CW262" s="141"/>
      <c r="CX262" s="141"/>
      <c r="CY262" s="141"/>
      <c r="CZ262" s="141"/>
      <c r="DA262" s="173"/>
    </row>
    <row r="263" spans="2:105" x14ac:dyDescent="0.25">
      <c r="B263" s="172"/>
      <c r="C263" s="141" t="s">
        <v>3179</v>
      </c>
      <c r="D263" s="141" t="s">
        <v>3180</v>
      </c>
      <c r="E263" s="141" t="s">
        <v>3181</v>
      </c>
      <c r="F263" s="141" t="s">
        <v>3182</v>
      </c>
      <c r="G263" s="141"/>
      <c r="H263" s="141" t="s">
        <v>353</v>
      </c>
      <c r="I263" s="141"/>
      <c r="J263" s="141" t="s">
        <v>354</v>
      </c>
      <c r="K263" s="141" t="s">
        <v>1393</v>
      </c>
      <c r="L263" s="141" t="s">
        <v>3183</v>
      </c>
      <c r="M263" s="141" t="s">
        <v>3184</v>
      </c>
      <c r="N263" s="141" t="s">
        <v>354</v>
      </c>
      <c r="O263" s="141" t="s">
        <v>369</v>
      </c>
      <c r="P263" s="141" t="s">
        <v>528</v>
      </c>
      <c r="Q263" s="141" t="s">
        <v>529</v>
      </c>
      <c r="R263" s="141" t="s">
        <v>361</v>
      </c>
      <c r="S263" s="141" t="s">
        <v>1339</v>
      </c>
      <c r="T263" s="141" t="s">
        <v>3093</v>
      </c>
      <c r="U263" s="141" t="s">
        <v>3093</v>
      </c>
      <c r="V263" s="141"/>
      <c r="W263" s="141"/>
      <c r="X263" s="141"/>
      <c r="Y263" s="141"/>
      <c r="Z263" s="141"/>
      <c r="AA263" s="141"/>
      <c r="AB263" s="141"/>
      <c r="AC263" s="141"/>
      <c r="AD263" s="141"/>
      <c r="AE263" s="141"/>
      <c r="AF263" s="141"/>
      <c r="AG263" s="141"/>
      <c r="AH263" s="141"/>
      <c r="AI263" s="141"/>
      <c r="AJ263" s="141"/>
      <c r="AK263" s="141" t="s">
        <v>354</v>
      </c>
      <c r="AL263" s="141" t="s">
        <v>364</v>
      </c>
      <c r="AM263" s="141" t="s">
        <v>354</v>
      </c>
      <c r="AN263" s="141" t="s">
        <v>2662</v>
      </c>
      <c r="AO263" s="141" t="s">
        <v>3093</v>
      </c>
      <c r="AP263" s="141" t="s">
        <v>2427</v>
      </c>
      <c r="AQ263" s="141" t="s">
        <v>848</v>
      </c>
      <c r="AR263" s="141" t="s">
        <v>408</v>
      </c>
      <c r="AS263" s="141" t="s">
        <v>485</v>
      </c>
      <c r="AT263" s="141"/>
      <c r="AU263" s="141" t="s">
        <v>3183</v>
      </c>
      <c r="AV263" s="141" t="s">
        <v>499</v>
      </c>
      <c r="AW263" s="141" t="s">
        <v>2000</v>
      </c>
      <c r="AX263" s="141" t="s">
        <v>657</v>
      </c>
      <c r="AY263" s="141" t="s">
        <v>3185</v>
      </c>
      <c r="AZ263" s="141" t="s">
        <v>910</v>
      </c>
      <c r="BA263" s="141" t="s">
        <v>3186</v>
      </c>
      <c r="BB263" s="141" t="s">
        <v>497</v>
      </c>
      <c r="BC263" s="141" t="s">
        <v>1272</v>
      </c>
      <c r="BD263" s="141" t="s">
        <v>501</v>
      </c>
      <c r="BE263" s="141" t="s">
        <v>2150</v>
      </c>
      <c r="BF263" s="141" t="s">
        <v>900</v>
      </c>
      <c r="BG263" s="141" t="s">
        <v>3187</v>
      </c>
      <c r="BH263" s="141" t="s">
        <v>787</v>
      </c>
      <c r="BI263" s="141" t="s">
        <v>3188</v>
      </c>
      <c r="BJ263" s="141" t="s">
        <v>382</v>
      </c>
      <c r="BK263" s="141" t="s">
        <v>3189</v>
      </c>
      <c r="BL263" s="141"/>
      <c r="BM263" s="141"/>
      <c r="BN263" s="141"/>
      <c r="BO263" s="141"/>
      <c r="BP263" s="141"/>
      <c r="BQ263" s="141"/>
      <c r="BR263" s="141"/>
      <c r="BS263" s="141"/>
      <c r="BT263" s="141"/>
      <c r="BU263" s="141"/>
      <c r="BV263" s="141"/>
      <c r="BW263" s="141"/>
      <c r="BX263" s="141"/>
      <c r="BY263" s="141"/>
      <c r="BZ263" s="141"/>
      <c r="CA263" s="141"/>
      <c r="CB263" s="141"/>
      <c r="CC263" s="141"/>
      <c r="CD263" s="141"/>
      <c r="CE263" s="141"/>
      <c r="CF263" s="141"/>
      <c r="CG263" s="141"/>
      <c r="CH263" s="141"/>
      <c r="CI263" s="141"/>
      <c r="CJ263" s="141"/>
      <c r="CK263" s="141"/>
      <c r="CL263" s="141"/>
      <c r="CM263" s="141"/>
      <c r="CN263" s="141"/>
      <c r="CO263" s="141"/>
      <c r="CP263" s="141"/>
      <c r="CQ263" s="141"/>
      <c r="CR263" s="141"/>
      <c r="CS263" s="141"/>
      <c r="CT263" s="141"/>
      <c r="CU263" s="141"/>
      <c r="CV263" s="141"/>
      <c r="CW263" s="141"/>
      <c r="CX263" s="141"/>
      <c r="CY263" s="141"/>
      <c r="CZ263" s="141"/>
      <c r="DA263" s="173"/>
    </row>
    <row r="264" spans="2:105" x14ac:dyDescent="0.25">
      <c r="B264" s="172"/>
      <c r="C264" s="141" t="s">
        <v>3190</v>
      </c>
      <c r="D264" s="141" t="s">
        <v>426</v>
      </c>
      <c r="E264" s="141" t="s">
        <v>3191</v>
      </c>
      <c r="F264" s="141" t="s">
        <v>2536</v>
      </c>
      <c r="G264" s="141"/>
      <c r="H264" s="141" t="s">
        <v>353</v>
      </c>
      <c r="I264" s="141"/>
      <c r="J264" s="141" t="s">
        <v>354</v>
      </c>
      <c r="K264" s="141" t="s">
        <v>1537</v>
      </c>
      <c r="L264" s="141" t="s">
        <v>3192</v>
      </c>
      <c r="M264" s="141" t="s">
        <v>3193</v>
      </c>
      <c r="N264" s="141" t="s">
        <v>354</v>
      </c>
      <c r="O264" s="141" t="s">
        <v>369</v>
      </c>
      <c r="P264" s="141" t="s">
        <v>528</v>
      </c>
      <c r="Q264" s="141" t="s">
        <v>529</v>
      </c>
      <c r="R264" s="141" t="s">
        <v>361</v>
      </c>
      <c r="S264" s="141" t="s">
        <v>1339</v>
      </c>
      <c r="T264" s="141" t="s">
        <v>3093</v>
      </c>
      <c r="U264" s="141" t="s">
        <v>3093</v>
      </c>
      <c r="V264" s="141"/>
      <c r="W264" s="141"/>
      <c r="X264" s="141"/>
      <c r="Y264" s="141"/>
      <c r="Z264" s="141"/>
      <c r="AA264" s="141"/>
      <c r="AB264" s="141"/>
      <c r="AC264" s="141"/>
      <c r="AD264" s="141"/>
      <c r="AE264" s="141"/>
      <c r="AF264" s="141"/>
      <c r="AG264" s="141"/>
      <c r="AH264" s="141"/>
      <c r="AI264" s="141"/>
      <c r="AJ264" s="141"/>
      <c r="AK264" s="141" t="s">
        <v>354</v>
      </c>
      <c r="AL264" s="141" t="s">
        <v>364</v>
      </c>
      <c r="AM264" s="141" t="s">
        <v>354</v>
      </c>
      <c r="AN264" s="141" t="s">
        <v>2662</v>
      </c>
      <c r="AO264" s="141" t="s">
        <v>3093</v>
      </c>
      <c r="AP264" s="141" t="s">
        <v>2427</v>
      </c>
      <c r="AQ264" s="141" t="s">
        <v>848</v>
      </c>
      <c r="AR264" s="141" t="s">
        <v>408</v>
      </c>
      <c r="AS264" s="141" t="s">
        <v>362</v>
      </c>
      <c r="AT264" s="141"/>
      <c r="AU264" s="141" t="s">
        <v>3192</v>
      </c>
      <c r="AV264" s="141" t="s">
        <v>499</v>
      </c>
      <c r="AW264" s="141" t="s">
        <v>1296</v>
      </c>
      <c r="AX264" s="141" t="s">
        <v>657</v>
      </c>
      <c r="AY264" s="141" t="s">
        <v>3194</v>
      </c>
      <c r="AZ264" s="141" t="s">
        <v>910</v>
      </c>
      <c r="BA264" s="141" t="s">
        <v>3195</v>
      </c>
      <c r="BB264" s="141" t="s">
        <v>497</v>
      </c>
      <c r="BC264" s="141" t="s">
        <v>3196</v>
      </c>
      <c r="BD264" s="141" t="s">
        <v>501</v>
      </c>
      <c r="BE264" s="141" t="s">
        <v>3197</v>
      </c>
      <c r="BF264" s="141" t="s">
        <v>900</v>
      </c>
      <c r="BG264" s="141" t="s">
        <v>3198</v>
      </c>
      <c r="BH264" s="141" t="s">
        <v>787</v>
      </c>
      <c r="BI264" s="141" t="s">
        <v>3199</v>
      </c>
      <c r="BJ264" s="141" t="s">
        <v>382</v>
      </c>
      <c r="BK264" s="141" t="s">
        <v>3200</v>
      </c>
      <c r="BL264" s="141"/>
      <c r="BM264" s="141"/>
      <c r="BN264" s="141"/>
      <c r="BO264" s="141"/>
      <c r="BP264" s="141"/>
      <c r="BQ264" s="141"/>
      <c r="BR264" s="141"/>
      <c r="BS264" s="141"/>
      <c r="BT264" s="141"/>
      <c r="BU264" s="141"/>
      <c r="BV264" s="141"/>
      <c r="BW264" s="141"/>
      <c r="BX264" s="141"/>
      <c r="BY264" s="141"/>
      <c r="BZ264" s="141"/>
      <c r="CA264" s="141"/>
      <c r="CB264" s="141"/>
      <c r="CC264" s="141"/>
      <c r="CD264" s="141"/>
      <c r="CE264" s="141"/>
      <c r="CF264" s="141"/>
      <c r="CG264" s="141"/>
      <c r="CH264" s="141"/>
      <c r="CI264" s="141"/>
      <c r="CJ264" s="141"/>
      <c r="CK264" s="141"/>
      <c r="CL264" s="141"/>
      <c r="CM264" s="141"/>
      <c r="CN264" s="141"/>
      <c r="CO264" s="141"/>
      <c r="CP264" s="141"/>
      <c r="CQ264" s="141"/>
      <c r="CR264" s="141"/>
      <c r="CS264" s="141"/>
      <c r="CT264" s="141"/>
      <c r="CU264" s="141"/>
      <c r="CV264" s="141"/>
      <c r="CW264" s="141"/>
      <c r="CX264" s="141"/>
      <c r="CY264" s="141"/>
      <c r="CZ264" s="141"/>
      <c r="DA264" s="173"/>
    </row>
    <row r="265" spans="2:105" x14ac:dyDescent="0.25">
      <c r="B265" s="172"/>
      <c r="C265" s="141" t="s">
        <v>3201</v>
      </c>
      <c r="D265" s="141" t="s">
        <v>3202</v>
      </c>
      <c r="E265" s="141" t="s">
        <v>1220</v>
      </c>
      <c r="F265" s="141" t="s">
        <v>2601</v>
      </c>
      <c r="G265" s="141"/>
      <c r="H265" s="141" t="s">
        <v>353</v>
      </c>
      <c r="I265" s="141"/>
      <c r="J265" s="141" t="s">
        <v>354</v>
      </c>
      <c r="K265" s="141" t="s">
        <v>1291</v>
      </c>
      <c r="L265" s="141" t="s">
        <v>3203</v>
      </c>
      <c r="M265" s="141" t="s">
        <v>2902</v>
      </c>
      <c r="N265" s="141" t="s">
        <v>354</v>
      </c>
      <c r="O265" s="141" t="s">
        <v>393</v>
      </c>
      <c r="P265" s="141" t="s">
        <v>424</v>
      </c>
      <c r="Q265" s="141" t="s">
        <v>425</v>
      </c>
      <c r="R265" s="141" t="s">
        <v>361</v>
      </c>
      <c r="S265" s="141" t="s">
        <v>1339</v>
      </c>
      <c r="T265" s="141" t="s">
        <v>3093</v>
      </c>
      <c r="U265" s="141" t="s">
        <v>3093</v>
      </c>
      <c r="V265" s="141"/>
      <c r="W265" s="141"/>
      <c r="X265" s="141"/>
      <c r="Y265" s="141"/>
      <c r="Z265" s="141"/>
      <c r="AA265" s="141"/>
      <c r="AB265" s="141"/>
      <c r="AC265" s="141"/>
      <c r="AD265" s="141"/>
      <c r="AE265" s="141"/>
      <c r="AF265" s="141"/>
      <c r="AG265" s="141"/>
      <c r="AH265" s="141"/>
      <c r="AI265" s="141"/>
      <c r="AJ265" s="141"/>
      <c r="AK265" s="141" t="s">
        <v>354</v>
      </c>
      <c r="AL265" s="141" t="s">
        <v>364</v>
      </c>
      <c r="AM265" s="141" t="s">
        <v>354</v>
      </c>
      <c r="AN265" s="141" t="s">
        <v>2662</v>
      </c>
      <c r="AO265" s="141" t="s">
        <v>3093</v>
      </c>
      <c r="AP265" s="141" t="s">
        <v>2427</v>
      </c>
      <c r="AQ265" s="141" t="s">
        <v>848</v>
      </c>
      <c r="AR265" s="141" t="s">
        <v>408</v>
      </c>
      <c r="AS265" s="141" t="s">
        <v>1279</v>
      </c>
      <c r="AT265" s="141"/>
      <c r="AU265" s="141" t="s">
        <v>3203</v>
      </c>
      <c r="AV265" s="141" t="s">
        <v>499</v>
      </c>
      <c r="AW265" s="141" t="s">
        <v>1029</v>
      </c>
      <c r="AX265" s="141" t="s">
        <v>657</v>
      </c>
      <c r="AY265" s="141" t="s">
        <v>3204</v>
      </c>
      <c r="AZ265" s="141" t="s">
        <v>910</v>
      </c>
      <c r="BA265" s="141" t="s">
        <v>3205</v>
      </c>
      <c r="BB265" s="141" t="s">
        <v>497</v>
      </c>
      <c r="BC265" s="141" t="s">
        <v>3206</v>
      </c>
      <c r="BD265" s="141" t="s">
        <v>501</v>
      </c>
      <c r="BE265" s="141" t="s">
        <v>3207</v>
      </c>
      <c r="BF265" s="141" t="s">
        <v>900</v>
      </c>
      <c r="BG265" s="141" t="s">
        <v>3208</v>
      </c>
      <c r="BH265" s="141" t="s">
        <v>787</v>
      </c>
      <c r="BI265" s="141" t="s">
        <v>3209</v>
      </c>
      <c r="BJ265" s="141" t="s">
        <v>382</v>
      </c>
      <c r="BK265" s="141" t="s">
        <v>2909</v>
      </c>
      <c r="BL265" s="141"/>
      <c r="BM265" s="141"/>
      <c r="BN265" s="141"/>
      <c r="BO265" s="141"/>
      <c r="BP265" s="141"/>
      <c r="BQ265" s="141"/>
      <c r="BR265" s="141"/>
      <c r="BS265" s="141"/>
      <c r="BT265" s="141"/>
      <c r="BU265" s="141"/>
      <c r="BV265" s="141"/>
      <c r="BW265" s="141"/>
      <c r="BX265" s="141"/>
      <c r="BY265" s="141"/>
      <c r="BZ265" s="141"/>
      <c r="CA265" s="141"/>
      <c r="CB265" s="141"/>
      <c r="CC265" s="141"/>
      <c r="CD265" s="141"/>
      <c r="CE265" s="141"/>
      <c r="CF265" s="141"/>
      <c r="CG265" s="141"/>
      <c r="CH265" s="141"/>
      <c r="CI265" s="141"/>
      <c r="CJ265" s="141"/>
      <c r="CK265" s="141"/>
      <c r="CL265" s="141"/>
      <c r="CM265" s="141"/>
      <c r="CN265" s="141"/>
      <c r="CO265" s="141"/>
      <c r="CP265" s="141"/>
      <c r="CQ265" s="141"/>
      <c r="CR265" s="141"/>
      <c r="CS265" s="141"/>
      <c r="CT265" s="141"/>
      <c r="CU265" s="141"/>
      <c r="CV265" s="141"/>
      <c r="CW265" s="141"/>
      <c r="CX265" s="141"/>
      <c r="CY265" s="141"/>
      <c r="CZ265" s="141"/>
      <c r="DA265" s="173"/>
    </row>
    <row r="266" spans="2:105" x14ac:dyDescent="0.25">
      <c r="B266" s="172"/>
      <c r="C266" s="141" t="s">
        <v>3210</v>
      </c>
      <c r="D266" s="141" t="s">
        <v>3211</v>
      </c>
      <c r="E266" s="141" t="s">
        <v>3212</v>
      </c>
      <c r="F266" s="141" t="s">
        <v>3023</v>
      </c>
      <c r="G266" s="141"/>
      <c r="H266" s="141" t="s">
        <v>353</v>
      </c>
      <c r="I266" s="141"/>
      <c r="J266" s="141" t="s">
        <v>354</v>
      </c>
      <c r="K266" s="141" t="s">
        <v>1439</v>
      </c>
      <c r="L266" s="141" t="s">
        <v>3213</v>
      </c>
      <c r="M266" s="141" t="s">
        <v>3214</v>
      </c>
      <c r="N266" s="141" t="s">
        <v>354</v>
      </c>
      <c r="O266" s="141" t="s">
        <v>393</v>
      </c>
      <c r="P266" s="141" t="s">
        <v>424</v>
      </c>
      <c r="Q266" s="141" t="s">
        <v>425</v>
      </c>
      <c r="R266" s="141" t="s">
        <v>361</v>
      </c>
      <c r="S266" s="141" t="s">
        <v>1339</v>
      </c>
      <c r="T266" s="141" t="s">
        <v>3093</v>
      </c>
      <c r="U266" s="141" t="s">
        <v>3093</v>
      </c>
      <c r="V266" s="141"/>
      <c r="W266" s="141"/>
      <c r="X266" s="141"/>
      <c r="Y266" s="141"/>
      <c r="Z266" s="141"/>
      <c r="AA266" s="141"/>
      <c r="AB266" s="141"/>
      <c r="AC266" s="141"/>
      <c r="AD266" s="141"/>
      <c r="AE266" s="141"/>
      <c r="AF266" s="141"/>
      <c r="AG266" s="141"/>
      <c r="AH266" s="141"/>
      <c r="AI266" s="141"/>
      <c r="AJ266" s="141"/>
      <c r="AK266" s="141" t="s">
        <v>354</v>
      </c>
      <c r="AL266" s="141" t="s">
        <v>364</v>
      </c>
      <c r="AM266" s="141" t="s">
        <v>354</v>
      </c>
      <c r="AN266" s="141" t="s">
        <v>2662</v>
      </c>
      <c r="AO266" s="141" t="s">
        <v>3093</v>
      </c>
      <c r="AP266" s="141" t="s">
        <v>2427</v>
      </c>
      <c r="AQ266" s="141" t="s">
        <v>848</v>
      </c>
      <c r="AR266" s="141" t="s">
        <v>408</v>
      </c>
      <c r="AS266" s="141" t="s">
        <v>1294</v>
      </c>
      <c r="AT266" s="141"/>
      <c r="AU266" s="141" t="s">
        <v>3213</v>
      </c>
      <c r="AV266" s="141" t="s">
        <v>499</v>
      </c>
      <c r="AW266" s="141" t="s">
        <v>3215</v>
      </c>
      <c r="AX266" s="141" t="s">
        <v>657</v>
      </c>
      <c r="AY266" s="141" t="s">
        <v>3216</v>
      </c>
      <c r="AZ266" s="141" t="s">
        <v>910</v>
      </c>
      <c r="BA266" s="141" t="s">
        <v>3217</v>
      </c>
      <c r="BB266" s="141" t="s">
        <v>497</v>
      </c>
      <c r="BC266" s="141" t="s">
        <v>3218</v>
      </c>
      <c r="BD266" s="141" t="s">
        <v>501</v>
      </c>
      <c r="BE266" s="141" t="s">
        <v>3219</v>
      </c>
      <c r="BF266" s="141" t="s">
        <v>900</v>
      </c>
      <c r="BG266" s="141" t="s">
        <v>3220</v>
      </c>
      <c r="BH266" s="141" t="s">
        <v>787</v>
      </c>
      <c r="BI266" s="141" t="s">
        <v>3221</v>
      </c>
      <c r="BJ266" s="141" t="s">
        <v>382</v>
      </c>
      <c r="BK266" s="141" t="s">
        <v>3222</v>
      </c>
      <c r="BL266" s="141"/>
      <c r="BM266" s="141"/>
      <c r="BN266" s="141"/>
      <c r="BO266" s="141"/>
      <c r="BP266" s="141"/>
      <c r="BQ266" s="141"/>
      <c r="BR266" s="141"/>
      <c r="BS266" s="141"/>
      <c r="BT266" s="141"/>
      <c r="BU266" s="141"/>
      <c r="BV266" s="141"/>
      <c r="BW266" s="141"/>
      <c r="BX266" s="141"/>
      <c r="BY266" s="141"/>
      <c r="BZ266" s="141"/>
      <c r="CA266" s="141"/>
      <c r="CB266" s="141"/>
      <c r="CC266" s="141"/>
      <c r="CD266" s="141"/>
      <c r="CE266" s="141"/>
      <c r="CF266" s="141"/>
      <c r="CG266" s="141"/>
      <c r="CH266" s="141"/>
      <c r="CI266" s="141"/>
      <c r="CJ266" s="141"/>
      <c r="CK266" s="141"/>
      <c r="CL266" s="141"/>
      <c r="CM266" s="141"/>
      <c r="CN266" s="141"/>
      <c r="CO266" s="141"/>
      <c r="CP266" s="141"/>
      <c r="CQ266" s="141"/>
      <c r="CR266" s="141"/>
      <c r="CS266" s="141"/>
      <c r="CT266" s="141"/>
      <c r="CU266" s="141"/>
      <c r="CV266" s="141"/>
      <c r="CW266" s="141"/>
      <c r="CX266" s="141"/>
      <c r="CY266" s="141"/>
      <c r="CZ266" s="141"/>
      <c r="DA266" s="173"/>
    </row>
    <row r="267" spans="2:105" x14ac:dyDescent="0.25">
      <c r="B267" s="172"/>
      <c r="C267" s="141" t="s">
        <v>3223</v>
      </c>
      <c r="D267" s="141" t="s">
        <v>3224</v>
      </c>
      <c r="E267" s="141" t="s">
        <v>3225</v>
      </c>
      <c r="F267" s="141" t="s">
        <v>3226</v>
      </c>
      <c r="G267" s="141"/>
      <c r="H267" s="141" t="s">
        <v>353</v>
      </c>
      <c r="I267" s="141"/>
      <c r="J267" s="141" t="s">
        <v>354</v>
      </c>
      <c r="K267" s="141" t="s">
        <v>1234</v>
      </c>
      <c r="L267" s="141"/>
      <c r="M267" s="141"/>
      <c r="N267" s="141" t="s">
        <v>393</v>
      </c>
      <c r="O267" s="141" t="s">
        <v>393</v>
      </c>
      <c r="P267" s="141" t="s">
        <v>424</v>
      </c>
      <c r="Q267" s="141" t="s">
        <v>425</v>
      </c>
      <c r="R267" s="141" t="s">
        <v>361</v>
      </c>
      <c r="S267" s="141" t="s">
        <v>1339</v>
      </c>
      <c r="T267" s="141" t="s">
        <v>3093</v>
      </c>
      <c r="U267" s="141" t="s">
        <v>3093</v>
      </c>
      <c r="V267" s="141"/>
      <c r="W267" s="141"/>
      <c r="X267" s="141"/>
      <c r="Y267" s="141"/>
      <c r="Z267" s="141"/>
      <c r="AA267" s="141"/>
      <c r="AB267" s="141"/>
      <c r="AC267" s="141"/>
      <c r="AD267" s="141"/>
      <c r="AE267" s="141"/>
      <c r="AF267" s="141"/>
      <c r="AG267" s="141"/>
      <c r="AH267" s="141"/>
      <c r="AI267" s="141"/>
      <c r="AJ267" s="141"/>
      <c r="AK267" s="141" t="s">
        <v>354</v>
      </c>
      <c r="AL267" s="141" t="s">
        <v>364</v>
      </c>
      <c r="AM267" s="141" t="s">
        <v>354</v>
      </c>
      <c r="AN267" s="141" t="s">
        <v>2662</v>
      </c>
      <c r="AO267" s="141" t="s">
        <v>3093</v>
      </c>
      <c r="AP267" s="141" t="s">
        <v>2427</v>
      </c>
      <c r="AQ267" s="141" t="s">
        <v>848</v>
      </c>
      <c r="AR267" s="141" t="s">
        <v>408</v>
      </c>
      <c r="AS267" s="141"/>
      <c r="AT267" s="141"/>
      <c r="AU267" s="141"/>
      <c r="AV267" s="141"/>
      <c r="AW267" s="141"/>
      <c r="AX267" s="141"/>
      <c r="AY267" s="141"/>
      <c r="AZ267" s="141"/>
      <c r="BA267" s="141"/>
      <c r="BB267" s="141"/>
      <c r="BC267" s="141"/>
      <c r="BD267" s="141"/>
      <c r="BE267" s="141"/>
      <c r="BF267" s="141"/>
      <c r="BG267" s="141"/>
      <c r="BH267" s="141"/>
      <c r="BI267" s="141"/>
      <c r="BJ267" s="141"/>
      <c r="BK267" s="141"/>
      <c r="BL267" s="141"/>
      <c r="BM267" s="141"/>
      <c r="BN267" s="141"/>
      <c r="BO267" s="141"/>
      <c r="BP267" s="141"/>
      <c r="BQ267" s="141"/>
      <c r="BR267" s="141"/>
      <c r="BS267" s="141"/>
      <c r="BT267" s="141"/>
      <c r="BU267" s="141"/>
      <c r="BV267" s="141"/>
      <c r="BW267" s="141"/>
      <c r="BX267" s="141"/>
      <c r="BY267" s="141"/>
      <c r="BZ267" s="141"/>
      <c r="CA267" s="141"/>
      <c r="CB267" s="141"/>
      <c r="CC267" s="141"/>
      <c r="CD267" s="141"/>
      <c r="CE267" s="141"/>
      <c r="CF267" s="141"/>
      <c r="CG267" s="141"/>
      <c r="CH267" s="141"/>
      <c r="CI267" s="141"/>
      <c r="CJ267" s="141"/>
      <c r="CK267" s="141"/>
      <c r="CL267" s="141"/>
      <c r="CM267" s="141"/>
      <c r="CN267" s="141"/>
      <c r="CO267" s="141"/>
      <c r="CP267" s="141"/>
      <c r="CQ267" s="141"/>
      <c r="CR267" s="141"/>
      <c r="CS267" s="141"/>
      <c r="CT267" s="141"/>
      <c r="CU267" s="141"/>
      <c r="CV267" s="141"/>
      <c r="CW267" s="141"/>
      <c r="CX267" s="141"/>
      <c r="CY267" s="141"/>
      <c r="CZ267" s="141"/>
      <c r="DA267" s="173"/>
    </row>
    <row r="268" spans="2:105" x14ac:dyDescent="0.25">
      <c r="B268" s="172"/>
      <c r="C268" s="141" t="s">
        <v>3227</v>
      </c>
      <c r="D268" s="141" t="s">
        <v>3228</v>
      </c>
      <c r="E268" s="141" t="s">
        <v>3229</v>
      </c>
      <c r="F268" s="141" t="s">
        <v>3230</v>
      </c>
      <c r="G268" s="141"/>
      <c r="H268" s="141" t="s">
        <v>353</v>
      </c>
      <c r="I268" s="141"/>
      <c r="J268" s="141" t="s">
        <v>354</v>
      </c>
      <c r="K268" s="141" t="s">
        <v>1351</v>
      </c>
      <c r="L268" s="141"/>
      <c r="M268" s="141"/>
      <c r="N268" s="141" t="s">
        <v>393</v>
      </c>
      <c r="O268" s="141" t="s">
        <v>393</v>
      </c>
      <c r="P268" s="141" t="s">
        <v>424</v>
      </c>
      <c r="Q268" s="141" t="s">
        <v>425</v>
      </c>
      <c r="R268" s="141" t="s">
        <v>361</v>
      </c>
      <c r="S268" s="141" t="s">
        <v>1339</v>
      </c>
      <c r="T268" s="141" t="s">
        <v>3093</v>
      </c>
      <c r="U268" s="141" t="s">
        <v>3093</v>
      </c>
      <c r="V268" s="141"/>
      <c r="W268" s="141"/>
      <c r="X268" s="141"/>
      <c r="Y268" s="141"/>
      <c r="Z268" s="141"/>
      <c r="AA268" s="141"/>
      <c r="AB268" s="141"/>
      <c r="AC268" s="141"/>
      <c r="AD268" s="141"/>
      <c r="AE268" s="141"/>
      <c r="AF268" s="141"/>
      <c r="AG268" s="141"/>
      <c r="AH268" s="141"/>
      <c r="AI268" s="141"/>
      <c r="AJ268" s="141"/>
      <c r="AK268" s="141" t="s">
        <v>354</v>
      </c>
      <c r="AL268" s="141" t="s">
        <v>364</v>
      </c>
      <c r="AM268" s="141" t="s">
        <v>354</v>
      </c>
      <c r="AN268" s="141" t="s">
        <v>2662</v>
      </c>
      <c r="AO268" s="141" t="s">
        <v>3093</v>
      </c>
      <c r="AP268" s="141" t="s">
        <v>2427</v>
      </c>
      <c r="AQ268" s="141" t="s">
        <v>848</v>
      </c>
      <c r="AR268" s="141" t="s">
        <v>408</v>
      </c>
      <c r="AS268" s="141"/>
      <c r="AT268" s="141"/>
      <c r="AU268" s="141"/>
      <c r="AV268" s="141"/>
      <c r="AW268" s="141"/>
      <c r="AX268" s="141"/>
      <c r="AY268" s="141"/>
      <c r="AZ268" s="141"/>
      <c r="BA268" s="141"/>
      <c r="BB268" s="141"/>
      <c r="BC268" s="141"/>
      <c r="BD268" s="141"/>
      <c r="BE268" s="141"/>
      <c r="BF268" s="141"/>
      <c r="BG268" s="141"/>
      <c r="BH268" s="141"/>
      <c r="BI268" s="141"/>
      <c r="BJ268" s="141"/>
      <c r="BK268" s="141"/>
      <c r="BL268" s="141"/>
      <c r="BM268" s="141"/>
      <c r="BN268" s="141"/>
      <c r="BO268" s="141"/>
      <c r="BP268" s="141"/>
      <c r="BQ268" s="141"/>
      <c r="BR268" s="141"/>
      <c r="BS268" s="141"/>
      <c r="BT268" s="141"/>
      <c r="BU268" s="141"/>
      <c r="BV268" s="141"/>
      <c r="BW268" s="141"/>
      <c r="BX268" s="141"/>
      <c r="BY268" s="141"/>
      <c r="BZ268" s="141"/>
      <c r="CA268" s="141"/>
      <c r="CB268" s="141"/>
      <c r="CC268" s="141"/>
      <c r="CD268" s="141"/>
      <c r="CE268" s="141"/>
      <c r="CF268" s="141"/>
      <c r="CG268" s="141"/>
      <c r="CH268" s="141"/>
      <c r="CI268" s="141"/>
      <c r="CJ268" s="141"/>
      <c r="CK268" s="141"/>
      <c r="CL268" s="141"/>
      <c r="CM268" s="141"/>
      <c r="CN268" s="141"/>
      <c r="CO268" s="141"/>
      <c r="CP268" s="141"/>
      <c r="CQ268" s="141"/>
      <c r="CR268" s="141"/>
      <c r="CS268" s="141"/>
      <c r="CT268" s="141"/>
      <c r="CU268" s="141"/>
      <c r="CV268" s="141"/>
      <c r="CW268" s="141"/>
      <c r="CX268" s="141"/>
      <c r="CY268" s="141"/>
      <c r="CZ268" s="141"/>
      <c r="DA268" s="173"/>
    </row>
    <row r="269" spans="2:105" x14ac:dyDescent="0.25">
      <c r="B269" s="172"/>
      <c r="C269" s="141" t="s">
        <v>3231</v>
      </c>
      <c r="D269" s="141" t="s">
        <v>2368</v>
      </c>
      <c r="E269" s="141" t="s">
        <v>3232</v>
      </c>
      <c r="F269" s="141" t="s">
        <v>3233</v>
      </c>
      <c r="G269" s="141"/>
      <c r="H269" s="141" t="s">
        <v>353</v>
      </c>
      <c r="I269" s="141"/>
      <c r="J269" s="141" t="s">
        <v>354</v>
      </c>
      <c r="K269" s="141" t="s">
        <v>1510</v>
      </c>
      <c r="L269" s="141"/>
      <c r="M269" s="141"/>
      <c r="N269" s="141" t="s">
        <v>393</v>
      </c>
      <c r="O269" s="141" t="s">
        <v>393</v>
      </c>
      <c r="P269" s="141" t="s">
        <v>424</v>
      </c>
      <c r="Q269" s="141" t="s">
        <v>425</v>
      </c>
      <c r="R269" s="141" t="s">
        <v>361</v>
      </c>
      <c r="S269" s="141" t="s">
        <v>1339</v>
      </c>
      <c r="T269" s="141" t="s">
        <v>3093</v>
      </c>
      <c r="U269" s="141" t="s">
        <v>3093</v>
      </c>
      <c r="V269" s="141"/>
      <c r="W269" s="141"/>
      <c r="X269" s="141"/>
      <c r="Y269" s="141"/>
      <c r="Z269" s="141"/>
      <c r="AA269" s="141"/>
      <c r="AB269" s="141"/>
      <c r="AC269" s="141"/>
      <c r="AD269" s="141"/>
      <c r="AE269" s="141"/>
      <c r="AF269" s="141"/>
      <c r="AG269" s="141"/>
      <c r="AH269" s="141"/>
      <c r="AI269" s="141"/>
      <c r="AJ269" s="141"/>
      <c r="AK269" s="141" t="s">
        <v>354</v>
      </c>
      <c r="AL269" s="141" t="s">
        <v>364</v>
      </c>
      <c r="AM269" s="141" t="s">
        <v>354</v>
      </c>
      <c r="AN269" s="141" t="s">
        <v>2662</v>
      </c>
      <c r="AO269" s="141" t="s">
        <v>3093</v>
      </c>
      <c r="AP269" s="141" t="s">
        <v>2427</v>
      </c>
      <c r="AQ269" s="141" t="s">
        <v>848</v>
      </c>
      <c r="AR269" s="141" t="s">
        <v>408</v>
      </c>
      <c r="AS269" s="141"/>
      <c r="AT269" s="141"/>
      <c r="AU269" s="141"/>
      <c r="AV269" s="141"/>
      <c r="AW269" s="141"/>
      <c r="AX269" s="141"/>
      <c r="AY269" s="141"/>
      <c r="AZ269" s="141"/>
      <c r="BA269" s="141"/>
      <c r="BB269" s="141"/>
      <c r="BC269" s="141"/>
      <c r="BD269" s="141"/>
      <c r="BE269" s="141"/>
      <c r="BF269" s="141"/>
      <c r="BG269" s="141"/>
      <c r="BH269" s="141"/>
      <c r="BI269" s="141"/>
      <c r="BJ269" s="141"/>
      <c r="BK269" s="141"/>
      <c r="BL269" s="141"/>
      <c r="BM269" s="141"/>
      <c r="BN269" s="141"/>
      <c r="BO269" s="141"/>
      <c r="BP269" s="141"/>
      <c r="BQ269" s="141"/>
      <c r="BR269" s="141"/>
      <c r="BS269" s="141"/>
      <c r="BT269" s="141"/>
      <c r="BU269" s="141"/>
      <c r="BV269" s="141"/>
      <c r="BW269" s="141"/>
      <c r="BX269" s="141"/>
      <c r="BY269" s="141"/>
      <c r="BZ269" s="141"/>
      <c r="CA269" s="141"/>
      <c r="CB269" s="141"/>
      <c r="CC269" s="141"/>
      <c r="CD269" s="141"/>
      <c r="CE269" s="141"/>
      <c r="CF269" s="141"/>
      <c r="CG269" s="141"/>
      <c r="CH269" s="141"/>
      <c r="CI269" s="141"/>
      <c r="CJ269" s="141"/>
      <c r="CK269" s="141"/>
      <c r="CL269" s="141"/>
      <c r="CM269" s="141"/>
      <c r="CN269" s="141"/>
      <c r="CO269" s="141"/>
      <c r="CP269" s="141"/>
      <c r="CQ269" s="141"/>
      <c r="CR269" s="141"/>
      <c r="CS269" s="141"/>
      <c r="CT269" s="141"/>
      <c r="CU269" s="141"/>
      <c r="CV269" s="141"/>
      <c r="CW269" s="141"/>
      <c r="CX269" s="141"/>
      <c r="CY269" s="141"/>
      <c r="CZ269" s="141"/>
      <c r="DA269" s="173"/>
    </row>
    <row r="270" spans="2:105" x14ac:dyDescent="0.25">
      <c r="B270" s="172"/>
      <c r="C270" s="141"/>
      <c r="D270" s="141" t="s">
        <v>3234</v>
      </c>
      <c r="E270" s="141"/>
      <c r="F270" s="141" t="s">
        <v>466</v>
      </c>
      <c r="G270" s="141"/>
      <c r="H270" s="141" t="s">
        <v>353</v>
      </c>
      <c r="I270" s="141"/>
      <c r="J270" s="141" t="s">
        <v>354</v>
      </c>
      <c r="K270" s="141" t="s">
        <v>1166</v>
      </c>
      <c r="L270" s="141"/>
      <c r="M270" s="141"/>
      <c r="N270" s="141" t="s">
        <v>354</v>
      </c>
      <c r="O270" s="141"/>
      <c r="P270" s="141"/>
      <c r="Q270" s="141"/>
      <c r="R270" s="141"/>
      <c r="S270" s="141" t="s">
        <v>1339</v>
      </c>
      <c r="T270" s="141" t="s">
        <v>3093</v>
      </c>
      <c r="U270" s="141" t="s">
        <v>3093</v>
      </c>
      <c r="V270" s="141"/>
      <c r="W270" s="141"/>
      <c r="X270" s="141"/>
      <c r="Y270" s="141"/>
      <c r="Z270" s="141"/>
      <c r="AA270" s="141"/>
      <c r="AB270" s="141"/>
      <c r="AC270" s="141"/>
      <c r="AD270" s="141"/>
      <c r="AE270" s="141"/>
      <c r="AF270" s="141"/>
      <c r="AG270" s="141"/>
      <c r="AH270" s="141"/>
      <c r="AI270" s="141"/>
      <c r="AJ270" s="141"/>
      <c r="AK270" s="141" t="s">
        <v>354</v>
      </c>
      <c r="AL270" s="141" t="s">
        <v>364</v>
      </c>
      <c r="AM270" s="141" t="s">
        <v>354</v>
      </c>
      <c r="AN270" s="141" t="s">
        <v>2662</v>
      </c>
      <c r="AO270" s="141" t="s">
        <v>3093</v>
      </c>
      <c r="AP270" s="141" t="s">
        <v>2427</v>
      </c>
      <c r="AQ270" s="141" t="s">
        <v>848</v>
      </c>
      <c r="AR270" s="141" t="s">
        <v>408</v>
      </c>
      <c r="AS270" s="141"/>
      <c r="AT270" s="141"/>
      <c r="AU270" s="141"/>
      <c r="AV270" s="141"/>
      <c r="AW270" s="141"/>
      <c r="AX270" s="141"/>
      <c r="AY270" s="141"/>
      <c r="AZ270" s="141"/>
      <c r="BA270" s="141"/>
      <c r="BB270" s="141"/>
      <c r="BC270" s="141"/>
      <c r="BD270" s="141"/>
      <c r="BE270" s="141"/>
      <c r="BF270" s="141"/>
      <c r="BG270" s="141"/>
      <c r="BH270" s="141"/>
      <c r="BI270" s="141"/>
      <c r="BJ270" s="141"/>
      <c r="BK270" s="141"/>
      <c r="BL270" s="141"/>
      <c r="BM270" s="141"/>
      <c r="BN270" s="141"/>
      <c r="BO270" s="141"/>
      <c r="BP270" s="141"/>
      <c r="BQ270" s="141"/>
      <c r="BR270" s="141"/>
      <c r="BS270" s="141"/>
      <c r="BT270" s="141"/>
      <c r="BU270" s="141"/>
      <c r="BV270" s="141"/>
      <c r="BW270" s="141"/>
      <c r="BX270" s="141"/>
      <c r="BY270" s="141"/>
      <c r="BZ270" s="141"/>
      <c r="CA270" s="141"/>
      <c r="CB270" s="141"/>
      <c r="CC270" s="141"/>
      <c r="CD270" s="141"/>
      <c r="CE270" s="141"/>
      <c r="CF270" s="141"/>
      <c r="CG270" s="141"/>
      <c r="CH270" s="141"/>
      <c r="CI270" s="141"/>
      <c r="CJ270" s="141"/>
      <c r="CK270" s="141"/>
      <c r="CL270" s="141"/>
      <c r="CM270" s="141"/>
      <c r="CN270" s="141"/>
      <c r="CO270" s="141"/>
      <c r="CP270" s="141"/>
      <c r="CQ270" s="141"/>
      <c r="CR270" s="141"/>
      <c r="CS270" s="141"/>
      <c r="CT270" s="141"/>
      <c r="CU270" s="141"/>
      <c r="CV270" s="141"/>
      <c r="CW270" s="141"/>
      <c r="CX270" s="141"/>
      <c r="CY270" s="141"/>
      <c r="CZ270" s="141"/>
      <c r="DA270" s="173"/>
    </row>
    <row r="271" spans="2:105" x14ac:dyDescent="0.25">
      <c r="B271" s="172"/>
      <c r="C271" s="141" t="s">
        <v>3235</v>
      </c>
      <c r="D271" s="141" t="s">
        <v>3236</v>
      </c>
      <c r="E271" s="141" t="s">
        <v>1566</v>
      </c>
      <c r="F271" s="141" t="s">
        <v>2484</v>
      </c>
      <c r="G271" s="141"/>
      <c r="H271" s="141" t="s">
        <v>353</v>
      </c>
      <c r="I271" s="141"/>
      <c r="J271" s="141" t="s">
        <v>354</v>
      </c>
      <c r="K271" s="141" t="s">
        <v>1263</v>
      </c>
      <c r="L271" s="141"/>
      <c r="M271" s="141"/>
      <c r="N271" s="141" t="s">
        <v>393</v>
      </c>
      <c r="O271" s="141" t="s">
        <v>393</v>
      </c>
      <c r="P271" s="141" t="s">
        <v>424</v>
      </c>
      <c r="Q271" s="141" t="s">
        <v>425</v>
      </c>
      <c r="R271" s="141" t="s">
        <v>361</v>
      </c>
      <c r="S271" s="141" t="s">
        <v>1339</v>
      </c>
      <c r="T271" s="141" t="s">
        <v>3093</v>
      </c>
      <c r="U271" s="141" t="s">
        <v>3093</v>
      </c>
      <c r="V271" s="141"/>
      <c r="W271" s="141"/>
      <c r="X271" s="141"/>
      <c r="Y271" s="141"/>
      <c r="Z271" s="141"/>
      <c r="AA271" s="141"/>
      <c r="AB271" s="141"/>
      <c r="AC271" s="141"/>
      <c r="AD271" s="141"/>
      <c r="AE271" s="141"/>
      <c r="AF271" s="141"/>
      <c r="AG271" s="141"/>
      <c r="AH271" s="141"/>
      <c r="AI271" s="141"/>
      <c r="AJ271" s="141"/>
      <c r="AK271" s="141" t="s">
        <v>354</v>
      </c>
      <c r="AL271" s="141" t="s">
        <v>364</v>
      </c>
      <c r="AM271" s="141" t="s">
        <v>354</v>
      </c>
      <c r="AN271" s="141" t="s">
        <v>2662</v>
      </c>
      <c r="AO271" s="141" t="s">
        <v>3093</v>
      </c>
      <c r="AP271" s="141" t="s">
        <v>2427</v>
      </c>
      <c r="AQ271" s="141" t="s">
        <v>848</v>
      </c>
      <c r="AR271" s="141" t="s">
        <v>408</v>
      </c>
      <c r="AS271" s="141"/>
      <c r="AT271" s="141"/>
      <c r="AU271" s="141"/>
      <c r="AV271" s="141"/>
      <c r="AW271" s="141"/>
      <c r="AX271" s="141"/>
      <c r="AY271" s="141"/>
      <c r="AZ271" s="141"/>
      <c r="BA271" s="141"/>
      <c r="BB271" s="141"/>
      <c r="BC271" s="141"/>
      <c r="BD271" s="141"/>
      <c r="BE271" s="141"/>
      <c r="BF271" s="141"/>
      <c r="BG271" s="141"/>
      <c r="BH271" s="141"/>
      <c r="BI271" s="141"/>
      <c r="BJ271" s="141"/>
      <c r="BK271" s="141"/>
      <c r="BL271" s="141"/>
      <c r="BM271" s="141"/>
      <c r="BN271" s="141"/>
      <c r="BO271" s="141"/>
      <c r="BP271" s="141"/>
      <c r="BQ271" s="141"/>
      <c r="BR271" s="141"/>
      <c r="BS271" s="141"/>
      <c r="BT271" s="141"/>
      <c r="BU271" s="141"/>
      <c r="BV271" s="141"/>
      <c r="BW271" s="141"/>
      <c r="BX271" s="141"/>
      <c r="BY271" s="141"/>
      <c r="BZ271" s="141"/>
      <c r="CA271" s="141"/>
      <c r="CB271" s="141"/>
      <c r="CC271" s="141"/>
      <c r="CD271" s="141"/>
      <c r="CE271" s="141"/>
      <c r="CF271" s="141"/>
      <c r="CG271" s="141"/>
      <c r="CH271" s="141"/>
      <c r="CI271" s="141"/>
      <c r="CJ271" s="141"/>
      <c r="CK271" s="141"/>
      <c r="CL271" s="141"/>
      <c r="CM271" s="141"/>
      <c r="CN271" s="141"/>
      <c r="CO271" s="141"/>
      <c r="CP271" s="141"/>
      <c r="CQ271" s="141"/>
      <c r="CR271" s="141"/>
      <c r="CS271" s="141"/>
      <c r="CT271" s="141"/>
      <c r="CU271" s="141"/>
      <c r="CV271" s="141"/>
      <c r="CW271" s="141"/>
      <c r="CX271" s="141"/>
      <c r="CY271" s="141"/>
      <c r="CZ271" s="141"/>
      <c r="DA271" s="173"/>
    </row>
    <row r="272" spans="2:105" x14ac:dyDescent="0.25">
      <c r="B272" s="172"/>
      <c r="C272" s="141" t="s">
        <v>3237</v>
      </c>
      <c r="D272" s="141" t="s">
        <v>368</v>
      </c>
      <c r="E272" s="141" t="s">
        <v>524</v>
      </c>
      <c r="F272" s="141" t="s">
        <v>3238</v>
      </c>
      <c r="G272" s="141"/>
      <c r="H272" s="141" t="s">
        <v>353</v>
      </c>
      <c r="I272" s="141"/>
      <c r="J272" s="141" t="s">
        <v>354</v>
      </c>
      <c r="K272" s="141" t="s">
        <v>1551</v>
      </c>
      <c r="L272" s="141"/>
      <c r="M272" s="141"/>
      <c r="N272" s="141" t="s">
        <v>369</v>
      </c>
      <c r="O272" s="141" t="s">
        <v>369</v>
      </c>
      <c r="P272" s="141" t="s">
        <v>528</v>
      </c>
      <c r="Q272" s="141" t="s">
        <v>529</v>
      </c>
      <c r="R272" s="141" t="s">
        <v>361</v>
      </c>
      <c r="S272" s="141" t="s">
        <v>1339</v>
      </c>
      <c r="T272" s="141" t="s">
        <v>3093</v>
      </c>
      <c r="U272" s="141" t="s">
        <v>3093</v>
      </c>
      <c r="V272" s="141"/>
      <c r="W272" s="141"/>
      <c r="X272" s="141"/>
      <c r="Y272" s="141"/>
      <c r="Z272" s="141"/>
      <c r="AA272" s="141"/>
      <c r="AB272" s="141"/>
      <c r="AC272" s="141"/>
      <c r="AD272" s="141"/>
      <c r="AE272" s="141"/>
      <c r="AF272" s="141"/>
      <c r="AG272" s="141"/>
      <c r="AH272" s="141"/>
      <c r="AI272" s="141"/>
      <c r="AJ272" s="141"/>
      <c r="AK272" s="141" t="s">
        <v>354</v>
      </c>
      <c r="AL272" s="141" t="s">
        <v>364</v>
      </c>
      <c r="AM272" s="141" t="s">
        <v>354</v>
      </c>
      <c r="AN272" s="141" t="s">
        <v>2662</v>
      </c>
      <c r="AO272" s="141" t="s">
        <v>3093</v>
      </c>
      <c r="AP272" s="141" t="s">
        <v>2427</v>
      </c>
      <c r="AQ272" s="141" t="s">
        <v>848</v>
      </c>
      <c r="AR272" s="141" t="s">
        <v>408</v>
      </c>
      <c r="AS272" s="141"/>
      <c r="AT272" s="141"/>
      <c r="AU272" s="141"/>
      <c r="AV272" s="141"/>
      <c r="AW272" s="141"/>
      <c r="AX272" s="141"/>
      <c r="AY272" s="141"/>
      <c r="AZ272" s="141"/>
      <c r="BA272" s="141"/>
      <c r="BB272" s="141"/>
      <c r="BC272" s="141"/>
      <c r="BD272" s="141"/>
      <c r="BE272" s="141"/>
      <c r="BF272" s="141"/>
      <c r="BG272" s="141"/>
      <c r="BH272" s="141"/>
      <c r="BI272" s="141"/>
      <c r="BJ272" s="141"/>
      <c r="BK272" s="141"/>
      <c r="BL272" s="141"/>
      <c r="BM272" s="141"/>
      <c r="BN272" s="141"/>
      <c r="BO272" s="141"/>
      <c r="BP272" s="141"/>
      <c r="BQ272" s="141"/>
      <c r="BR272" s="141"/>
      <c r="BS272" s="141"/>
      <c r="BT272" s="141"/>
      <c r="BU272" s="141"/>
      <c r="BV272" s="141"/>
      <c r="BW272" s="141"/>
      <c r="BX272" s="141"/>
      <c r="BY272" s="141"/>
      <c r="BZ272" s="141"/>
      <c r="CA272" s="141"/>
      <c r="CB272" s="141"/>
      <c r="CC272" s="141"/>
      <c r="CD272" s="141"/>
      <c r="CE272" s="141"/>
      <c r="CF272" s="141"/>
      <c r="CG272" s="141"/>
      <c r="CH272" s="141"/>
      <c r="CI272" s="141"/>
      <c r="CJ272" s="141"/>
      <c r="CK272" s="141"/>
      <c r="CL272" s="141"/>
      <c r="CM272" s="141"/>
      <c r="CN272" s="141"/>
      <c r="CO272" s="141"/>
      <c r="CP272" s="141"/>
      <c r="CQ272" s="141"/>
      <c r="CR272" s="141"/>
      <c r="CS272" s="141"/>
      <c r="CT272" s="141"/>
      <c r="CU272" s="141"/>
      <c r="CV272" s="141"/>
      <c r="CW272" s="141"/>
      <c r="CX272" s="141"/>
      <c r="CY272" s="141"/>
      <c r="CZ272" s="141"/>
      <c r="DA272" s="173"/>
    </row>
    <row r="273" spans="2:105" x14ac:dyDescent="0.25">
      <c r="B273" s="172"/>
      <c r="C273" s="141" t="s">
        <v>3239</v>
      </c>
      <c r="D273" s="141" t="s">
        <v>3240</v>
      </c>
      <c r="E273" s="141" t="s">
        <v>699</v>
      </c>
      <c r="F273" s="141" t="s">
        <v>3059</v>
      </c>
      <c r="G273" s="141"/>
      <c r="H273" s="141" t="s">
        <v>353</v>
      </c>
      <c r="I273" s="141"/>
      <c r="J273" s="141" t="s">
        <v>354</v>
      </c>
      <c r="K273" s="141" t="s">
        <v>1423</v>
      </c>
      <c r="L273" s="141"/>
      <c r="M273" s="141"/>
      <c r="N273" s="141" t="s">
        <v>369</v>
      </c>
      <c r="O273" s="141" t="s">
        <v>393</v>
      </c>
      <c r="P273" s="141" t="s">
        <v>424</v>
      </c>
      <c r="Q273" s="141" t="s">
        <v>425</v>
      </c>
      <c r="R273" s="141" t="s">
        <v>361</v>
      </c>
      <c r="S273" s="141" t="s">
        <v>1339</v>
      </c>
      <c r="T273" s="141" t="s">
        <v>3093</v>
      </c>
      <c r="U273" s="141" t="s">
        <v>3093</v>
      </c>
      <c r="V273" s="141"/>
      <c r="W273" s="141"/>
      <c r="X273" s="141"/>
      <c r="Y273" s="141"/>
      <c r="Z273" s="141"/>
      <c r="AA273" s="141"/>
      <c r="AB273" s="141"/>
      <c r="AC273" s="141"/>
      <c r="AD273" s="141"/>
      <c r="AE273" s="141"/>
      <c r="AF273" s="141"/>
      <c r="AG273" s="141"/>
      <c r="AH273" s="141"/>
      <c r="AI273" s="141"/>
      <c r="AJ273" s="141"/>
      <c r="AK273" s="141" t="s">
        <v>354</v>
      </c>
      <c r="AL273" s="141" t="s">
        <v>364</v>
      </c>
      <c r="AM273" s="141" t="s">
        <v>354</v>
      </c>
      <c r="AN273" s="141" t="s">
        <v>2662</v>
      </c>
      <c r="AO273" s="141" t="s">
        <v>3093</v>
      </c>
      <c r="AP273" s="141" t="s">
        <v>2427</v>
      </c>
      <c r="AQ273" s="141" t="s">
        <v>848</v>
      </c>
      <c r="AR273" s="141" t="s">
        <v>408</v>
      </c>
      <c r="AS273" s="141"/>
      <c r="AT273" s="141"/>
      <c r="AU273" s="141"/>
      <c r="AV273" s="141"/>
      <c r="AW273" s="141"/>
      <c r="AX273" s="141"/>
      <c r="AY273" s="141"/>
      <c r="AZ273" s="141"/>
      <c r="BA273" s="141"/>
      <c r="BB273" s="141"/>
      <c r="BC273" s="141"/>
      <c r="BD273" s="141"/>
      <c r="BE273" s="141"/>
      <c r="BF273" s="141"/>
      <c r="BG273" s="141"/>
      <c r="BH273" s="141"/>
      <c r="BI273" s="141"/>
      <c r="BJ273" s="141"/>
      <c r="BK273" s="141"/>
      <c r="BL273" s="141"/>
      <c r="BM273" s="141"/>
      <c r="BN273" s="141"/>
      <c r="BO273" s="141"/>
      <c r="BP273" s="141"/>
      <c r="BQ273" s="141"/>
      <c r="BR273" s="141"/>
      <c r="BS273" s="141"/>
      <c r="BT273" s="141"/>
      <c r="BU273" s="141"/>
      <c r="BV273" s="141"/>
      <c r="BW273" s="141"/>
      <c r="BX273" s="141"/>
      <c r="BY273" s="141"/>
      <c r="BZ273" s="141"/>
      <c r="CA273" s="141"/>
      <c r="CB273" s="141"/>
      <c r="CC273" s="141"/>
      <c r="CD273" s="141"/>
      <c r="CE273" s="141"/>
      <c r="CF273" s="141"/>
      <c r="CG273" s="141"/>
      <c r="CH273" s="141"/>
      <c r="CI273" s="141"/>
      <c r="CJ273" s="141"/>
      <c r="CK273" s="141"/>
      <c r="CL273" s="141"/>
      <c r="CM273" s="141"/>
      <c r="CN273" s="141"/>
      <c r="CO273" s="141"/>
      <c r="CP273" s="141"/>
      <c r="CQ273" s="141"/>
      <c r="CR273" s="141"/>
      <c r="CS273" s="141"/>
      <c r="CT273" s="141"/>
      <c r="CU273" s="141"/>
      <c r="CV273" s="141"/>
      <c r="CW273" s="141"/>
      <c r="CX273" s="141"/>
      <c r="CY273" s="141"/>
      <c r="CZ273" s="141"/>
      <c r="DA273" s="173"/>
    </row>
    <row r="274" spans="2:105" x14ac:dyDescent="0.25">
      <c r="B274" s="172"/>
      <c r="C274" s="141" t="s">
        <v>3241</v>
      </c>
      <c r="D274" s="141" t="s">
        <v>495</v>
      </c>
      <c r="E274" s="141" t="s">
        <v>3242</v>
      </c>
      <c r="F274" s="141" t="s">
        <v>3243</v>
      </c>
      <c r="G274" s="141"/>
      <c r="H274" s="141" t="s">
        <v>353</v>
      </c>
      <c r="I274" s="141"/>
      <c r="J274" s="141" t="s">
        <v>354</v>
      </c>
      <c r="K274" s="141" t="s">
        <v>1195</v>
      </c>
      <c r="L274" s="141"/>
      <c r="M274" s="141"/>
      <c r="N274" s="141" t="s">
        <v>393</v>
      </c>
      <c r="O274" s="141" t="s">
        <v>393</v>
      </c>
      <c r="P274" s="141" t="s">
        <v>424</v>
      </c>
      <c r="Q274" s="141" t="s">
        <v>425</v>
      </c>
      <c r="R274" s="141" t="s">
        <v>361</v>
      </c>
      <c r="S274" s="141" t="s">
        <v>1339</v>
      </c>
      <c r="T274" s="141" t="s">
        <v>3093</v>
      </c>
      <c r="U274" s="141" t="s">
        <v>3093</v>
      </c>
      <c r="V274" s="141"/>
      <c r="W274" s="141"/>
      <c r="X274" s="141"/>
      <c r="Y274" s="141"/>
      <c r="Z274" s="141"/>
      <c r="AA274" s="141"/>
      <c r="AB274" s="141"/>
      <c r="AC274" s="141"/>
      <c r="AD274" s="141"/>
      <c r="AE274" s="141"/>
      <c r="AF274" s="141"/>
      <c r="AG274" s="141"/>
      <c r="AH274" s="141"/>
      <c r="AI274" s="141"/>
      <c r="AJ274" s="141"/>
      <c r="AK274" s="141" t="s">
        <v>354</v>
      </c>
      <c r="AL274" s="141" t="s">
        <v>364</v>
      </c>
      <c r="AM274" s="141" t="s">
        <v>354</v>
      </c>
      <c r="AN274" s="141" t="s">
        <v>2662</v>
      </c>
      <c r="AO274" s="141" t="s">
        <v>3093</v>
      </c>
      <c r="AP274" s="141" t="s">
        <v>2427</v>
      </c>
      <c r="AQ274" s="141" t="s">
        <v>848</v>
      </c>
      <c r="AR274" s="141" t="s">
        <v>408</v>
      </c>
      <c r="AS274" s="141"/>
      <c r="AT274" s="141"/>
      <c r="AU274" s="141"/>
      <c r="AV274" s="141"/>
      <c r="AW274" s="141"/>
      <c r="AX274" s="141"/>
      <c r="AY274" s="141"/>
      <c r="AZ274" s="141"/>
      <c r="BA274" s="141"/>
      <c r="BB274" s="141"/>
      <c r="BC274" s="141"/>
      <c r="BD274" s="141"/>
      <c r="BE274" s="141"/>
      <c r="BF274" s="141"/>
      <c r="BG274" s="141"/>
      <c r="BH274" s="141"/>
      <c r="BI274" s="141"/>
      <c r="BJ274" s="141"/>
      <c r="BK274" s="141"/>
      <c r="BL274" s="141"/>
      <c r="BM274" s="141"/>
      <c r="BN274" s="141"/>
      <c r="BO274" s="141"/>
      <c r="BP274" s="141"/>
      <c r="BQ274" s="141"/>
      <c r="BR274" s="141"/>
      <c r="BS274" s="141"/>
      <c r="BT274" s="141"/>
      <c r="BU274" s="141"/>
      <c r="BV274" s="141"/>
      <c r="BW274" s="141"/>
      <c r="BX274" s="141"/>
      <c r="BY274" s="141"/>
      <c r="BZ274" s="141"/>
      <c r="CA274" s="141"/>
      <c r="CB274" s="141"/>
      <c r="CC274" s="141"/>
      <c r="CD274" s="141"/>
      <c r="CE274" s="141"/>
      <c r="CF274" s="141"/>
      <c r="CG274" s="141"/>
      <c r="CH274" s="141"/>
      <c r="CI274" s="141"/>
      <c r="CJ274" s="141"/>
      <c r="CK274" s="141"/>
      <c r="CL274" s="141"/>
      <c r="CM274" s="141"/>
      <c r="CN274" s="141"/>
      <c r="CO274" s="141"/>
      <c r="CP274" s="141"/>
      <c r="CQ274" s="141"/>
      <c r="CR274" s="141"/>
      <c r="CS274" s="141"/>
      <c r="CT274" s="141"/>
      <c r="CU274" s="141"/>
      <c r="CV274" s="141"/>
      <c r="CW274" s="141"/>
      <c r="CX274" s="141"/>
      <c r="CY274" s="141"/>
      <c r="CZ274" s="141"/>
      <c r="DA274" s="173"/>
    </row>
    <row r="275" spans="2:105" x14ac:dyDescent="0.25">
      <c r="B275" s="172"/>
      <c r="C275" s="141" t="s">
        <v>3244</v>
      </c>
      <c r="D275" s="141" t="s">
        <v>2929</v>
      </c>
      <c r="E275" s="141" t="s">
        <v>619</v>
      </c>
      <c r="F275" s="141" t="s">
        <v>3245</v>
      </c>
      <c r="G275" s="141"/>
      <c r="H275" s="141" t="s">
        <v>353</v>
      </c>
      <c r="I275" s="141"/>
      <c r="J275" s="141" t="s">
        <v>354</v>
      </c>
      <c r="K275" s="141" t="s">
        <v>1556</v>
      </c>
      <c r="L275" s="141"/>
      <c r="M275" s="141"/>
      <c r="N275" s="141" t="s">
        <v>393</v>
      </c>
      <c r="O275" s="141" t="s">
        <v>393</v>
      </c>
      <c r="P275" s="141" t="s">
        <v>424</v>
      </c>
      <c r="Q275" s="141" t="s">
        <v>425</v>
      </c>
      <c r="R275" s="141" t="s">
        <v>361</v>
      </c>
      <c r="S275" s="141" t="s">
        <v>1339</v>
      </c>
      <c r="T275" s="141" t="s">
        <v>3093</v>
      </c>
      <c r="U275" s="141" t="s">
        <v>3093</v>
      </c>
      <c r="V275" s="141"/>
      <c r="W275" s="141"/>
      <c r="X275" s="141"/>
      <c r="Y275" s="141"/>
      <c r="Z275" s="141"/>
      <c r="AA275" s="141"/>
      <c r="AB275" s="141"/>
      <c r="AC275" s="141"/>
      <c r="AD275" s="141"/>
      <c r="AE275" s="141"/>
      <c r="AF275" s="141"/>
      <c r="AG275" s="141"/>
      <c r="AH275" s="141"/>
      <c r="AI275" s="141"/>
      <c r="AJ275" s="141"/>
      <c r="AK275" s="141" t="s">
        <v>354</v>
      </c>
      <c r="AL275" s="141" t="s">
        <v>364</v>
      </c>
      <c r="AM275" s="141" t="s">
        <v>354</v>
      </c>
      <c r="AN275" s="141" t="s">
        <v>2662</v>
      </c>
      <c r="AO275" s="141" t="s">
        <v>3093</v>
      </c>
      <c r="AP275" s="141" t="s">
        <v>2427</v>
      </c>
      <c r="AQ275" s="141" t="s">
        <v>848</v>
      </c>
      <c r="AR275" s="141" t="s">
        <v>408</v>
      </c>
      <c r="AS275" s="141"/>
      <c r="AT275" s="141"/>
      <c r="AU275" s="141"/>
      <c r="AV275" s="141"/>
      <c r="AW275" s="141"/>
      <c r="AX275" s="141"/>
      <c r="AY275" s="141"/>
      <c r="AZ275" s="141"/>
      <c r="BA275" s="141"/>
      <c r="BB275" s="141"/>
      <c r="BC275" s="141"/>
      <c r="BD275" s="141"/>
      <c r="BE275" s="141"/>
      <c r="BF275" s="141"/>
      <c r="BG275" s="141"/>
      <c r="BH275" s="141"/>
      <c r="BI275" s="141"/>
      <c r="BJ275" s="141"/>
      <c r="BK275" s="141"/>
      <c r="BL275" s="141"/>
      <c r="BM275" s="141"/>
      <c r="BN275" s="141"/>
      <c r="BO275" s="141"/>
      <c r="BP275" s="141"/>
      <c r="BQ275" s="141"/>
      <c r="BR275" s="141"/>
      <c r="BS275" s="141"/>
      <c r="BT275" s="141"/>
      <c r="BU275" s="141"/>
      <c r="BV275" s="141"/>
      <c r="BW275" s="141"/>
      <c r="BX275" s="141"/>
      <c r="BY275" s="141"/>
      <c r="BZ275" s="141"/>
      <c r="CA275" s="141"/>
      <c r="CB275" s="141"/>
      <c r="CC275" s="141"/>
      <c r="CD275" s="141"/>
      <c r="CE275" s="141"/>
      <c r="CF275" s="141"/>
      <c r="CG275" s="141"/>
      <c r="CH275" s="141"/>
      <c r="CI275" s="141"/>
      <c r="CJ275" s="141"/>
      <c r="CK275" s="141"/>
      <c r="CL275" s="141"/>
      <c r="CM275" s="141"/>
      <c r="CN275" s="141"/>
      <c r="CO275" s="141"/>
      <c r="CP275" s="141"/>
      <c r="CQ275" s="141"/>
      <c r="CR275" s="141"/>
      <c r="CS275" s="141"/>
      <c r="CT275" s="141"/>
      <c r="CU275" s="141"/>
      <c r="CV275" s="141"/>
      <c r="CW275" s="141"/>
      <c r="CX275" s="141"/>
      <c r="CY275" s="141"/>
      <c r="CZ275" s="141"/>
      <c r="DA275" s="173"/>
    </row>
    <row r="276" spans="2:105" x14ac:dyDescent="0.25">
      <c r="B276" s="172"/>
      <c r="C276" s="141" t="s">
        <v>3246</v>
      </c>
      <c r="D276" s="141" t="s">
        <v>1471</v>
      </c>
      <c r="E276" s="141" t="s">
        <v>3247</v>
      </c>
      <c r="F276" s="141" t="s">
        <v>2436</v>
      </c>
      <c r="G276" s="141"/>
      <c r="H276" s="141" t="s">
        <v>353</v>
      </c>
      <c r="I276" s="141"/>
      <c r="J276" s="141" t="s">
        <v>354</v>
      </c>
      <c r="K276" s="141" t="s">
        <v>1126</v>
      </c>
      <c r="L276" s="141"/>
      <c r="M276" s="141"/>
      <c r="N276" s="141" t="s">
        <v>369</v>
      </c>
      <c r="O276" s="141" t="s">
        <v>393</v>
      </c>
      <c r="P276" s="141" t="s">
        <v>424</v>
      </c>
      <c r="Q276" s="141" t="s">
        <v>425</v>
      </c>
      <c r="R276" s="141" t="s">
        <v>361</v>
      </c>
      <c r="S276" s="141" t="s">
        <v>1339</v>
      </c>
      <c r="T276" s="141" t="s">
        <v>3093</v>
      </c>
      <c r="U276" s="141" t="s">
        <v>3093</v>
      </c>
      <c r="V276" s="141"/>
      <c r="W276" s="141"/>
      <c r="X276" s="141"/>
      <c r="Y276" s="141"/>
      <c r="Z276" s="141"/>
      <c r="AA276" s="141"/>
      <c r="AB276" s="141"/>
      <c r="AC276" s="141"/>
      <c r="AD276" s="141"/>
      <c r="AE276" s="141"/>
      <c r="AF276" s="141"/>
      <c r="AG276" s="141"/>
      <c r="AH276" s="141"/>
      <c r="AI276" s="141"/>
      <c r="AJ276" s="141"/>
      <c r="AK276" s="141" t="s">
        <v>354</v>
      </c>
      <c r="AL276" s="141" t="s">
        <v>364</v>
      </c>
      <c r="AM276" s="141" t="s">
        <v>354</v>
      </c>
      <c r="AN276" s="141" t="s">
        <v>2662</v>
      </c>
      <c r="AO276" s="141" t="s">
        <v>3093</v>
      </c>
      <c r="AP276" s="141" t="s">
        <v>2427</v>
      </c>
      <c r="AQ276" s="141" t="s">
        <v>848</v>
      </c>
      <c r="AR276" s="141" t="s">
        <v>408</v>
      </c>
      <c r="AS276" s="141"/>
      <c r="AT276" s="141"/>
      <c r="AU276" s="141"/>
      <c r="AV276" s="141"/>
      <c r="AW276" s="141"/>
      <c r="AX276" s="141"/>
      <c r="AY276" s="141"/>
      <c r="AZ276" s="141"/>
      <c r="BA276" s="141"/>
      <c r="BB276" s="141"/>
      <c r="BC276" s="141"/>
      <c r="BD276" s="141"/>
      <c r="BE276" s="141"/>
      <c r="BF276" s="141"/>
      <c r="BG276" s="141"/>
      <c r="BH276" s="141"/>
      <c r="BI276" s="141"/>
      <c r="BJ276" s="141"/>
      <c r="BK276" s="141"/>
      <c r="BL276" s="141"/>
      <c r="BM276" s="141"/>
      <c r="BN276" s="141"/>
      <c r="BO276" s="141"/>
      <c r="BP276" s="141"/>
      <c r="BQ276" s="141"/>
      <c r="BR276" s="141"/>
      <c r="BS276" s="141"/>
      <c r="BT276" s="141"/>
      <c r="BU276" s="141"/>
      <c r="BV276" s="141"/>
      <c r="BW276" s="141"/>
      <c r="BX276" s="141"/>
      <c r="BY276" s="141"/>
      <c r="BZ276" s="141"/>
      <c r="CA276" s="141"/>
      <c r="CB276" s="141"/>
      <c r="CC276" s="141"/>
      <c r="CD276" s="141"/>
      <c r="CE276" s="141"/>
      <c r="CF276" s="141"/>
      <c r="CG276" s="141"/>
      <c r="CH276" s="141"/>
      <c r="CI276" s="141"/>
      <c r="CJ276" s="141"/>
      <c r="CK276" s="141"/>
      <c r="CL276" s="141"/>
      <c r="CM276" s="141"/>
      <c r="CN276" s="141"/>
      <c r="CO276" s="141"/>
      <c r="CP276" s="141"/>
      <c r="CQ276" s="141"/>
      <c r="CR276" s="141"/>
      <c r="CS276" s="141"/>
      <c r="CT276" s="141"/>
      <c r="CU276" s="141"/>
      <c r="CV276" s="141"/>
      <c r="CW276" s="141"/>
      <c r="CX276" s="141"/>
      <c r="CY276" s="141"/>
      <c r="CZ276" s="141"/>
      <c r="DA276" s="173"/>
    </row>
    <row r="277" spans="2:105" x14ac:dyDescent="0.25">
      <c r="B277" s="172"/>
      <c r="C277" s="141" t="s">
        <v>3248</v>
      </c>
      <c r="D277" s="141" t="s">
        <v>3249</v>
      </c>
      <c r="E277" s="141" t="s">
        <v>1902</v>
      </c>
      <c r="F277" s="141" t="s">
        <v>2447</v>
      </c>
      <c r="G277" s="141"/>
      <c r="H277" s="141" t="s">
        <v>353</v>
      </c>
      <c r="I277" s="141"/>
      <c r="J277" s="141" t="s">
        <v>354</v>
      </c>
      <c r="K277" s="141" t="s">
        <v>1209</v>
      </c>
      <c r="L277" s="141"/>
      <c r="M277" s="141"/>
      <c r="N277" s="141" t="s">
        <v>369</v>
      </c>
      <c r="O277" s="141" t="s">
        <v>369</v>
      </c>
      <c r="P277" s="141" t="s">
        <v>528</v>
      </c>
      <c r="Q277" s="141" t="s">
        <v>529</v>
      </c>
      <c r="R277" s="141" t="s">
        <v>361</v>
      </c>
      <c r="S277" s="141" t="s">
        <v>1339</v>
      </c>
      <c r="T277" s="141" t="s">
        <v>3093</v>
      </c>
      <c r="U277" s="141" t="s">
        <v>3093</v>
      </c>
      <c r="V277" s="141"/>
      <c r="W277" s="141"/>
      <c r="X277" s="141"/>
      <c r="Y277" s="141"/>
      <c r="Z277" s="141"/>
      <c r="AA277" s="141"/>
      <c r="AB277" s="141"/>
      <c r="AC277" s="141"/>
      <c r="AD277" s="141"/>
      <c r="AE277" s="141"/>
      <c r="AF277" s="141"/>
      <c r="AG277" s="141"/>
      <c r="AH277" s="141"/>
      <c r="AI277" s="141"/>
      <c r="AJ277" s="141"/>
      <c r="AK277" s="141" t="s">
        <v>354</v>
      </c>
      <c r="AL277" s="141" t="s">
        <v>364</v>
      </c>
      <c r="AM277" s="141" t="s">
        <v>354</v>
      </c>
      <c r="AN277" s="141" t="s">
        <v>2662</v>
      </c>
      <c r="AO277" s="141" t="s">
        <v>3093</v>
      </c>
      <c r="AP277" s="141" t="s">
        <v>2427</v>
      </c>
      <c r="AQ277" s="141" t="s">
        <v>848</v>
      </c>
      <c r="AR277" s="141" t="s">
        <v>408</v>
      </c>
      <c r="AS277" s="141"/>
      <c r="AT277" s="141"/>
      <c r="AU277" s="141"/>
      <c r="AV277" s="141"/>
      <c r="AW277" s="141"/>
      <c r="AX277" s="141"/>
      <c r="AY277" s="141"/>
      <c r="AZ277" s="141"/>
      <c r="BA277" s="141"/>
      <c r="BB277" s="141"/>
      <c r="BC277" s="141"/>
      <c r="BD277" s="141"/>
      <c r="BE277" s="141"/>
      <c r="BF277" s="141"/>
      <c r="BG277" s="141"/>
      <c r="BH277" s="141"/>
      <c r="BI277" s="141"/>
      <c r="BJ277" s="141"/>
      <c r="BK277" s="141"/>
      <c r="BL277" s="141"/>
      <c r="BM277" s="141"/>
      <c r="BN277" s="141"/>
      <c r="BO277" s="141"/>
      <c r="BP277" s="141"/>
      <c r="BQ277" s="141"/>
      <c r="BR277" s="141"/>
      <c r="BS277" s="141"/>
      <c r="BT277" s="141"/>
      <c r="BU277" s="141"/>
      <c r="BV277" s="141"/>
      <c r="BW277" s="141"/>
      <c r="BX277" s="141"/>
      <c r="BY277" s="141"/>
      <c r="BZ277" s="141"/>
      <c r="CA277" s="141"/>
      <c r="CB277" s="141"/>
      <c r="CC277" s="141"/>
      <c r="CD277" s="141"/>
      <c r="CE277" s="141"/>
      <c r="CF277" s="141"/>
      <c r="CG277" s="141"/>
      <c r="CH277" s="141"/>
      <c r="CI277" s="141"/>
      <c r="CJ277" s="141"/>
      <c r="CK277" s="141"/>
      <c r="CL277" s="141"/>
      <c r="CM277" s="141"/>
      <c r="CN277" s="141"/>
      <c r="CO277" s="141"/>
      <c r="CP277" s="141"/>
      <c r="CQ277" s="141"/>
      <c r="CR277" s="141"/>
      <c r="CS277" s="141"/>
      <c r="CT277" s="141"/>
      <c r="CU277" s="141"/>
      <c r="CV277" s="141"/>
      <c r="CW277" s="141"/>
      <c r="CX277" s="141"/>
      <c r="CY277" s="141"/>
      <c r="CZ277" s="141"/>
      <c r="DA277" s="173"/>
    </row>
    <row r="278" spans="2:105" x14ac:dyDescent="0.25">
      <c r="B278" s="172"/>
      <c r="C278" s="141" t="s">
        <v>3250</v>
      </c>
      <c r="D278" s="141" t="s">
        <v>489</v>
      </c>
      <c r="E278" s="141" t="s">
        <v>3251</v>
      </c>
      <c r="F278" s="141" t="s">
        <v>3252</v>
      </c>
      <c r="G278" s="141"/>
      <c r="H278" s="141" t="s">
        <v>353</v>
      </c>
      <c r="I278" s="141"/>
      <c r="J278" s="141" t="s">
        <v>354</v>
      </c>
      <c r="K278" s="141" t="s">
        <v>472</v>
      </c>
      <c r="L278" s="141"/>
      <c r="M278" s="141"/>
      <c r="N278" s="141" t="s">
        <v>393</v>
      </c>
      <c r="O278" s="141" t="s">
        <v>393</v>
      </c>
      <c r="P278" s="141" t="s">
        <v>424</v>
      </c>
      <c r="Q278" s="141" t="s">
        <v>425</v>
      </c>
      <c r="R278" s="141" t="s">
        <v>361</v>
      </c>
      <c r="S278" s="141" t="s">
        <v>1339</v>
      </c>
      <c r="T278" s="141" t="s">
        <v>3093</v>
      </c>
      <c r="U278" s="141" t="s">
        <v>3093</v>
      </c>
      <c r="V278" s="141"/>
      <c r="W278" s="141"/>
      <c r="X278" s="141"/>
      <c r="Y278" s="141"/>
      <c r="Z278" s="141"/>
      <c r="AA278" s="141"/>
      <c r="AB278" s="141"/>
      <c r="AC278" s="141"/>
      <c r="AD278" s="141"/>
      <c r="AE278" s="141"/>
      <c r="AF278" s="141"/>
      <c r="AG278" s="141"/>
      <c r="AH278" s="141"/>
      <c r="AI278" s="141"/>
      <c r="AJ278" s="141"/>
      <c r="AK278" s="141" t="s">
        <v>354</v>
      </c>
      <c r="AL278" s="141" t="s">
        <v>364</v>
      </c>
      <c r="AM278" s="141" t="s">
        <v>354</v>
      </c>
      <c r="AN278" s="141" t="s">
        <v>2662</v>
      </c>
      <c r="AO278" s="141" t="s">
        <v>3093</v>
      </c>
      <c r="AP278" s="141" t="s">
        <v>2427</v>
      </c>
      <c r="AQ278" s="141" t="s">
        <v>848</v>
      </c>
      <c r="AR278" s="141" t="s">
        <v>408</v>
      </c>
      <c r="AS278" s="141"/>
      <c r="AT278" s="141"/>
      <c r="AU278" s="141"/>
      <c r="AV278" s="141" t="s">
        <v>499</v>
      </c>
      <c r="AW278" s="141" t="s">
        <v>3253</v>
      </c>
      <c r="AX278" s="141" t="s">
        <v>657</v>
      </c>
      <c r="AY278" s="141" t="s">
        <v>3254</v>
      </c>
      <c r="AZ278" s="141"/>
      <c r="BA278" s="141"/>
      <c r="BB278" s="141"/>
      <c r="BC278" s="141"/>
      <c r="BD278" s="141"/>
      <c r="BE278" s="141"/>
      <c r="BF278" s="141"/>
      <c r="BG278" s="141"/>
      <c r="BH278" s="141"/>
      <c r="BI278" s="141"/>
      <c r="BJ278" s="141"/>
      <c r="BK278" s="141"/>
      <c r="BL278" s="141"/>
      <c r="BM278" s="141"/>
      <c r="BN278" s="141"/>
      <c r="BO278" s="141"/>
      <c r="BP278" s="141"/>
      <c r="BQ278" s="141"/>
      <c r="BR278" s="141"/>
      <c r="BS278" s="141"/>
      <c r="BT278" s="141"/>
      <c r="BU278" s="141"/>
      <c r="BV278" s="141"/>
      <c r="BW278" s="141"/>
      <c r="BX278" s="141"/>
      <c r="BY278" s="141"/>
      <c r="BZ278" s="141"/>
      <c r="CA278" s="141"/>
      <c r="CB278" s="141"/>
      <c r="CC278" s="141"/>
      <c r="CD278" s="141"/>
      <c r="CE278" s="141"/>
      <c r="CF278" s="141"/>
      <c r="CG278" s="141"/>
      <c r="CH278" s="141"/>
      <c r="CI278" s="141"/>
      <c r="CJ278" s="141"/>
      <c r="CK278" s="141"/>
      <c r="CL278" s="141"/>
      <c r="CM278" s="141"/>
      <c r="CN278" s="141"/>
      <c r="CO278" s="141"/>
      <c r="CP278" s="141"/>
      <c r="CQ278" s="141"/>
      <c r="CR278" s="141"/>
      <c r="CS278" s="141"/>
      <c r="CT278" s="141"/>
      <c r="CU278" s="141"/>
      <c r="CV278" s="141"/>
      <c r="CW278" s="141"/>
      <c r="CX278" s="141"/>
      <c r="CY278" s="141"/>
      <c r="CZ278" s="141"/>
      <c r="DA278" s="173"/>
    </row>
    <row r="279" spans="2:105" x14ac:dyDescent="0.25">
      <c r="B279" s="172"/>
      <c r="C279" s="141" t="s">
        <v>3255</v>
      </c>
      <c r="D279" s="141" t="s">
        <v>3256</v>
      </c>
      <c r="E279" s="141" t="s">
        <v>3257</v>
      </c>
      <c r="F279" s="141" t="s">
        <v>3172</v>
      </c>
      <c r="G279" s="141"/>
      <c r="H279" s="141" t="s">
        <v>353</v>
      </c>
      <c r="I279" s="141"/>
      <c r="J279" s="141" t="s">
        <v>354</v>
      </c>
      <c r="K279" s="141" t="s">
        <v>438</v>
      </c>
      <c r="L279" s="141"/>
      <c r="M279" s="141"/>
      <c r="N279" s="141" t="s">
        <v>369</v>
      </c>
      <c r="O279" s="141" t="s">
        <v>393</v>
      </c>
      <c r="P279" s="141" t="s">
        <v>424</v>
      </c>
      <c r="Q279" s="141" t="s">
        <v>425</v>
      </c>
      <c r="R279" s="141" t="s">
        <v>361</v>
      </c>
      <c r="S279" s="141" t="s">
        <v>1339</v>
      </c>
      <c r="T279" s="141" t="s">
        <v>3093</v>
      </c>
      <c r="U279" s="141" t="s">
        <v>3093</v>
      </c>
      <c r="V279" s="141"/>
      <c r="W279" s="141"/>
      <c r="X279" s="141"/>
      <c r="Y279" s="141"/>
      <c r="Z279" s="141"/>
      <c r="AA279" s="141"/>
      <c r="AB279" s="141"/>
      <c r="AC279" s="141"/>
      <c r="AD279" s="141"/>
      <c r="AE279" s="141"/>
      <c r="AF279" s="141"/>
      <c r="AG279" s="141"/>
      <c r="AH279" s="141"/>
      <c r="AI279" s="141"/>
      <c r="AJ279" s="141"/>
      <c r="AK279" s="141" t="s">
        <v>354</v>
      </c>
      <c r="AL279" s="141" t="s">
        <v>364</v>
      </c>
      <c r="AM279" s="141" t="s">
        <v>354</v>
      </c>
      <c r="AN279" s="141" t="s">
        <v>2662</v>
      </c>
      <c r="AO279" s="141" t="s">
        <v>3093</v>
      </c>
      <c r="AP279" s="141" t="s">
        <v>2427</v>
      </c>
      <c r="AQ279" s="141" t="s">
        <v>848</v>
      </c>
      <c r="AR279" s="141" t="s">
        <v>408</v>
      </c>
      <c r="AS279" s="141"/>
      <c r="AT279" s="141"/>
      <c r="AU279" s="141"/>
      <c r="AV279" s="141"/>
      <c r="AW279" s="141"/>
      <c r="AX279" s="141"/>
      <c r="AY279" s="141"/>
      <c r="AZ279" s="141"/>
      <c r="BA279" s="141"/>
      <c r="BB279" s="141"/>
      <c r="BC279" s="141"/>
      <c r="BD279" s="141"/>
      <c r="BE279" s="141"/>
      <c r="BF279" s="141"/>
      <c r="BG279" s="141"/>
      <c r="BH279" s="141"/>
      <c r="BI279" s="141"/>
      <c r="BJ279" s="141"/>
      <c r="BK279" s="141"/>
      <c r="BL279" s="141"/>
      <c r="BM279" s="141"/>
      <c r="BN279" s="141"/>
      <c r="BO279" s="141"/>
      <c r="BP279" s="141"/>
      <c r="BQ279" s="141"/>
      <c r="BR279" s="141"/>
      <c r="BS279" s="141"/>
      <c r="BT279" s="141"/>
      <c r="BU279" s="141"/>
      <c r="BV279" s="141"/>
      <c r="BW279" s="141"/>
      <c r="BX279" s="141"/>
      <c r="BY279" s="141"/>
      <c r="BZ279" s="141"/>
      <c r="CA279" s="141"/>
      <c r="CB279" s="141"/>
      <c r="CC279" s="141"/>
      <c r="CD279" s="141"/>
      <c r="CE279" s="141"/>
      <c r="CF279" s="141"/>
      <c r="CG279" s="141"/>
      <c r="CH279" s="141"/>
      <c r="CI279" s="141"/>
      <c r="CJ279" s="141"/>
      <c r="CK279" s="141"/>
      <c r="CL279" s="141"/>
      <c r="CM279" s="141"/>
      <c r="CN279" s="141"/>
      <c r="CO279" s="141"/>
      <c r="CP279" s="141"/>
      <c r="CQ279" s="141"/>
      <c r="CR279" s="141"/>
      <c r="CS279" s="141"/>
      <c r="CT279" s="141"/>
      <c r="CU279" s="141"/>
      <c r="CV279" s="141"/>
      <c r="CW279" s="141"/>
      <c r="CX279" s="141"/>
      <c r="CY279" s="141"/>
      <c r="CZ279" s="141"/>
      <c r="DA279" s="173"/>
    </row>
    <row r="280" spans="2:105" x14ac:dyDescent="0.25">
      <c r="B280" s="172"/>
      <c r="C280" s="141" t="s">
        <v>3258</v>
      </c>
      <c r="D280" s="141" t="s">
        <v>3259</v>
      </c>
      <c r="E280" s="141" t="s">
        <v>3260</v>
      </c>
      <c r="F280" s="141" t="s">
        <v>3261</v>
      </c>
      <c r="G280" s="141"/>
      <c r="H280" s="141" t="s">
        <v>353</v>
      </c>
      <c r="I280" s="141"/>
      <c r="J280" s="141" t="s">
        <v>354</v>
      </c>
      <c r="K280" s="141" t="s">
        <v>2305</v>
      </c>
      <c r="L280" s="141" t="s">
        <v>3262</v>
      </c>
      <c r="M280" s="141" t="s">
        <v>3263</v>
      </c>
      <c r="N280" s="141" t="s">
        <v>354</v>
      </c>
      <c r="O280" s="141" t="s">
        <v>369</v>
      </c>
      <c r="P280" s="141" t="s">
        <v>528</v>
      </c>
      <c r="Q280" s="141" t="s">
        <v>529</v>
      </c>
      <c r="R280" s="141" t="s">
        <v>361</v>
      </c>
      <c r="S280" s="141" t="s">
        <v>1324</v>
      </c>
      <c r="T280" s="141" t="s">
        <v>3264</v>
      </c>
      <c r="U280" s="141" t="s">
        <v>3264</v>
      </c>
      <c r="V280" s="141"/>
      <c r="W280" s="141"/>
      <c r="X280" s="141"/>
      <c r="Y280" s="141"/>
      <c r="Z280" s="141"/>
      <c r="AA280" s="141"/>
      <c r="AB280" s="141"/>
      <c r="AC280" s="141"/>
      <c r="AD280" s="141"/>
      <c r="AE280" s="141"/>
      <c r="AF280" s="141"/>
      <c r="AG280" s="141"/>
      <c r="AH280" s="141"/>
      <c r="AI280" s="141"/>
      <c r="AJ280" s="141"/>
      <c r="AK280" s="141" t="s">
        <v>354</v>
      </c>
      <c r="AL280" s="141" t="s">
        <v>364</v>
      </c>
      <c r="AM280" s="141" t="s">
        <v>354</v>
      </c>
      <c r="AN280" s="141" t="s">
        <v>772</v>
      </c>
      <c r="AO280" s="141" t="s">
        <v>3264</v>
      </c>
      <c r="AP280" s="141" t="s">
        <v>3265</v>
      </c>
      <c r="AQ280" s="141" t="s">
        <v>2929</v>
      </c>
      <c r="AR280" s="141" t="s">
        <v>408</v>
      </c>
      <c r="AS280" s="141" t="s">
        <v>369</v>
      </c>
      <c r="AT280" s="141"/>
      <c r="AU280" s="141" t="s">
        <v>3262</v>
      </c>
      <c r="AV280" s="141" t="s">
        <v>2637</v>
      </c>
      <c r="AW280" s="141" t="s">
        <v>3266</v>
      </c>
      <c r="AX280" s="141" t="s">
        <v>763</v>
      </c>
      <c r="AY280" s="141" t="s">
        <v>3267</v>
      </c>
      <c r="AZ280" s="141" t="s">
        <v>908</v>
      </c>
      <c r="BA280" s="141" t="s">
        <v>3268</v>
      </c>
      <c r="BB280" s="141" t="s">
        <v>902</v>
      </c>
      <c r="BC280" s="141" t="s">
        <v>3269</v>
      </c>
      <c r="BD280" s="141" t="s">
        <v>904</v>
      </c>
      <c r="BE280" s="141" t="s">
        <v>3039</v>
      </c>
      <c r="BF280" s="141" t="s">
        <v>1966</v>
      </c>
      <c r="BG280" s="141" t="s">
        <v>390</v>
      </c>
      <c r="BH280" s="141" t="s">
        <v>912</v>
      </c>
      <c r="BI280" s="141" t="s">
        <v>3270</v>
      </c>
      <c r="BJ280" s="141" t="s">
        <v>382</v>
      </c>
      <c r="BK280" s="141" t="s">
        <v>1340</v>
      </c>
      <c r="BL280" s="141"/>
      <c r="BM280" s="141"/>
      <c r="BN280" s="141"/>
      <c r="BO280" s="141"/>
      <c r="BP280" s="141"/>
      <c r="BQ280" s="141"/>
      <c r="BR280" s="141"/>
      <c r="BS280" s="141"/>
      <c r="BT280" s="141"/>
      <c r="BU280" s="141"/>
      <c r="BV280" s="141"/>
      <c r="BW280" s="141"/>
      <c r="BX280" s="141"/>
      <c r="BY280" s="141"/>
      <c r="BZ280" s="141"/>
      <c r="CA280" s="141"/>
      <c r="CB280" s="141"/>
      <c r="CC280" s="141"/>
      <c r="CD280" s="141"/>
      <c r="CE280" s="141"/>
      <c r="CF280" s="141"/>
      <c r="CG280" s="141"/>
      <c r="CH280" s="141"/>
      <c r="CI280" s="141"/>
      <c r="CJ280" s="141"/>
      <c r="CK280" s="141"/>
      <c r="CL280" s="141"/>
      <c r="CM280" s="141"/>
      <c r="CN280" s="141"/>
      <c r="CO280" s="141"/>
      <c r="CP280" s="141"/>
      <c r="CQ280" s="141"/>
      <c r="CR280" s="141"/>
      <c r="CS280" s="141"/>
      <c r="CT280" s="141"/>
      <c r="CU280" s="141"/>
      <c r="CV280" s="141"/>
      <c r="CW280" s="141"/>
      <c r="CX280" s="141"/>
      <c r="CY280" s="141"/>
      <c r="CZ280" s="141"/>
      <c r="DA280" s="173"/>
    </row>
    <row r="281" spans="2:105" x14ac:dyDescent="0.25">
      <c r="B281" s="172"/>
      <c r="C281" s="141" t="s">
        <v>3271</v>
      </c>
      <c r="D281" s="141" t="s">
        <v>3272</v>
      </c>
      <c r="E281" s="141" t="s">
        <v>588</v>
      </c>
      <c r="F281" s="141" t="s">
        <v>3273</v>
      </c>
      <c r="G281" s="141"/>
      <c r="H281" s="141" t="s">
        <v>353</v>
      </c>
      <c r="I281" s="141"/>
      <c r="J281" s="141" t="s">
        <v>354</v>
      </c>
      <c r="K281" s="141" t="s">
        <v>2325</v>
      </c>
      <c r="L281" s="141" t="s">
        <v>3033</v>
      </c>
      <c r="M281" s="141" t="s">
        <v>3274</v>
      </c>
      <c r="N281" s="141" t="s">
        <v>354</v>
      </c>
      <c r="O281" s="141" t="s">
        <v>358</v>
      </c>
      <c r="P281" s="141" t="s">
        <v>359</v>
      </c>
      <c r="Q281" s="141" t="s">
        <v>360</v>
      </c>
      <c r="R281" s="141" t="s">
        <v>361</v>
      </c>
      <c r="S281" s="141" t="s">
        <v>1324</v>
      </c>
      <c r="T281" s="141" t="s">
        <v>3264</v>
      </c>
      <c r="U281" s="141" t="s">
        <v>3264</v>
      </c>
      <c r="V281" s="141"/>
      <c r="W281" s="141"/>
      <c r="X281" s="141"/>
      <c r="Y281" s="141"/>
      <c r="Z281" s="141"/>
      <c r="AA281" s="141"/>
      <c r="AB281" s="141"/>
      <c r="AC281" s="141"/>
      <c r="AD281" s="141"/>
      <c r="AE281" s="141"/>
      <c r="AF281" s="141"/>
      <c r="AG281" s="141"/>
      <c r="AH281" s="141"/>
      <c r="AI281" s="141"/>
      <c r="AJ281" s="141"/>
      <c r="AK281" s="141" t="s">
        <v>354</v>
      </c>
      <c r="AL281" s="141" t="s">
        <v>364</v>
      </c>
      <c r="AM281" s="141" t="s">
        <v>354</v>
      </c>
      <c r="AN281" s="141" t="s">
        <v>772</v>
      </c>
      <c r="AO281" s="141" t="s">
        <v>3264</v>
      </c>
      <c r="AP281" s="141" t="s">
        <v>3265</v>
      </c>
      <c r="AQ281" s="141" t="s">
        <v>2929</v>
      </c>
      <c r="AR281" s="141" t="s">
        <v>408</v>
      </c>
      <c r="AS281" s="141" t="s">
        <v>393</v>
      </c>
      <c r="AT281" s="141"/>
      <c r="AU281" s="141" t="s">
        <v>3033</v>
      </c>
      <c r="AV281" s="141" t="s">
        <v>2637</v>
      </c>
      <c r="AW281" s="141" t="s">
        <v>2258</v>
      </c>
      <c r="AX281" s="141" t="s">
        <v>763</v>
      </c>
      <c r="AY281" s="141" t="s">
        <v>609</v>
      </c>
      <c r="AZ281" s="141" t="s">
        <v>908</v>
      </c>
      <c r="BA281" s="141" t="s">
        <v>1157</v>
      </c>
      <c r="BB281" s="141" t="s">
        <v>902</v>
      </c>
      <c r="BC281" s="141" t="s">
        <v>3275</v>
      </c>
      <c r="BD281" s="141" t="s">
        <v>904</v>
      </c>
      <c r="BE281" s="141" t="s">
        <v>3276</v>
      </c>
      <c r="BF281" s="141" t="s">
        <v>1966</v>
      </c>
      <c r="BG281" s="141" t="s">
        <v>1282</v>
      </c>
      <c r="BH281" s="141" t="s">
        <v>912</v>
      </c>
      <c r="BI281" s="141" t="s">
        <v>3277</v>
      </c>
      <c r="BJ281" s="141" t="s">
        <v>382</v>
      </c>
      <c r="BK281" s="141" t="s">
        <v>3144</v>
      </c>
      <c r="BL281" s="141"/>
      <c r="BM281" s="141"/>
      <c r="BN281" s="141"/>
      <c r="BO281" s="141"/>
      <c r="BP281" s="141"/>
      <c r="BQ281" s="141"/>
      <c r="BR281" s="141"/>
      <c r="BS281" s="141"/>
      <c r="BT281" s="141"/>
      <c r="BU281" s="141"/>
      <c r="BV281" s="141"/>
      <c r="BW281" s="141"/>
      <c r="BX281" s="141"/>
      <c r="BY281" s="141"/>
      <c r="BZ281" s="141"/>
      <c r="CA281" s="141"/>
      <c r="CB281" s="141"/>
      <c r="CC281" s="141"/>
      <c r="CD281" s="141"/>
      <c r="CE281" s="141"/>
      <c r="CF281" s="141"/>
      <c r="CG281" s="141"/>
      <c r="CH281" s="141"/>
      <c r="CI281" s="141"/>
      <c r="CJ281" s="141"/>
      <c r="CK281" s="141"/>
      <c r="CL281" s="141"/>
      <c r="CM281" s="141"/>
      <c r="CN281" s="141"/>
      <c r="CO281" s="141"/>
      <c r="CP281" s="141"/>
      <c r="CQ281" s="141"/>
      <c r="CR281" s="141"/>
      <c r="CS281" s="141"/>
      <c r="CT281" s="141"/>
      <c r="CU281" s="141"/>
      <c r="CV281" s="141"/>
      <c r="CW281" s="141"/>
      <c r="CX281" s="141"/>
      <c r="CY281" s="141"/>
      <c r="CZ281" s="141"/>
      <c r="DA281" s="173"/>
    </row>
    <row r="282" spans="2:105" x14ac:dyDescent="0.25">
      <c r="B282" s="172"/>
      <c r="C282" s="141" t="s">
        <v>3278</v>
      </c>
      <c r="D282" s="141" t="s">
        <v>3279</v>
      </c>
      <c r="E282" s="141" t="s">
        <v>3280</v>
      </c>
      <c r="F282" s="141" t="s">
        <v>3238</v>
      </c>
      <c r="G282" s="141"/>
      <c r="H282" s="141" t="s">
        <v>353</v>
      </c>
      <c r="I282" s="141"/>
      <c r="J282" s="141" t="s">
        <v>354</v>
      </c>
      <c r="K282" s="141" t="s">
        <v>2207</v>
      </c>
      <c r="L282" s="141" t="s">
        <v>3281</v>
      </c>
      <c r="M282" s="141" t="s">
        <v>3282</v>
      </c>
      <c r="N282" s="141" t="s">
        <v>354</v>
      </c>
      <c r="O282" s="141" t="s">
        <v>391</v>
      </c>
      <c r="P282" s="141" t="s">
        <v>392</v>
      </c>
      <c r="Q282" s="141" t="s">
        <v>392</v>
      </c>
      <c r="R282" s="141" t="s">
        <v>361</v>
      </c>
      <c r="S282" s="141" t="s">
        <v>1324</v>
      </c>
      <c r="T282" s="141" t="s">
        <v>3264</v>
      </c>
      <c r="U282" s="141" t="s">
        <v>3264</v>
      </c>
      <c r="V282" s="141"/>
      <c r="W282" s="141"/>
      <c r="X282" s="141"/>
      <c r="Y282" s="141"/>
      <c r="Z282" s="141"/>
      <c r="AA282" s="141"/>
      <c r="AB282" s="141"/>
      <c r="AC282" s="141"/>
      <c r="AD282" s="141"/>
      <c r="AE282" s="141"/>
      <c r="AF282" s="141"/>
      <c r="AG282" s="141"/>
      <c r="AH282" s="141"/>
      <c r="AI282" s="141"/>
      <c r="AJ282" s="141"/>
      <c r="AK282" s="141" t="s">
        <v>354</v>
      </c>
      <c r="AL282" s="141" t="s">
        <v>364</v>
      </c>
      <c r="AM282" s="141" t="s">
        <v>354</v>
      </c>
      <c r="AN282" s="141" t="s">
        <v>772</v>
      </c>
      <c r="AO282" s="141" t="s">
        <v>3264</v>
      </c>
      <c r="AP282" s="141" t="s">
        <v>3265</v>
      </c>
      <c r="AQ282" s="141" t="s">
        <v>2929</v>
      </c>
      <c r="AR282" s="141" t="s">
        <v>408</v>
      </c>
      <c r="AS282" s="141" t="s">
        <v>358</v>
      </c>
      <c r="AT282" s="141"/>
      <c r="AU282" s="141" t="s">
        <v>3281</v>
      </c>
      <c r="AV282" s="141" t="s">
        <v>2637</v>
      </c>
      <c r="AW282" s="141" t="s">
        <v>2951</v>
      </c>
      <c r="AX282" s="141" t="s">
        <v>763</v>
      </c>
      <c r="AY282" s="141" t="s">
        <v>2296</v>
      </c>
      <c r="AZ282" s="141" t="s">
        <v>908</v>
      </c>
      <c r="BA282" s="141" t="s">
        <v>3283</v>
      </c>
      <c r="BB282" s="141" t="s">
        <v>902</v>
      </c>
      <c r="BC282" s="141" t="s">
        <v>1079</v>
      </c>
      <c r="BD282" s="141" t="s">
        <v>904</v>
      </c>
      <c r="BE282" s="141" t="s">
        <v>3284</v>
      </c>
      <c r="BF282" s="141" t="s">
        <v>1966</v>
      </c>
      <c r="BG282" s="141" t="s">
        <v>3285</v>
      </c>
      <c r="BH282" s="141" t="s">
        <v>912</v>
      </c>
      <c r="BI282" s="141" t="s">
        <v>3286</v>
      </c>
      <c r="BJ282" s="141" t="s">
        <v>382</v>
      </c>
      <c r="BK282" s="141" t="s">
        <v>2884</v>
      </c>
      <c r="BL282" s="141"/>
      <c r="BM282" s="141"/>
      <c r="BN282" s="141"/>
      <c r="BO282" s="141"/>
      <c r="BP282" s="141"/>
      <c r="BQ282" s="141"/>
      <c r="BR282" s="141"/>
      <c r="BS282" s="141"/>
      <c r="BT282" s="141"/>
      <c r="BU282" s="141"/>
      <c r="BV282" s="141"/>
      <c r="BW282" s="141"/>
      <c r="BX282" s="141"/>
      <c r="BY282" s="141"/>
      <c r="BZ282" s="141"/>
      <c r="CA282" s="141"/>
      <c r="CB282" s="141"/>
      <c r="CC282" s="141"/>
      <c r="CD282" s="141"/>
      <c r="CE282" s="141"/>
      <c r="CF282" s="141"/>
      <c r="CG282" s="141"/>
      <c r="CH282" s="141"/>
      <c r="CI282" s="141"/>
      <c r="CJ282" s="141"/>
      <c r="CK282" s="141"/>
      <c r="CL282" s="141"/>
      <c r="CM282" s="141"/>
      <c r="CN282" s="141"/>
      <c r="CO282" s="141"/>
      <c r="CP282" s="141"/>
      <c r="CQ282" s="141"/>
      <c r="CR282" s="141"/>
      <c r="CS282" s="141"/>
      <c r="CT282" s="141"/>
      <c r="CU282" s="141"/>
      <c r="CV282" s="141"/>
      <c r="CW282" s="141"/>
      <c r="CX282" s="141"/>
      <c r="CY282" s="141"/>
      <c r="CZ282" s="141"/>
      <c r="DA282" s="173"/>
    </row>
    <row r="283" spans="2:105" x14ac:dyDescent="0.25">
      <c r="B283" s="172"/>
      <c r="C283" s="141" t="s">
        <v>3287</v>
      </c>
      <c r="D283" s="141" t="s">
        <v>3288</v>
      </c>
      <c r="E283" s="141" t="s">
        <v>3289</v>
      </c>
      <c r="F283" s="141" t="s">
        <v>3290</v>
      </c>
      <c r="G283" s="141"/>
      <c r="H283" s="141" t="s">
        <v>353</v>
      </c>
      <c r="I283" s="141"/>
      <c r="J283" s="141" t="s">
        <v>354</v>
      </c>
      <c r="K283" s="141" t="s">
        <v>2191</v>
      </c>
      <c r="L283" s="141" t="s">
        <v>3291</v>
      </c>
      <c r="M283" s="141" t="s">
        <v>3292</v>
      </c>
      <c r="N283" s="141" t="s">
        <v>354</v>
      </c>
      <c r="O283" s="141" t="s">
        <v>369</v>
      </c>
      <c r="P283" s="141" t="s">
        <v>528</v>
      </c>
      <c r="Q283" s="141" t="s">
        <v>529</v>
      </c>
      <c r="R283" s="141" t="s">
        <v>361</v>
      </c>
      <c r="S283" s="141" t="s">
        <v>1324</v>
      </c>
      <c r="T283" s="141" t="s">
        <v>3264</v>
      </c>
      <c r="U283" s="141" t="s">
        <v>3264</v>
      </c>
      <c r="V283" s="141"/>
      <c r="W283" s="141"/>
      <c r="X283" s="141"/>
      <c r="Y283" s="141"/>
      <c r="Z283" s="141"/>
      <c r="AA283" s="141"/>
      <c r="AB283" s="141"/>
      <c r="AC283" s="141"/>
      <c r="AD283" s="141"/>
      <c r="AE283" s="141"/>
      <c r="AF283" s="141"/>
      <c r="AG283" s="141"/>
      <c r="AH283" s="141"/>
      <c r="AI283" s="141"/>
      <c r="AJ283" s="141"/>
      <c r="AK283" s="141" t="s">
        <v>354</v>
      </c>
      <c r="AL283" s="141" t="s">
        <v>364</v>
      </c>
      <c r="AM283" s="141" t="s">
        <v>354</v>
      </c>
      <c r="AN283" s="141" t="s">
        <v>772</v>
      </c>
      <c r="AO283" s="141" t="s">
        <v>3264</v>
      </c>
      <c r="AP283" s="141" t="s">
        <v>3265</v>
      </c>
      <c r="AQ283" s="141" t="s">
        <v>2929</v>
      </c>
      <c r="AR283" s="141" t="s">
        <v>408</v>
      </c>
      <c r="AS283" s="141" t="s">
        <v>426</v>
      </c>
      <c r="AT283" s="141"/>
      <c r="AU283" s="141" t="s">
        <v>3291</v>
      </c>
      <c r="AV283" s="141" t="s">
        <v>2637</v>
      </c>
      <c r="AW283" s="141" t="s">
        <v>3293</v>
      </c>
      <c r="AX283" s="141" t="s">
        <v>763</v>
      </c>
      <c r="AY283" s="141" t="s">
        <v>3294</v>
      </c>
      <c r="AZ283" s="141" t="s">
        <v>908</v>
      </c>
      <c r="BA283" s="141" t="s">
        <v>3295</v>
      </c>
      <c r="BB283" s="141" t="s">
        <v>902</v>
      </c>
      <c r="BC283" s="141" t="s">
        <v>3296</v>
      </c>
      <c r="BD283" s="141" t="s">
        <v>904</v>
      </c>
      <c r="BE283" s="141" t="s">
        <v>681</v>
      </c>
      <c r="BF283" s="141" t="s">
        <v>1966</v>
      </c>
      <c r="BG283" s="141" t="s">
        <v>1689</v>
      </c>
      <c r="BH283" s="141" t="s">
        <v>912</v>
      </c>
      <c r="BI283" s="141" t="s">
        <v>963</v>
      </c>
      <c r="BJ283" s="141" t="s">
        <v>382</v>
      </c>
      <c r="BK283" s="141" t="s">
        <v>2077</v>
      </c>
      <c r="BL283" s="141"/>
      <c r="BM283" s="141"/>
      <c r="BN283" s="141"/>
      <c r="BO283" s="141"/>
      <c r="BP283" s="141"/>
      <c r="BQ283" s="141"/>
      <c r="BR283" s="141"/>
      <c r="BS283" s="141"/>
      <c r="BT283" s="141"/>
      <c r="BU283" s="141"/>
      <c r="BV283" s="141"/>
      <c r="BW283" s="141"/>
      <c r="BX283" s="141"/>
      <c r="BY283" s="141"/>
      <c r="BZ283" s="141"/>
      <c r="CA283" s="141"/>
      <c r="CB283" s="141"/>
      <c r="CC283" s="141"/>
      <c r="CD283" s="141"/>
      <c r="CE283" s="141"/>
      <c r="CF283" s="141"/>
      <c r="CG283" s="141"/>
      <c r="CH283" s="141"/>
      <c r="CI283" s="141"/>
      <c r="CJ283" s="141"/>
      <c r="CK283" s="141"/>
      <c r="CL283" s="141"/>
      <c r="CM283" s="141"/>
      <c r="CN283" s="141"/>
      <c r="CO283" s="141"/>
      <c r="CP283" s="141"/>
      <c r="CQ283" s="141"/>
      <c r="CR283" s="141"/>
      <c r="CS283" s="141"/>
      <c r="CT283" s="141"/>
      <c r="CU283" s="141"/>
      <c r="CV283" s="141"/>
      <c r="CW283" s="141"/>
      <c r="CX283" s="141"/>
      <c r="CY283" s="141"/>
      <c r="CZ283" s="141"/>
      <c r="DA283" s="173"/>
    </row>
    <row r="284" spans="2:105" x14ac:dyDescent="0.25">
      <c r="B284" s="172"/>
      <c r="C284" s="141" t="s">
        <v>3297</v>
      </c>
      <c r="D284" s="141" t="s">
        <v>3298</v>
      </c>
      <c r="E284" s="141" t="s">
        <v>3299</v>
      </c>
      <c r="F284" s="141" t="s">
        <v>3300</v>
      </c>
      <c r="G284" s="141"/>
      <c r="H284" s="141" t="s">
        <v>353</v>
      </c>
      <c r="I284" s="141"/>
      <c r="J284" s="141" t="s">
        <v>354</v>
      </c>
      <c r="K284" s="141" t="s">
        <v>2358</v>
      </c>
      <c r="L284" s="141" t="s">
        <v>3301</v>
      </c>
      <c r="M284" s="141" t="s">
        <v>789</v>
      </c>
      <c r="N284" s="141" t="s">
        <v>354</v>
      </c>
      <c r="O284" s="141" t="s">
        <v>369</v>
      </c>
      <c r="P284" s="141" t="s">
        <v>528</v>
      </c>
      <c r="Q284" s="141" t="s">
        <v>529</v>
      </c>
      <c r="R284" s="141" t="s">
        <v>361</v>
      </c>
      <c r="S284" s="141" t="s">
        <v>1324</v>
      </c>
      <c r="T284" s="141" t="s">
        <v>3264</v>
      </c>
      <c r="U284" s="141" t="s">
        <v>3264</v>
      </c>
      <c r="V284" s="141"/>
      <c r="W284" s="141"/>
      <c r="X284" s="141"/>
      <c r="Y284" s="141"/>
      <c r="Z284" s="141"/>
      <c r="AA284" s="141"/>
      <c r="AB284" s="141"/>
      <c r="AC284" s="141"/>
      <c r="AD284" s="141"/>
      <c r="AE284" s="141"/>
      <c r="AF284" s="141"/>
      <c r="AG284" s="141"/>
      <c r="AH284" s="141"/>
      <c r="AI284" s="141"/>
      <c r="AJ284" s="141"/>
      <c r="AK284" s="141" t="s">
        <v>354</v>
      </c>
      <c r="AL284" s="141" t="s">
        <v>364</v>
      </c>
      <c r="AM284" s="141" t="s">
        <v>354</v>
      </c>
      <c r="AN284" s="141" t="s">
        <v>772</v>
      </c>
      <c r="AO284" s="141" t="s">
        <v>3264</v>
      </c>
      <c r="AP284" s="141" t="s">
        <v>3265</v>
      </c>
      <c r="AQ284" s="141" t="s">
        <v>2929</v>
      </c>
      <c r="AR284" s="141" t="s">
        <v>408</v>
      </c>
      <c r="AS284" s="141" t="s">
        <v>441</v>
      </c>
      <c r="AT284" s="141"/>
      <c r="AU284" s="141" t="s">
        <v>3301</v>
      </c>
      <c r="AV284" s="141" t="s">
        <v>2637</v>
      </c>
      <c r="AW284" s="141" t="s">
        <v>1766</v>
      </c>
      <c r="AX284" s="141" t="s">
        <v>763</v>
      </c>
      <c r="AY284" s="141" t="s">
        <v>3302</v>
      </c>
      <c r="AZ284" s="141" t="s">
        <v>908</v>
      </c>
      <c r="BA284" s="141" t="s">
        <v>429</v>
      </c>
      <c r="BB284" s="141" t="s">
        <v>902</v>
      </c>
      <c r="BC284" s="141" t="s">
        <v>1240</v>
      </c>
      <c r="BD284" s="141" t="s">
        <v>904</v>
      </c>
      <c r="BE284" s="141" t="s">
        <v>3303</v>
      </c>
      <c r="BF284" s="141" t="s">
        <v>1966</v>
      </c>
      <c r="BG284" s="141" t="s">
        <v>3105</v>
      </c>
      <c r="BH284" s="141" t="s">
        <v>912</v>
      </c>
      <c r="BI284" s="141" t="s">
        <v>3304</v>
      </c>
      <c r="BJ284" s="141" t="s">
        <v>382</v>
      </c>
      <c r="BK284" s="141" t="s">
        <v>3305</v>
      </c>
      <c r="BL284" s="141"/>
      <c r="BM284" s="141"/>
      <c r="BN284" s="141"/>
      <c r="BO284" s="141"/>
      <c r="BP284" s="141"/>
      <c r="BQ284" s="141"/>
      <c r="BR284" s="141"/>
      <c r="BS284" s="141"/>
      <c r="BT284" s="141"/>
      <c r="BU284" s="141"/>
      <c r="BV284" s="141"/>
      <c r="BW284" s="141"/>
      <c r="BX284" s="141"/>
      <c r="BY284" s="141"/>
      <c r="BZ284" s="141"/>
      <c r="CA284" s="141"/>
      <c r="CB284" s="141"/>
      <c r="CC284" s="141"/>
      <c r="CD284" s="141"/>
      <c r="CE284" s="141"/>
      <c r="CF284" s="141"/>
      <c r="CG284" s="141"/>
      <c r="CH284" s="141"/>
      <c r="CI284" s="141"/>
      <c r="CJ284" s="141"/>
      <c r="CK284" s="141"/>
      <c r="CL284" s="141"/>
      <c r="CM284" s="141"/>
      <c r="CN284" s="141"/>
      <c r="CO284" s="141"/>
      <c r="CP284" s="141"/>
      <c r="CQ284" s="141"/>
      <c r="CR284" s="141"/>
      <c r="CS284" s="141"/>
      <c r="CT284" s="141"/>
      <c r="CU284" s="141"/>
      <c r="CV284" s="141"/>
      <c r="CW284" s="141"/>
      <c r="CX284" s="141"/>
      <c r="CY284" s="141"/>
      <c r="CZ284" s="141"/>
      <c r="DA284" s="173"/>
    </row>
    <row r="285" spans="2:105" x14ac:dyDescent="0.25">
      <c r="B285" s="172"/>
      <c r="C285" s="141" t="s">
        <v>3306</v>
      </c>
      <c r="D285" s="141" t="s">
        <v>3307</v>
      </c>
      <c r="E285" s="141" t="s">
        <v>3308</v>
      </c>
      <c r="F285" s="141" t="s">
        <v>3309</v>
      </c>
      <c r="G285" s="141"/>
      <c r="H285" s="141" t="s">
        <v>353</v>
      </c>
      <c r="I285" s="141"/>
      <c r="J285" s="141" t="s">
        <v>354</v>
      </c>
      <c r="K285" s="141" t="s">
        <v>963</v>
      </c>
      <c r="L285" s="141" t="s">
        <v>3310</v>
      </c>
      <c r="M285" s="141" t="s">
        <v>3175</v>
      </c>
      <c r="N285" s="141" t="s">
        <v>354</v>
      </c>
      <c r="O285" s="141" t="s">
        <v>426</v>
      </c>
      <c r="P285" s="141" t="s">
        <v>454</v>
      </c>
      <c r="Q285" s="141" t="s">
        <v>455</v>
      </c>
      <c r="R285" s="141" t="s">
        <v>361</v>
      </c>
      <c r="S285" s="141" t="s">
        <v>1324</v>
      </c>
      <c r="T285" s="141" t="s">
        <v>3264</v>
      </c>
      <c r="U285" s="141" t="s">
        <v>3264</v>
      </c>
      <c r="V285" s="141"/>
      <c r="W285" s="141"/>
      <c r="X285" s="141"/>
      <c r="Y285" s="141"/>
      <c r="Z285" s="141"/>
      <c r="AA285" s="141"/>
      <c r="AB285" s="141"/>
      <c r="AC285" s="141"/>
      <c r="AD285" s="141"/>
      <c r="AE285" s="141"/>
      <c r="AF285" s="141"/>
      <c r="AG285" s="141"/>
      <c r="AH285" s="141"/>
      <c r="AI285" s="141"/>
      <c r="AJ285" s="141"/>
      <c r="AK285" s="141" t="s">
        <v>354</v>
      </c>
      <c r="AL285" s="141" t="s">
        <v>364</v>
      </c>
      <c r="AM285" s="141" t="s">
        <v>354</v>
      </c>
      <c r="AN285" s="141" t="s">
        <v>772</v>
      </c>
      <c r="AO285" s="141" t="s">
        <v>3264</v>
      </c>
      <c r="AP285" s="141" t="s">
        <v>3265</v>
      </c>
      <c r="AQ285" s="141" t="s">
        <v>2929</v>
      </c>
      <c r="AR285" s="141" t="s">
        <v>408</v>
      </c>
      <c r="AS285" s="141" t="s">
        <v>391</v>
      </c>
      <c r="AT285" s="141"/>
      <c r="AU285" s="141" t="s">
        <v>3310</v>
      </c>
      <c r="AV285" s="141" t="s">
        <v>2637</v>
      </c>
      <c r="AW285" s="141" t="s">
        <v>3311</v>
      </c>
      <c r="AX285" s="141" t="s">
        <v>763</v>
      </c>
      <c r="AY285" s="141" t="s">
        <v>3312</v>
      </c>
      <c r="AZ285" s="141" t="s">
        <v>908</v>
      </c>
      <c r="BA285" s="141" t="s">
        <v>3313</v>
      </c>
      <c r="BB285" s="141" t="s">
        <v>902</v>
      </c>
      <c r="BC285" s="141" t="s">
        <v>3263</v>
      </c>
      <c r="BD285" s="141" t="s">
        <v>904</v>
      </c>
      <c r="BE285" s="141" t="s">
        <v>3314</v>
      </c>
      <c r="BF285" s="141" t="s">
        <v>1966</v>
      </c>
      <c r="BG285" s="141" t="s">
        <v>3315</v>
      </c>
      <c r="BH285" s="141" t="s">
        <v>912</v>
      </c>
      <c r="BI285" s="141" t="s">
        <v>3316</v>
      </c>
      <c r="BJ285" s="141" t="s">
        <v>382</v>
      </c>
      <c r="BK285" s="141" t="s">
        <v>2796</v>
      </c>
      <c r="BL285" s="141"/>
      <c r="BM285" s="141"/>
      <c r="BN285" s="141"/>
      <c r="BO285" s="141"/>
      <c r="BP285" s="141"/>
      <c r="BQ285" s="141"/>
      <c r="BR285" s="141"/>
      <c r="BS285" s="141"/>
      <c r="BT285" s="141"/>
      <c r="BU285" s="141"/>
      <c r="BV285" s="141"/>
      <c r="BW285" s="141"/>
      <c r="BX285" s="141"/>
      <c r="BY285" s="141"/>
      <c r="BZ285" s="141"/>
      <c r="CA285" s="141"/>
      <c r="CB285" s="141"/>
      <c r="CC285" s="141"/>
      <c r="CD285" s="141"/>
      <c r="CE285" s="141"/>
      <c r="CF285" s="141"/>
      <c r="CG285" s="141"/>
      <c r="CH285" s="141"/>
      <c r="CI285" s="141"/>
      <c r="CJ285" s="141"/>
      <c r="CK285" s="141"/>
      <c r="CL285" s="141"/>
      <c r="CM285" s="141"/>
      <c r="CN285" s="141"/>
      <c r="CO285" s="141"/>
      <c r="CP285" s="141"/>
      <c r="CQ285" s="141"/>
      <c r="CR285" s="141"/>
      <c r="CS285" s="141"/>
      <c r="CT285" s="141"/>
      <c r="CU285" s="141"/>
      <c r="CV285" s="141"/>
      <c r="CW285" s="141"/>
      <c r="CX285" s="141"/>
      <c r="CY285" s="141"/>
      <c r="CZ285" s="141"/>
      <c r="DA285" s="173"/>
    </row>
    <row r="286" spans="2:105" x14ac:dyDescent="0.25">
      <c r="B286" s="172"/>
      <c r="C286" s="141" t="s">
        <v>3317</v>
      </c>
      <c r="D286" s="141" t="s">
        <v>1577</v>
      </c>
      <c r="E286" s="141" t="s">
        <v>2058</v>
      </c>
      <c r="F286" s="141" t="s">
        <v>3233</v>
      </c>
      <c r="G286" s="141"/>
      <c r="H286" s="141" t="s">
        <v>353</v>
      </c>
      <c r="I286" s="141"/>
      <c r="J286" s="141" t="s">
        <v>354</v>
      </c>
      <c r="K286" s="141" t="s">
        <v>2360</v>
      </c>
      <c r="L286" s="141" t="s">
        <v>3318</v>
      </c>
      <c r="M286" s="141" t="s">
        <v>3319</v>
      </c>
      <c r="N286" s="141" t="s">
        <v>354</v>
      </c>
      <c r="O286" s="141" t="s">
        <v>485</v>
      </c>
      <c r="P286" s="141" t="s">
        <v>1630</v>
      </c>
      <c r="Q286" s="141" t="s">
        <v>1631</v>
      </c>
      <c r="R286" s="141" t="s">
        <v>361</v>
      </c>
      <c r="S286" s="141" t="s">
        <v>1324</v>
      </c>
      <c r="T286" s="141" t="s">
        <v>3264</v>
      </c>
      <c r="U286" s="141" t="s">
        <v>3264</v>
      </c>
      <c r="V286" s="141"/>
      <c r="W286" s="141"/>
      <c r="X286" s="141"/>
      <c r="Y286" s="141"/>
      <c r="Z286" s="141"/>
      <c r="AA286" s="141"/>
      <c r="AB286" s="141"/>
      <c r="AC286" s="141"/>
      <c r="AD286" s="141"/>
      <c r="AE286" s="141"/>
      <c r="AF286" s="141"/>
      <c r="AG286" s="141"/>
      <c r="AH286" s="141"/>
      <c r="AI286" s="141"/>
      <c r="AJ286" s="141"/>
      <c r="AK286" s="141" t="s">
        <v>354</v>
      </c>
      <c r="AL286" s="141" t="s">
        <v>364</v>
      </c>
      <c r="AM286" s="141" t="s">
        <v>354</v>
      </c>
      <c r="AN286" s="141" t="s">
        <v>772</v>
      </c>
      <c r="AO286" s="141" t="s">
        <v>3264</v>
      </c>
      <c r="AP286" s="141" t="s">
        <v>3265</v>
      </c>
      <c r="AQ286" s="141" t="s">
        <v>2929</v>
      </c>
      <c r="AR286" s="141" t="s">
        <v>408</v>
      </c>
      <c r="AS286" s="141" t="s">
        <v>368</v>
      </c>
      <c r="AT286" s="141"/>
      <c r="AU286" s="141" t="s">
        <v>3318</v>
      </c>
      <c r="AV286" s="141" t="s">
        <v>2637</v>
      </c>
      <c r="AW286" s="141" t="s">
        <v>3320</v>
      </c>
      <c r="AX286" s="141" t="s">
        <v>763</v>
      </c>
      <c r="AY286" s="141" t="s">
        <v>3321</v>
      </c>
      <c r="AZ286" s="141" t="s">
        <v>908</v>
      </c>
      <c r="BA286" s="141" t="s">
        <v>1936</v>
      </c>
      <c r="BB286" s="141" t="s">
        <v>902</v>
      </c>
      <c r="BC286" s="141" t="s">
        <v>3322</v>
      </c>
      <c r="BD286" s="141" t="s">
        <v>904</v>
      </c>
      <c r="BE286" s="141" t="s">
        <v>1587</v>
      </c>
      <c r="BF286" s="141" t="s">
        <v>1966</v>
      </c>
      <c r="BG286" s="141" t="s">
        <v>3323</v>
      </c>
      <c r="BH286" s="141" t="s">
        <v>912</v>
      </c>
      <c r="BI286" s="141" t="s">
        <v>3324</v>
      </c>
      <c r="BJ286" s="141" t="s">
        <v>382</v>
      </c>
      <c r="BK286" s="141" t="s">
        <v>2842</v>
      </c>
      <c r="BL286" s="141"/>
      <c r="BM286" s="141"/>
      <c r="BN286" s="141"/>
      <c r="BO286" s="141"/>
      <c r="BP286" s="141"/>
      <c r="BQ286" s="141"/>
      <c r="BR286" s="141"/>
      <c r="BS286" s="141"/>
      <c r="BT286" s="141"/>
      <c r="BU286" s="141"/>
      <c r="BV286" s="141"/>
      <c r="BW286" s="141"/>
      <c r="BX286" s="141"/>
      <c r="BY286" s="141"/>
      <c r="BZ286" s="141"/>
      <c r="CA286" s="141"/>
      <c r="CB286" s="141"/>
      <c r="CC286" s="141"/>
      <c r="CD286" s="141"/>
      <c r="CE286" s="141"/>
      <c r="CF286" s="141"/>
      <c r="CG286" s="141"/>
      <c r="CH286" s="141"/>
      <c r="CI286" s="141"/>
      <c r="CJ286" s="141"/>
      <c r="CK286" s="141"/>
      <c r="CL286" s="141"/>
      <c r="CM286" s="141"/>
      <c r="CN286" s="141"/>
      <c r="CO286" s="141"/>
      <c r="CP286" s="141"/>
      <c r="CQ286" s="141"/>
      <c r="CR286" s="141"/>
      <c r="CS286" s="141"/>
      <c r="CT286" s="141"/>
      <c r="CU286" s="141"/>
      <c r="CV286" s="141"/>
      <c r="CW286" s="141"/>
      <c r="CX286" s="141"/>
      <c r="CY286" s="141"/>
      <c r="CZ286" s="141"/>
      <c r="DA286" s="173"/>
    </row>
    <row r="287" spans="2:105" x14ac:dyDescent="0.25">
      <c r="B287" s="172"/>
      <c r="C287" s="141" t="s">
        <v>3325</v>
      </c>
      <c r="D287" s="141" t="s">
        <v>904</v>
      </c>
      <c r="E287" s="141" t="s">
        <v>3326</v>
      </c>
      <c r="F287" s="141" t="s">
        <v>3327</v>
      </c>
      <c r="G287" s="141"/>
      <c r="H287" s="141" t="s">
        <v>353</v>
      </c>
      <c r="I287" s="141"/>
      <c r="J287" s="141" t="s">
        <v>354</v>
      </c>
      <c r="K287" s="141" t="s">
        <v>1680</v>
      </c>
      <c r="L287" s="141" t="s">
        <v>3328</v>
      </c>
      <c r="M287" s="141" t="s">
        <v>2299</v>
      </c>
      <c r="N287" s="141" t="s">
        <v>354</v>
      </c>
      <c r="O287" s="141" t="s">
        <v>391</v>
      </c>
      <c r="P287" s="141" t="s">
        <v>392</v>
      </c>
      <c r="Q287" s="141" t="s">
        <v>392</v>
      </c>
      <c r="R287" s="141" t="s">
        <v>361</v>
      </c>
      <c r="S287" s="141" t="s">
        <v>1324</v>
      </c>
      <c r="T287" s="141" t="s">
        <v>3264</v>
      </c>
      <c r="U287" s="141" t="s">
        <v>3264</v>
      </c>
      <c r="V287" s="141"/>
      <c r="W287" s="141"/>
      <c r="X287" s="141"/>
      <c r="Y287" s="141"/>
      <c r="Z287" s="141"/>
      <c r="AA287" s="141"/>
      <c r="AB287" s="141"/>
      <c r="AC287" s="141"/>
      <c r="AD287" s="141"/>
      <c r="AE287" s="141"/>
      <c r="AF287" s="141"/>
      <c r="AG287" s="141"/>
      <c r="AH287" s="141"/>
      <c r="AI287" s="141"/>
      <c r="AJ287" s="141"/>
      <c r="AK287" s="141" t="s">
        <v>354</v>
      </c>
      <c r="AL287" s="141" t="s">
        <v>364</v>
      </c>
      <c r="AM287" s="141" t="s">
        <v>354</v>
      </c>
      <c r="AN287" s="141" t="s">
        <v>772</v>
      </c>
      <c r="AO287" s="141" t="s">
        <v>3264</v>
      </c>
      <c r="AP287" s="141" t="s">
        <v>3265</v>
      </c>
      <c r="AQ287" s="141" t="s">
        <v>2929</v>
      </c>
      <c r="AR287" s="141" t="s">
        <v>408</v>
      </c>
      <c r="AS287" s="141" t="s">
        <v>408</v>
      </c>
      <c r="AT287" s="141"/>
      <c r="AU287" s="141" t="s">
        <v>3328</v>
      </c>
      <c r="AV287" s="141" t="s">
        <v>2637</v>
      </c>
      <c r="AW287" s="141" t="s">
        <v>796</v>
      </c>
      <c r="AX287" s="141" t="s">
        <v>763</v>
      </c>
      <c r="AY287" s="141" t="s">
        <v>2211</v>
      </c>
      <c r="AZ287" s="141" t="s">
        <v>908</v>
      </c>
      <c r="BA287" s="141" t="s">
        <v>3329</v>
      </c>
      <c r="BB287" s="141" t="s">
        <v>902</v>
      </c>
      <c r="BC287" s="141" t="s">
        <v>3330</v>
      </c>
      <c r="BD287" s="141" t="s">
        <v>904</v>
      </c>
      <c r="BE287" s="141" t="s">
        <v>3331</v>
      </c>
      <c r="BF287" s="141" t="s">
        <v>1966</v>
      </c>
      <c r="BG287" s="141" t="s">
        <v>750</v>
      </c>
      <c r="BH287" s="141" t="s">
        <v>912</v>
      </c>
      <c r="BI287" s="141" t="s">
        <v>3332</v>
      </c>
      <c r="BJ287" s="141" t="s">
        <v>382</v>
      </c>
      <c r="BK287" s="141" t="s">
        <v>3333</v>
      </c>
      <c r="BL287" s="141"/>
      <c r="BM287" s="141"/>
      <c r="BN287" s="141"/>
      <c r="BO287" s="141"/>
      <c r="BP287" s="141"/>
      <c r="BQ287" s="141"/>
      <c r="BR287" s="141"/>
      <c r="BS287" s="141"/>
      <c r="BT287" s="141"/>
      <c r="BU287" s="141"/>
      <c r="BV287" s="141"/>
      <c r="BW287" s="141"/>
      <c r="BX287" s="141"/>
      <c r="BY287" s="141"/>
      <c r="BZ287" s="141"/>
      <c r="CA287" s="141"/>
      <c r="CB287" s="141"/>
      <c r="CC287" s="141"/>
      <c r="CD287" s="141"/>
      <c r="CE287" s="141"/>
      <c r="CF287" s="141"/>
      <c r="CG287" s="141"/>
      <c r="CH287" s="141"/>
      <c r="CI287" s="141"/>
      <c r="CJ287" s="141"/>
      <c r="CK287" s="141"/>
      <c r="CL287" s="141"/>
      <c r="CM287" s="141"/>
      <c r="CN287" s="141"/>
      <c r="CO287" s="141"/>
      <c r="CP287" s="141"/>
      <c r="CQ287" s="141"/>
      <c r="CR287" s="141"/>
      <c r="CS287" s="141"/>
      <c r="CT287" s="141"/>
      <c r="CU287" s="141"/>
      <c r="CV287" s="141"/>
      <c r="CW287" s="141"/>
      <c r="CX287" s="141"/>
      <c r="CY287" s="141"/>
      <c r="CZ287" s="141"/>
      <c r="DA287" s="173"/>
    </row>
    <row r="288" spans="2:105" x14ac:dyDescent="0.25">
      <c r="B288" s="172"/>
      <c r="C288" s="141" t="s">
        <v>3334</v>
      </c>
      <c r="D288" s="141" t="s">
        <v>3335</v>
      </c>
      <c r="E288" s="141" t="s">
        <v>3336</v>
      </c>
      <c r="F288" s="141" t="s">
        <v>2741</v>
      </c>
      <c r="G288" s="141"/>
      <c r="H288" s="141" t="s">
        <v>353</v>
      </c>
      <c r="I288" s="141"/>
      <c r="J288" s="141" t="s">
        <v>354</v>
      </c>
      <c r="K288" s="141" t="s">
        <v>1415</v>
      </c>
      <c r="L288" s="141" t="s">
        <v>3337</v>
      </c>
      <c r="M288" s="141" t="s">
        <v>3338</v>
      </c>
      <c r="N288" s="141" t="s">
        <v>354</v>
      </c>
      <c r="O288" s="141" t="s">
        <v>369</v>
      </c>
      <c r="P288" s="141" t="s">
        <v>528</v>
      </c>
      <c r="Q288" s="141" t="s">
        <v>529</v>
      </c>
      <c r="R288" s="141" t="s">
        <v>361</v>
      </c>
      <c r="S288" s="141" t="s">
        <v>1324</v>
      </c>
      <c r="T288" s="141" t="s">
        <v>3264</v>
      </c>
      <c r="U288" s="141" t="s">
        <v>3264</v>
      </c>
      <c r="V288" s="141"/>
      <c r="W288" s="141"/>
      <c r="X288" s="141"/>
      <c r="Y288" s="141"/>
      <c r="Z288" s="141"/>
      <c r="AA288" s="141"/>
      <c r="AB288" s="141"/>
      <c r="AC288" s="141"/>
      <c r="AD288" s="141"/>
      <c r="AE288" s="141"/>
      <c r="AF288" s="141"/>
      <c r="AG288" s="141"/>
      <c r="AH288" s="141"/>
      <c r="AI288" s="141"/>
      <c r="AJ288" s="141"/>
      <c r="AK288" s="141" t="s">
        <v>354</v>
      </c>
      <c r="AL288" s="141" t="s">
        <v>364</v>
      </c>
      <c r="AM288" s="141" t="s">
        <v>354</v>
      </c>
      <c r="AN288" s="141" t="s">
        <v>772</v>
      </c>
      <c r="AO288" s="141" t="s">
        <v>3264</v>
      </c>
      <c r="AP288" s="141" t="s">
        <v>3265</v>
      </c>
      <c r="AQ288" s="141" t="s">
        <v>2929</v>
      </c>
      <c r="AR288" s="141" t="s">
        <v>408</v>
      </c>
      <c r="AS288" s="141" t="s">
        <v>490</v>
      </c>
      <c r="AT288" s="141"/>
      <c r="AU288" s="141" t="s">
        <v>3337</v>
      </c>
      <c r="AV288" s="141" t="s">
        <v>2637</v>
      </c>
      <c r="AW288" s="141" t="s">
        <v>3339</v>
      </c>
      <c r="AX288" s="141" t="s">
        <v>763</v>
      </c>
      <c r="AY288" s="141" t="s">
        <v>3340</v>
      </c>
      <c r="AZ288" s="141" t="s">
        <v>908</v>
      </c>
      <c r="BA288" s="141" t="s">
        <v>2027</v>
      </c>
      <c r="BB288" s="141" t="s">
        <v>902</v>
      </c>
      <c r="BC288" s="141" t="s">
        <v>963</v>
      </c>
      <c r="BD288" s="141" t="s">
        <v>904</v>
      </c>
      <c r="BE288" s="141" t="s">
        <v>3341</v>
      </c>
      <c r="BF288" s="141" t="s">
        <v>1966</v>
      </c>
      <c r="BG288" s="141" t="s">
        <v>3342</v>
      </c>
      <c r="BH288" s="141" t="s">
        <v>912</v>
      </c>
      <c r="BI288" s="141" t="s">
        <v>2310</v>
      </c>
      <c r="BJ288" s="141" t="s">
        <v>382</v>
      </c>
      <c r="BK288" s="141" t="s">
        <v>3343</v>
      </c>
      <c r="BL288" s="141"/>
      <c r="BM288" s="141"/>
      <c r="BN288" s="141"/>
      <c r="BO288" s="141"/>
      <c r="BP288" s="141"/>
      <c r="BQ288" s="141"/>
      <c r="BR288" s="141"/>
      <c r="BS288" s="141"/>
      <c r="BT288" s="141"/>
      <c r="BU288" s="141"/>
      <c r="BV288" s="141"/>
      <c r="BW288" s="141"/>
      <c r="BX288" s="141"/>
      <c r="BY288" s="141"/>
      <c r="BZ288" s="141"/>
      <c r="CA288" s="141"/>
      <c r="CB288" s="141"/>
      <c r="CC288" s="141"/>
      <c r="CD288" s="141"/>
      <c r="CE288" s="141"/>
      <c r="CF288" s="141"/>
      <c r="CG288" s="141"/>
      <c r="CH288" s="141"/>
      <c r="CI288" s="141"/>
      <c r="CJ288" s="141"/>
      <c r="CK288" s="141"/>
      <c r="CL288" s="141"/>
      <c r="CM288" s="141"/>
      <c r="CN288" s="141"/>
      <c r="CO288" s="141"/>
      <c r="CP288" s="141"/>
      <c r="CQ288" s="141"/>
      <c r="CR288" s="141"/>
      <c r="CS288" s="141"/>
      <c r="CT288" s="141"/>
      <c r="CU288" s="141"/>
      <c r="CV288" s="141"/>
      <c r="CW288" s="141"/>
      <c r="CX288" s="141"/>
      <c r="CY288" s="141"/>
      <c r="CZ288" s="141"/>
      <c r="DA288" s="173"/>
    </row>
    <row r="289" spans="2:105" x14ac:dyDescent="0.25">
      <c r="B289" s="172"/>
      <c r="C289" s="141" t="s">
        <v>3344</v>
      </c>
      <c r="D289" s="141" t="s">
        <v>3345</v>
      </c>
      <c r="E289" s="141" t="s">
        <v>3346</v>
      </c>
      <c r="F289" s="141" t="s">
        <v>3347</v>
      </c>
      <c r="G289" s="141"/>
      <c r="H289" s="141" t="s">
        <v>353</v>
      </c>
      <c r="I289" s="141"/>
      <c r="J289" s="141" t="s">
        <v>354</v>
      </c>
      <c r="K289" s="141" t="s">
        <v>580</v>
      </c>
      <c r="L289" s="141" t="s">
        <v>3348</v>
      </c>
      <c r="M289" s="141" t="s">
        <v>3349</v>
      </c>
      <c r="N289" s="141" t="s">
        <v>354</v>
      </c>
      <c r="O289" s="141" t="s">
        <v>393</v>
      </c>
      <c r="P289" s="141" t="s">
        <v>424</v>
      </c>
      <c r="Q289" s="141" t="s">
        <v>425</v>
      </c>
      <c r="R289" s="141" t="s">
        <v>361</v>
      </c>
      <c r="S289" s="141" t="s">
        <v>1324</v>
      </c>
      <c r="T289" s="141" t="s">
        <v>3264</v>
      </c>
      <c r="U289" s="141" t="s">
        <v>3264</v>
      </c>
      <c r="V289" s="141"/>
      <c r="W289" s="141"/>
      <c r="X289" s="141"/>
      <c r="Y289" s="141"/>
      <c r="Z289" s="141"/>
      <c r="AA289" s="141"/>
      <c r="AB289" s="141"/>
      <c r="AC289" s="141"/>
      <c r="AD289" s="141"/>
      <c r="AE289" s="141"/>
      <c r="AF289" s="141"/>
      <c r="AG289" s="141"/>
      <c r="AH289" s="141"/>
      <c r="AI289" s="141"/>
      <c r="AJ289" s="141"/>
      <c r="AK289" s="141" t="s">
        <v>354</v>
      </c>
      <c r="AL289" s="141" t="s">
        <v>364</v>
      </c>
      <c r="AM289" s="141" t="s">
        <v>354</v>
      </c>
      <c r="AN289" s="141" t="s">
        <v>772</v>
      </c>
      <c r="AO289" s="141" t="s">
        <v>3264</v>
      </c>
      <c r="AP289" s="141" t="s">
        <v>3265</v>
      </c>
      <c r="AQ289" s="141" t="s">
        <v>2929</v>
      </c>
      <c r="AR289" s="141" t="s">
        <v>408</v>
      </c>
      <c r="AS289" s="141" t="s">
        <v>485</v>
      </c>
      <c r="AT289" s="141"/>
      <c r="AU289" s="141" t="s">
        <v>3348</v>
      </c>
      <c r="AV289" s="141" t="s">
        <v>2637</v>
      </c>
      <c r="AW289" s="141" t="s">
        <v>3350</v>
      </c>
      <c r="AX289" s="141" t="s">
        <v>763</v>
      </c>
      <c r="AY289" s="141" t="s">
        <v>3351</v>
      </c>
      <c r="AZ289" s="141" t="s">
        <v>908</v>
      </c>
      <c r="BA289" s="141" t="s">
        <v>3352</v>
      </c>
      <c r="BB289" s="141" t="s">
        <v>902</v>
      </c>
      <c r="BC289" s="141" t="s">
        <v>3353</v>
      </c>
      <c r="BD289" s="141" t="s">
        <v>904</v>
      </c>
      <c r="BE289" s="141" t="s">
        <v>3354</v>
      </c>
      <c r="BF289" s="141" t="s">
        <v>1966</v>
      </c>
      <c r="BG289" s="141" t="s">
        <v>3355</v>
      </c>
      <c r="BH289" s="141" t="s">
        <v>912</v>
      </c>
      <c r="BI289" s="141" t="s">
        <v>3356</v>
      </c>
      <c r="BJ289" s="141" t="s">
        <v>382</v>
      </c>
      <c r="BK289" s="141" t="s">
        <v>3357</v>
      </c>
      <c r="BL289" s="141"/>
      <c r="BM289" s="141"/>
      <c r="BN289" s="141"/>
      <c r="BO289" s="141"/>
      <c r="BP289" s="141"/>
      <c r="BQ289" s="141"/>
      <c r="BR289" s="141"/>
      <c r="BS289" s="141"/>
      <c r="BT289" s="141"/>
      <c r="BU289" s="141"/>
      <c r="BV289" s="141"/>
      <c r="BW289" s="141"/>
      <c r="BX289" s="141"/>
      <c r="BY289" s="141"/>
      <c r="BZ289" s="141"/>
      <c r="CA289" s="141"/>
      <c r="CB289" s="141"/>
      <c r="CC289" s="141"/>
      <c r="CD289" s="141"/>
      <c r="CE289" s="141"/>
      <c r="CF289" s="141"/>
      <c r="CG289" s="141"/>
      <c r="CH289" s="141"/>
      <c r="CI289" s="141"/>
      <c r="CJ289" s="141"/>
      <c r="CK289" s="141"/>
      <c r="CL289" s="141"/>
      <c r="CM289" s="141"/>
      <c r="CN289" s="141"/>
      <c r="CO289" s="141"/>
      <c r="CP289" s="141"/>
      <c r="CQ289" s="141"/>
      <c r="CR289" s="141"/>
      <c r="CS289" s="141"/>
      <c r="CT289" s="141"/>
      <c r="CU289" s="141"/>
      <c r="CV289" s="141"/>
      <c r="CW289" s="141"/>
      <c r="CX289" s="141"/>
      <c r="CY289" s="141"/>
      <c r="CZ289" s="141"/>
      <c r="DA289" s="173"/>
    </row>
    <row r="290" spans="2:105" x14ac:dyDescent="0.25">
      <c r="B290" s="172"/>
      <c r="C290" s="141" t="s">
        <v>3358</v>
      </c>
      <c r="D290" s="141" t="s">
        <v>3359</v>
      </c>
      <c r="E290" s="141" t="s">
        <v>3360</v>
      </c>
      <c r="F290" s="141" t="s">
        <v>3361</v>
      </c>
      <c r="G290" s="141"/>
      <c r="H290" s="141" t="s">
        <v>353</v>
      </c>
      <c r="I290" s="141"/>
      <c r="J290" s="141" t="s">
        <v>354</v>
      </c>
      <c r="K290" s="141" t="s">
        <v>2293</v>
      </c>
      <c r="L290" s="141" t="s">
        <v>3362</v>
      </c>
      <c r="M290" s="141" t="s">
        <v>3054</v>
      </c>
      <c r="N290" s="141" t="s">
        <v>354</v>
      </c>
      <c r="O290" s="141" t="s">
        <v>393</v>
      </c>
      <c r="P290" s="141" t="s">
        <v>424</v>
      </c>
      <c r="Q290" s="141" t="s">
        <v>425</v>
      </c>
      <c r="R290" s="141" t="s">
        <v>361</v>
      </c>
      <c r="S290" s="141" t="s">
        <v>1324</v>
      </c>
      <c r="T290" s="141" t="s">
        <v>3264</v>
      </c>
      <c r="U290" s="141" t="s">
        <v>3264</v>
      </c>
      <c r="V290" s="141"/>
      <c r="W290" s="141"/>
      <c r="X290" s="141"/>
      <c r="Y290" s="141"/>
      <c r="Z290" s="141"/>
      <c r="AA290" s="141"/>
      <c r="AB290" s="141"/>
      <c r="AC290" s="141"/>
      <c r="AD290" s="141"/>
      <c r="AE290" s="141"/>
      <c r="AF290" s="141"/>
      <c r="AG290" s="141"/>
      <c r="AH290" s="141"/>
      <c r="AI290" s="141"/>
      <c r="AJ290" s="141"/>
      <c r="AK290" s="141" t="s">
        <v>354</v>
      </c>
      <c r="AL290" s="141" t="s">
        <v>364</v>
      </c>
      <c r="AM290" s="141" t="s">
        <v>354</v>
      </c>
      <c r="AN290" s="141" t="s">
        <v>772</v>
      </c>
      <c r="AO290" s="141" t="s">
        <v>3264</v>
      </c>
      <c r="AP290" s="141" t="s">
        <v>3265</v>
      </c>
      <c r="AQ290" s="141" t="s">
        <v>2929</v>
      </c>
      <c r="AR290" s="141" t="s">
        <v>408</v>
      </c>
      <c r="AS290" s="141" t="s">
        <v>362</v>
      </c>
      <c r="AT290" s="141"/>
      <c r="AU290" s="141" t="s">
        <v>3362</v>
      </c>
      <c r="AV290" s="141" t="s">
        <v>2637</v>
      </c>
      <c r="AW290" s="141" t="s">
        <v>2816</v>
      </c>
      <c r="AX290" s="141" t="s">
        <v>763</v>
      </c>
      <c r="AY290" s="141" t="s">
        <v>3363</v>
      </c>
      <c r="AZ290" s="141" t="s">
        <v>908</v>
      </c>
      <c r="BA290" s="141" t="s">
        <v>3364</v>
      </c>
      <c r="BB290" s="141" t="s">
        <v>902</v>
      </c>
      <c r="BC290" s="141" t="s">
        <v>3323</v>
      </c>
      <c r="BD290" s="141" t="s">
        <v>904</v>
      </c>
      <c r="BE290" s="141" t="s">
        <v>3365</v>
      </c>
      <c r="BF290" s="141" t="s">
        <v>1966</v>
      </c>
      <c r="BG290" s="141" t="s">
        <v>3155</v>
      </c>
      <c r="BH290" s="141" t="s">
        <v>912</v>
      </c>
      <c r="BI290" s="141" t="s">
        <v>3366</v>
      </c>
      <c r="BJ290" s="141" t="s">
        <v>382</v>
      </c>
      <c r="BK290" s="141" t="s">
        <v>3367</v>
      </c>
      <c r="BL290" s="141"/>
      <c r="BM290" s="141"/>
      <c r="BN290" s="141"/>
      <c r="BO290" s="141"/>
      <c r="BP290" s="141"/>
      <c r="BQ290" s="141"/>
      <c r="BR290" s="141"/>
      <c r="BS290" s="141"/>
      <c r="BT290" s="141"/>
      <c r="BU290" s="141"/>
      <c r="BV290" s="141"/>
      <c r="BW290" s="141"/>
      <c r="BX290" s="141"/>
      <c r="BY290" s="141"/>
      <c r="BZ290" s="141"/>
      <c r="CA290" s="141"/>
      <c r="CB290" s="141"/>
      <c r="CC290" s="141"/>
      <c r="CD290" s="141"/>
      <c r="CE290" s="141"/>
      <c r="CF290" s="141"/>
      <c r="CG290" s="141"/>
      <c r="CH290" s="141"/>
      <c r="CI290" s="141"/>
      <c r="CJ290" s="141"/>
      <c r="CK290" s="141"/>
      <c r="CL290" s="141"/>
      <c r="CM290" s="141"/>
      <c r="CN290" s="141"/>
      <c r="CO290" s="141"/>
      <c r="CP290" s="141"/>
      <c r="CQ290" s="141"/>
      <c r="CR290" s="141"/>
      <c r="CS290" s="141"/>
      <c r="CT290" s="141"/>
      <c r="CU290" s="141"/>
      <c r="CV290" s="141"/>
      <c r="CW290" s="141"/>
      <c r="CX290" s="141"/>
      <c r="CY290" s="141"/>
      <c r="CZ290" s="141"/>
      <c r="DA290" s="173"/>
    </row>
    <row r="291" spans="2:105" x14ac:dyDescent="0.25">
      <c r="B291" s="172"/>
      <c r="C291" s="141" t="s">
        <v>3368</v>
      </c>
      <c r="D291" s="141" t="s">
        <v>3369</v>
      </c>
      <c r="E291" s="141" t="s">
        <v>3370</v>
      </c>
      <c r="F291" s="141" t="s">
        <v>3371</v>
      </c>
      <c r="G291" s="141"/>
      <c r="H291" s="141" t="s">
        <v>353</v>
      </c>
      <c r="I291" s="141"/>
      <c r="J291" s="141" t="s">
        <v>354</v>
      </c>
      <c r="K291" s="141" t="s">
        <v>920</v>
      </c>
      <c r="L291" s="141" t="s">
        <v>3372</v>
      </c>
      <c r="M291" s="141" t="s">
        <v>1062</v>
      </c>
      <c r="N291" s="141" t="s">
        <v>354</v>
      </c>
      <c r="O291" s="141" t="s">
        <v>358</v>
      </c>
      <c r="P291" s="141" t="s">
        <v>359</v>
      </c>
      <c r="Q291" s="141" t="s">
        <v>360</v>
      </c>
      <c r="R291" s="141" t="s">
        <v>361</v>
      </c>
      <c r="S291" s="141" t="s">
        <v>1324</v>
      </c>
      <c r="T291" s="141" t="s">
        <v>3264</v>
      </c>
      <c r="U291" s="141" t="s">
        <v>3264</v>
      </c>
      <c r="V291" s="141"/>
      <c r="W291" s="141"/>
      <c r="X291" s="141"/>
      <c r="Y291" s="141"/>
      <c r="Z291" s="141"/>
      <c r="AA291" s="141"/>
      <c r="AB291" s="141"/>
      <c r="AC291" s="141"/>
      <c r="AD291" s="141"/>
      <c r="AE291" s="141"/>
      <c r="AF291" s="141"/>
      <c r="AG291" s="141"/>
      <c r="AH291" s="141"/>
      <c r="AI291" s="141"/>
      <c r="AJ291" s="141"/>
      <c r="AK291" s="141" t="s">
        <v>354</v>
      </c>
      <c r="AL291" s="141" t="s">
        <v>364</v>
      </c>
      <c r="AM291" s="141" t="s">
        <v>354</v>
      </c>
      <c r="AN291" s="141" t="s">
        <v>772</v>
      </c>
      <c r="AO291" s="141" t="s">
        <v>3264</v>
      </c>
      <c r="AP291" s="141" t="s">
        <v>3265</v>
      </c>
      <c r="AQ291" s="141" t="s">
        <v>2929</v>
      </c>
      <c r="AR291" s="141" t="s">
        <v>408</v>
      </c>
      <c r="AS291" s="141" t="s">
        <v>1279</v>
      </c>
      <c r="AT291" s="141"/>
      <c r="AU291" s="141" t="s">
        <v>3372</v>
      </c>
      <c r="AV291" s="141" t="s">
        <v>2637</v>
      </c>
      <c r="AW291" s="141" t="s">
        <v>3373</v>
      </c>
      <c r="AX291" s="141" t="s">
        <v>763</v>
      </c>
      <c r="AY291" s="141" t="s">
        <v>2651</v>
      </c>
      <c r="AZ291" s="141" t="s">
        <v>908</v>
      </c>
      <c r="BA291" s="141" t="s">
        <v>3374</v>
      </c>
      <c r="BB291" s="141" t="s">
        <v>902</v>
      </c>
      <c r="BC291" s="141" t="s">
        <v>2305</v>
      </c>
      <c r="BD291" s="141" t="s">
        <v>904</v>
      </c>
      <c r="BE291" s="141" t="s">
        <v>3375</v>
      </c>
      <c r="BF291" s="141" t="s">
        <v>1966</v>
      </c>
      <c r="BG291" s="141" t="s">
        <v>3376</v>
      </c>
      <c r="BH291" s="141" t="s">
        <v>912</v>
      </c>
      <c r="BI291" s="141" t="s">
        <v>2295</v>
      </c>
      <c r="BJ291" s="141" t="s">
        <v>382</v>
      </c>
      <c r="BK291" s="141" t="s">
        <v>3377</v>
      </c>
      <c r="BL291" s="141"/>
      <c r="BM291" s="141"/>
      <c r="BN291" s="141"/>
      <c r="BO291" s="141"/>
      <c r="BP291" s="141"/>
      <c r="BQ291" s="141"/>
      <c r="BR291" s="141"/>
      <c r="BS291" s="141"/>
      <c r="BT291" s="141"/>
      <c r="BU291" s="141"/>
      <c r="BV291" s="141"/>
      <c r="BW291" s="141"/>
      <c r="BX291" s="141"/>
      <c r="BY291" s="141"/>
      <c r="BZ291" s="141"/>
      <c r="CA291" s="141"/>
      <c r="CB291" s="141"/>
      <c r="CC291" s="141"/>
      <c r="CD291" s="141"/>
      <c r="CE291" s="141"/>
      <c r="CF291" s="141"/>
      <c r="CG291" s="141"/>
      <c r="CH291" s="141"/>
      <c r="CI291" s="141"/>
      <c r="CJ291" s="141"/>
      <c r="CK291" s="141"/>
      <c r="CL291" s="141"/>
      <c r="CM291" s="141"/>
      <c r="CN291" s="141"/>
      <c r="CO291" s="141"/>
      <c r="CP291" s="141"/>
      <c r="CQ291" s="141"/>
      <c r="CR291" s="141"/>
      <c r="CS291" s="141"/>
      <c r="CT291" s="141"/>
      <c r="CU291" s="141"/>
      <c r="CV291" s="141"/>
      <c r="CW291" s="141"/>
      <c r="CX291" s="141"/>
      <c r="CY291" s="141"/>
      <c r="CZ291" s="141"/>
      <c r="DA291" s="173"/>
    </row>
    <row r="292" spans="2:105" x14ac:dyDescent="0.25">
      <c r="B292" s="172"/>
      <c r="C292" s="141" t="s">
        <v>3378</v>
      </c>
      <c r="D292" s="141" t="s">
        <v>3379</v>
      </c>
      <c r="E292" s="141" t="s">
        <v>3380</v>
      </c>
      <c r="F292" s="141" t="s">
        <v>2536</v>
      </c>
      <c r="G292" s="141"/>
      <c r="H292" s="141" t="s">
        <v>353</v>
      </c>
      <c r="I292" s="141"/>
      <c r="J292" s="141" t="s">
        <v>354</v>
      </c>
      <c r="K292" s="141" t="s">
        <v>1850</v>
      </c>
      <c r="L292" s="141" t="s">
        <v>3381</v>
      </c>
      <c r="M292" s="141" t="s">
        <v>3382</v>
      </c>
      <c r="N292" s="141" t="s">
        <v>354</v>
      </c>
      <c r="O292" s="141" t="s">
        <v>369</v>
      </c>
      <c r="P292" s="141" t="s">
        <v>528</v>
      </c>
      <c r="Q292" s="141" t="s">
        <v>529</v>
      </c>
      <c r="R292" s="141" t="s">
        <v>361</v>
      </c>
      <c r="S292" s="141" t="s">
        <v>1324</v>
      </c>
      <c r="T292" s="141" t="s">
        <v>3264</v>
      </c>
      <c r="U292" s="141" t="s">
        <v>3264</v>
      </c>
      <c r="V292" s="141"/>
      <c r="W292" s="141"/>
      <c r="X292" s="141"/>
      <c r="Y292" s="141"/>
      <c r="Z292" s="141"/>
      <c r="AA292" s="141"/>
      <c r="AB292" s="141"/>
      <c r="AC292" s="141"/>
      <c r="AD292" s="141"/>
      <c r="AE292" s="141"/>
      <c r="AF292" s="141"/>
      <c r="AG292" s="141"/>
      <c r="AH292" s="141"/>
      <c r="AI292" s="141"/>
      <c r="AJ292" s="141"/>
      <c r="AK292" s="141" t="s">
        <v>354</v>
      </c>
      <c r="AL292" s="141" t="s">
        <v>364</v>
      </c>
      <c r="AM292" s="141" t="s">
        <v>354</v>
      </c>
      <c r="AN292" s="141" t="s">
        <v>772</v>
      </c>
      <c r="AO292" s="141" t="s">
        <v>3264</v>
      </c>
      <c r="AP292" s="141" t="s">
        <v>3265</v>
      </c>
      <c r="AQ292" s="141" t="s">
        <v>2929</v>
      </c>
      <c r="AR292" s="141" t="s">
        <v>408</v>
      </c>
      <c r="AS292" s="141" t="s">
        <v>1294</v>
      </c>
      <c r="AT292" s="141"/>
      <c r="AU292" s="141" t="s">
        <v>3381</v>
      </c>
      <c r="AV292" s="141" t="s">
        <v>2637</v>
      </c>
      <c r="AW292" s="141" t="s">
        <v>3383</v>
      </c>
      <c r="AX292" s="141" t="s">
        <v>763</v>
      </c>
      <c r="AY292" s="141" t="s">
        <v>3384</v>
      </c>
      <c r="AZ292" s="141" t="s">
        <v>908</v>
      </c>
      <c r="BA292" s="141" t="s">
        <v>443</v>
      </c>
      <c r="BB292" s="141" t="s">
        <v>902</v>
      </c>
      <c r="BC292" s="141" t="s">
        <v>1594</v>
      </c>
      <c r="BD292" s="141" t="s">
        <v>904</v>
      </c>
      <c r="BE292" s="141" t="s">
        <v>3385</v>
      </c>
      <c r="BF292" s="141" t="s">
        <v>1966</v>
      </c>
      <c r="BG292" s="141" t="s">
        <v>3386</v>
      </c>
      <c r="BH292" s="141" t="s">
        <v>912</v>
      </c>
      <c r="BI292" s="141" t="s">
        <v>3387</v>
      </c>
      <c r="BJ292" s="141" t="s">
        <v>382</v>
      </c>
      <c r="BK292" s="141" t="s">
        <v>3206</v>
      </c>
      <c r="BL292" s="141"/>
      <c r="BM292" s="141"/>
      <c r="BN292" s="141"/>
      <c r="BO292" s="141"/>
      <c r="BP292" s="141"/>
      <c r="BQ292" s="141"/>
      <c r="BR292" s="141"/>
      <c r="BS292" s="141"/>
      <c r="BT292" s="141"/>
      <c r="BU292" s="141"/>
      <c r="BV292" s="141"/>
      <c r="BW292" s="141"/>
      <c r="BX292" s="141"/>
      <c r="BY292" s="141"/>
      <c r="BZ292" s="141"/>
      <c r="CA292" s="141"/>
      <c r="CB292" s="141"/>
      <c r="CC292" s="141"/>
      <c r="CD292" s="141"/>
      <c r="CE292" s="141"/>
      <c r="CF292" s="141"/>
      <c r="CG292" s="141"/>
      <c r="CH292" s="141"/>
      <c r="CI292" s="141"/>
      <c r="CJ292" s="141"/>
      <c r="CK292" s="141"/>
      <c r="CL292" s="141"/>
      <c r="CM292" s="141"/>
      <c r="CN292" s="141"/>
      <c r="CO292" s="141"/>
      <c r="CP292" s="141"/>
      <c r="CQ292" s="141"/>
      <c r="CR292" s="141"/>
      <c r="CS292" s="141"/>
      <c r="CT292" s="141"/>
      <c r="CU292" s="141"/>
      <c r="CV292" s="141"/>
      <c r="CW292" s="141"/>
      <c r="CX292" s="141"/>
      <c r="CY292" s="141"/>
      <c r="CZ292" s="141"/>
      <c r="DA292" s="173"/>
    </row>
    <row r="293" spans="2:105" x14ac:dyDescent="0.25">
      <c r="B293" s="172"/>
      <c r="C293" s="141" t="s">
        <v>3388</v>
      </c>
      <c r="D293" s="141" t="s">
        <v>3389</v>
      </c>
      <c r="E293" s="141" t="s">
        <v>3390</v>
      </c>
      <c r="F293" s="141" t="s">
        <v>3391</v>
      </c>
      <c r="G293" s="141"/>
      <c r="H293" s="141" t="s">
        <v>353</v>
      </c>
      <c r="I293" s="141"/>
      <c r="J293" s="141" t="s">
        <v>354</v>
      </c>
      <c r="K293" s="141" t="s">
        <v>871</v>
      </c>
      <c r="L293" s="141" t="s">
        <v>3392</v>
      </c>
      <c r="M293" s="141" t="s">
        <v>3393</v>
      </c>
      <c r="N293" s="141" t="s">
        <v>354</v>
      </c>
      <c r="O293" s="141" t="s">
        <v>369</v>
      </c>
      <c r="P293" s="141" t="s">
        <v>528</v>
      </c>
      <c r="Q293" s="141" t="s">
        <v>529</v>
      </c>
      <c r="R293" s="141" t="s">
        <v>361</v>
      </c>
      <c r="S293" s="141" t="s">
        <v>1324</v>
      </c>
      <c r="T293" s="141" t="s">
        <v>3264</v>
      </c>
      <c r="U293" s="141" t="s">
        <v>3264</v>
      </c>
      <c r="V293" s="141"/>
      <c r="W293" s="141"/>
      <c r="X293" s="141"/>
      <c r="Y293" s="141"/>
      <c r="Z293" s="141"/>
      <c r="AA293" s="141"/>
      <c r="AB293" s="141"/>
      <c r="AC293" s="141"/>
      <c r="AD293" s="141"/>
      <c r="AE293" s="141"/>
      <c r="AF293" s="141"/>
      <c r="AG293" s="141"/>
      <c r="AH293" s="141"/>
      <c r="AI293" s="141"/>
      <c r="AJ293" s="141"/>
      <c r="AK293" s="141" t="s">
        <v>354</v>
      </c>
      <c r="AL293" s="141" t="s">
        <v>364</v>
      </c>
      <c r="AM293" s="141" t="s">
        <v>354</v>
      </c>
      <c r="AN293" s="141" t="s">
        <v>772</v>
      </c>
      <c r="AO293" s="141" t="s">
        <v>3264</v>
      </c>
      <c r="AP293" s="141" t="s">
        <v>3265</v>
      </c>
      <c r="AQ293" s="141" t="s">
        <v>2929</v>
      </c>
      <c r="AR293" s="141" t="s">
        <v>408</v>
      </c>
      <c r="AS293" s="141" t="s">
        <v>1308</v>
      </c>
      <c r="AT293" s="141"/>
      <c r="AU293" s="141" t="s">
        <v>3392</v>
      </c>
      <c r="AV293" s="141" t="s">
        <v>2637</v>
      </c>
      <c r="AW293" s="141" t="s">
        <v>1946</v>
      </c>
      <c r="AX293" s="141" t="s">
        <v>763</v>
      </c>
      <c r="AY293" s="141" t="s">
        <v>1143</v>
      </c>
      <c r="AZ293" s="141" t="s">
        <v>908</v>
      </c>
      <c r="BA293" s="141" t="s">
        <v>3394</v>
      </c>
      <c r="BB293" s="141" t="s">
        <v>902</v>
      </c>
      <c r="BC293" s="141" t="s">
        <v>527</v>
      </c>
      <c r="BD293" s="141" t="s">
        <v>904</v>
      </c>
      <c r="BE293" s="141" t="s">
        <v>3395</v>
      </c>
      <c r="BF293" s="141" t="s">
        <v>1966</v>
      </c>
      <c r="BG293" s="141" t="s">
        <v>3396</v>
      </c>
      <c r="BH293" s="141" t="s">
        <v>912</v>
      </c>
      <c r="BI293" s="141" t="s">
        <v>742</v>
      </c>
      <c r="BJ293" s="141" t="s">
        <v>382</v>
      </c>
      <c r="BK293" s="141" t="s">
        <v>3397</v>
      </c>
      <c r="BL293" s="141"/>
      <c r="BM293" s="141"/>
      <c r="BN293" s="141"/>
      <c r="BO293" s="141"/>
      <c r="BP293" s="141"/>
      <c r="BQ293" s="141"/>
      <c r="BR293" s="141"/>
      <c r="BS293" s="141"/>
      <c r="BT293" s="141"/>
      <c r="BU293" s="141"/>
      <c r="BV293" s="141"/>
      <c r="BW293" s="141"/>
      <c r="BX293" s="141"/>
      <c r="BY293" s="141"/>
      <c r="BZ293" s="141"/>
      <c r="CA293" s="141"/>
      <c r="CB293" s="141"/>
      <c r="CC293" s="141"/>
      <c r="CD293" s="141"/>
      <c r="CE293" s="141"/>
      <c r="CF293" s="141"/>
      <c r="CG293" s="141"/>
      <c r="CH293" s="141"/>
      <c r="CI293" s="141"/>
      <c r="CJ293" s="141"/>
      <c r="CK293" s="141"/>
      <c r="CL293" s="141"/>
      <c r="CM293" s="141"/>
      <c r="CN293" s="141"/>
      <c r="CO293" s="141"/>
      <c r="CP293" s="141"/>
      <c r="CQ293" s="141"/>
      <c r="CR293" s="141"/>
      <c r="CS293" s="141"/>
      <c r="CT293" s="141"/>
      <c r="CU293" s="141"/>
      <c r="CV293" s="141"/>
      <c r="CW293" s="141"/>
      <c r="CX293" s="141"/>
      <c r="CY293" s="141"/>
      <c r="CZ293" s="141"/>
      <c r="DA293" s="173"/>
    </row>
    <row r="294" spans="2:105" x14ac:dyDescent="0.25">
      <c r="B294" s="172"/>
      <c r="C294" s="141" t="s">
        <v>3398</v>
      </c>
      <c r="D294" s="141" t="s">
        <v>3399</v>
      </c>
      <c r="E294" s="141" t="s">
        <v>3400</v>
      </c>
      <c r="F294" s="141" t="s">
        <v>2484</v>
      </c>
      <c r="G294" s="141"/>
      <c r="H294" s="141" t="s">
        <v>353</v>
      </c>
      <c r="I294" s="141"/>
      <c r="J294" s="141" t="s">
        <v>354</v>
      </c>
      <c r="K294" s="141" t="s">
        <v>2267</v>
      </c>
      <c r="L294" s="141" t="s">
        <v>1235</v>
      </c>
      <c r="M294" s="141" t="s">
        <v>3401</v>
      </c>
      <c r="N294" s="141" t="s">
        <v>354</v>
      </c>
      <c r="O294" s="141" t="s">
        <v>393</v>
      </c>
      <c r="P294" s="141" t="s">
        <v>424</v>
      </c>
      <c r="Q294" s="141" t="s">
        <v>425</v>
      </c>
      <c r="R294" s="141" t="s">
        <v>361</v>
      </c>
      <c r="S294" s="141" t="s">
        <v>1324</v>
      </c>
      <c r="T294" s="141" t="s">
        <v>3264</v>
      </c>
      <c r="U294" s="141" t="s">
        <v>3264</v>
      </c>
      <c r="V294" s="141"/>
      <c r="W294" s="141"/>
      <c r="X294" s="141"/>
      <c r="Y294" s="141"/>
      <c r="Z294" s="141"/>
      <c r="AA294" s="141"/>
      <c r="AB294" s="141"/>
      <c r="AC294" s="141"/>
      <c r="AD294" s="141"/>
      <c r="AE294" s="141"/>
      <c r="AF294" s="141"/>
      <c r="AG294" s="141"/>
      <c r="AH294" s="141"/>
      <c r="AI294" s="141"/>
      <c r="AJ294" s="141"/>
      <c r="AK294" s="141" t="s">
        <v>354</v>
      </c>
      <c r="AL294" s="141" t="s">
        <v>364</v>
      </c>
      <c r="AM294" s="141" t="s">
        <v>354</v>
      </c>
      <c r="AN294" s="141" t="s">
        <v>772</v>
      </c>
      <c r="AO294" s="141" t="s">
        <v>3264</v>
      </c>
      <c r="AP294" s="141" t="s">
        <v>3265</v>
      </c>
      <c r="AQ294" s="141" t="s">
        <v>2929</v>
      </c>
      <c r="AR294" s="141" t="s">
        <v>408</v>
      </c>
      <c r="AS294" s="141" t="s">
        <v>1324</v>
      </c>
      <c r="AT294" s="141"/>
      <c r="AU294" s="141" t="s">
        <v>1235</v>
      </c>
      <c r="AV294" s="141" t="s">
        <v>2637</v>
      </c>
      <c r="AW294" s="141" t="s">
        <v>1870</v>
      </c>
      <c r="AX294" s="141" t="s">
        <v>763</v>
      </c>
      <c r="AY294" s="141" t="s">
        <v>3063</v>
      </c>
      <c r="AZ294" s="141" t="s">
        <v>908</v>
      </c>
      <c r="BA294" s="141" t="s">
        <v>3402</v>
      </c>
      <c r="BB294" s="141" t="s">
        <v>902</v>
      </c>
      <c r="BC294" s="141" t="s">
        <v>3403</v>
      </c>
      <c r="BD294" s="141" t="s">
        <v>904</v>
      </c>
      <c r="BE294" s="141" t="s">
        <v>3404</v>
      </c>
      <c r="BF294" s="141" t="s">
        <v>1966</v>
      </c>
      <c r="BG294" s="141" t="s">
        <v>3405</v>
      </c>
      <c r="BH294" s="141" t="s">
        <v>912</v>
      </c>
      <c r="BI294" s="141" t="s">
        <v>3406</v>
      </c>
      <c r="BJ294" s="141" t="s">
        <v>382</v>
      </c>
      <c r="BK294" s="141" t="s">
        <v>3407</v>
      </c>
      <c r="BL294" s="141"/>
      <c r="BM294" s="141"/>
      <c r="BN294" s="141"/>
      <c r="BO294" s="141"/>
      <c r="BP294" s="141"/>
      <c r="BQ294" s="141"/>
      <c r="BR294" s="141"/>
      <c r="BS294" s="141"/>
      <c r="BT294" s="141"/>
      <c r="BU294" s="141"/>
      <c r="BV294" s="141"/>
      <c r="BW294" s="141"/>
      <c r="BX294" s="141"/>
      <c r="BY294" s="141"/>
      <c r="BZ294" s="141"/>
      <c r="CA294" s="141"/>
      <c r="CB294" s="141"/>
      <c r="CC294" s="141"/>
      <c r="CD294" s="141"/>
      <c r="CE294" s="141"/>
      <c r="CF294" s="141"/>
      <c r="CG294" s="141"/>
      <c r="CH294" s="141"/>
      <c r="CI294" s="141"/>
      <c r="CJ294" s="141"/>
      <c r="CK294" s="141"/>
      <c r="CL294" s="141"/>
      <c r="CM294" s="141"/>
      <c r="CN294" s="141"/>
      <c r="CO294" s="141"/>
      <c r="CP294" s="141"/>
      <c r="CQ294" s="141"/>
      <c r="CR294" s="141"/>
      <c r="CS294" s="141"/>
      <c r="CT294" s="141"/>
      <c r="CU294" s="141"/>
      <c r="CV294" s="141"/>
      <c r="CW294" s="141"/>
      <c r="CX294" s="141"/>
      <c r="CY294" s="141"/>
      <c r="CZ294" s="141"/>
      <c r="DA294" s="173"/>
    </row>
    <row r="295" spans="2:105" x14ac:dyDescent="0.25">
      <c r="B295" s="172"/>
      <c r="C295" s="141" t="s">
        <v>3408</v>
      </c>
      <c r="D295" s="141" t="s">
        <v>3409</v>
      </c>
      <c r="E295" s="141" t="s">
        <v>2871</v>
      </c>
      <c r="F295" s="141" t="s">
        <v>3410</v>
      </c>
      <c r="G295" s="141"/>
      <c r="H295" s="141" t="s">
        <v>353</v>
      </c>
      <c r="I295" s="141"/>
      <c r="J295" s="141" t="s">
        <v>354</v>
      </c>
      <c r="K295" s="141" t="s">
        <v>464</v>
      </c>
      <c r="L295" s="141" t="s">
        <v>3411</v>
      </c>
      <c r="M295" s="141" t="s">
        <v>3412</v>
      </c>
      <c r="N295" s="141" t="s">
        <v>354</v>
      </c>
      <c r="O295" s="141" t="s">
        <v>408</v>
      </c>
      <c r="P295" s="141" t="s">
        <v>409</v>
      </c>
      <c r="Q295" s="141" t="s">
        <v>409</v>
      </c>
      <c r="R295" s="141" t="s">
        <v>361</v>
      </c>
      <c r="S295" s="141" t="s">
        <v>1324</v>
      </c>
      <c r="T295" s="141" t="s">
        <v>3264</v>
      </c>
      <c r="U295" s="141" t="s">
        <v>3264</v>
      </c>
      <c r="V295" s="141"/>
      <c r="W295" s="141"/>
      <c r="X295" s="141"/>
      <c r="Y295" s="141"/>
      <c r="Z295" s="141"/>
      <c r="AA295" s="141"/>
      <c r="AB295" s="141"/>
      <c r="AC295" s="141"/>
      <c r="AD295" s="141"/>
      <c r="AE295" s="141"/>
      <c r="AF295" s="141"/>
      <c r="AG295" s="141"/>
      <c r="AH295" s="141"/>
      <c r="AI295" s="141"/>
      <c r="AJ295" s="141"/>
      <c r="AK295" s="141" t="s">
        <v>354</v>
      </c>
      <c r="AL295" s="141" t="s">
        <v>364</v>
      </c>
      <c r="AM295" s="141" t="s">
        <v>354</v>
      </c>
      <c r="AN295" s="141" t="s">
        <v>772</v>
      </c>
      <c r="AO295" s="141" t="s">
        <v>3264</v>
      </c>
      <c r="AP295" s="141" t="s">
        <v>3265</v>
      </c>
      <c r="AQ295" s="141" t="s">
        <v>2929</v>
      </c>
      <c r="AR295" s="141" t="s">
        <v>408</v>
      </c>
      <c r="AS295" s="141" t="s">
        <v>1339</v>
      </c>
      <c r="AT295" s="141"/>
      <c r="AU295" s="141" t="s">
        <v>3411</v>
      </c>
      <c r="AV295" s="141" t="s">
        <v>2637</v>
      </c>
      <c r="AW295" s="141" t="s">
        <v>894</v>
      </c>
      <c r="AX295" s="141" t="s">
        <v>763</v>
      </c>
      <c r="AY295" s="141" t="s">
        <v>3413</v>
      </c>
      <c r="AZ295" s="141" t="s">
        <v>908</v>
      </c>
      <c r="BA295" s="141" t="s">
        <v>503</v>
      </c>
      <c r="BB295" s="141" t="s">
        <v>902</v>
      </c>
      <c r="BC295" s="141" t="s">
        <v>3414</v>
      </c>
      <c r="BD295" s="141" t="s">
        <v>904</v>
      </c>
      <c r="BE295" s="141" t="s">
        <v>3415</v>
      </c>
      <c r="BF295" s="141" t="s">
        <v>1966</v>
      </c>
      <c r="BG295" s="141" t="s">
        <v>3416</v>
      </c>
      <c r="BH295" s="141" t="s">
        <v>912</v>
      </c>
      <c r="BI295" s="141" t="s">
        <v>3417</v>
      </c>
      <c r="BJ295" s="141" t="s">
        <v>382</v>
      </c>
      <c r="BK295" s="141" t="s">
        <v>3418</v>
      </c>
      <c r="BL295" s="141"/>
      <c r="BM295" s="141"/>
      <c r="BN295" s="141"/>
      <c r="BO295" s="141"/>
      <c r="BP295" s="141"/>
      <c r="BQ295" s="141"/>
      <c r="BR295" s="141"/>
      <c r="BS295" s="141"/>
      <c r="BT295" s="141"/>
      <c r="BU295" s="141"/>
      <c r="BV295" s="141"/>
      <c r="BW295" s="141"/>
      <c r="BX295" s="141"/>
      <c r="BY295" s="141"/>
      <c r="BZ295" s="141"/>
      <c r="CA295" s="141"/>
      <c r="CB295" s="141"/>
      <c r="CC295" s="141"/>
      <c r="CD295" s="141"/>
      <c r="CE295" s="141"/>
      <c r="CF295" s="141"/>
      <c r="CG295" s="141"/>
      <c r="CH295" s="141"/>
      <c r="CI295" s="141"/>
      <c r="CJ295" s="141"/>
      <c r="CK295" s="141"/>
      <c r="CL295" s="141"/>
      <c r="CM295" s="141"/>
      <c r="CN295" s="141"/>
      <c r="CO295" s="141"/>
      <c r="CP295" s="141"/>
      <c r="CQ295" s="141"/>
      <c r="CR295" s="141"/>
      <c r="CS295" s="141"/>
      <c r="CT295" s="141"/>
      <c r="CU295" s="141"/>
      <c r="CV295" s="141"/>
      <c r="CW295" s="141"/>
      <c r="CX295" s="141"/>
      <c r="CY295" s="141"/>
      <c r="CZ295" s="141"/>
      <c r="DA295" s="173"/>
    </row>
    <row r="296" spans="2:105" x14ac:dyDescent="0.25">
      <c r="B296" s="172"/>
      <c r="C296" s="141" t="s">
        <v>3419</v>
      </c>
      <c r="D296" s="141" t="s">
        <v>3420</v>
      </c>
      <c r="E296" s="141" t="s">
        <v>3421</v>
      </c>
      <c r="F296" s="141" t="s">
        <v>2594</v>
      </c>
      <c r="G296" s="141"/>
      <c r="H296" s="141" t="s">
        <v>353</v>
      </c>
      <c r="I296" s="141"/>
      <c r="J296" s="141" t="s">
        <v>354</v>
      </c>
      <c r="K296" s="141" t="s">
        <v>855</v>
      </c>
      <c r="L296" s="141" t="s">
        <v>3422</v>
      </c>
      <c r="M296" s="141" t="s">
        <v>3423</v>
      </c>
      <c r="N296" s="141" t="s">
        <v>354</v>
      </c>
      <c r="O296" s="141" t="s">
        <v>393</v>
      </c>
      <c r="P296" s="141" t="s">
        <v>424</v>
      </c>
      <c r="Q296" s="141" t="s">
        <v>425</v>
      </c>
      <c r="R296" s="141" t="s">
        <v>361</v>
      </c>
      <c r="S296" s="141" t="s">
        <v>1324</v>
      </c>
      <c r="T296" s="141" t="s">
        <v>3264</v>
      </c>
      <c r="U296" s="141" t="s">
        <v>3264</v>
      </c>
      <c r="V296" s="141"/>
      <c r="W296" s="141"/>
      <c r="X296" s="141"/>
      <c r="Y296" s="141"/>
      <c r="Z296" s="141"/>
      <c r="AA296" s="141"/>
      <c r="AB296" s="141"/>
      <c r="AC296" s="141"/>
      <c r="AD296" s="141"/>
      <c r="AE296" s="141"/>
      <c r="AF296" s="141"/>
      <c r="AG296" s="141"/>
      <c r="AH296" s="141"/>
      <c r="AI296" s="141"/>
      <c r="AJ296" s="141"/>
      <c r="AK296" s="141" t="s">
        <v>354</v>
      </c>
      <c r="AL296" s="141" t="s">
        <v>364</v>
      </c>
      <c r="AM296" s="141" t="s">
        <v>354</v>
      </c>
      <c r="AN296" s="141" t="s">
        <v>772</v>
      </c>
      <c r="AO296" s="141" t="s">
        <v>3264</v>
      </c>
      <c r="AP296" s="141" t="s">
        <v>3265</v>
      </c>
      <c r="AQ296" s="141" t="s">
        <v>2929</v>
      </c>
      <c r="AR296" s="141" t="s">
        <v>408</v>
      </c>
      <c r="AS296" s="141" t="s">
        <v>889</v>
      </c>
      <c r="AT296" s="141"/>
      <c r="AU296" s="141" t="s">
        <v>3422</v>
      </c>
      <c r="AV296" s="141" t="s">
        <v>2637</v>
      </c>
      <c r="AW296" s="141" t="s">
        <v>3424</v>
      </c>
      <c r="AX296" s="141" t="s">
        <v>763</v>
      </c>
      <c r="AY296" s="141" t="s">
        <v>2738</v>
      </c>
      <c r="AZ296" s="141" t="s">
        <v>908</v>
      </c>
      <c r="BA296" s="141" t="s">
        <v>3425</v>
      </c>
      <c r="BB296" s="141" t="s">
        <v>902</v>
      </c>
      <c r="BC296" s="141" t="s">
        <v>3426</v>
      </c>
      <c r="BD296" s="141" t="s">
        <v>904</v>
      </c>
      <c r="BE296" s="141" t="s">
        <v>3184</v>
      </c>
      <c r="BF296" s="141" t="s">
        <v>1966</v>
      </c>
      <c r="BG296" s="141" t="s">
        <v>3427</v>
      </c>
      <c r="BH296" s="141" t="s">
        <v>912</v>
      </c>
      <c r="BI296" s="141" t="s">
        <v>3428</v>
      </c>
      <c r="BJ296" s="141" t="s">
        <v>382</v>
      </c>
      <c r="BK296" s="141" t="s">
        <v>3429</v>
      </c>
      <c r="BL296" s="141"/>
      <c r="BM296" s="141"/>
      <c r="BN296" s="141"/>
      <c r="BO296" s="141"/>
      <c r="BP296" s="141"/>
      <c r="BQ296" s="141"/>
      <c r="BR296" s="141"/>
      <c r="BS296" s="141"/>
      <c r="BT296" s="141"/>
      <c r="BU296" s="141"/>
      <c r="BV296" s="141"/>
      <c r="BW296" s="141"/>
      <c r="BX296" s="141"/>
      <c r="BY296" s="141"/>
      <c r="BZ296" s="141"/>
      <c r="CA296" s="141"/>
      <c r="CB296" s="141"/>
      <c r="CC296" s="141"/>
      <c r="CD296" s="141"/>
      <c r="CE296" s="141"/>
      <c r="CF296" s="141"/>
      <c r="CG296" s="141"/>
      <c r="CH296" s="141"/>
      <c r="CI296" s="141"/>
      <c r="CJ296" s="141"/>
      <c r="CK296" s="141"/>
      <c r="CL296" s="141"/>
      <c r="CM296" s="141"/>
      <c r="CN296" s="141"/>
      <c r="CO296" s="141"/>
      <c r="CP296" s="141"/>
      <c r="CQ296" s="141"/>
      <c r="CR296" s="141"/>
      <c r="CS296" s="141"/>
      <c r="CT296" s="141"/>
      <c r="CU296" s="141"/>
      <c r="CV296" s="141"/>
      <c r="CW296" s="141"/>
      <c r="CX296" s="141"/>
      <c r="CY296" s="141"/>
      <c r="CZ296" s="141"/>
      <c r="DA296" s="173"/>
    </row>
    <row r="297" spans="2:105" x14ac:dyDescent="0.25">
      <c r="B297" s="172"/>
      <c r="C297" s="141" t="s">
        <v>3430</v>
      </c>
      <c r="D297" s="141" t="s">
        <v>1294</v>
      </c>
      <c r="E297" s="141" t="s">
        <v>1591</v>
      </c>
      <c r="F297" s="141" t="s">
        <v>2436</v>
      </c>
      <c r="G297" s="141"/>
      <c r="H297" s="141" t="s">
        <v>353</v>
      </c>
      <c r="I297" s="141"/>
      <c r="J297" s="141" t="s">
        <v>354</v>
      </c>
      <c r="K297" s="141" t="s">
        <v>2233</v>
      </c>
      <c r="L297" s="141"/>
      <c r="M297" s="141"/>
      <c r="N297" s="141" t="s">
        <v>369</v>
      </c>
      <c r="O297" s="141" t="s">
        <v>391</v>
      </c>
      <c r="P297" s="141" t="s">
        <v>392</v>
      </c>
      <c r="Q297" s="141" t="s">
        <v>392</v>
      </c>
      <c r="R297" s="141" t="s">
        <v>361</v>
      </c>
      <c r="S297" s="141" t="s">
        <v>1324</v>
      </c>
      <c r="T297" s="141" t="s">
        <v>3264</v>
      </c>
      <c r="U297" s="141" t="s">
        <v>3264</v>
      </c>
      <c r="V297" s="141"/>
      <c r="W297" s="141"/>
      <c r="X297" s="141"/>
      <c r="Y297" s="141"/>
      <c r="Z297" s="141"/>
      <c r="AA297" s="141"/>
      <c r="AB297" s="141"/>
      <c r="AC297" s="141"/>
      <c r="AD297" s="141"/>
      <c r="AE297" s="141"/>
      <c r="AF297" s="141"/>
      <c r="AG297" s="141"/>
      <c r="AH297" s="141"/>
      <c r="AI297" s="141"/>
      <c r="AJ297" s="141"/>
      <c r="AK297" s="141" t="s">
        <v>354</v>
      </c>
      <c r="AL297" s="141" t="s">
        <v>364</v>
      </c>
      <c r="AM297" s="141" t="s">
        <v>354</v>
      </c>
      <c r="AN297" s="141" t="s">
        <v>772</v>
      </c>
      <c r="AO297" s="141" t="s">
        <v>3264</v>
      </c>
      <c r="AP297" s="141" t="s">
        <v>3265</v>
      </c>
      <c r="AQ297" s="141" t="s">
        <v>2929</v>
      </c>
      <c r="AR297" s="141" t="s">
        <v>408</v>
      </c>
      <c r="AS297" s="141"/>
      <c r="AT297" s="141"/>
      <c r="AU297" s="141"/>
      <c r="AV297" s="141"/>
      <c r="AW297" s="141"/>
      <c r="AX297" s="141"/>
      <c r="AY297" s="141"/>
      <c r="AZ297" s="141"/>
      <c r="BA297" s="141"/>
      <c r="BB297" s="141"/>
      <c r="BC297" s="141"/>
      <c r="BD297" s="141"/>
      <c r="BE297" s="141"/>
      <c r="BF297" s="141"/>
      <c r="BG297" s="141"/>
      <c r="BH297" s="141"/>
      <c r="BI297" s="141"/>
      <c r="BJ297" s="141"/>
      <c r="BK297" s="141"/>
      <c r="BL297" s="141"/>
      <c r="BM297" s="141"/>
      <c r="BN297" s="141"/>
      <c r="BO297" s="141"/>
      <c r="BP297" s="141"/>
      <c r="BQ297" s="141"/>
      <c r="BR297" s="141"/>
      <c r="BS297" s="141"/>
      <c r="BT297" s="141"/>
      <c r="BU297" s="141"/>
      <c r="BV297" s="141"/>
      <c r="BW297" s="141"/>
      <c r="BX297" s="141"/>
      <c r="BY297" s="141"/>
      <c r="BZ297" s="141"/>
      <c r="CA297" s="141"/>
      <c r="CB297" s="141"/>
      <c r="CC297" s="141"/>
      <c r="CD297" s="141"/>
      <c r="CE297" s="141"/>
      <c r="CF297" s="141"/>
      <c r="CG297" s="141"/>
      <c r="CH297" s="141"/>
      <c r="CI297" s="141"/>
      <c r="CJ297" s="141"/>
      <c r="CK297" s="141"/>
      <c r="CL297" s="141"/>
      <c r="CM297" s="141"/>
      <c r="CN297" s="141"/>
      <c r="CO297" s="141"/>
      <c r="CP297" s="141"/>
      <c r="CQ297" s="141"/>
      <c r="CR297" s="141"/>
      <c r="CS297" s="141"/>
      <c r="CT297" s="141"/>
      <c r="CU297" s="141"/>
      <c r="CV297" s="141"/>
      <c r="CW297" s="141"/>
      <c r="CX297" s="141"/>
      <c r="CY297" s="141"/>
      <c r="CZ297" s="141"/>
      <c r="DA297" s="173"/>
    </row>
    <row r="298" spans="2:105" x14ac:dyDescent="0.25">
      <c r="B298" s="172"/>
      <c r="C298" s="141"/>
      <c r="D298" s="141" t="s">
        <v>3431</v>
      </c>
      <c r="E298" s="141"/>
      <c r="F298" s="141" t="s">
        <v>466</v>
      </c>
      <c r="G298" s="141"/>
      <c r="H298" s="141" t="s">
        <v>353</v>
      </c>
      <c r="I298" s="141"/>
      <c r="J298" s="141" t="s">
        <v>354</v>
      </c>
      <c r="K298" s="141" t="s">
        <v>2245</v>
      </c>
      <c r="L298" s="141"/>
      <c r="M298" s="141"/>
      <c r="N298" s="141" t="s">
        <v>354</v>
      </c>
      <c r="O298" s="141"/>
      <c r="P298" s="141"/>
      <c r="Q298" s="141"/>
      <c r="R298" s="141"/>
      <c r="S298" s="141" t="s">
        <v>1324</v>
      </c>
      <c r="T298" s="141" t="s">
        <v>3264</v>
      </c>
      <c r="U298" s="141" t="s">
        <v>3264</v>
      </c>
      <c r="V298" s="141"/>
      <c r="W298" s="141"/>
      <c r="X298" s="141"/>
      <c r="Y298" s="141"/>
      <c r="Z298" s="141"/>
      <c r="AA298" s="141"/>
      <c r="AB298" s="141"/>
      <c r="AC298" s="141"/>
      <c r="AD298" s="141"/>
      <c r="AE298" s="141"/>
      <c r="AF298" s="141"/>
      <c r="AG298" s="141"/>
      <c r="AH298" s="141"/>
      <c r="AI298" s="141"/>
      <c r="AJ298" s="141"/>
      <c r="AK298" s="141" t="s">
        <v>354</v>
      </c>
      <c r="AL298" s="141" t="s">
        <v>364</v>
      </c>
      <c r="AM298" s="141" t="s">
        <v>354</v>
      </c>
      <c r="AN298" s="141" t="s">
        <v>772</v>
      </c>
      <c r="AO298" s="141" t="s">
        <v>3264</v>
      </c>
      <c r="AP298" s="141" t="s">
        <v>3265</v>
      </c>
      <c r="AQ298" s="141" t="s">
        <v>2929</v>
      </c>
      <c r="AR298" s="141" t="s">
        <v>408</v>
      </c>
      <c r="AS298" s="141"/>
      <c r="AT298" s="141"/>
      <c r="AU298" s="141"/>
      <c r="AV298" s="141"/>
      <c r="AW298" s="141"/>
      <c r="AX298" s="141"/>
      <c r="AY298" s="141"/>
      <c r="AZ298" s="141"/>
      <c r="BA298" s="141"/>
      <c r="BB298" s="141"/>
      <c r="BC298" s="141"/>
      <c r="BD298" s="141"/>
      <c r="BE298" s="141"/>
      <c r="BF298" s="141"/>
      <c r="BG298" s="141"/>
      <c r="BH298" s="141"/>
      <c r="BI298" s="141"/>
      <c r="BJ298" s="141"/>
      <c r="BK298" s="141"/>
      <c r="BL298" s="141"/>
      <c r="BM298" s="141"/>
      <c r="BN298" s="141"/>
      <c r="BO298" s="141"/>
      <c r="BP298" s="141"/>
      <c r="BQ298" s="141"/>
      <c r="BR298" s="141"/>
      <c r="BS298" s="141"/>
      <c r="BT298" s="141"/>
      <c r="BU298" s="141"/>
      <c r="BV298" s="141"/>
      <c r="BW298" s="141"/>
      <c r="BX298" s="141"/>
      <c r="BY298" s="141"/>
      <c r="BZ298" s="141"/>
      <c r="CA298" s="141"/>
      <c r="CB298" s="141"/>
      <c r="CC298" s="141"/>
      <c r="CD298" s="141"/>
      <c r="CE298" s="141"/>
      <c r="CF298" s="141"/>
      <c r="CG298" s="141"/>
      <c r="CH298" s="141"/>
      <c r="CI298" s="141"/>
      <c r="CJ298" s="141"/>
      <c r="CK298" s="141"/>
      <c r="CL298" s="141"/>
      <c r="CM298" s="141"/>
      <c r="CN298" s="141"/>
      <c r="CO298" s="141"/>
      <c r="CP298" s="141"/>
      <c r="CQ298" s="141"/>
      <c r="CR298" s="141"/>
      <c r="CS298" s="141"/>
      <c r="CT298" s="141"/>
      <c r="CU298" s="141"/>
      <c r="CV298" s="141"/>
      <c r="CW298" s="141"/>
      <c r="CX298" s="141"/>
      <c r="CY298" s="141"/>
      <c r="CZ298" s="141"/>
      <c r="DA298" s="173"/>
    </row>
    <row r="299" spans="2:105" x14ac:dyDescent="0.25">
      <c r="B299" s="172"/>
      <c r="C299" s="141"/>
      <c r="D299" s="141" t="s">
        <v>3432</v>
      </c>
      <c r="E299" s="141"/>
      <c r="F299" s="141" t="s">
        <v>466</v>
      </c>
      <c r="G299" s="141"/>
      <c r="H299" s="141" t="s">
        <v>353</v>
      </c>
      <c r="I299" s="141"/>
      <c r="J299" s="141" t="s">
        <v>354</v>
      </c>
      <c r="K299" s="141" t="s">
        <v>355</v>
      </c>
      <c r="L299" s="141"/>
      <c r="M299" s="141"/>
      <c r="N299" s="141" t="s">
        <v>354</v>
      </c>
      <c r="O299" s="141"/>
      <c r="P299" s="141"/>
      <c r="Q299" s="141"/>
      <c r="R299" s="141"/>
      <c r="S299" s="141" t="s">
        <v>1324</v>
      </c>
      <c r="T299" s="141" t="s">
        <v>3264</v>
      </c>
      <c r="U299" s="141" t="s">
        <v>3264</v>
      </c>
      <c r="V299" s="141"/>
      <c r="W299" s="141"/>
      <c r="X299" s="141"/>
      <c r="Y299" s="141"/>
      <c r="Z299" s="141"/>
      <c r="AA299" s="141"/>
      <c r="AB299" s="141"/>
      <c r="AC299" s="141"/>
      <c r="AD299" s="141"/>
      <c r="AE299" s="141"/>
      <c r="AF299" s="141"/>
      <c r="AG299" s="141"/>
      <c r="AH299" s="141"/>
      <c r="AI299" s="141"/>
      <c r="AJ299" s="141"/>
      <c r="AK299" s="141" t="s">
        <v>354</v>
      </c>
      <c r="AL299" s="141" t="s">
        <v>364</v>
      </c>
      <c r="AM299" s="141" t="s">
        <v>354</v>
      </c>
      <c r="AN299" s="141" t="s">
        <v>772</v>
      </c>
      <c r="AO299" s="141" t="s">
        <v>3264</v>
      </c>
      <c r="AP299" s="141" t="s">
        <v>3265</v>
      </c>
      <c r="AQ299" s="141" t="s">
        <v>2929</v>
      </c>
      <c r="AR299" s="141" t="s">
        <v>408</v>
      </c>
      <c r="AS299" s="141"/>
      <c r="AT299" s="141"/>
      <c r="AU299" s="141"/>
      <c r="AV299" s="141"/>
      <c r="AW299" s="141"/>
      <c r="AX299" s="141"/>
      <c r="AY299" s="141"/>
      <c r="AZ299" s="141"/>
      <c r="BA299" s="141"/>
      <c r="BB299" s="141"/>
      <c r="BC299" s="141"/>
      <c r="BD299" s="141"/>
      <c r="BE299" s="141"/>
      <c r="BF299" s="141"/>
      <c r="BG299" s="141"/>
      <c r="BH299" s="141"/>
      <c r="BI299" s="141"/>
      <c r="BJ299" s="141"/>
      <c r="BK299" s="141"/>
      <c r="BL299" s="141"/>
      <c r="BM299" s="141"/>
      <c r="BN299" s="141"/>
      <c r="BO299" s="141"/>
      <c r="BP299" s="141"/>
      <c r="BQ299" s="141"/>
      <c r="BR299" s="141"/>
      <c r="BS299" s="141"/>
      <c r="BT299" s="141"/>
      <c r="BU299" s="141"/>
      <c r="BV299" s="141"/>
      <c r="BW299" s="141"/>
      <c r="BX299" s="141"/>
      <c r="BY299" s="141"/>
      <c r="BZ299" s="141"/>
      <c r="CA299" s="141"/>
      <c r="CB299" s="141"/>
      <c r="CC299" s="141"/>
      <c r="CD299" s="141"/>
      <c r="CE299" s="141"/>
      <c r="CF299" s="141"/>
      <c r="CG299" s="141"/>
      <c r="CH299" s="141"/>
      <c r="CI299" s="141"/>
      <c r="CJ299" s="141"/>
      <c r="CK299" s="141"/>
      <c r="CL299" s="141"/>
      <c r="CM299" s="141"/>
      <c r="CN299" s="141"/>
      <c r="CO299" s="141"/>
      <c r="CP299" s="141"/>
      <c r="CQ299" s="141"/>
      <c r="CR299" s="141"/>
      <c r="CS299" s="141"/>
      <c r="CT299" s="141"/>
      <c r="CU299" s="141"/>
      <c r="CV299" s="141"/>
      <c r="CW299" s="141"/>
      <c r="CX299" s="141"/>
      <c r="CY299" s="141"/>
      <c r="CZ299" s="141"/>
      <c r="DA299" s="173"/>
    </row>
    <row r="300" spans="2:105" x14ac:dyDescent="0.25">
      <c r="B300" s="172"/>
      <c r="C300" s="141" t="s">
        <v>3433</v>
      </c>
      <c r="D300" s="141" t="s">
        <v>3434</v>
      </c>
      <c r="E300" s="141" t="s">
        <v>3435</v>
      </c>
      <c r="F300" s="141" t="s">
        <v>3436</v>
      </c>
      <c r="G300" s="141"/>
      <c r="H300" s="141" t="s">
        <v>353</v>
      </c>
      <c r="I300" s="141"/>
      <c r="J300" s="141" t="s">
        <v>354</v>
      </c>
      <c r="K300" s="141" t="s">
        <v>1832</v>
      </c>
      <c r="L300" s="141"/>
      <c r="M300" s="141"/>
      <c r="N300" s="141" t="s">
        <v>369</v>
      </c>
      <c r="O300" s="141" t="s">
        <v>393</v>
      </c>
      <c r="P300" s="141" t="s">
        <v>424</v>
      </c>
      <c r="Q300" s="141" t="s">
        <v>425</v>
      </c>
      <c r="R300" s="141" t="s">
        <v>361</v>
      </c>
      <c r="S300" s="141" t="s">
        <v>1324</v>
      </c>
      <c r="T300" s="141" t="s">
        <v>3264</v>
      </c>
      <c r="U300" s="141" t="s">
        <v>3264</v>
      </c>
      <c r="V300" s="141"/>
      <c r="W300" s="141"/>
      <c r="X300" s="141"/>
      <c r="Y300" s="141"/>
      <c r="Z300" s="141"/>
      <c r="AA300" s="141"/>
      <c r="AB300" s="141"/>
      <c r="AC300" s="141"/>
      <c r="AD300" s="141"/>
      <c r="AE300" s="141"/>
      <c r="AF300" s="141"/>
      <c r="AG300" s="141"/>
      <c r="AH300" s="141"/>
      <c r="AI300" s="141"/>
      <c r="AJ300" s="141"/>
      <c r="AK300" s="141" t="s">
        <v>354</v>
      </c>
      <c r="AL300" s="141" t="s">
        <v>364</v>
      </c>
      <c r="AM300" s="141" t="s">
        <v>354</v>
      </c>
      <c r="AN300" s="141" t="s">
        <v>772</v>
      </c>
      <c r="AO300" s="141" t="s">
        <v>3264</v>
      </c>
      <c r="AP300" s="141" t="s">
        <v>3265</v>
      </c>
      <c r="AQ300" s="141" t="s">
        <v>2929</v>
      </c>
      <c r="AR300" s="141" t="s">
        <v>408</v>
      </c>
      <c r="AS300" s="141"/>
      <c r="AT300" s="141"/>
      <c r="AU300" s="141"/>
      <c r="AV300" s="141"/>
      <c r="AW300" s="141"/>
      <c r="AX300" s="141"/>
      <c r="AY300" s="141"/>
      <c r="AZ300" s="141"/>
      <c r="BA300" s="141"/>
      <c r="BB300" s="141"/>
      <c r="BC300" s="141"/>
      <c r="BD300" s="141"/>
      <c r="BE300" s="141"/>
      <c r="BF300" s="141"/>
      <c r="BG300" s="141"/>
      <c r="BH300" s="141"/>
      <c r="BI300" s="141"/>
      <c r="BJ300" s="141"/>
      <c r="BK300" s="141"/>
      <c r="BL300" s="141"/>
      <c r="BM300" s="141"/>
      <c r="BN300" s="141"/>
      <c r="BO300" s="141"/>
      <c r="BP300" s="141"/>
      <c r="BQ300" s="141"/>
      <c r="BR300" s="141"/>
      <c r="BS300" s="141"/>
      <c r="BT300" s="141"/>
      <c r="BU300" s="141"/>
      <c r="BV300" s="141"/>
      <c r="BW300" s="141"/>
      <c r="BX300" s="141"/>
      <c r="BY300" s="141"/>
      <c r="BZ300" s="141"/>
      <c r="CA300" s="141"/>
      <c r="CB300" s="141"/>
      <c r="CC300" s="141"/>
      <c r="CD300" s="141"/>
      <c r="CE300" s="141"/>
      <c r="CF300" s="141"/>
      <c r="CG300" s="141"/>
      <c r="CH300" s="141"/>
      <c r="CI300" s="141"/>
      <c r="CJ300" s="141"/>
      <c r="CK300" s="141"/>
      <c r="CL300" s="141"/>
      <c r="CM300" s="141"/>
      <c r="CN300" s="141"/>
      <c r="CO300" s="141"/>
      <c r="CP300" s="141"/>
      <c r="CQ300" s="141"/>
      <c r="CR300" s="141"/>
      <c r="CS300" s="141"/>
      <c r="CT300" s="141"/>
      <c r="CU300" s="141"/>
      <c r="CV300" s="141"/>
      <c r="CW300" s="141"/>
      <c r="CX300" s="141"/>
      <c r="CY300" s="141"/>
      <c r="CZ300" s="141"/>
      <c r="DA300" s="173"/>
    </row>
    <row r="301" spans="2:105" x14ac:dyDescent="0.25">
      <c r="B301" s="172"/>
      <c r="C301" s="141" t="s">
        <v>3437</v>
      </c>
      <c r="D301" s="141" t="s">
        <v>3438</v>
      </c>
      <c r="E301" s="141" t="s">
        <v>462</v>
      </c>
      <c r="F301" s="141" t="s">
        <v>3327</v>
      </c>
      <c r="G301" s="141"/>
      <c r="H301" s="141" t="s">
        <v>353</v>
      </c>
      <c r="I301" s="141"/>
      <c r="J301" s="141" t="s">
        <v>354</v>
      </c>
      <c r="K301" s="141" t="s">
        <v>467</v>
      </c>
      <c r="L301" s="141"/>
      <c r="M301" s="141"/>
      <c r="N301" s="141" t="s">
        <v>369</v>
      </c>
      <c r="O301" s="141" t="s">
        <v>393</v>
      </c>
      <c r="P301" s="141" t="s">
        <v>424</v>
      </c>
      <c r="Q301" s="141" t="s">
        <v>425</v>
      </c>
      <c r="R301" s="141" t="s">
        <v>361</v>
      </c>
      <c r="S301" s="141" t="s">
        <v>1324</v>
      </c>
      <c r="T301" s="141" t="s">
        <v>3264</v>
      </c>
      <c r="U301" s="141" t="s">
        <v>3264</v>
      </c>
      <c r="V301" s="141"/>
      <c r="W301" s="141"/>
      <c r="X301" s="141"/>
      <c r="Y301" s="141"/>
      <c r="Z301" s="141"/>
      <c r="AA301" s="141"/>
      <c r="AB301" s="141"/>
      <c r="AC301" s="141"/>
      <c r="AD301" s="141"/>
      <c r="AE301" s="141"/>
      <c r="AF301" s="141"/>
      <c r="AG301" s="141"/>
      <c r="AH301" s="141"/>
      <c r="AI301" s="141"/>
      <c r="AJ301" s="141"/>
      <c r="AK301" s="141" t="s">
        <v>354</v>
      </c>
      <c r="AL301" s="141" t="s">
        <v>364</v>
      </c>
      <c r="AM301" s="141" t="s">
        <v>354</v>
      </c>
      <c r="AN301" s="141" t="s">
        <v>772</v>
      </c>
      <c r="AO301" s="141" t="s">
        <v>3264</v>
      </c>
      <c r="AP301" s="141" t="s">
        <v>3265</v>
      </c>
      <c r="AQ301" s="141" t="s">
        <v>2929</v>
      </c>
      <c r="AR301" s="141" t="s">
        <v>408</v>
      </c>
      <c r="AS301" s="141"/>
      <c r="AT301" s="141"/>
      <c r="AU301" s="141"/>
      <c r="AV301" s="141"/>
      <c r="AW301" s="141"/>
      <c r="AX301" s="141"/>
      <c r="AY301" s="141"/>
      <c r="AZ301" s="141"/>
      <c r="BA301" s="141"/>
      <c r="BB301" s="141"/>
      <c r="BC301" s="141"/>
      <c r="BD301" s="141"/>
      <c r="BE301" s="141"/>
      <c r="BF301" s="141"/>
      <c r="BG301" s="141"/>
      <c r="BH301" s="141"/>
      <c r="BI301" s="141"/>
      <c r="BJ301" s="141"/>
      <c r="BK301" s="141"/>
      <c r="BL301" s="141"/>
      <c r="BM301" s="141"/>
      <c r="BN301" s="141"/>
      <c r="BO301" s="141"/>
      <c r="BP301" s="141"/>
      <c r="BQ301" s="141"/>
      <c r="BR301" s="141"/>
      <c r="BS301" s="141"/>
      <c r="BT301" s="141"/>
      <c r="BU301" s="141"/>
      <c r="BV301" s="141"/>
      <c r="BW301" s="141"/>
      <c r="BX301" s="141"/>
      <c r="BY301" s="141"/>
      <c r="BZ301" s="141"/>
      <c r="CA301" s="141"/>
      <c r="CB301" s="141"/>
      <c r="CC301" s="141"/>
      <c r="CD301" s="141"/>
      <c r="CE301" s="141"/>
      <c r="CF301" s="141"/>
      <c r="CG301" s="141"/>
      <c r="CH301" s="141"/>
      <c r="CI301" s="141"/>
      <c r="CJ301" s="141"/>
      <c r="CK301" s="141"/>
      <c r="CL301" s="141"/>
      <c r="CM301" s="141"/>
      <c r="CN301" s="141"/>
      <c r="CO301" s="141"/>
      <c r="CP301" s="141"/>
      <c r="CQ301" s="141"/>
      <c r="CR301" s="141"/>
      <c r="CS301" s="141"/>
      <c r="CT301" s="141"/>
      <c r="CU301" s="141"/>
      <c r="CV301" s="141"/>
      <c r="CW301" s="141"/>
      <c r="CX301" s="141"/>
      <c r="CY301" s="141"/>
      <c r="CZ301" s="141"/>
      <c r="DA301" s="173"/>
    </row>
    <row r="302" spans="2:105" x14ac:dyDescent="0.25">
      <c r="B302" s="172"/>
      <c r="C302" s="141" t="s">
        <v>3439</v>
      </c>
      <c r="D302" s="141" t="s">
        <v>372</v>
      </c>
      <c r="E302" s="141" t="s">
        <v>764</v>
      </c>
      <c r="F302" s="141" t="s">
        <v>2447</v>
      </c>
      <c r="G302" s="141"/>
      <c r="H302" s="141" t="s">
        <v>353</v>
      </c>
      <c r="I302" s="141"/>
      <c r="J302" s="141" t="s">
        <v>354</v>
      </c>
      <c r="K302" s="141" t="s">
        <v>1993</v>
      </c>
      <c r="L302" s="141" t="s">
        <v>3440</v>
      </c>
      <c r="M302" s="141" t="s">
        <v>3441</v>
      </c>
      <c r="N302" s="141" t="s">
        <v>354</v>
      </c>
      <c r="O302" s="141" t="s">
        <v>393</v>
      </c>
      <c r="P302" s="141" t="s">
        <v>424</v>
      </c>
      <c r="Q302" s="141" t="s">
        <v>425</v>
      </c>
      <c r="R302" s="141" t="s">
        <v>361</v>
      </c>
      <c r="S302" s="141" t="s">
        <v>1308</v>
      </c>
      <c r="T302" s="141" t="s">
        <v>3442</v>
      </c>
      <c r="U302" s="141" t="s">
        <v>3442</v>
      </c>
      <c r="V302" s="141"/>
      <c r="W302" s="141"/>
      <c r="X302" s="141"/>
      <c r="Y302" s="141"/>
      <c r="Z302" s="141"/>
      <c r="AA302" s="141"/>
      <c r="AB302" s="141"/>
      <c r="AC302" s="141"/>
      <c r="AD302" s="141"/>
      <c r="AE302" s="141"/>
      <c r="AF302" s="141"/>
      <c r="AG302" s="141"/>
      <c r="AH302" s="141"/>
      <c r="AI302" s="141"/>
      <c r="AJ302" s="141"/>
      <c r="AK302" s="141" t="s">
        <v>354</v>
      </c>
      <c r="AL302" s="141" t="s">
        <v>364</v>
      </c>
      <c r="AM302" s="141" t="s">
        <v>354</v>
      </c>
      <c r="AN302" s="141" t="s">
        <v>1577</v>
      </c>
      <c r="AO302" s="141" t="s">
        <v>3442</v>
      </c>
      <c r="AP302" s="141" t="s">
        <v>3443</v>
      </c>
      <c r="AQ302" s="141" t="s">
        <v>1071</v>
      </c>
      <c r="AR302" s="141" t="s">
        <v>408</v>
      </c>
      <c r="AS302" s="141" t="s">
        <v>369</v>
      </c>
      <c r="AT302" s="141"/>
      <c r="AU302" s="141" t="s">
        <v>3440</v>
      </c>
      <c r="AV302" s="141" t="s">
        <v>2662</v>
      </c>
      <c r="AW302" s="141" t="s">
        <v>2539</v>
      </c>
      <c r="AX302" s="141" t="s">
        <v>2637</v>
      </c>
      <c r="AY302" s="141" t="s">
        <v>3444</v>
      </c>
      <c r="AZ302" s="141" t="s">
        <v>1586</v>
      </c>
      <c r="BA302" s="141" t="s">
        <v>3445</v>
      </c>
      <c r="BB302" s="141" t="s">
        <v>902</v>
      </c>
      <c r="BC302" s="141" t="s">
        <v>3446</v>
      </c>
      <c r="BD302" s="141" t="s">
        <v>904</v>
      </c>
      <c r="BE302" s="141" t="s">
        <v>972</v>
      </c>
      <c r="BF302" s="141" t="s">
        <v>1966</v>
      </c>
      <c r="BG302" s="141" t="s">
        <v>2371</v>
      </c>
      <c r="BH302" s="141" t="s">
        <v>785</v>
      </c>
      <c r="BI302" s="141" t="s">
        <v>1949</v>
      </c>
      <c r="BJ302" s="141" t="s">
        <v>382</v>
      </c>
      <c r="BK302" s="141" t="s">
        <v>3447</v>
      </c>
      <c r="BL302" s="141"/>
      <c r="BM302" s="141"/>
      <c r="BN302" s="141"/>
      <c r="BO302" s="141"/>
      <c r="BP302" s="141"/>
      <c r="BQ302" s="141"/>
      <c r="BR302" s="141"/>
      <c r="BS302" s="141"/>
      <c r="BT302" s="141"/>
      <c r="BU302" s="141"/>
      <c r="BV302" s="141"/>
      <c r="BW302" s="141"/>
      <c r="BX302" s="141"/>
      <c r="BY302" s="141"/>
      <c r="BZ302" s="141"/>
      <c r="CA302" s="141"/>
      <c r="CB302" s="141"/>
      <c r="CC302" s="141"/>
      <c r="CD302" s="141"/>
      <c r="CE302" s="141"/>
      <c r="CF302" s="141"/>
      <c r="CG302" s="141"/>
      <c r="CH302" s="141"/>
      <c r="CI302" s="141"/>
      <c r="CJ302" s="141"/>
      <c r="CK302" s="141"/>
      <c r="CL302" s="141"/>
      <c r="CM302" s="141"/>
      <c r="CN302" s="141"/>
      <c r="CO302" s="141"/>
      <c r="CP302" s="141"/>
      <c r="CQ302" s="141"/>
      <c r="CR302" s="141"/>
      <c r="CS302" s="141"/>
      <c r="CT302" s="141"/>
      <c r="CU302" s="141"/>
      <c r="CV302" s="141"/>
      <c r="CW302" s="141"/>
      <c r="CX302" s="141"/>
      <c r="CY302" s="141"/>
      <c r="CZ302" s="141"/>
      <c r="DA302" s="173"/>
    </row>
    <row r="303" spans="2:105" x14ac:dyDescent="0.25">
      <c r="B303" s="172"/>
      <c r="C303" s="141" t="s">
        <v>3448</v>
      </c>
      <c r="D303" s="141" t="s">
        <v>779</v>
      </c>
      <c r="E303" s="141" t="s">
        <v>572</v>
      </c>
      <c r="F303" s="141" t="s">
        <v>3449</v>
      </c>
      <c r="G303" s="141"/>
      <c r="H303" s="141" t="s">
        <v>353</v>
      </c>
      <c r="I303" s="141"/>
      <c r="J303" s="141" t="s">
        <v>354</v>
      </c>
      <c r="K303" s="141" t="s">
        <v>2305</v>
      </c>
      <c r="L303" s="141" t="s">
        <v>3450</v>
      </c>
      <c r="M303" s="141" t="s">
        <v>3451</v>
      </c>
      <c r="N303" s="141" t="s">
        <v>354</v>
      </c>
      <c r="O303" s="141" t="s">
        <v>393</v>
      </c>
      <c r="P303" s="141" t="s">
        <v>424</v>
      </c>
      <c r="Q303" s="141" t="s">
        <v>425</v>
      </c>
      <c r="R303" s="141" t="s">
        <v>361</v>
      </c>
      <c r="S303" s="141" t="s">
        <v>1308</v>
      </c>
      <c r="T303" s="141" t="s">
        <v>3442</v>
      </c>
      <c r="U303" s="141" t="s">
        <v>3442</v>
      </c>
      <c r="V303" s="141"/>
      <c r="W303" s="141"/>
      <c r="X303" s="141"/>
      <c r="Y303" s="141"/>
      <c r="Z303" s="141"/>
      <c r="AA303" s="141"/>
      <c r="AB303" s="141"/>
      <c r="AC303" s="141"/>
      <c r="AD303" s="141"/>
      <c r="AE303" s="141"/>
      <c r="AF303" s="141"/>
      <c r="AG303" s="141"/>
      <c r="AH303" s="141"/>
      <c r="AI303" s="141"/>
      <c r="AJ303" s="141"/>
      <c r="AK303" s="141" t="s">
        <v>354</v>
      </c>
      <c r="AL303" s="141" t="s">
        <v>364</v>
      </c>
      <c r="AM303" s="141" t="s">
        <v>354</v>
      </c>
      <c r="AN303" s="141" t="s">
        <v>1577</v>
      </c>
      <c r="AO303" s="141" t="s">
        <v>3442</v>
      </c>
      <c r="AP303" s="141" t="s">
        <v>3443</v>
      </c>
      <c r="AQ303" s="141" t="s">
        <v>1071</v>
      </c>
      <c r="AR303" s="141" t="s">
        <v>408</v>
      </c>
      <c r="AS303" s="141" t="s">
        <v>393</v>
      </c>
      <c r="AT303" s="141"/>
      <c r="AU303" s="141" t="s">
        <v>3450</v>
      </c>
      <c r="AV303" s="141" t="s">
        <v>2662</v>
      </c>
      <c r="AW303" s="141" t="s">
        <v>2787</v>
      </c>
      <c r="AX303" s="141" t="s">
        <v>2637</v>
      </c>
      <c r="AY303" s="141" t="s">
        <v>3452</v>
      </c>
      <c r="AZ303" s="141" t="s">
        <v>1586</v>
      </c>
      <c r="BA303" s="141" t="s">
        <v>3453</v>
      </c>
      <c r="BB303" s="141" t="s">
        <v>902</v>
      </c>
      <c r="BC303" s="141" t="s">
        <v>3454</v>
      </c>
      <c r="BD303" s="141" t="s">
        <v>904</v>
      </c>
      <c r="BE303" s="141" t="s">
        <v>590</v>
      </c>
      <c r="BF303" s="141" t="s">
        <v>1966</v>
      </c>
      <c r="BG303" s="141" t="s">
        <v>3455</v>
      </c>
      <c r="BH303" s="141" t="s">
        <v>785</v>
      </c>
      <c r="BI303" s="141" t="s">
        <v>3456</v>
      </c>
      <c r="BJ303" s="141" t="s">
        <v>382</v>
      </c>
      <c r="BK303" s="141" t="s">
        <v>3457</v>
      </c>
      <c r="BL303" s="141"/>
      <c r="BM303" s="141"/>
      <c r="BN303" s="141"/>
      <c r="BO303" s="141"/>
      <c r="BP303" s="141"/>
      <c r="BQ303" s="141"/>
      <c r="BR303" s="141"/>
      <c r="BS303" s="141"/>
      <c r="BT303" s="141"/>
      <c r="BU303" s="141"/>
      <c r="BV303" s="141"/>
      <c r="BW303" s="141"/>
      <c r="BX303" s="141"/>
      <c r="BY303" s="141"/>
      <c r="BZ303" s="141"/>
      <c r="CA303" s="141"/>
      <c r="CB303" s="141"/>
      <c r="CC303" s="141"/>
      <c r="CD303" s="141"/>
      <c r="CE303" s="141"/>
      <c r="CF303" s="141"/>
      <c r="CG303" s="141"/>
      <c r="CH303" s="141"/>
      <c r="CI303" s="141"/>
      <c r="CJ303" s="141"/>
      <c r="CK303" s="141"/>
      <c r="CL303" s="141"/>
      <c r="CM303" s="141"/>
      <c r="CN303" s="141"/>
      <c r="CO303" s="141"/>
      <c r="CP303" s="141"/>
      <c r="CQ303" s="141"/>
      <c r="CR303" s="141"/>
      <c r="CS303" s="141"/>
      <c r="CT303" s="141"/>
      <c r="CU303" s="141"/>
      <c r="CV303" s="141"/>
      <c r="CW303" s="141"/>
      <c r="CX303" s="141"/>
      <c r="CY303" s="141"/>
      <c r="CZ303" s="141"/>
      <c r="DA303" s="173"/>
    </row>
    <row r="304" spans="2:105" x14ac:dyDescent="0.25">
      <c r="B304" s="172"/>
      <c r="C304" s="141" t="s">
        <v>3458</v>
      </c>
      <c r="D304" s="141" t="s">
        <v>3459</v>
      </c>
      <c r="E304" s="141" t="s">
        <v>3460</v>
      </c>
      <c r="F304" s="141" t="s">
        <v>3461</v>
      </c>
      <c r="G304" s="141"/>
      <c r="H304" s="141" t="s">
        <v>353</v>
      </c>
      <c r="I304" s="141"/>
      <c r="J304" s="141" t="s">
        <v>354</v>
      </c>
      <c r="K304" s="141" t="s">
        <v>482</v>
      </c>
      <c r="L304" s="141" t="s">
        <v>3462</v>
      </c>
      <c r="M304" s="141" t="s">
        <v>3463</v>
      </c>
      <c r="N304" s="141" t="s">
        <v>354</v>
      </c>
      <c r="O304" s="141" t="s">
        <v>426</v>
      </c>
      <c r="P304" s="141" t="s">
        <v>454</v>
      </c>
      <c r="Q304" s="141" t="s">
        <v>455</v>
      </c>
      <c r="R304" s="141" t="s">
        <v>361</v>
      </c>
      <c r="S304" s="141" t="s">
        <v>1308</v>
      </c>
      <c r="T304" s="141" t="s">
        <v>3442</v>
      </c>
      <c r="U304" s="141" t="s">
        <v>3442</v>
      </c>
      <c r="V304" s="141"/>
      <c r="W304" s="141"/>
      <c r="X304" s="141"/>
      <c r="Y304" s="141"/>
      <c r="Z304" s="141"/>
      <c r="AA304" s="141"/>
      <c r="AB304" s="141"/>
      <c r="AC304" s="141"/>
      <c r="AD304" s="141"/>
      <c r="AE304" s="141"/>
      <c r="AF304" s="141"/>
      <c r="AG304" s="141"/>
      <c r="AH304" s="141"/>
      <c r="AI304" s="141"/>
      <c r="AJ304" s="141"/>
      <c r="AK304" s="141" t="s">
        <v>354</v>
      </c>
      <c r="AL304" s="141" t="s">
        <v>364</v>
      </c>
      <c r="AM304" s="141" t="s">
        <v>354</v>
      </c>
      <c r="AN304" s="141" t="s">
        <v>1577</v>
      </c>
      <c r="AO304" s="141" t="s">
        <v>3442</v>
      </c>
      <c r="AP304" s="141" t="s">
        <v>3443</v>
      </c>
      <c r="AQ304" s="141" t="s">
        <v>1071</v>
      </c>
      <c r="AR304" s="141" t="s">
        <v>408</v>
      </c>
      <c r="AS304" s="141" t="s">
        <v>358</v>
      </c>
      <c r="AT304" s="141"/>
      <c r="AU304" s="141" t="s">
        <v>3462</v>
      </c>
      <c r="AV304" s="141" t="s">
        <v>2662</v>
      </c>
      <c r="AW304" s="141" t="s">
        <v>3464</v>
      </c>
      <c r="AX304" s="141" t="s">
        <v>2637</v>
      </c>
      <c r="AY304" s="141" t="s">
        <v>3465</v>
      </c>
      <c r="AZ304" s="141" t="s">
        <v>1586</v>
      </c>
      <c r="BA304" s="141" t="s">
        <v>3466</v>
      </c>
      <c r="BB304" s="141" t="s">
        <v>902</v>
      </c>
      <c r="BC304" s="141" t="s">
        <v>3467</v>
      </c>
      <c r="BD304" s="141" t="s">
        <v>904</v>
      </c>
      <c r="BE304" s="141" t="s">
        <v>3468</v>
      </c>
      <c r="BF304" s="141" t="s">
        <v>1966</v>
      </c>
      <c r="BG304" s="141" t="s">
        <v>3447</v>
      </c>
      <c r="BH304" s="141" t="s">
        <v>785</v>
      </c>
      <c r="BI304" s="141" t="s">
        <v>3469</v>
      </c>
      <c r="BJ304" s="141" t="s">
        <v>382</v>
      </c>
      <c r="BK304" s="141" t="s">
        <v>3470</v>
      </c>
      <c r="BL304" s="141"/>
      <c r="BM304" s="141"/>
      <c r="BN304" s="141"/>
      <c r="BO304" s="141"/>
      <c r="BP304" s="141"/>
      <c r="BQ304" s="141"/>
      <c r="BR304" s="141"/>
      <c r="BS304" s="141"/>
      <c r="BT304" s="141"/>
      <c r="BU304" s="141"/>
      <c r="BV304" s="141"/>
      <c r="BW304" s="141"/>
      <c r="BX304" s="141"/>
      <c r="BY304" s="141"/>
      <c r="BZ304" s="141"/>
      <c r="CA304" s="141"/>
      <c r="CB304" s="141"/>
      <c r="CC304" s="141"/>
      <c r="CD304" s="141"/>
      <c r="CE304" s="141"/>
      <c r="CF304" s="141"/>
      <c r="CG304" s="141"/>
      <c r="CH304" s="141"/>
      <c r="CI304" s="141"/>
      <c r="CJ304" s="141"/>
      <c r="CK304" s="141"/>
      <c r="CL304" s="141"/>
      <c r="CM304" s="141"/>
      <c r="CN304" s="141"/>
      <c r="CO304" s="141"/>
      <c r="CP304" s="141"/>
      <c r="CQ304" s="141"/>
      <c r="CR304" s="141"/>
      <c r="CS304" s="141"/>
      <c r="CT304" s="141"/>
      <c r="CU304" s="141"/>
      <c r="CV304" s="141"/>
      <c r="CW304" s="141"/>
      <c r="CX304" s="141"/>
      <c r="CY304" s="141"/>
      <c r="CZ304" s="141"/>
      <c r="DA304" s="173"/>
    </row>
    <row r="305" spans="2:105" x14ac:dyDescent="0.25">
      <c r="B305" s="172"/>
      <c r="C305" s="141" t="s">
        <v>3471</v>
      </c>
      <c r="D305" s="141" t="s">
        <v>3472</v>
      </c>
      <c r="E305" s="141" t="s">
        <v>764</v>
      </c>
      <c r="F305" s="141" t="s">
        <v>3473</v>
      </c>
      <c r="G305" s="141"/>
      <c r="H305" s="141" t="s">
        <v>353</v>
      </c>
      <c r="I305" s="141"/>
      <c r="J305" s="141" t="s">
        <v>354</v>
      </c>
      <c r="K305" s="141" t="s">
        <v>1126</v>
      </c>
      <c r="L305" s="141" t="s">
        <v>3474</v>
      </c>
      <c r="M305" s="141" t="s">
        <v>3286</v>
      </c>
      <c r="N305" s="141" t="s">
        <v>354</v>
      </c>
      <c r="O305" s="141" t="s">
        <v>393</v>
      </c>
      <c r="P305" s="141" t="s">
        <v>424</v>
      </c>
      <c r="Q305" s="141" t="s">
        <v>425</v>
      </c>
      <c r="R305" s="141" t="s">
        <v>361</v>
      </c>
      <c r="S305" s="141" t="s">
        <v>1308</v>
      </c>
      <c r="T305" s="141" t="s">
        <v>3442</v>
      </c>
      <c r="U305" s="141" t="s">
        <v>3442</v>
      </c>
      <c r="V305" s="141"/>
      <c r="W305" s="141"/>
      <c r="X305" s="141"/>
      <c r="Y305" s="141"/>
      <c r="Z305" s="141"/>
      <c r="AA305" s="141"/>
      <c r="AB305" s="141"/>
      <c r="AC305" s="141"/>
      <c r="AD305" s="141"/>
      <c r="AE305" s="141"/>
      <c r="AF305" s="141"/>
      <c r="AG305" s="141"/>
      <c r="AH305" s="141"/>
      <c r="AI305" s="141"/>
      <c r="AJ305" s="141"/>
      <c r="AK305" s="141" t="s">
        <v>354</v>
      </c>
      <c r="AL305" s="141" t="s">
        <v>364</v>
      </c>
      <c r="AM305" s="141" t="s">
        <v>354</v>
      </c>
      <c r="AN305" s="141" t="s">
        <v>1577</v>
      </c>
      <c r="AO305" s="141" t="s">
        <v>3442</v>
      </c>
      <c r="AP305" s="141" t="s">
        <v>3443</v>
      </c>
      <c r="AQ305" s="141" t="s">
        <v>1071</v>
      </c>
      <c r="AR305" s="141" t="s">
        <v>408</v>
      </c>
      <c r="AS305" s="141" t="s">
        <v>426</v>
      </c>
      <c r="AT305" s="141"/>
      <c r="AU305" s="141" t="s">
        <v>3474</v>
      </c>
      <c r="AV305" s="141" t="s">
        <v>2662</v>
      </c>
      <c r="AW305" s="141" t="s">
        <v>513</v>
      </c>
      <c r="AX305" s="141" t="s">
        <v>2637</v>
      </c>
      <c r="AY305" s="141" t="s">
        <v>3475</v>
      </c>
      <c r="AZ305" s="141" t="s">
        <v>1586</v>
      </c>
      <c r="BA305" s="141" t="s">
        <v>3476</v>
      </c>
      <c r="BB305" s="141" t="s">
        <v>902</v>
      </c>
      <c r="BC305" s="141" t="s">
        <v>3477</v>
      </c>
      <c r="BD305" s="141" t="s">
        <v>904</v>
      </c>
      <c r="BE305" s="141" t="s">
        <v>2706</v>
      </c>
      <c r="BF305" s="141" t="s">
        <v>1966</v>
      </c>
      <c r="BG305" s="141" t="s">
        <v>3478</v>
      </c>
      <c r="BH305" s="141" t="s">
        <v>785</v>
      </c>
      <c r="BI305" s="141" t="s">
        <v>3479</v>
      </c>
      <c r="BJ305" s="141" t="s">
        <v>382</v>
      </c>
      <c r="BK305" s="141" t="s">
        <v>3480</v>
      </c>
      <c r="BL305" s="141"/>
      <c r="BM305" s="141"/>
      <c r="BN305" s="141"/>
      <c r="BO305" s="141"/>
      <c r="BP305" s="141"/>
      <c r="BQ305" s="141"/>
      <c r="BR305" s="141"/>
      <c r="BS305" s="141"/>
      <c r="BT305" s="141"/>
      <c r="BU305" s="141"/>
      <c r="BV305" s="141"/>
      <c r="BW305" s="141"/>
      <c r="BX305" s="141"/>
      <c r="BY305" s="141"/>
      <c r="BZ305" s="141"/>
      <c r="CA305" s="141"/>
      <c r="CB305" s="141"/>
      <c r="CC305" s="141"/>
      <c r="CD305" s="141"/>
      <c r="CE305" s="141"/>
      <c r="CF305" s="141"/>
      <c r="CG305" s="141"/>
      <c r="CH305" s="141"/>
      <c r="CI305" s="141"/>
      <c r="CJ305" s="141"/>
      <c r="CK305" s="141"/>
      <c r="CL305" s="141"/>
      <c r="CM305" s="141"/>
      <c r="CN305" s="141"/>
      <c r="CO305" s="141"/>
      <c r="CP305" s="141"/>
      <c r="CQ305" s="141"/>
      <c r="CR305" s="141"/>
      <c r="CS305" s="141"/>
      <c r="CT305" s="141"/>
      <c r="CU305" s="141"/>
      <c r="CV305" s="141"/>
      <c r="CW305" s="141"/>
      <c r="CX305" s="141"/>
      <c r="CY305" s="141"/>
      <c r="CZ305" s="141"/>
      <c r="DA305" s="173"/>
    </row>
    <row r="306" spans="2:105" x14ac:dyDescent="0.25">
      <c r="B306" s="172"/>
      <c r="C306" s="141" t="s">
        <v>3481</v>
      </c>
      <c r="D306" s="141" t="s">
        <v>3482</v>
      </c>
      <c r="E306" s="141" t="s">
        <v>1744</v>
      </c>
      <c r="F306" s="141" t="s">
        <v>3483</v>
      </c>
      <c r="G306" s="141"/>
      <c r="H306" s="141" t="s">
        <v>353</v>
      </c>
      <c r="I306" s="141"/>
      <c r="J306" s="141" t="s">
        <v>354</v>
      </c>
      <c r="K306" s="141" t="s">
        <v>754</v>
      </c>
      <c r="L306" s="141" t="s">
        <v>3484</v>
      </c>
      <c r="M306" s="141" t="s">
        <v>3485</v>
      </c>
      <c r="N306" s="141" t="s">
        <v>354</v>
      </c>
      <c r="O306" s="141" t="s">
        <v>369</v>
      </c>
      <c r="P306" s="141" t="s">
        <v>528</v>
      </c>
      <c r="Q306" s="141" t="s">
        <v>529</v>
      </c>
      <c r="R306" s="141" t="s">
        <v>361</v>
      </c>
      <c r="S306" s="141" t="s">
        <v>1308</v>
      </c>
      <c r="T306" s="141" t="s">
        <v>3442</v>
      </c>
      <c r="U306" s="141" t="s">
        <v>3442</v>
      </c>
      <c r="V306" s="141"/>
      <c r="W306" s="141"/>
      <c r="X306" s="141"/>
      <c r="Y306" s="141"/>
      <c r="Z306" s="141"/>
      <c r="AA306" s="141"/>
      <c r="AB306" s="141"/>
      <c r="AC306" s="141"/>
      <c r="AD306" s="141"/>
      <c r="AE306" s="141"/>
      <c r="AF306" s="141"/>
      <c r="AG306" s="141"/>
      <c r="AH306" s="141"/>
      <c r="AI306" s="141"/>
      <c r="AJ306" s="141"/>
      <c r="AK306" s="141" t="s">
        <v>354</v>
      </c>
      <c r="AL306" s="141" t="s">
        <v>364</v>
      </c>
      <c r="AM306" s="141" t="s">
        <v>354</v>
      </c>
      <c r="AN306" s="141" t="s">
        <v>1577</v>
      </c>
      <c r="AO306" s="141" t="s">
        <v>3442</v>
      </c>
      <c r="AP306" s="141" t="s">
        <v>3443</v>
      </c>
      <c r="AQ306" s="141" t="s">
        <v>1071</v>
      </c>
      <c r="AR306" s="141" t="s">
        <v>408</v>
      </c>
      <c r="AS306" s="141" t="s">
        <v>441</v>
      </c>
      <c r="AT306" s="141"/>
      <c r="AU306" s="141" t="s">
        <v>3484</v>
      </c>
      <c r="AV306" s="141" t="s">
        <v>2662</v>
      </c>
      <c r="AW306" s="141" t="s">
        <v>3486</v>
      </c>
      <c r="AX306" s="141" t="s">
        <v>2637</v>
      </c>
      <c r="AY306" s="141" t="s">
        <v>3487</v>
      </c>
      <c r="AZ306" s="141" t="s">
        <v>1586</v>
      </c>
      <c r="BA306" s="141" t="s">
        <v>3488</v>
      </c>
      <c r="BB306" s="141" t="s">
        <v>902</v>
      </c>
      <c r="BC306" s="141" t="s">
        <v>2381</v>
      </c>
      <c r="BD306" s="141" t="s">
        <v>904</v>
      </c>
      <c r="BE306" s="141" t="s">
        <v>3489</v>
      </c>
      <c r="BF306" s="141" t="s">
        <v>1966</v>
      </c>
      <c r="BG306" s="141" t="s">
        <v>3490</v>
      </c>
      <c r="BH306" s="141" t="s">
        <v>785</v>
      </c>
      <c r="BI306" s="141" t="s">
        <v>3491</v>
      </c>
      <c r="BJ306" s="141" t="s">
        <v>382</v>
      </c>
      <c r="BK306" s="141" t="s">
        <v>3492</v>
      </c>
      <c r="BL306" s="141"/>
      <c r="BM306" s="141"/>
      <c r="BN306" s="141"/>
      <c r="BO306" s="141"/>
      <c r="BP306" s="141"/>
      <c r="BQ306" s="141"/>
      <c r="BR306" s="141"/>
      <c r="BS306" s="141"/>
      <c r="BT306" s="141"/>
      <c r="BU306" s="141"/>
      <c r="BV306" s="141"/>
      <c r="BW306" s="141"/>
      <c r="BX306" s="141"/>
      <c r="BY306" s="141"/>
      <c r="BZ306" s="141"/>
      <c r="CA306" s="141"/>
      <c r="CB306" s="141"/>
      <c r="CC306" s="141"/>
      <c r="CD306" s="141"/>
      <c r="CE306" s="141"/>
      <c r="CF306" s="141"/>
      <c r="CG306" s="141"/>
      <c r="CH306" s="141"/>
      <c r="CI306" s="141"/>
      <c r="CJ306" s="141"/>
      <c r="CK306" s="141"/>
      <c r="CL306" s="141"/>
      <c r="CM306" s="141"/>
      <c r="CN306" s="141"/>
      <c r="CO306" s="141"/>
      <c r="CP306" s="141"/>
      <c r="CQ306" s="141"/>
      <c r="CR306" s="141"/>
      <c r="CS306" s="141"/>
      <c r="CT306" s="141"/>
      <c r="CU306" s="141"/>
      <c r="CV306" s="141"/>
      <c r="CW306" s="141"/>
      <c r="CX306" s="141"/>
      <c r="CY306" s="141"/>
      <c r="CZ306" s="141"/>
      <c r="DA306" s="173"/>
    </row>
    <row r="307" spans="2:105" x14ac:dyDescent="0.25">
      <c r="B307" s="172"/>
      <c r="C307" s="141" t="s">
        <v>3493</v>
      </c>
      <c r="D307" s="141" t="s">
        <v>3494</v>
      </c>
      <c r="E307" s="141" t="s">
        <v>3495</v>
      </c>
      <c r="F307" s="141" t="s">
        <v>2536</v>
      </c>
      <c r="G307" s="141"/>
      <c r="H307" s="141" t="s">
        <v>353</v>
      </c>
      <c r="I307" s="141"/>
      <c r="J307" s="141" t="s">
        <v>354</v>
      </c>
      <c r="K307" s="141" t="s">
        <v>2325</v>
      </c>
      <c r="L307" s="141" t="s">
        <v>3496</v>
      </c>
      <c r="M307" s="141" t="s">
        <v>3497</v>
      </c>
      <c r="N307" s="141" t="s">
        <v>354</v>
      </c>
      <c r="O307" s="141" t="s">
        <v>358</v>
      </c>
      <c r="P307" s="141" t="s">
        <v>359</v>
      </c>
      <c r="Q307" s="141" t="s">
        <v>360</v>
      </c>
      <c r="R307" s="141" t="s">
        <v>361</v>
      </c>
      <c r="S307" s="141" t="s">
        <v>1308</v>
      </c>
      <c r="T307" s="141" t="s">
        <v>3442</v>
      </c>
      <c r="U307" s="141" t="s">
        <v>3442</v>
      </c>
      <c r="V307" s="141"/>
      <c r="W307" s="141"/>
      <c r="X307" s="141"/>
      <c r="Y307" s="141"/>
      <c r="Z307" s="141"/>
      <c r="AA307" s="141"/>
      <c r="AB307" s="141"/>
      <c r="AC307" s="141"/>
      <c r="AD307" s="141"/>
      <c r="AE307" s="141"/>
      <c r="AF307" s="141"/>
      <c r="AG307" s="141"/>
      <c r="AH307" s="141"/>
      <c r="AI307" s="141"/>
      <c r="AJ307" s="141"/>
      <c r="AK307" s="141" t="s">
        <v>354</v>
      </c>
      <c r="AL307" s="141" t="s">
        <v>364</v>
      </c>
      <c r="AM307" s="141" t="s">
        <v>354</v>
      </c>
      <c r="AN307" s="141" t="s">
        <v>1577</v>
      </c>
      <c r="AO307" s="141" t="s">
        <v>3442</v>
      </c>
      <c r="AP307" s="141" t="s">
        <v>3443</v>
      </c>
      <c r="AQ307" s="141" t="s">
        <v>1071</v>
      </c>
      <c r="AR307" s="141" t="s">
        <v>408</v>
      </c>
      <c r="AS307" s="141" t="s">
        <v>391</v>
      </c>
      <c r="AT307" s="141"/>
      <c r="AU307" s="141" t="s">
        <v>3496</v>
      </c>
      <c r="AV307" s="141" t="s">
        <v>2662</v>
      </c>
      <c r="AW307" s="141" t="s">
        <v>3498</v>
      </c>
      <c r="AX307" s="141" t="s">
        <v>2637</v>
      </c>
      <c r="AY307" s="141" t="s">
        <v>2051</v>
      </c>
      <c r="AZ307" s="141" t="s">
        <v>1586</v>
      </c>
      <c r="BA307" s="141" t="s">
        <v>412</v>
      </c>
      <c r="BB307" s="141" t="s">
        <v>902</v>
      </c>
      <c r="BC307" s="141" t="s">
        <v>1652</v>
      </c>
      <c r="BD307" s="141" t="s">
        <v>904</v>
      </c>
      <c r="BE307" s="141" t="s">
        <v>3499</v>
      </c>
      <c r="BF307" s="141" t="s">
        <v>1966</v>
      </c>
      <c r="BG307" s="141" t="s">
        <v>2915</v>
      </c>
      <c r="BH307" s="141" t="s">
        <v>785</v>
      </c>
      <c r="BI307" s="141" t="s">
        <v>3500</v>
      </c>
      <c r="BJ307" s="141" t="s">
        <v>382</v>
      </c>
      <c r="BK307" s="141" t="s">
        <v>3501</v>
      </c>
      <c r="BL307" s="141"/>
      <c r="BM307" s="141"/>
      <c r="BN307" s="141"/>
      <c r="BO307" s="141"/>
      <c r="BP307" s="141"/>
      <c r="BQ307" s="141"/>
      <c r="BR307" s="141"/>
      <c r="BS307" s="141"/>
      <c r="BT307" s="141"/>
      <c r="BU307" s="141"/>
      <c r="BV307" s="141"/>
      <c r="BW307" s="141"/>
      <c r="BX307" s="141"/>
      <c r="BY307" s="141"/>
      <c r="BZ307" s="141"/>
      <c r="CA307" s="141"/>
      <c r="CB307" s="141"/>
      <c r="CC307" s="141"/>
      <c r="CD307" s="141"/>
      <c r="CE307" s="141"/>
      <c r="CF307" s="141"/>
      <c r="CG307" s="141"/>
      <c r="CH307" s="141"/>
      <c r="CI307" s="141"/>
      <c r="CJ307" s="141"/>
      <c r="CK307" s="141"/>
      <c r="CL307" s="141"/>
      <c r="CM307" s="141"/>
      <c r="CN307" s="141"/>
      <c r="CO307" s="141"/>
      <c r="CP307" s="141"/>
      <c r="CQ307" s="141"/>
      <c r="CR307" s="141"/>
      <c r="CS307" s="141"/>
      <c r="CT307" s="141"/>
      <c r="CU307" s="141"/>
      <c r="CV307" s="141"/>
      <c r="CW307" s="141"/>
      <c r="CX307" s="141"/>
      <c r="CY307" s="141"/>
      <c r="CZ307" s="141"/>
      <c r="DA307" s="173"/>
    </row>
    <row r="308" spans="2:105" x14ac:dyDescent="0.25">
      <c r="B308" s="172"/>
      <c r="C308" s="141" t="s">
        <v>3502</v>
      </c>
      <c r="D308" s="141" t="s">
        <v>3503</v>
      </c>
      <c r="E308" s="141" t="s">
        <v>713</v>
      </c>
      <c r="F308" s="141" t="s">
        <v>2447</v>
      </c>
      <c r="G308" s="141"/>
      <c r="H308" s="141" t="s">
        <v>353</v>
      </c>
      <c r="I308" s="141"/>
      <c r="J308" s="141" t="s">
        <v>354</v>
      </c>
      <c r="K308" s="141" t="s">
        <v>741</v>
      </c>
      <c r="L308" s="141" t="s">
        <v>3504</v>
      </c>
      <c r="M308" s="141" t="s">
        <v>3505</v>
      </c>
      <c r="N308" s="141" t="s">
        <v>354</v>
      </c>
      <c r="O308" s="141" t="s">
        <v>358</v>
      </c>
      <c r="P308" s="141" t="s">
        <v>359</v>
      </c>
      <c r="Q308" s="141" t="s">
        <v>360</v>
      </c>
      <c r="R308" s="141" t="s">
        <v>361</v>
      </c>
      <c r="S308" s="141" t="s">
        <v>1308</v>
      </c>
      <c r="T308" s="141" t="s">
        <v>3442</v>
      </c>
      <c r="U308" s="141" t="s">
        <v>3442</v>
      </c>
      <c r="V308" s="141"/>
      <c r="W308" s="141"/>
      <c r="X308" s="141"/>
      <c r="Y308" s="141"/>
      <c r="Z308" s="141"/>
      <c r="AA308" s="141"/>
      <c r="AB308" s="141"/>
      <c r="AC308" s="141"/>
      <c r="AD308" s="141"/>
      <c r="AE308" s="141"/>
      <c r="AF308" s="141"/>
      <c r="AG308" s="141"/>
      <c r="AH308" s="141"/>
      <c r="AI308" s="141"/>
      <c r="AJ308" s="141"/>
      <c r="AK308" s="141" t="s">
        <v>354</v>
      </c>
      <c r="AL308" s="141" t="s">
        <v>364</v>
      </c>
      <c r="AM308" s="141" t="s">
        <v>354</v>
      </c>
      <c r="AN308" s="141" t="s">
        <v>1577</v>
      </c>
      <c r="AO308" s="141" t="s">
        <v>3442</v>
      </c>
      <c r="AP308" s="141" t="s">
        <v>3443</v>
      </c>
      <c r="AQ308" s="141" t="s">
        <v>1071</v>
      </c>
      <c r="AR308" s="141" t="s">
        <v>408</v>
      </c>
      <c r="AS308" s="141" t="s">
        <v>368</v>
      </c>
      <c r="AT308" s="141"/>
      <c r="AU308" s="141" t="s">
        <v>3504</v>
      </c>
      <c r="AV308" s="141" t="s">
        <v>2662</v>
      </c>
      <c r="AW308" s="141" t="s">
        <v>3506</v>
      </c>
      <c r="AX308" s="141" t="s">
        <v>2637</v>
      </c>
      <c r="AY308" s="141" t="s">
        <v>3014</v>
      </c>
      <c r="AZ308" s="141" t="s">
        <v>1586</v>
      </c>
      <c r="BA308" s="141" t="s">
        <v>3507</v>
      </c>
      <c r="BB308" s="141" t="s">
        <v>902</v>
      </c>
      <c r="BC308" s="141" t="s">
        <v>3508</v>
      </c>
      <c r="BD308" s="141" t="s">
        <v>904</v>
      </c>
      <c r="BE308" s="141" t="s">
        <v>2664</v>
      </c>
      <c r="BF308" s="141" t="s">
        <v>1966</v>
      </c>
      <c r="BG308" s="141" t="s">
        <v>3509</v>
      </c>
      <c r="BH308" s="141" t="s">
        <v>785</v>
      </c>
      <c r="BI308" s="141" t="s">
        <v>3510</v>
      </c>
      <c r="BJ308" s="141" t="s">
        <v>382</v>
      </c>
      <c r="BK308" s="141" t="s">
        <v>963</v>
      </c>
      <c r="BL308" s="141"/>
      <c r="BM308" s="141"/>
      <c r="BN308" s="141"/>
      <c r="BO308" s="141"/>
      <c r="BP308" s="141"/>
      <c r="BQ308" s="141"/>
      <c r="BR308" s="141"/>
      <c r="BS308" s="141"/>
      <c r="BT308" s="141"/>
      <c r="BU308" s="141"/>
      <c r="BV308" s="141"/>
      <c r="BW308" s="141"/>
      <c r="BX308" s="141"/>
      <c r="BY308" s="141"/>
      <c r="BZ308" s="141"/>
      <c r="CA308" s="141"/>
      <c r="CB308" s="141"/>
      <c r="CC308" s="141"/>
      <c r="CD308" s="141"/>
      <c r="CE308" s="141"/>
      <c r="CF308" s="141"/>
      <c r="CG308" s="141"/>
      <c r="CH308" s="141"/>
      <c r="CI308" s="141"/>
      <c r="CJ308" s="141"/>
      <c r="CK308" s="141"/>
      <c r="CL308" s="141"/>
      <c r="CM308" s="141"/>
      <c r="CN308" s="141"/>
      <c r="CO308" s="141"/>
      <c r="CP308" s="141"/>
      <c r="CQ308" s="141"/>
      <c r="CR308" s="141"/>
      <c r="CS308" s="141"/>
      <c r="CT308" s="141"/>
      <c r="CU308" s="141"/>
      <c r="CV308" s="141"/>
      <c r="CW308" s="141"/>
      <c r="CX308" s="141"/>
      <c r="CY308" s="141"/>
      <c r="CZ308" s="141"/>
      <c r="DA308" s="173"/>
    </row>
    <row r="309" spans="2:105" x14ac:dyDescent="0.25">
      <c r="B309" s="172"/>
      <c r="C309" s="141" t="s">
        <v>3511</v>
      </c>
      <c r="D309" s="141" t="s">
        <v>3512</v>
      </c>
      <c r="E309" s="141" t="s">
        <v>939</v>
      </c>
      <c r="F309" s="141" t="s">
        <v>2622</v>
      </c>
      <c r="G309" s="141"/>
      <c r="H309" s="141" t="s">
        <v>353</v>
      </c>
      <c r="I309" s="141"/>
      <c r="J309" s="141" t="s">
        <v>354</v>
      </c>
      <c r="K309" s="141" t="s">
        <v>1543</v>
      </c>
      <c r="L309" s="141" t="s">
        <v>3513</v>
      </c>
      <c r="M309" s="141" t="s">
        <v>706</v>
      </c>
      <c r="N309" s="141" t="s">
        <v>354</v>
      </c>
      <c r="O309" s="141" t="s">
        <v>426</v>
      </c>
      <c r="P309" s="141" t="s">
        <v>454</v>
      </c>
      <c r="Q309" s="141" t="s">
        <v>455</v>
      </c>
      <c r="R309" s="141" t="s">
        <v>361</v>
      </c>
      <c r="S309" s="141" t="s">
        <v>1308</v>
      </c>
      <c r="T309" s="141" t="s">
        <v>3442</v>
      </c>
      <c r="U309" s="141" t="s">
        <v>3442</v>
      </c>
      <c r="V309" s="141"/>
      <c r="W309" s="141"/>
      <c r="X309" s="141"/>
      <c r="Y309" s="141"/>
      <c r="Z309" s="141"/>
      <c r="AA309" s="141"/>
      <c r="AB309" s="141"/>
      <c r="AC309" s="141"/>
      <c r="AD309" s="141"/>
      <c r="AE309" s="141"/>
      <c r="AF309" s="141"/>
      <c r="AG309" s="141"/>
      <c r="AH309" s="141"/>
      <c r="AI309" s="141"/>
      <c r="AJ309" s="141"/>
      <c r="AK309" s="141" t="s">
        <v>354</v>
      </c>
      <c r="AL309" s="141" t="s">
        <v>364</v>
      </c>
      <c r="AM309" s="141" t="s">
        <v>354</v>
      </c>
      <c r="AN309" s="141" t="s">
        <v>1577</v>
      </c>
      <c r="AO309" s="141" t="s">
        <v>3442</v>
      </c>
      <c r="AP309" s="141" t="s">
        <v>3443</v>
      </c>
      <c r="AQ309" s="141" t="s">
        <v>1071</v>
      </c>
      <c r="AR309" s="141" t="s">
        <v>408</v>
      </c>
      <c r="AS309" s="141" t="s">
        <v>408</v>
      </c>
      <c r="AT309" s="141"/>
      <c r="AU309" s="141" t="s">
        <v>3513</v>
      </c>
      <c r="AV309" s="141" t="s">
        <v>2662</v>
      </c>
      <c r="AW309" s="141" t="s">
        <v>3514</v>
      </c>
      <c r="AX309" s="141" t="s">
        <v>2637</v>
      </c>
      <c r="AY309" s="141" t="s">
        <v>2816</v>
      </c>
      <c r="AZ309" s="141" t="s">
        <v>1586</v>
      </c>
      <c r="BA309" s="141" t="s">
        <v>3515</v>
      </c>
      <c r="BB309" s="141" t="s">
        <v>902</v>
      </c>
      <c r="BC309" s="141" t="s">
        <v>3516</v>
      </c>
      <c r="BD309" s="141" t="s">
        <v>904</v>
      </c>
      <c r="BE309" s="141" t="s">
        <v>1015</v>
      </c>
      <c r="BF309" s="141" t="s">
        <v>1966</v>
      </c>
      <c r="BG309" s="141" t="s">
        <v>2240</v>
      </c>
      <c r="BH309" s="141" t="s">
        <v>785</v>
      </c>
      <c r="BI309" s="141" t="s">
        <v>3517</v>
      </c>
      <c r="BJ309" s="141" t="s">
        <v>382</v>
      </c>
      <c r="BK309" s="141" t="s">
        <v>3518</v>
      </c>
      <c r="BL309" s="141"/>
      <c r="BM309" s="141"/>
      <c r="BN309" s="141"/>
      <c r="BO309" s="141"/>
      <c r="BP309" s="141"/>
      <c r="BQ309" s="141"/>
      <c r="BR309" s="141"/>
      <c r="BS309" s="141"/>
      <c r="BT309" s="141"/>
      <c r="BU309" s="141"/>
      <c r="BV309" s="141"/>
      <c r="BW309" s="141"/>
      <c r="BX309" s="141"/>
      <c r="BY309" s="141"/>
      <c r="BZ309" s="141"/>
      <c r="CA309" s="141"/>
      <c r="CB309" s="141"/>
      <c r="CC309" s="141"/>
      <c r="CD309" s="141"/>
      <c r="CE309" s="141"/>
      <c r="CF309" s="141"/>
      <c r="CG309" s="141"/>
      <c r="CH309" s="141"/>
      <c r="CI309" s="141"/>
      <c r="CJ309" s="141"/>
      <c r="CK309" s="141"/>
      <c r="CL309" s="141"/>
      <c r="CM309" s="141"/>
      <c r="CN309" s="141"/>
      <c r="CO309" s="141"/>
      <c r="CP309" s="141"/>
      <c r="CQ309" s="141"/>
      <c r="CR309" s="141"/>
      <c r="CS309" s="141"/>
      <c r="CT309" s="141"/>
      <c r="CU309" s="141"/>
      <c r="CV309" s="141"/>
      <c r="CW309" s="141"/>
      <c r="CX309" s="141"/>
      <c r="CY309" s="141"/>
      <c r="CZ309" s="141"/>
      <c r="DA309" s="173"/>
    </row>
    <row r="310" spans="2:105" x14ac:dyDescent="0.25">
      <c r="B310" s="172"/>
      <c r="C310" s="141" t="s">
        <v>3519</v>
      </c>
      <c r="D310" s="141" t="s">
        <v>3520</v>
      </c>
      <c r="E310" s="141" t="s">
        <v>819</v>
      </c>
      <c r="F310" s="141" t="s">
        <v>3521</v>
      </c>
      <c r="G310" s="141"/>
      <c r="H310" s="141" t="s">
        <v>353</v>
      </c>
      <c r="I310" s="141"/>
      <c r="J310" s="141" t="s">
        <v>354</v>
      </c>
      <c r="K310" s="141" t="s">
        <v>736</v>
      </c>
      <c r="L310" s="141" t="s">
        <v>3522</v>
      </c>
      <c r="M310" s="141" t="s">
        <v>1957</v>
      </c>
      <c r="N310" s="141" t="s">
        <v>354</v>
      </c>
      <c r="O310" s="141" t="s">
        <v>393</v>
      </c>
      <c r="P310" s="141" t="s">
        <v>424</v>
      </c>
      <c r="Q310" s="141" t="s">
        <v>425</v>
      </c>
      <c r="R310" s="141" t="s">
        <v>361</v>
      </c>
      <c r="S310" s="141" t="s">
        <v>1308</v>
      </c>
      <c r="T310" s="141" t="s">
        <v>3442</v>
      </c>
      <c r="U310" s="141" t="s">
        <v>3442</v>
      </c>
      <c r="V310" s="141"/>
      <c r="W310" s="141"/>
      <c r="X310" s="141"/>
      <c r="Y310" s="141"/>
      <c r="Z310" s="141"/>
      <c r="AA310" s="141"/>
      <c r="AB310" s="141"/>
      <c r="AC310" s="141"/>
      <c r="AD310" s="141"/>
      <c r="AE310" s="141"/>
      <c r="AF310" s="141"/>
      <c r="AG310" s="141"/>
      <c r="AH310" s="141"/>
      <c r="AI310" s="141"/>
      <c r="AJ310" s="141"/>
      <c r="AK310" s="141" t="s">
        <v>354</v>
      </c>
      <c r="AL310" s="141" t="s">
        <v>364</v>
      </c>
      <c r="AM310" s="141" t="s">
        <v>354</v>
      </c>
      <c r="AN310" s="141" t="s">
        <v>1577</v>
      </c>
      <c r="AO310" s="141" t="s">
        <v>3442</v>
      </c>
      <c r="AP310" s="141" t="s">
        <v>3443</v>
      </c>
      <c r="AQ310" s="141" t="s">
        <v>1071</v>
      </c>
      <c r="AR310" s="141" t="s">
        <v>408</v>
      </c>
      <c r="AS310" s="141" t="s">
        <v>490</v>
      </c>
      <c r="AT310" s="141"/>
      <c r="AU310" s="141" t="s">
        <v>3522</v>
      </c>
      <c r="AV310" s="141" t="s">
        <v>2662</v>
      </c>
      <c r="AW310" s="141" t="s">
        <v>2539</v>
      </c>
      <c r="AX310" s="141" t="s">
        <v>2637</v>
      </c>
      <c r="AY310" s="141" t="s">
        <v>3523</v>
      </c>
      <c r="AZ310" s="141" t="s">
        <v>1586</v>
      </c>
      <c r="BA310" s="141" t="s">
        <v>3524</v>
      </c>
      <c r="BB310" s="141" t="s">
        <v>902</v>
      </c>
      <c r="BC310" s="141" t="s">
        <v>3525</v>
      </c>
      <c r="BD310" s="141" t="s">
        <v>904</v>
      </c>
      <c r="BE310" s="141" t="s">
        <v>3526</v>
      </c>
      <c r="BF310" s="141" t="s">
        <v>1966</v>
      </c>
      <c r="BG310" s="141" t="s">
        <v>3527</v>
      </c>
      <c r="BH310" s="141" t="s">
        <v>785</v>
      </c>
      <c r="BI310" s="141" t="s">
        <v>3528</v>
      </c>
      <c r="BJ310" s="141" t="s">
        <v>382</v>
      </c>
      <c r="BK310" s="141" t="s">
        <v>2149</v>
      </c>
      <c r="BL310" s="141"/>
      <c r="BM310" s="141"/>
      <c r="BN310" s="141"/>
      <c r="BO310" s="141"/>
      <c r="BP310" s="141"/>
      <c r="BQ310" s="141"/>
      <c r="BR310" s="141"/>
      <c r="BS310" s="141"/>
      <c r="BT310" s="141"/>
      <c r="BU310" s="141"/>
      <c r="BV310" s="141"/>
      <c r="BW310" s="141"/>
      <c r="BX310" s="141"/>
      <c r="BY310" s="141"/>
      <c r="BZ310" s="141"/>
      <c r="CA310" s="141"/>
      <c r="CB310" s="141"/>
      <c r="CC310" s="141"/>
      <c r="CD310" s="141"/>
      <c r="CE310" s="141"/>
      <c r="CF310" s="141"/>
      <c r="CG310" s="141"/>
      <c r="CH310" s="141"/>
      <c r="CI310" s="141"/>
      <c r="CJ310" s="141"/>
      <c r="CK310" s="141"/>
      <c r="CL310" s="141"/>
      <c r="CM310" s="141"/>
      <c r="CN310" s="141"/>
      <c r="CO310" s="141"/>
      <c r="CP310" s="141"/>
      <c r="CQ310" s="141"/>
      <c r="CR310" s="141"/>
      <c r="CS310" s="141"/>
      <c r="CT310" s="141"/>
      <c r="CU310" s="141"/>
      <c r="CV310" s="141"/>
      <c r="CW310" s="141"/>
      <c r="CX310" s="141"/>
      <c r="CY310" s="141"/>
      <c r="CZ310" s="141"/>
      <c r="DA310" s="173"/>
    </row>
    <row r="311" spans="2:105" x14ac:dyDescent="0.25">
      <c r="B311" s="172"/>
      <c r="C311" s="141" t="s">
        <v>3529</v>
      </c>
      <c r="D311" s="141" t="s">
        <v>3530</v>
      </c>
      <c r="E311" s="141" t="s">
        <v>3531</v>
      </c>
      <c r="F311" s="141" t="s">
        <v>3532</v>
      </c>
      <c r="G311" s="141"/>
      <c r="H311" s="141" t="s">
        <v>353</v>
      </c>
      <c r="I311" s="141"/>
      <c r="J311" s="141" t="s">
        <v>354</v>
      </c>
      <c r="K311" s="141" t="s">
        <v>851</v>
      </c>
      <c r="L311" s="141" t="s">
        <v>3533</v>
      </c>
      <c r="M311" s="141" t="s">
        <v>3365</v>
      </c>
      <c r="N311" s="141" t="s">
        <v>354</v>
      </c>
      <c r="O311" s="141" t="s">
        <v>426</v>
      </c>
      <c r="P311" s="141" t="s">
        <v>454</v>
      </c>
      <c r="Q311" s="141" t="s">
        <v>455</v>
      </c>
      <c r="R311" s="141" t="s">
        <v>361</v>
      </c>
      <c r="S311" s="141" t="s">
        <v>1308</v>
      </c>
      <c r="T311" s="141" t="s">
        <v>3442</v>
      </c>
      <c r="U311" s="141" t="s">
        <v>3442</v>
      </c>
      <c r="V311" s="141"/>
      <c r="W311" s="141"/>
      <c r="X311" s="141"/>
      <c r="Y311" s="141"/>
      <c r="Z311" s="141"/>
      <c r="AA311" s="141"/>
      <c r="AB311" s="141"/>
      <c r="AC311" s="141"/>
      <c r="AD311" s="141"/>
      <c r="AE311" s="141"/>
      <c r="AF311" s="141"/>
      <c r="AG311" s="141"/>
      <c r="AH311" s="141"/>
      <c r="AI311" s="141"/>
      <c r="AJ311" s="141"/>
      <c r="AK311" s="141" t="s">
        <v>354</v>
      </c>
      <c r="AL311" s="141" t="s">
        <v>364</v>
      </c>
      <c r="AM311" s="141" t="s">
        <v>354</v>
      </c>
      <c r="AN311" s="141" t="s">
        <v>1577</v>
      </c>
      <c r="AO311" s="141" t="s">
        <v>3442</v>
      </c>
      <c r="AP311" s="141" t="s">
        <v>3443</v>
      </c>
      <c r="AQ311" s="141" t="s">
        <v>1071</v>
      </c>
      <c r="AR311" s="141" t="s">
        <v>408</v>
      </c>
      <c r="AS311" s="141" t="s">
        <v>485</v>
      </c>
      <c r="AT311" s="141"/>
      <c r="AU311" s="141" t="s">
        <v>3533</v>
      </c>
      <c r="AV311" s="141" t="s">
        <v>2662</v>
      </c>
      <c r="AW311" s="141" t="s">
        <v>3534</v>
      </c>
      <c r="AX311" s="141" t="s">
        <v>2637</v>
      </c>
      <c r="AY311" s="141" t="s">
        <v>3535</v>
      </c>
      <c r="AZ311" s="141" t="s">
        <v>1586</v>
      </c>
      <c r="BA311" s="141" t="s">
        <v>3536</v>
      </c>
      <c r="BB311" s="141" t="s">
        <v>902</v>
      </c>
      <c r="BC311" s="141" t="s">
        <v>3537</v>
      </c>
      <c r="BD311" s="141" t="s">
        <v>904</v>
      </c>
      <c r="BE311" s="141" t="s">
        <v>901</v>
      </c>
      <c r="BF311" s="141" t="s">
        <v>1966</v>
      </c>
      <c r="BG311" s="141" t="s">
        <v>2490</v>
      </c>
      <c r="BH311" s="141" t="s">
        <v>785</v>
      </c>
      <c r="BI311" s="141" t="s">
        <v>3077</v>
      </c>
      <c r="BJ311" s="141" t="s">
        <v>382</v>
      </c>
      <c r="BK311" s="141" t="s">
        <v>3484</v>
      </c>
      <c r="BL311" s="141"/>
      <c r="BM311" s="141"/>
      <c r="BN311" s="141"/>
      <c r="BO311" s="141"/>
      <c r="BP311" s="141"/>
      <c r="BQ311" s="141"/>
      <c r="BR311" s="141"/>
      <c r="BS311" s="141"/>
      <c r="BT311" s="141"/>
      <c r="BU311" s="141"/>
      <c r="BV311" s="141"/>
      <c r="BW311" s="141"/>
      <c r="BX311" s="141"/>
      <c r="BY311" s="141"/>
      <c r="BZ311" s="141"/>
      <c r="CA311" s="141"/>
      <c r="CB311" s="141"/>
      <c r="CC311" s="141"/>
      <c r="CD311" s="141"/>
      <c r="CE311" s="141"/>
      <c r="CF311" s="141"/>
      <c r="CG311" s="141"/>
      <c r="CH311" s="141"/>
      <c r="CI311" s="141"/>
      <c r="CJ311" s="141"/>
      <c r="CK311" s="141"/>
      <c r="CL311" s="141"/>
      <c r="CM311" s="141"/>
      <c r="CN311" s="141"/>
      <c r="CO311" s="141"/>
      <c r="CP311" s="141"/>
      <c r="CQ311" s="141"/>
      <c r="CR311" s="141"/>
      <c r="CS311" s="141"/>
      <c r="CT311" s="141"/>
      <c r="CU311" s="141"/>
      <c r="CV311" s="141"/>
      <c r="CW311" s="141"/>
      <c r="CX311" s="141"/>
      <c r="CY311" s="141"/>
      <c r="CZ311" s="141"/>
      <c r="DA311" s="173"/>
    </row>
    <row r="312" spans="2:105" x14ac:dyDescent="0.25">
      <c r="B312" s="172"/>
      <c r="C312" s="141" t="s">
        <v>3538</v>
      </c>
      <c r="D312" s="141" t="s">
        <v>3539</v>
      </c>
      <c r="E312" s="141" t="s">
        <v>3540</v>
      </c>
      <c r="F312" s="141" t="s">
        <v>3541</v>
      </c>
      <c r="G312" s="141"/>
      <c r="H312" s="141" t="s">
        <v>353</v>
      </c>
      <c r="I312" s="141"/>
      <c r="J312" s="141" t="s">
        <v>354</v>
      </c>
      <c r="K312" s="141" t="s">
        <v>871</v>
      </c>
      <c r="L312" s="141" t="s">
        <v>1366</v>
      </c>
      <c r="M312" s="141" t="s">
        <v>3542</v>
      </c>
      <c r="N312" s="141" t="s">
        <v>354</v>
      </c>
      <c r="O312" s="141" t="s">
        <v>358</v>
      </c>
      <c r="P312" s="141" t="s">
        <v>359</v>
      </c>
      <c r="Q312" s="141" t="s">
        <v>360</v>
      </c>
      <c r="R312" s="141" t="s">
        <v>361</v>
      </c>
      <c r="S312" s="141" t="s">
        <v>1308</v>
      </c>
      <c r="T312" s="141" t="s">
        <v>3442</v>
      </c>
      <c r="U312" s="141" t="s">
        <v>3442</v>
      </c>
      <c r="V312" s="141"/>
      <c r="W312" s="141"/>
      <c r="X312" s="141"/>
      <c r="Y312" s="141"/>
      <c r="Z312" s="141"/>
      <c r="AA312" s="141"/>
      <c r="AB312" s="141"/>
      <c r="AC312" s="141"/>
      <c r="AD312" s="141"/>
      <c r="AE312" s="141"/>
      <c r="AF312" s="141"/>
      <c r="AG312" s="141"/>
      <c r="AH312" s="141"/>
      <c r="AI312" s="141"/>
      <c r="AJ312" s="141"/>
      <c r="AK312" s="141" t="s">
        <v>354</v>
      </c>
      <c r="AL312" s="141" t="s">
        <v>364</v>
      </c>
      <c r="AM312" s="141" t="s">
        <v>354</v>
      </c>
      <c r="AN312" s="141" t="s">
        <v>1577</v>
      </c>
      <c r="AO312" s="141" t="s">
        <v>3442</v>
      </c>
      <c r="AP312" s="141" t="s">
        <v>3443</v>
      </c>
      <c r="AQ312" s="141" t="s">
        <v>1071</v>
      </c>
      <c r="AR312" s="141" t="s">
        <v>408</v>
      </c>
      <c r="AS312" s="141" t="s">
        <v>362</v>
      </c>
      <c r="AT312" s="141"/>
      <c r="AU312" s="141" t="s">
        <v>1366</v>
      </c>
      <c r="AV312" s="141" t="s">
        <v>2662</v>
      </c>
      <c r="AW312" s="141" t="s">
        <v>3543</v>
      </c>
      <c r="AX312" s="141" t="s">
        <v>2637</v>
      </c>
      <c r="AY312" s="141" t="s">
        <v>2259</v>
      </c>
      <c r="AZ312" s="141" t="s">
        <v>1586</v>
      </c>
      <c r="BA312" s="141" t="s">
        <v>2028</v>
      </c>
      <c r="BB312" s="141" t="s">
        <v>902</v>
      </c>
      <c r="BC312" s="141" t="s">
        <v>3544</v>
      </c>
      <c r="BD312" s="141" t="s">
        <v>904</v>
      </c>
      <c r="BE312" s="141" t="s">
        <v>3154</v>
      </c>
      <c r="BF312" s="141" t="s">
        <v>1966</v>
      </c>
      <c r="BG312" s="141" t="s">
        <v>3545</v>
      </c>
      <c r="BH312" s="141" t="s">
        <v>785</v>
      </c>
      <c r="BI312" s="141" t="s">
        <v>3546</v>
      </c>
      <c r="BJ312" s="141" t="s">
        <v>382</v>
      </c>
      <c r="BK312" s="141" t="s">
        <v>459</v>
      </c>
      <c r="BL312" s="141"/>
      <c r="BM312" s="141"/>
      <c r="BN312" s="141"/>
      <c r="BO312" s="141"/>
      <c r="BP312" s="141"/>
      <c r="BQ312" s="141"/>
      <c r="BR312" s="141"/>
      <c r="BS312" s="141"/>
      <c r="BT312" s="141"/>
      <c r="BU312" s="141"/>
      <c r="BV312" s="141"/>
      <c r="BW312" s="141"/>
      <c r="BX312" s="141"/>
      <c r="BY312" s="141"/>
      <c r="BZ312" s="141"/>
      <c r="CA312" s="141"/>
      <c r="CB312" s="141"/>
      <c r="CC312" s="141"/>
      <c r="CD312" s="141"/>
      <c r="CE312" s="141"/>
      <c r="CF312" s="141"/>
      <c r="CG312" s="141"/>
      <c r="CH312" s="141"/>
      <c r="CI312" s="141"/>
      <c r="CJ312" s="141"/>
      <c r="CK312" s="141"/>
      <c r="CL312" s="141"/>
      <c r="CM312" s="141"/>
      <c r="CN312" s="141"/>
      <c r="CO312" s="141"/>
      <c r="CP312" s="141"/>
      <c r="CQ312" s="141"/>
      <c r="CR312" s="141"/>
      <c r="CS312" s="141"/>
      <c r="CT312" s="141"/>
      <c r="CU312" s="141"/>
      <c r="CV312" s="141"/>
      <c r="CW312" s="141"/>
      <c r="CX312" s="141"/>
      <c r="CY312" s="141"/>
      <c r="CZ312" s="141"/>
      <c r="DA312" s="173"/>
    </row>
    <row r="313" spans="2:105" x14ac:dyDescent="0.25">
      <c r="B313" s="172"/>
      <c r="C313" s="141" t="s">
        <v>3547</v>
      </c>
      <c r="D313" s="141" t="s">
        <v>3548</v>
      </c>
      <c r="E313" s="141" t="s">
        <v>3549</v>
      </c>
      <c r="F313" s="141" t="s">
        <v>3550</v>
      </c>
      <c r="G313" s="141"/>
      <c r="H313" s="141" t="s">
        <v>353</v>
      </c>
      <c r="I313" s="141"/>
      <c r="J313" s="141" t="s">
        <v>354</v>
      </c>
      <c r="K313" s="141" t="s">
        <v>574</v>
      </c>
      <c r="L313" s="141" t="s">
        <v>3551</v>
      </c>
      <c r="M313" s="141" t="s">
        <v>3552</v>
      </c>
      <c r="N313" s="141" t="s">
        <v>354</v>
      </c>
      <c r="O313" s="141" t="s">
        <v>369</v>
      </c>
      <c r="P313" s="141" t="s">
        <v>528</v>
      </c>
      <c r="Q313" s="141" t="s">
        <v>529</v>
      </c>
      <c r="R313" s="141" t="s">
        <v>361</v>
      </c>
      <c r="S313" s="141" t="s">
        <v>1308</v>
      </c>
      <c r="T313" s="141" t="s">
        <v>3442</v>
      </c>
      <c r="U313" s="141" t="s">
        <v>3442</v>
      </c>
      <c r="V313" s="141"/>
      <c r="W313" s="141"/>
      <c r="X313" s="141"/>
      <c r="Y313" s="141"/>
      <c r="Z313" s="141"/>
      <c r="AA313" s="141"/>
      <c r="AB313" s="141"/>
      <c r="AC313" s="141"/>
      <c r="AD313" s="141"/>
      <c r="AE313" s="141"/>
      <c r="AF313" s="141"/>
      <c r="AG313" s="141"/>
      <c r="AH313" s="141"/>
      <c r="AI313" s="141"/>
      <c r="AJ313" s="141"/>
      <c r="AK313" s="141" t="s">
        <v>354</v>
      </c>
      <c r="AL313" s="141" t="s">
        <v>364</v>
      </c>
      <c r="AM313" s="141" t="s">
        <v>354</v>
      </c>
      <c r="AN313" s="141" t="s">
        <v>1577</v>
      </c>
      <c r="AO313" s="141" t="s">
        <v>3442</v>
      </c>
      <c r="AP313" s="141" t="s">
        <v>3443</v>
      </c>
      <c r="AQ313" s="141" t="s">
        <v>1071</v>
      </c>
      <c r="AR313" s="141" t="s">
        <v>408</v>
      </c>
      <c r="AS313" s="141" t="s">
        <v>1279</v>
      </c>
      <c r="AT313" s="141"/>
      <c r="AU313" s="141" t="s">
        <v>3551</v>
      </c>
      <c r="AV313" s="141" t="s">
        <v>2662</v>
      </c>
      <c r="AW313" s="141" t="s">
        <v>3553</v>
      </c>
      <c r="AX313" s="141" t="s">
        <v>2637</v>
      </c>
      <c r="AY313" s="141" t="s">
        <v>547</v>
      </c>
      <c r="AZ313" s="141" t="s">
        <v>1586</v>
      </c>
      <c r="BA313" s="141" t="s">
        <v>2644</v>
      </c>
      <c r="BB313" s="141" t="s">
        <v>902</v>
      </c>
      <c r="BC313" s="141" t="s">
        <v>3554</v>
      </c>
      <c r="BD313" s="141" t="s">
        <v>904</v>
      </c>
      <c r="BE313" s="141" t="s">
        <v>3555</v>
      </c>
      <c r="BF313" s="141" t="s">
        <v>1966</v>
      </c>
      <c r="BG313" s="141" t="s">
        <v>2183</v>
      </c>
      <c r="BH313" s="141" t="s">
        <v>785</v>
      </c>
      <c r="BI313" s="141" t="s">
        <v>2569</v>
      </c>
      <c r="BJ313" s="141" t="s">
        <v>382</v>
      </c>
      <c r="BK313" s="141" t="s">
        <v>2805</v>
      </c>
      <c r="BL313" s="141"/>
      <c r="BM313" s="141"/>
      <c r="BN313" s="141"/>
      <c r="BO313" s="141"/>
      <c r="BP313" s="141"/>
      <c r="BQ313" s="141"/>
      <c r="BR313" s="141"/>
      <c r="BS313" s="141"/>
      <c r="BT313" s="141"/>
      <c r="BU313" s="141"/>
      <c r="BV313" s="141"/>
      <c r="BW313" s="141"/>
      <c r="BX313" s="141"/>
      <c r="BY313" s="141"/>
      <c r="BZ313" s="141"/>
      <c r="CA313" s="141"/>
      <c r="CB313" s="141"/>
      <c r="CC313" s="141"/>
      <c r="CD313" s="141"/>
      <c r="CE313" s="141"/>
      <c r="CF313" s="141"/>
      <c r="CG313" s="141"/>
      <c r="CH313" s="141"/>
      <c r="CI313" s="141"/>
      <c r="CJ313" s="141"/>
      <c r="CK313" s="141"/>
      <c r="CL313" s="141"/>
      <c r="CM313" s="141"/>
      <c r="CN313" s="141"/>
      <c r="CO313" s="141"/>
      <c r="CP313" s="141"/>
      <c r="CQ313" s="141"/>
      <c r="CR313" s="141"/>
      <c r="CS313" s="141"/>
      <c r="CT313" s="141"/>
      <c r="CU313" s="141"/>
      <c r="CV313" s="141"/>
      <c r="CW313" s="141"/>
      <c r="CX313" s="141"/>
      <c r="CY313" s="141"/>
      <c r="CZ313" s="141"/>
      <c r="DA313" s="173"/>
    </row>
    <row r="314" spans="2:105" x14ac:dyDescent="0.25">
      <c r="B314" s="172"/>
      <c r="C314" s="141" t="s">
        <v>3556</v>
      </c>
      <c r="D314" s="141" t="s">
        <v>3557</v>
      </c>
      <c r="E314" s="141" t="s">
        <v>3558</v>
      </c>
      <c r="F314" s="141" t="s">
        <v>3559</v>
      </c>
      <c r="G314" s="141"/>
      <c r="H314" s="141" t="s">
        <v>353</v>
      </c>
      <c r="I314" s="141"/>
      <c r="J314" s="141" t="s">
        <v>354</v>
      </c>
      <c r="K314" s="141" t="s">
        <v>806</v>
      </c>
      <c r="L314" s="141" t="s">
        <v>3560</v>
      </c>
      <c r="M314" s="141" t="s">
        <v>3561</v>
      </c>
      <c r="N314" s="141" t="s">
        <v>354</v>
      </c>
      <c r="O314" s="141" t="s">
        <v>369</v>
      </c>
      <c r="P314" s="141" t="s">
        <v>528</v>
      </c>
      <c r="Q314" s="141" t="s">
        <v>529</v>
      </c>
      <c r="R314" s="141" t="s">
        <v>361</v>
      </c>
      <c r="S314" s="141" t="s">
        <v>1308</v>
      </c>
      <c r="T314" s="141" t="s">
        <v>3442</v>
      </c>
      <c r="U314" s="141" t="s">
        <v>3442</v>
      </c>
      <c r="V314" s="141"/>
      <c r="W314" s="141"/>
      <c r="X314" s="141"/>
      <c r="Y314" s="141"/>
      <c r="Z314" s="141"/>
      <c r="AA314" s="141"/>
      <c r="AB314" s="141"/>
      <c r="AC314" s="141"/>
      <c r="AD314" s="141"/>
      <c r="AE314" s="141"/>
      <c r="AF314" s="141"/>
      <c r="AG314" s="141"/>
      <c r="AH314" s="141"/>
      <c r="AI314" s="141"/>
      <c r="AJ314" s="141"/>
      <c r="AK314" s="141" t="s">
        <v>354</v>
      </c>
      <c r="AL314" s="141" t="s">
        <v>364</v>
      </c>
      <c r="AM314" s="141" t="s">
        <v>354</v>
      </c>
      <c r="AN314" s="141" t="s">
        <v>1577</v>
      </c>
      <c r="AO314" s="141" t="s">
        <v>3442</v>
      </c>
      <c r="AP314" s="141" t="s">
        <v>3443</v>
      </c>
      <c r="AQ314" s="141" t="s">
        <v>1071</v>
      </c>
      <c r="AR314" s="141" t="s">
        <v>408</v>
      </c>
      <c r="AS314" s="141" t="s">
        <v>1294</v>
      </c>
      <c r="AT314" s="141"/>
      <c r="AU314" s="141" t="s">
        <v>3560</v>
      </c>
      <c r="AV314" s="141" t="s">
        <v>2662</v>
      </c>
      <c r="AW314" s="141" t="s">
        <v>2513</v>
      </c>
      <c r="AX314" s="141" t="s">
        <v>2637</v>
      </c>
      <c r="AY314" s="141" t="s">
        <v>3562</v>
      </c>
      <c r="AZ314" s="141" t="s">
        <v>1586</v>
      </c>
      <c r="BA314" s="141" t="s">
        <v>3563</v>
      </c>
      <c r="BB314" s="141" t="s">
        <v>902</v>
      </c>
      <c r="BC314" s="141" t="s">
        <v>3564</v>
      </c>
      <c r="BD314" s="141" t="s">
        <v>904</v>
      </c>
      <c r="BE314" s="141" t="s">
        <v>3565</v>
      </c>
      <c r="BF314" s="141" t="s">
        <v>1966</v>
      </c>
      <c r="BG314" s="141" t="s">
        <v>1706</v>
      </c>
      <c r="BH314" s="141" t="s">
        <v>785</v>
      </c>
      <c r="BI314" s="141" t="s">
        <v>611</v>
      </c>
      <c r="BJ314" s="141" t="s">
        <v>382</v>
      </c>
      <c r="BK314" s="141" t="s">
        <v>3566</v>
      </c>
      <c r="BL314" s="141"/>
      <c r="BM314" s="141"/>
      <c r="BN314" s="141"/>
      <c r="BO314" s="141"/>
      <c r="BP314" s="141"/>
      <c r="BQ314" s="141"/>
      <c r="BR314" s="141"/>
      <c r="BS314" s="141"/>
      <c r="BT314" s="141"/>
      <c r="BU314" s="141"/>
      <c r="BV314" s="141"/>
      <c r="BW314" s="141"/>
      <c r="BX314" s="141"/>
      <c r="BY314" s="141"/>
      <c r="BZ314" s="141"/>
      <c r="CA314" s="141"/>
      <c r="CB314" s="141"/>
      <c r="CC314" s="141"/>
      <c r="CD314" s="141"/>
      <c r="CE314" s="141"/>
      <c r="CF314" s="141"/>
      <c r="CG314" s="141"/>
      <c r="CH314" s="141"/>
      <c r="CI314" s="141"/>
      <c r="CJ314" s="141"/>
      <c r="CK314" s="141"/>
      <c r="CL314" s="141"/>
      <c r="CM314" s="141"/>
      <c r="CN314" s="141"/>
      <c r="CO314" s="141"/>
      <c r="CP314" s="141"/>
      <c r="CQ314" s="141"/>
      <c r="CR314" s="141"/>
      <c r="CS314" s="141"/>
      <c r="CT314" s="141"/>
      <c r="CU314" s="141"/>
      <c r="CV314" s="141"/>
      <c r="CW314" s="141"/>
      <c r="CX314" s="141"/>
      <c r="CY314" s="141"/>
      <c r="CZ314" s="141"/>
      <c r="DA314" s="173"/>
    </row>
    <row r="315" spans="2:105" x14ac:dyDescent="0.25">
      <c r="B315" s="172"/>
      <c r="C315" s="141" t="s">
        <v>3567</v>
      </c>
      <c r="D315" s="141" t="s">
        <v>3568</v>
      </c>
      <c r="E315" s="141" t="s">
        <v>3569</v>
      </c>
      <c r="F315" s="141" t="s">
        <v>3559</v>
      </c>
      <c r="G315" s="141"/>
      <c r="H315" s="141" t="s">
        <v>353</v>
      </c>
      <c r="I315" s="141"/>
      <c r="J315" s="141" t="s">
        <v>354</v>
      </c>
      <c r="K315" s="141" t="s">
        <v>865</v>
      </c>
      <c r="L315" s="141" t="s">
        <v>3570</v>
      </c>
      <c r="M315" s="141" t="s">
        <v>3571</v>
      </c>
      <c r="N315" s="141" t="s">
        <v>354</v>
      </c>
      <c r="O315" s="141" t="s">
        <v>408</v>
      </c>
      <c r="P315" s="141" t="s">
        <v>409</v>
      </c>
      <c r="Q315" s="141" t="s">
        <v>409</v>
      </c>
      <c r="R315" s="141" t="s">
        <v>361</v>
      </c>
      <c r="S315" s="141" t="s">
        <v>1308</v>
      </c>
      <c r="T315" s="141" t="s">
        <v>3442</v>
      </c>
      <c r="U315" s="141" t="s">
        <v>3442</v>
      </c>
      <c r="V315" s="141"/>
      <c r="W315" s="141"/>
      <c r="X315" s="141"/>
      <c r="Y315" s="141"/>
      <c r="Z315" s="141"/>
      <c r="AA315" s="141"/>
      <c r="AB315" s="141"/>
      <c r="AC315" s="141"/>
      <c r="AD315" s="141"/>
      <c r="AE315" s="141"/>
      <c r="AF315" s="141"/>
      <c r="AG315" s="141"/>
      <c r="AH315" s="141"/>
      <c r="AI315" s="141"/>
      <c r="AJ315" s="141"/>
      <c r="AK315" s="141" t="s">
        <v>354</v>
      </c>
      <c r="AL315" s="141" t="s">
        <v>364</v>
      </c>
      <c r="AM315" s="141" t="s">
        <v>354</v>
      </c>
      <c r="AN315" s="141" t="s">
        <v>1577</v>
      </c>
      <c r="AO315" s="141" t="s">
        <v>3442</v>
      </c>
      <c r="AP315" s="141" t="s">
        <v>3443</v>
      </c>
      <c r="AQ315" s="141" t="s">
        <v>1071</v>
      </c>
      <c r="AR315" s="141" t="s">
        <v>408</v>
      </c>
      <c r="AS315" s="141" t="s">
        <v>1308</v>
      </c>
      <c r="AT315" s="141"/>
      <c r="AU315" s="141" t="s">
        <v>3570</v>
      </c>
      <c r="AV315" s="141" t="s">
        <v>2662</v>
      </c>
      <c r="AW315" s="141" t="s">
        <v>2378</v>
      </c>
      <c r="AX315" s="141" t="s">
        <v>2637</v>
      </c>
      <c r="AY315" s="141" t="s">
        <v>2797</v>
      </c>
      <c r="AZ315" s="141" t="s">
        <v>1586</v>
      </c>
      <c r="BA315" s="141" t="s">
        <v>3572</v>
      </c>
      <c r="BB315" s="141" t="s">
        <v>902</v>
      </c>
      <c r="BC315" s="141" t="s">
        <v>1672</v>
      </c>
      <c r="BD315" s="141" t="s">
        <v>904</v>
      </c>
      <c r="BE315" s="141" t="s">
        <v>2820</v>
      </c>
      <c r="BF315" s="141" t="s">
        <v>1966</v>
      </c>
      <c r="BG315" s="141" t="s">
        <v>3353</v>
      </c>
      <c r="BH315" s="141" t="s">
        <v>785</v>
      </c>
      <c r="BI315" s="141" t="s">
        <v>2717</v>
      </c>
      <c r="BJ315" s="141" t="s">
        <v>382</v>
      </c>
      <c r="BK315" s="141" t="s">
        <v>3573</v>
      </c>
      <c r="BL315" s="141"/>
      <c r="BM315" s="141"/>
      <c r="BN315" s="141"/>
      <c r="BO315" s="141"/>
      <c r="BP315" s="141"/>
      <c r="BQ315" s="141"/>
      <c r="BR315" s="141"/>
      <c r="BS315" s="141"/>
      <c r="BT315" s="141"/>
      <c r="BU315" s="141"/>
      <c r="BV315" s="141"/>
      <c r="BW315" s="141"/>
      <c r="BX315" s="141"/>
      <c r="BY315" s="141"/>
      <c r="BZ315" s="141"/>
      <c r="CA315" s="141"/>
      <c r="CB315" s="141"/>
      <c r="CC315" s="141"/>
      <c r="CD315" s="141"/>
      <c r="CE315" s="141"/>
      <c r="CF315" s="141"/>
      <c r="CG315" s="141"/>
      <c r="CH315" s="141"/>
      <c r="CI315" s="141"/>
      <c r="CJ315" s="141"/>
      <c r="CK315" s="141"/>
      <c r="CL315" s="141"/>
      <c r="CM315" s="141"/>
      <c r="CN315" s="141"/>
      <c r="CO315" s="141"/>
      <c r="CP315" s="141"/>
      <c r="CQ315" s="141"/>
      <c r="CR315" s="141"/>
      <c r="CS315" s="141"/>
      <c r="CT315" s="141"/>
      <c r="CU315" s="141"/>
      <c r="CV315" s="141"/>
      <c r="CW315" s="141"/>
      <c r="CX315" s="141"/>
      <c r="CY315" s="141"/>
      <c r="CZ315" s="141"/>
      <c r="DA315" s="173"/>
    </row>
    <row r="316" spans="2:105" x14ac:dyDescent="0.25">
      <c r="B316" s="172"/>
      <c r="C316" s="141" t="s">
        <v>3574</v>
      </c>
      <c r="D316" s="141" t="s">
        <v>3575</v>
      </c>
      <c r="E316" s="141" t="s">
        <v>3576</v>
      </c>
      <c r="F316" s="141" t="s">
        <v>3559</v>
      </c>
      <c r="G316" s="141"/>
      <c r="H316" s="141" t="s">
        <v>353</v>
      </c>
      <c r="I316" s="141"/>
      <c r="J316" s="141" t="s">
        <v>354</v>
      </c>
      <c r="K316" s="141" t="s">
        <v>1556</v>
      </c>
      <c r="L316" s="141" t="s">
        <v>3577</v>
      </c>
      <c r="M316" s="141" t="s">
        <v>3578</v>
      </c>
      <c r="N316" s="141" t="s">
        <v>354</v>
      </c>
      <c r="O316" s="141" t="s">
        <v>369</v>
      </c>
      <c r="P316" s="141" t="s">
        <v>528</v>
      </c>
      <c r="Q316" s="141" t="s">
        <v>529</v>
      </c>
      <c r="R316" s="141" t="s">
        <v>361</v>
      </c>
      <c r="S316" s="141" t="s">
        <v>1308</v>
      </c>
      <c r="T316" s="141" t="s">
        <v>3442</v>
      </c>
      <c r="U316" s="141" t="s">
        <v>3442</v>
      </c>
      <c r="V316" s="141"/>
      <c r="W316" s="141"/>
      <c r="X316" s="141"/>
      <c r="Y316" s="141"/>
      <c r="Z316" s="141"/>
      <c r="AA316" s="141"/>
      <c r="AB316" s="141"/>
      <c r="AC316" s="141"/>
      <c r="AD316" s="141"/>
      <c r="AE316" s="141"/>
      <c r="AF316" s="141"/>
      <c r="AG316" s="141"/>
      <c r="AH316" s="141"/>
      <c r="AI316" s="141"/>
      <c r="AJ316" s="141"/>
      <c r="AK316" s="141" t="s">
        <v>354</v>
      </c>
      <c r="AL316" s="141" t="s">
        <v>364</v>
      </c>
      <c r="AM316" s="141" t="s">
        <v>354</v>
      </c>
      <c r="AN316" s="141" t="s">
        <v>1577</v>
      </c>
      <c r="AO316" s="141" t="s">
        <v>3442</v>
      </c>
      <c r="AP316" s="141" t="s">
        <v>3443</v>
      </c>
      <c r="AQ316" s="141" t="s">
        <v>1071</v>
      </c>
      <c r="AR316" s="141" t="s">
        <v>408</v>
      </c>
      <c r="AS316" s="141" t="s">
        <v>1324</v>
      </c>
      <c r="AT316" s="141"/>
      <c r="AU316" s="141" t="s">
        <v>3577</v>
      </c>
      <c r="AV316" s="141" t="s">
        <v>2662</v>
      </c>
      <c r="AW316" s="141" t="s">
        <v>3579</v>
      </c>
      <c r="AX316" s="141" t="s">
        <v>2637</v>
      </c>
      <c r="AY316" s="141" t="s">
        <v>3580</v>
      </c>
      <c r="AZ316" s="141" t="s">
        <v>1586</v>
      </c>
      <c r="BA316" s="141" t="s">
        <v>3581</v>
      </c>
      <c r="BB316" s="141" t="s">
        <v>902</v>
      </c>
      <c r="BC316" s="141" t="s">
        <v>3582</v>
      </c>
      <c r="BD316" s="141" t="s">
        <v>904</v>
      </c>
      <c r="BE316" s="141" t="s">
        <v>3341</v>
      </c>
      <c r="BF316" s="141" t="s">
        <v>1966</v>
      </c>
      <c r="BG316" s="141" t="s">
        <v>3583</v>
      </c>
      <c r="BH316" s="141" t="s">
        <v>785</v>
      </c>
      <c r="BI316" s="141" t="s">
        <v>1656</v>
      </c>
      <c r="BJ316" s="141" t="s">
        <v>382</v>
      </c>
      <c r="BK316" s="141" t="s">
        <v>3584</v>
      </c>
      <c r="BL316" s="141"/>
      <c r="BM316" s="141"/>
      <c r="BN316" s="141"/>
      <c r="BO316" s="141"/>
      <c r="BP316" s="141"/>
      <c r="BQ316" s="141"/>
      <c r="BR316" s="141"/>
      <c r="BS316" s="141"/>
      <c r="BT316" s="141"/>
      <c r="BU316" s="141"/>
      <c r="BV316" s="141"/>
      <c r="BW316" s="141"/>
      <c r="BX316" s="141"/>
      <c r="BY316" s="141"/>
      <c r="BZ316" s="141"/>
      <c r="CA316" s="141"/>
      <c r="CB316" s="141"/>
      <c r="CC316" s="141"/>
      <c r="CD316" s="141"/>
      <c r="CE316" s="141"/>
      <c r="CF316" s="141"/>
      <c r="CG316" s="141"/>
      <c r="CH316" s="141"/>
      <c r="CI316" s="141"/>
      <c r="CJ316" s="141"/>
      <c r="CK316" s="141"/>
      <c r="CL316" s="141"/>
      <c r="CM316" s="141"/>
      <c r="CN316" s="141"/>
      <c r="CO316" s="141"/>
      <c r="CP316" s="141"/>
      <c r="CQ316" s="141"/>
      <c r="CR316" s="141"/>
      <c r="CS316" s="141"/>
      <c r="CT316" s="141"/>
      <c r="CU316" s="141"/>
      <c r="CV316" s="141"/>
      <c r="CW316" s="141"/>
      <c r="CX316" s="141"/>
      <c r="CY316" s="141"/>
      <c r="CZ316" s="141"/>
      <c r="DA316" s="173"/>
    </row>
    <row r="317" spans="2:105" x14ac:dyDescent="0.25">
      <c r="B317" s="172"/>
      <c r="C317" s="141" t="s">
        <v>3585</v>
      </c>
      <c r="D317" s="141" t="s">
        <v>3586</v>
      </c>
      <c r="E317" s="141" t="s">
        <v>3587</v>
      </c>
      <c r="F317" s="141" t="s">
        <v>3588</v>
      </c>
      <c r="G317" s="141"/>
      <c r="H317" s="141" t="s">
        <v>353</v>
      </c>
      <c r="I317" s="141"/>
      <c r="J317" s="141" t="s">
        <v>354</v>
      </c>
      <c r="K317" s="141" t="s">
        <v>882</v>
      </c>
      <c r="L317" s="141" t="s">
        <v>3589</v>
      </c>
      <c r="M317" s="141" t="s">
        <v>3590</v>
      </c>
      <c r="N317" s="141" t="s">
        <v>354</v>
      </c>
      <c r="O317" s="141" t="s">
        <v>358</v>
      </c>
      <c r="P317" s="141" t="s">
        <v>359</v>
      </c>
      <c r="Q317" s="141" t="s">
        <v>360</v>
      </c>
      <c r="R317" s="141" t="s">
        <v>361</v>
      </c>
      <c r="S317" s="141" t="s">
        <v>1308</v>
      </c>
      <c r="T317" s="141" t="s">
        <v>3442</v>
      </c>
      <c r="U317" s="141" t="s">
        <v>3442</v>
      </c>
      <c r="V317" s="141"/>
      <c r="W317" s="141"/>
      <c r="X317" s="141"/>
      <c r="Y317" s="141"/>
      <c r="Z317" s="141"/>
      <c r="AA317" s="141"/>
      <c r="AB317" s="141"/>
      <c r="AC317" s="141"/>
      <c r="AD317" s="141"/>
      <c r="AE317" s="141"/>
      <c r="AF317" s="141"/>
      <c r="AG317" s="141"/>
      <c r="AH317" s="141"/>
      <c r="AI317" s="141"/>
      <c r="AJ317" s="141"/>
      <c r="AK317" s="141" t="s">
        <v>354</v>
      </c>
      <c r="AL317" s="141" t="s">
        <v>364</v>
      </c>
      <c r="AM317" s="141" t="s">
        <v>354</v>
      </c>
      <c r="AN317" s="141" t="s">
        <v>1577</v>
      </c>
      <c r="AO317" s="141" t="s">
        <v>3442</v>
      </c>
      <c r="AP317" s="141" t="s">
        <v>3443</v>
      </c>
      <c r="AQ317" s="141" t="s">
        <v>1071</v>
      </c>
      <c r="AR317" s="141" t="s">
        <v>408</v>
      </c>
      <c r="AS317" s="141" t="s">
        <v>1339</v>
      </c>
      <c r="AT317" s="141"/>
      <c r="AU317" s="141" t="s">
        <v>3589</v>
      </c>
      <c r="AV317" s="141" t="s">
        <v>2662</v>
      </c>
      <c r="AW317" s="141" t="s">
        <v>3373</v>
      </c>
      <c r="AX317" s="141" t="s">
        <v>2637</v>
      </c>
      <c r="AY317" s="141" t="s">
        <v>3591</v>
      </c>
      <c r="AZ317" s="141" t="s">
        <v>1586</v>
      </c>
      <c r="BA317" s="141" t="s">
        <v>3592</v>
      </c>
      <c r="BB317" s="141" t="s">
        <v>902</v>
      </c>
      <c r="BC317" s="141" t="s">
        <v>3593</v>
      </c>
      <c r="BD317" s="141" t="s">
        <v>904</v>
      </c>
      <c r="BE317" s="141" t="s">
        <v>3594</v>
      </c>
      <c r="BF317" s="141" t="s">
        <v>1966</v>
      </c>
      <c r="BG317" s="141" t="s">
        <v>2325</v>
      </c>
      <c r="BH317" s="141" t="s">
        <v>785</v>
      </c>
      <c r="BI317" s="141" t="s">
        <v>3595</v>
      </c>
      <c r="BJ317" s="141" t="s">
        <v>382</v>
      </c>
      <c r="BK317" s="141" t="s">
        <v>3596</v>
      </c>
      <c r="BL317" s="141"/>
      <c r="BM317" s="141"/>
      <c r="BN317" s="141"/>
      <c r="BO317" s="141"/>
      <c r="BP317" s="141"/>
      <c r="BQ317" s="141"/>
      <c r="BR317" s="141"/>
      <c r="BS317" s="141"/>
      <c r="BT317" s="141"/>
      <c r="BU317" s="141"/>
      <c r="BV317" s="141"/>
      <c r="BW317" s="141"/>
      <c r="BX317" s="141"/>
      <c r="BY317" s="141"/>
      <c r="BZ317" s="141"/>
      <c r="CA317" s="141"/>
      <c r="CB317" s="141"/>
      <c r="CC317" s="141"/>
      <c r="CD317" s="141"/>
      <c r="CE317" s="141"/>
      <c r="CF317" s="141"/>
      <c r="CG317" s="141"/>
      <c r="CH317" s="141"/>
      <c r="CI317" s="141"/>
      <c r="CJ317" s="141"/>
      <c r="CK317" s="141"/>
      <c r="CL317" s="141"/>
      <c r="CM317" s="141"/>
      <c r="CN317" s="141"/>
      <c r="CO317" s="141"/>
      <c r="CP317" s="141"/>
      <c r="CQ317" s="141"/>
      <c r="CR317" s="141"/>
      <c r="CS317" s="141"/>
      <c r="CT317" s="141"/>
      <c r="CU317" s="141"/>
      <c r="CV317" s="141"/>
      <c r="CW317" s="141"/>
      <c r="CX317" s="141"/>
      <c r="CY317" s="141"/>
      <c r="CZ317" s="141"/>
      <c r="DA317" s="173"/>
    </row>
    <row r="318" spans="2:105" x14ac:dyDescent="0.25">
      <c r="B318" s="172"/>
      <c r="C318" s="141" t="s">
        <v>3597</v>
      </c>
      <c r="D318" s="141" t="s">
        <v>910</v>
      </c>
      <c r="E318" s="141" t="s">
        <v>3598</v>
      </c>
      <c r="F318" s="141" t="s">
        <v>3599</v>
      </c>
      <c r="G318" s="141"/>
      <c r="H318" s="141" t="s">
        <v>353</v>
      </c>
      <c r="I318" s="141"/>
      <c r="J318" s="141" t="s">
        <v>354</v>
      </c>
      <c r="K318" s="141" t="s">
        <v>2179</v>
      </c>
      <c r="L318" s="141" t="s">
        <v>3600</v>
      </c>
      <c r="M318" s="141" t="s">
        <v>1346</v>
      </c>
      <c r="N318" s="141" t="s">
        <v>354</v>
      </c>
      <c r="O318" s="141" t="s">
        <v>408</v>
      </c>
      <c r="P318" s="141" t="s">
        <v>409</v>
      </c>
      <c r="Q318" s="141" t="s">
        <v>409</v>
      </c>
      <c r="R318" s="141" t="s">
        <v>361</v>
      </c>
      <c r="S318" s="141" t="s">
        <v>1308</v>
      </c>
      <c r="T318" s="141" t="s">
        <v>3442</v>
      </c>
      <c r="U318" s="141" t="s">
        <v>3442</v>
      </c>
      <c r="V318" s="141"/>
      <c r="W318" s="141"/>
      <c r="X318" s="141"/>
      <c r="Y318" s="141"/>
      <c r="Z318" s="141"/>
      <c r="AA318" s="141"/>
      <c r="AB318" s="141"/>
      <c r="AC318" s="141"/>
      <c r="AD318" s="141"/>
      <c r="AE318" s="141"/>
      <c r="AF318" s="141"/>
      <c r="AG318" s="141"/>
      <c r="AH318" s="141"/>
      <c r="AI318" s="141"/>
      <c r="AJ318" s="141"/>
      <c r="AK318" s="141" t="s">
        <v>354</v>
      </c>
      <c r="AL318" s="141" t="s">
        <v>364</v>
      </c>
      <c r="AM318" s="141" t="s">
        <v>354</v>
      </c>
      <c r="AN318" s="141" t="s">
        <v>1577</v>
      </c>
      <c r="AO318" s="141" t="s">
        <v>3442</v>
      </c>
      <c r="AP318" s="141" t="s">
        <v>3443</v>
      </c>
      <c r="AQ318" s="141" t="s">
        <v>1071</v>
      </c>
      <c r="AR318" s="141" t="s">
        <v>408</v>
      </c>
      <c r="AS318" s="141" t="s">
        <v>889</v>
      </c>
      <c r="AT318" s="141"/>
      <c r="AU318" s="141" t="s">
        <v>3600</v>
      </c>
      <c r="AV318" s="141" t="s">
        <v>2662</v>
      </c>
      <c r="AW318" s="141" t="s">
        <v>3601</v>
      </c>
      <c r="AX318" s="141" t="s">
        <v>2637</v>
      </c>
      <c r="AY318" s="141" t="s">
        <v>3602</v>
      </c>
      <c r="AZ318" s="141" t="s">
        <v>1586</v>
      </c>
      <c r="BA318" s="141" t="s">
        <v>3603</v>
      </c>
      <c r="BB318" s="141" t="s">
        <v>902</v>
      </c>
      <c r="BC318" s="141" t="s">
        <v>3604</v>
      </c>
      <c r="BD318" s="141" t="s">
        <v>904</v>
      </c>
      <c r="BE318" s="141" t="s">
        <v>3605</v>
      </c>
      <c r="BF318" s="141" t="s">
        <v>1966</v>
      </c>
      <c r="BG318" s="141" t="s">
        <v>3606</v>
      </c>
      <c r="BH318" s="141" t="s">
        <v>785</v>
      </c>
      <c r="BI318" s="141" t="s">
        <v>3607</v>
      </c>
      <c r="BJ318" s="141" t="s">
        <v>382</v>
      </c>
      <c r="BK318" s="141" t="s">
        <v>3608</v>
      </c>
      <c r="BL318" s="141"/>
      <c r="BM318" s="141"/>
      <c r="BN318" s="141"/>
      <c r="BO318" s="141"/>
      <c r="BP318" s="141"/>
      <c r="BQ318" s="141"/>
      <c r="BR318" s="141"/>
      <c r="BS318" s="141"/>
      <c r="BT318" s="141"/>
      <c r="BU318" s="141"/>
      <c r="BV318" s="141"/>
      <c r="BW318" s="141"/>
      <c r="BX318" s="141"/>
      <c r="BY318" s="141"/>
      <c r="BZ318" s="141"/>
      <c r="CA318" s="141"/>
      <c r="CB318" s="141"/>
      <c r="CC318" s="141"/>
      <c r="CD318" s="141"/>
      <c r="CE318" s="141"/>
      <c r="CF318" s="141"/>
      <c r="CG318" s="141"/>
      <c r="CH318" s="141"/>
      <c r="CI318" s="141"/>
      <c r="CJ318" s="141"/>
      <c r="CK318" s="141"/>
      <c r="CL318" s="141"/>
      <c r="CM318" s="141"/>
      <c r="CN318" s="141"/>
      <c r="CO318" s="141"/>
      <c r="CP318" s="141"/>
      <c r="CQ318" s="141"/>
      <c r="CR318" s="141"/>
      <c r="CS318" s="141"/>
      <c r="CT318" s="141"/>
      <c r="CU318" s="141"/>
      <c r="CV318" s="141"/>
      <c r="CW318" s="141"/>
      <c r="CX318" s="141"/>
      <c r="CY318" s="141"/>
      <c r="CZ318" s="141"/>
      <c r="DA318" s="173"/>
    </row>
    <row r="319" spans="2:105" x14ac:dyDescent="0.25">
      <c r="B319" s="172"/>
      <c r="C319" s="141" t="s">
        <v>3609</v>
      </c>
      <c r="D319" s="141" t="s">
        <v>3610</v>
      </c>
      <c r="E319" s="141" t="s">
        <v>2992</v>
      </c>
      <c r="F319" s="141" t="s">
        <v>3611</v>
      </c>
      <c r="G319" s="141"/>
      <c r="H319" s="141" t="s">
        <v>353</v>
      </c>
      <c r="I319" s="141"/>
      <c r="J319" s="141" t="s">
        <v>354</v>
      </c>
      <c r="K319" s="141" t="s">
        <v>1291</v>
      </c>
      <c r="L319" s="141"/>
      <c r="M319" s="141"/>
      <c r="N319" s="141" t="s">
        <v>369</v>
      </c>
      <c r="O319" s="141" t="s">
        <v>408</v>
      </c>
      <c r="P319" s="141" t="s">
        <v>409</v>
      </c>
      <c r="Q319" s="141" t="s">
        <v>409</v>
      </c>
      <c r="R319" s="141" t="s">
        <v>361</v>
      </c>
      <c r="S319" s="141" t="s">
        <v>1308</v>
      </c>
      <c r="T319" s="141" t="s">
        <v>3442</v>
      </c>
      <c r="U319" s="141" t="s">
        <v>3442</v>
      </c>
      <c r="V319" s="141"/>
      <c r="W319" s="141"/>
      <c r="X319" s="141"/>
      <c r="Y319" s="141"/>
      <c r="Z319" s="141"/>
      <c r="AA319" s="141"/>
      <c r="AB319" s="141"/>
      <c r="AC319" s="141"/>
      <c r="AD319" s="141"/>
      <c r="AE319" s="141"/>
      <c r="AF319" s="141"/>
      <c r="AG319" s="141"/>
      <c r="AH319" s="141"/>
      <c r="AI319" s="141"/>
      <c r="AJ319" s="141"/>
      <c r="AK319" s="141" t="s">
        <v>354</v>
      </c>
      <c r="AL319" s="141" t="s">
        <v>364</v>
      </c>
      <c r="AM319" s="141" t="s">
        <v>354</v>
      </c>
      <c r="AN319" s="141" t="s">
        <v>1577</v>
      </c>
      <c r="AO319" s="141" t="s">
        <v>3442</v>
      </c>
      <c r="AP319" s="141" t="s">
        <v>3443</v>
      </c>
      <c r="AQ319" s="141" t="s">
        <v>1071</v>
      </c>
      <c r="AR319" s="141" t="s">
        <v>408</v>
      </c>
      <c r="AS319" s="141"/>
      <c r="AT319" s="141"/>
      <c r="AU319" s="141"/>
      <c r="AV319" s="141"/>
      <c r="AW319" s="141"/>
      <c r="AX319" s="141"/>
      <c r="AY319" s="141"/>
      <c r="AZ319" s="141"/>
      <c r="BA319" s="141"/>
      <c r="BB319" s="141"/>
      <c r="BC319" s="141"/>
      <c r="BD319" s="141"/>
      <c r="BE319" s="141"/>
      <c r="BF319" s="141"/>
      <c r="BG319" s="141"/>
      <c r="BH319" s="141"/>
      <c r="BI319" s="141"/>
      <c r="BJ319" s="141"/>
      <c r="BK319" s="141"/>
      <c r="BL319" s="141"/>
      <c r="BM319" s="141"/>
      <c r="BN319" s="141"/>
      <c r="BO319" s="141"/>
      <c r="BP319" s="141"/>
      <c r="BQ319" s="141"/>
      <c r="BR319" s="141"/>
      <c r="BS319" s="141"/>
      <c r="BT319" s="141"/>
      <c r="BU319" s="141"/>
      <c r="BV319" s="141"/>
      <c r="BW319" s="141"/>
      <c r="BX319" s="141"/>
      <c r="BY319" s="141"/>
      <c r="BZ319" s="141"/>
      <c r="CA319" s="141"/>
      <c r="CB319" s="141"/>
      <c r="CC319" s="141"/>
      <c r="CD319" s="141"/>
      <c r="CE319" s="141"/>
      <c r="CF319" s="141"/>
      <c r="CG319" s="141"/>
      <c r="CH319" s="141"/>
      <c r="CI319" s="141"/>
      <c r="CJ319" s="141"/>
      <c r="CK319" s="141"/>
      <c r="CL319" s="141"/>
      <c r="CM319" s="141"/>
      <c r="CN319" s="141"/>
      <c r="CO319" s="141"/>
      <c r="CP319" s="141"/>
      <c r="CQ319" s="141"/>
      <c r="CR319" s="141"/>
      <c r="CS319" s="141"/>
      <c r="CT319" s="141"/>
      <c r="CU319" s="141"/>
      <c r="CV319" s="141"/>
      <c r="CW319" s="141"/>
      <c r="CX319" s="141"/>
      <c r="CY319" s="141"/>
      <c r="CZ319" s="141"/>
      <c r="DA319" s="173"/>
    </row>
    <row r="320" spans="2:105" x14ac:dyDescent="0.25">
      <c r="B320" s="172"/>
      <c r="C320" s="141"/>
      <c r="D320" s="141" t="s">
        <v>3612</v>
      </c>
      <c r="E320" s="141"/>
      <c r="F320" s="141" t="s">
        <v>466</v>
      </c>
      <c r="G320" s="141"/>
      <c r="H320" s="141" t="s">
        <v>353</v>
      </c>
      <c r="I320" s="141"/>
      <c r="J320" s="141" t="s">
        <v>354</v>
      </c>
      <c r="K320" s="141" t="s">
        <v>2358</v>
      </c>
      <c r="L320" s="141"/>
      <c r="M320" s="141"/>
      <c r="N320" s="141" t="s">
        <v>354</v>
      </c>
      <c r="O320" s="141"/>
      <c r="P320" s="141"/>
      <c r="Q320" s="141"/>
      <c r="R320" s="141"/>
      <c r="S320" s="141" t="s">
        <v>1308</v>
      </c>
      <c r="T320" s="141" t="s">
        <v>3442</v>
      </c>
      <c r="U320" s="141" t="s">
        <v>3442</v>
      </c>
      <c r="V320" s="141"/>
      <c r="W320" s="141"/>
      <c r="X320" s="141"/>
      <c r="Y320" s="141"/>
      <c r="Z320" s="141"/>
      <c r="AA320" s="141"/>
      <c r="AB320" s="141"/>
      <c r="AC320" s="141"/>
      <c r="AD320" s="141"/>
      <c r="AE320" s="141"/>
      <c r="AF320" s="141"/>
      <c r="AG320" s="141"/>
      <c r="AH320" s="141"/>
      <c r="AI320" s="141"/>
      <c r="AJ320" s="141"/>
      <c r="AK320" s="141" t="s">
        <v>354</v>
      </c>
      <c r="AL320" s="141" t="s">
        <v>364</v>
      </c>
      <c r="AM320" s="141" t="s">
        <v>354</v>
      </c>
      <c r="AN320" s="141" t="s">
        <v>1577</v>
      </c>
      <c r="AO320" s="141" t="s">
        <v>3442</v>
      </c>
      <c r="AP320" s="141" t="s">
        <v>3443</v>
      </c>
      <c r="AQ320" s="141" t="s">
        <v>1071</v>
      </c>
      <c r="AR320" s="141" t="s">
        <v>408</v>
      </c>
      <c r="AS320" s="141"/>
      <c r="AT320" s="141"/>
      <c r="AU320" s="141"/>
      <c r="AV320" s="141"/>
      <c r="AW320" s="141"/>
      <c r="AX320" s="141"/>
      <c r="AY320" s="141"/>
      <c r="AZ320" s="141"/>
      <c r="BA320" s="141"/>
      <c r="BB320" s="141"/>
      <c r="BC320" s="141"/>
      <c r="BD320" s="141"/>
      <c r="BE320" s="141"/>
      <c r="BF320" s="141"/>
      <c r="BG320" s="141"/>
      <c r="BH320" s="141"/>
      <c r="BI320" s="141"/>
      <c r="BJ320" s="141"/>
      <c r="BK320" s="141"/>
      <c r="BL320" s="141"/>
      <c r="BM320" s="141"/>
      <c r="BN320" s="141"/>
      <c r="BO320" s="141"/>
      <c r="BP320" s="141"/>
      <c r="BQ320" s="141"/>
      <c r="BR320" s="141"/>
      <c r="BS320" s="141"/>
      <c r="BT320" s="141"/>
      <c r="BU320" s="141"/>
      <c r="BV320" s="141"/>
      <c r="BW320" s="141"/>
      <c r="BX320" s="141"/>
      <c r="BY320" s="141"/>
      <c r="BZ320" s="141"/>
      <c r="CA320" s="141"/>
      <c r="CB320" s="141"/>
      <c r="CC320" s="141"/>
      <c r="CD320" s="141"/>
      <c r="CE320" s="141"/>
      <c r="CF320" s="141"/>
      <c r="CG320" s="141"/>
      <c r="CH320" s="141"/>
      <c r="CI320" s="141"/>
      <c r="CJ320" s="141"/>
      <c r="CK320" s="141"/>
      <c r="CL320" s="141"/>
      <c r="CM320" s="141"/>
      <c r="CN320" s="141"/>
      <c r="CO320" s="141"/>
      <c r="CP320" s="141"/>
      <c r="CQ320" s="141"/>
      <c r="CR320" s="141"/>
      <c r="CS320" s="141"/>
      <c r="CT320" s="141"/>
      <c r="CU320" s="141"/>
      <c r="CV320" s="141"/>
      <c r="CW320" s="141"/>
      <c r="CX320" s="141"/>
      <c r="CY320" s="141"/>
      <c r="CZ320" s="141"/>
      <c r="DA320" s="173"/>
    </row>
    <row r="321" spans="2:105" x14ac:dyDescent="0.25">
      <c r="B321" s="172"/>
      <c r="C321" s="141"/>
      <c r="D321" s="141" t="s">
        <v>3613</v>
      </c>
      <c r="E321" s="141"/>
      <c r="F321" s="141" t="s">
        <v>466</v>
      </c>
      <c r="G321" s="141"/>
      <c r="H321" s="141" t="s">
        <v>353</v>
      </c>
      <c r="I321" s="141"/>
      <c r="J321" s="141" t="s">
        <v>354</v>
      </c>
      <c r="K321" s="141" t="s">
        <v>605</v>
      </c>
      <c r="L321" s="141"/>
      <c r="M321" s="141"/>
      <c r="N321" s="141" t="s">
        <v>354</v>
      </c>
      <c r="O321" s="141"/>
      <c r="P321" s="141"/>
      <c r="Q321" s="141"/>
      <c r="R321" s="141"/>
      <c r="S321" s="141" t="s">
        <v>1308</v>
      </c>
      <c r="T321" s="141" t="s">
        <v>3442</v>
      </c>
      <c r="U321" s="141" t="s">
        <v>3442</v>
      </c>
      <c r="V321" s="141"/>
      <c r="W321" s="141"/>
      <c r="X321" s="141"/>
      <c r="Y321" s="141"/>
      <c r="Z321" s="141"/>
      <c r="AA321" s="141"/>
      <c r="AB321" s="141"/>
      <c r="AC321" s="141"/>
      <c r="AD321" s="141"/>
      <c r="AE321" s="141"/>
      <c r="AF321" s="141"/>
      <c r="AG321" s="141"/>
      <c r="AH321" s="141"/>
      <c r="AI321" s="141"/>
      <c r="AJ321" s="141"/>
      <c r="AK321" s="141" t="s">
        <v>354</v>
      </c>
      <c r="AL321" s="141" t="s">
        <v>364</v>
      </c>
      <c r="AM321" s="141" t="s">
        <v>354</v>
      </c>
      <c r="AN321" s="141" t="s">
        <v>1577</v>
      </c>
      <c r="AO321" s="141" t="s">
        <v>3442</v>
      </c>
      <c r="AP321" s="141" t="s">
        <v>3443</v>
      </c>
      <c r="AQ321" s="141" t="s">
        <v>1071</v>
      </c>
      <c r="AR321" s="141" t="s">
        <v>408</v>
      </c>
      <c r="AS321" s="141"/>
      <c r="AT321" s="141"/>
      <c r="AU321" s="141"/>
      <c r="AV321" s="141"/>
      <c r="AW321" s="141"/>
      <c r="AX321" s="141"/>
      <c r="AY321" s="141"/>
      <c r="AZ321" s="141"/>
      <c r="BA321" s="141"/>
      <c r="BB321" s="141"/>
      <c r="BC321" s="141"/>
      <c r="BD321" s="141"/>
      <c r="BE321" s="141"/>
      <c r="BF321" s="141"/>
      <c r="BG321" s="141"/>
      <c r="BH321" s="141"/>
      <c r="BI321" s="141"/>
      <c r="BJ321" s="141"/>
      <c r="BK321" s="141"/>
      <c r="BL321" s="141"/>
      <c r="BM321" s="141"/>
      <c r="BN321" s="141"/>
      <c r="BO321" s="141"/>
      <c r="BP321" s="141"/>
      <c r="BQ321" s="141"/>
      <c r="BR321" s="141"/>
      <c r="BS321" s="141"/>
      <c r="BT321" s="141"/>
      <c r="BU321" s="141"/>
      <c r="BV321" s="141"/>
      <c r="BW321" s="141"/>
      <c r="BX321" s="141"/>
      <c r="BY321" s="141"/>
      <c r="BZ321" s="141"/>
      <c r="CA321" s="141"/>
      <c r="CB321" s="141"/>
      <c r="CC321" s="141"/>
      <c r="CD321" s="141"/>
      <c r="CE321" s="141"/>
      <c r="CF321" s="141"/>
      <c r="CG321" s="141"/>
      <c r="CH321" s="141"/>
      <c r="CI321" s="141"/>
      <c r="CJ321" s="141"/>
      <c r="CK321" s="141"/>
      <c r="CL321" s="141"/>
      <c r="CM321" s="141"/>
      <c r="CN321" s="141"/>
      <c r="CO321" s="141"/>
      <c r="CP321" s="141"/>
      <c r="CQ321" s="141"/>
      <c r="CR321" s="141"/>
      <c r="CS321" s="141"/>
      <c r="CT321" s="141"/>
      <c r="CU321" s="141"/>
      <c r="CV321" s="141"/>
      <c r="CW321" s="141"/>
      <c r="CX321" s="141"/>
      <c r="CY321" s="141"/>
      <c r="CZ321" s="141"/>
      <c r="DA321" s="173"/>
    </row>
    <row r="322" spans="2:105" x14ac:dyDescent="0.25">
      <c r="B322" s="172"/>
      <c r="C322" s="141" t="s">
        <v>3614</v>
      </c>
      <c r="D322" s="141" t="s">
        <v>3615</v>
      </c>
      <c r="E322" s="141" t="s">
        <v>3616</v>
      </c>
      <c r="F322" s="141" t="s">
        <v>2594</v>
      </c>
      <c r="G322" s="141"/>
      <c r="H322" s="141" t="s">
        <v>353</v>
      </c>
      <c r="I322" s="141"/>
      <c r="J322" s="141" t="s">
        <v>354</v>
      </c>
      <c r="K322" s="141" t="s">
        <v>2725</v>
      </c>
      <c r="L322" s="141" t="s">
        <v>3196</v>
      </c>
      <c r="M322" s="141" t="s">
        <v>3617</v>
      </c>
      <c r="N322" s="141" t="s">
        <v>354</v>
      </c>
      <c r="O322" s="141" t="s">
        <v>393</v>
      </c>
      <c r="P322" s="141" t="s">
        <v>424</v>
      </c>
      <c r="Q322" s="141" t="s">
        <v>425</v>
      </c>
      <c r="R322" s="141" t="s">
        <v>361</v>
      </c>
      <c r="S322" s="141" t="s">
        <v>1294</v>
      </c>
      <c r="T322" s="141" t="s">
        <v>3618</v>
      </c>
      <c r="U322" s="141" t="s">
        <v>3618</v>
      </c>
      <c r="V322" s="141"/>
      <c r="W322" s="141"/>
      <c r="X322" s="141"/>
      <c r="Y322" s="141"/>
      <c r="Z322" s="141"/>
      <c r="AA322" s="141"/>
      <c r="AB322" s="141"/>
      <c r="AC322" s="141"/>
      <c r="AD322" s="141"/>
      <c r="AE322" s="141"/>
      <c r="AF322" s="141"/>
      <c r="AG322" s="141"/>
      <c r="AH322" s="141"/>
      <c r="AI322" s="141"/>
      <c r="AJ322" s="141"/>
      <c r="AK322" s="141" t="s">
        <v>354</v>
      </c>
      <c r="AL322" s="141" t="s">
        <v>364</v>
      </c>
      <c r="AM322" s="141" t="s">
        <v>354</v>
      </c>
      <c r="AN322" s="141" t="s">
        <v>890</v>
      </c>
      <c r="AO322" s="141" t="s">
        <v>3618</v>
      </c>
      <c r="AP322" s="141" t="s">
        <v>3619</v>
      </c>
      <c r="AQ322" s="141" t="s">
        <v>3620</v>
      </c>
      <c r="AR322" s="141" t="s">
        <v>368</v>
      </c>
      <c r="AS322" s="141" t="s">
        <v>369</v>
      </c>
      <c r="AT322" s="141"/>
      <c r="AU322" s="141" t="s">
        <v>3196</v>
      </c>
      <c r="AV322" s="141" t="s">
        <v>906</v>
      </c>
      <c r="AW322" s="141" t="s">
        <v>3621</v>
      </c>
      <c r="AX322" s="141" t="s">
        <v>499</v>
      </c>
      <c r="AY322" s="141" t="s">
        <v>1703</v>
      </c>
      <c r="AZ322" s="141" t="s">
        <v>1577</v>
      </c>
      <c r="BA322" s="141" t="s">
        <v>3622</v>
      </c>
      <c r="BB322" s="141" t="s">
        <v>493</v>
      </c>
      <c r="BC322" s="141" t="s">
        <v>3623</v>
      </c>
      <c r="BD322" s="141" t="s">
        <v>1586</v>
      </c>
      <c r="BE322" s="141" t="s">
        <v>681</v>
      </c>
      <c r="BF322" s="141" t="s">
        <v>912</v>
      </c>
      <c r="BG322" s="141" t="s">
        <v>1773</v>
      </c>
      <c r="BH322" s="141" t="s">
        <v>382</v>
      </c>
      <c r="BI322" s="141" t="s">
        <v>3624</v>
      </c>
      <c r="BJ322" s="141"/>
      <c r="BK322" s="141"/>
      <c r="BL322" s="141"/>
      <c r="BM322" s="141"/>
      <c r="BN322" s="141"/>
      <c r="BO322" s="141"/>
      <c r="BP322" s="141"/>
      <c r="BQ322" s="141"/>
      <c r="BR322" s="141"/>
      <c r="BS322" s="141"/>
      <c r="BT322" s="141"/>
      <c r="BU322" s="141"/>
      <c r="BV322" s="141"/>
      <c r="BW322" s="141"/>
      <c r="BX322" s="141"/>
      <c r="BY322" s="141"/>
      <c r="BZ322" s="141"/>
      <c r="CA322" s="141"/>
      <c r="CB322" s="141"/>
      <c r="CC322" s="141"/>
      <c r="CD322" s="141"/>
      <c r="CE322" s="141"/>
      <c r="CF322" s="141"/>
      <c r="CG322" s="141"/>
      <c r="CH322" s="141"/>
      <c r="CI322" s="141"/>
      <c r="CJ322" s="141"/>
      <c r="CK322" s="141"/>
      <c r="CL322" s="141"/>
      <c r="CM322" s="141"/>
      <c r="CN322" s="141"/>
      <c r="CO322" s="141"/>
      <c r="CP322" s="141"/>
      <c r="CQ322" s="141"/>
      <c r="CR322" s="141"/>
      <c r="CS322" s="141"/>
      <c r="CT322" s="141"/>
      <c r="CU322" s="141"/>
      <c r="CV322" s="141"/>
      <c r="CW322" s="141"/>
      <c r="CX322" s="141"/>
      <c r="CY322" s="141"/>
      <c r="CZ322" s="141"/>
      <c r="DA322" s="173"/>
    </row>
    <row r="323" spans="2:105" x14ac:dyDescent="0.25">
      <c r="B323" s="172"/>
      <c r="C323" s="141" t="s">
        <v>3625</v>
      </c>
      <c r="D323" s="141" t="s">
        <v>3626</v>
      </c>
      <c r="E323" s="141" t="s">
        <v>1165</v>
      </c>
      <c r="F323" s="141" t="s">
        <v>3627</v>
      </c>
      <c r="G323" s="141"/>
      <c r="H323" s="141" t="s">
        <v>353</v>
      </c>
      <c r="I323" s="141"/>
      <c r="J323" s="141" t="s">
        <v>354</v>
      </c>
      <c r="K323" s="141" t="s">
        <v>1006</v>
      </c>
      <c r="L323" s="141" t="s">
        <v>3628</v>
      </c>
      <c r="M323" s="141" t="s">
        <v>1988</v>
      </c>
      <c r="N323" s="141" t="s">
        <v>354</v>
      </c>
      <c r="O323" s="141" t="s">
        <v>393</v>
      </c>
      <c r="P323" s="141" t="s">
        <v>424</v>
      </c>
      <c r="Q323" s="141" t="s">
        <v>425</v>
      </c>
      <c r="R323" s="141" t="s">
        <v>361</v>
      </c>
      <c r="S323" s="141" t="s">
        <v>1294</v>
      </c>
      <c r="T323" s="141" t="s">
        <v>3618</v>
      </c>
      <c r="U323" s="141" t="s">
        <v>3618</v>
      </c>
      <c r="V323" s="141"/>
      <c r="W323" s="141"/>
      <c r="X323" s="141"/>
      <c r="Y323" s="141"/>
      <c r="Z323" s="141"/>
      <c r="AA323" s="141"/>
      <c r="AB323" s="141"/>
      <c r="AC323" s="141"/>
      <c r="AD323" s="141"/>
      <c r="AE323" s="141"/>
      <c r="AF323" s="141"/>
      <c r="AG323" s="141"/>
      <c r="AH323" s="141"/>
      <c r="AI323" s="141"/>
      <c r="AJ323" s="141"/>
      <c r="AK323" s="141" t="s">
        <v>354</v>
      </c>
      <c r="AL323" s="141" t="s">
        <v>364</v>
      </c>
      <c r="AM323" s="141" t="s">
        <v>354</v>
      </c>
      <c r="AN323" s="141" t="s">
        <v>890</v>
      </c>
      <c r="AO323" s="141" t="s">
        <v>3618</v>
      </c>
      <c r="AP323" s="141" t="s">
        <v>3619</v>
      </c>
      <c r="AQ323" s="141" t="s">
        <v>3620</v>
      </c>
      <c r="AR323" s="141" t="s">
        <v>368</v>
      </c>
      <c r="AS323" s="141" t="s">
        <v>393</v>
      </c>
      <c r="AT323" s="141"/>
      <c r="AU323" s="141" t="s">
        <v>3628</v>
      </c>
      <c r="AV323" s="141" t="s">
        <v>906</v>
      </c>
      <c r="AW323" s="141" t="s">
        <v>2198</v>
      </c>
      <c r="AX323" s="141" t="s">
        <v>499</v>
      </c>
      <c r="AY323" s="141" t="s">
        <v>3629</v>
      </c>
      <c r="AZ323" s="141" t="s">
        <v>1577</v>
      </c>
      <c r="BA323" s="141" t="s">
        <v>2931</v>
      </c>
      <c r="BB323" s="141" t="s">
        <v>493</v>
      </c>
      <c r="BC323" s="141" t="s">
        <v>3630</v>
      </c>
      <c r="BD323" s="141" t="s">
        <v>1586</v>
      </c>
      <c r="BE323" s="141" t="s">
        <v>3631</v>
      </c>
      <c r="BF323" s="141" t="s">
        <v>912</v>
      </c>
      <c r="BG323" s="141" t="s">
        <v>3323</v>
      </c>
      <c r="BH323" s="141" t="s">
        <v>382</v>
      </c>
      <c r="BI323" s="141" t="s">
        <v>3632</v>
      </c>
      <c r="BJ323" s="141"/>
      <c r="BK323" s="141"/>
      <c r="BL323" s="141"/>
      <c r="BM323" s="141"/>
      <c r="BN323" s="141"/>
      <c r="BO323" s="141"/>
      <c r="BP323" s="141"/>
      <c r="BQ323" s="141"/>
      <c r="BR323" s="141"/>
      <c r="BS323" s="141"/>
      <c r="BT323" s="141"/>
      <c r="BU323" s="141"/>
      <c r="BV323" s="141"/>
      <c r="BW323" s="141"/>
      <c r="BX323" s="141"/>
      <c r="BY323" s="141"/>
      <c r="BZ323" s="141"/>
      <c r="CA323" s="141"/>
      <c r="CB323" s="141"/>
      <c r="CC323" s="141"/>
      <c r="CD323" s="141"/>
      <c r="CE323" s="141"/>
      <c r="CF323" s="141"/>
      <c r="CG323" s="141"/>
      <c r="CH323" s="141"/>
      <c r="CI323" s="141"/>
      <c r="CJ323" s="141"/>
      <c r="CK323" s="141"/>
      <c r="CL323" s="141"/>
      <c r="CM323" s="141"/>
      <c r="CN323" s="141"/>
      <c r="CO323" s="141"/>
      <c r="CP323" s="141"/>
      <c r="CQ323" s="141"/>
      <c r="CR323" s="141"/>
      <c r="CS323" s="141"/>
      <c r="CT323" s="141"/>
      <c r="CU323" s="141"/>
      <c r="CV323" s="141"/>
      <c r="CW323" s="141"/>
      <c r="CX323" s="141"/>
      <c r="CY323" s="141"/>
      <c r="CZ323" s="141"/>
      <c r="DA323" s="173"/>
    </row>
    <row r="324" spans="2:105" x14ac:dyDescent="0.25">
      <c r="B324" s="172"/>
      <c r="C324" s="141" t="s">
        <v>3633</v>
      </c>
      <c r="D324" s="141" t="s">
        <v>3634</v>
      </c>
      <c r="E324" s="141" t="s">
        <v>3635</v>
      </c>
      <c r="F324" s="141" t="s">
        <v>3636</v>
      </c>
      <c r="G324" s="141"/>
      <c r="H324" s="141" t="s">
        <v>353</v>
      </c>
      <c r="I324" s="141"/>
      <c r="J324" s="141" t="s">
        <v>354</v>
      </c>
      <c r="K324" s="141" t="s">
        <v>1029</v>
      </c>
      <c r="L324" s="141" t="s">
        <v>3637</v>
      </c>
      <c r="M324" s="141" t="s">
        <v>3638</v>
      </c>
      <c r="N324" s="141" t="s">
        <v>354</v>
      </c>
      <c r="O324" s="141" t="s">
        <v>358</v>
      </c>
      <c r="P324" s="141" t="s">
        <v>359</v>
      </c>
      <c r="Q324" s="141" t="s">
        <v>360</v>
      </c>
      <c r="R324" s="141" t="s">
        <v>361</v>
      </c>
      <c r="S324" s="141" t="s">
        <v>1294</v>
      </c>
      <c r="T324" s="141" t="s">
        <v>3618</v>
      </c>
      <c r="U324" s="141" t="s">
        <v>3618</v>
      </c>
      <c r="V324" s="141"/>
      <c r="W324" s="141"/>
      <c r="X324" s="141"/>
      <c r="Y324" s="141"/>
      <c r="Z324" s="141"/>
      <c r="AA324" s="141"/>
      <c r="AB324" s="141"/>
      <c r="AC324" s="141"/>
      <c r="AD324" s="141"/>
      <c r="AE324" s="141"/>
      <c r="AF324" s="141"/>
      <c r="AG324" s="141"/>
      <c r="AH324" s="141"/>
      <c r="AI324" s="141"/>
      <c r="AJ324" s="141"/>
      <c r="AK324" s="141" t="s">
        <v>354</v>
      </c>
      <c r="AL324" s="141" t="s">
        <v>364</v>
      </c>
      <c r="AM324" s="141" t="s">
        <v>354</v>
      </c>
      <c r="AN324" s="141" t="s">
        <v>890</v>
      </c>
      <c r="AO324" s="141" t="s">
        <v>3618</v>
      </c>
      <c r="AP324" s="141" t="s">
        <v>3619</v>
      </c>
      <c r="AQ324" s="141" t="s">
        <v>3620</v>
      </c>
      <c r="AR324" s="141" t="s">
        <v>368</v>
      </c>
      <c r="AS324" s="141" t="s">
        <v>358</v>
      </c>
      <c r="AT324" s="141"/>
      <c r="AU324" s="141" t="s">
        <v>3637</v>
      </c>
      <c r="AV324" s="141" t="s">
        <v>906</v>
      </c>
      <c r="AW324" s="141" t="s">
        <v>3639</v>
      </c>
      <c r="AX324" s="141" t="s">
        <v>499</v>
      </c>
      <c r="AY324" s="141" t="s">
        <v>1597</v>
      </c>
      <c r="AZ324" s="141" t="s">
        <v>1577</v>
      </c>
      <c r="BA324" s="141" t="s">
        <v>3640</v>
      </c>
      <c r="BB324" s="141" t="s">
        <v>493</v>
      </c>
      <c r="BC324" s="141" t="s">
        <v>3641</v>
      </c>
      <c r="BD324" s="141" t="s">
        <v>1586</v>
      </c>
      <c r="BE324" s="141" t="s">
        <v>3642</v>
      </c>
      <c r="BF324" s="141" t="s">
        <v>912</v>
      </c>
      <c r="BG324" s="141" t="s">
        <v>3643</v>
      </c>
      <c r="BH324" s="141" t="s">
        <v>382</v>
      </c>
      <c r="BI324" s="141" t="s">
        <v>2382</v>
      </c>
      <c r="BJ324" s="141"/>
      <c r="BK324" s="141"/>
      <c r="BL324" s="141"/>
      <c r="BM324" s="141"/>
      <c r="BN324" s="141"/>
      <c r="BO324" s="141"/>
      <c r="BP324" s="141"/>
      <c r="BQ324" s="141"/>
      <c r="BR324" s="141"/>
      <c r="BS324" s="141"/>
      <c r="BT324" s="141"/>
      <c r="BU324" s="141"/>
      <c r="BV324" s="141"/>
      <c r="BW324" s="141"/>
      <c r="BX324" s="141"/>
      <c r="BY324" s="141"/>
      <c r="BZ324" s="141"/>
      <c r="CA324" s="141"/>
      <c r="CB324" s="141"/>
      <c r="CC324" s="141"/>
      <c r="CD324" s="141"/>
      <c r="CE324" s="141"/>
      <c r="CF324" s="141"/>
      <c r="CG324" s="141"/>
      <c r="CH324" s="141"/>
      <c r="CI324" s="141"/>
      <c r="CJ324" s="141"/>
      <c r="CK324" s="141"/>
      <c r="CL324" s="141"/>
      <c r="CM324" s="141"/>
      <c r="CN324" s="141"/>
      <c r="CO324" s="141"/>
      <c r="CP324" s="141"/>
      <c r="CQ324" s="141"/>
      <c r="CR324" s="141"/>
      <c r="CS324" s="141"/>
      <c r="CT324" s="141"/>
      <c r="CU324" s="141"/>
      <c r="CV324" s="141"/>
      <c r="CW324" s="141"/>
      <c r="CX324" s="141"/>
      <c r="CY324" s="141"/>
      <c r="CZ324" s="141"/>
      <c r="DA324" s="173"/>
    </row>
    <row r="325" spans="2:105" x14ac:dyDescent="0.25">
      <c r="B325" s="172"/>
      <c r="C325" s="141" t="s">
        <v>3644</v>
      </c>
      <c r="D325" s="141" t="s">
        <v>490</v>
      </c>
      <c r="E325" s="141" t="s">
        <v>2265</v>
      </c>
      <c r="F325" s="141" t="s">
        <v>3599</v>
      </c>
      <c r="G325" s="141"/>
      <c r="H325" s="141" t="s">
        <v>353</v>
      </c>
      <c r="I325" s="141"/>
      <c r="J325" s="141" t="s">
        <v>354</v>
      </c>
      <c r="K325" s="141" t="s">
        <v>2395</v>
      </c>
      <c r="L325" s="141" t="s">
        <v>3645</v>
      </c>
      <c r="M325" s="141" t="s">
        <v>3646</v>
      </c>
      <c r="N325" s="141" t="s">
        <v>354</v>
      </c>
      <c r="O325" s="141" t="s">
        <v>485</v>
      </c>
      <c r="P325" s="141" t="s">
        <v>1630</v>
      </c>
      <c r="Q325" s="141" t="s">
        <v>1631</v>
      </c>
      <c r="R325" s="141" t="s">
        <v>361</v>
      </c>
      <c r="S325" s="141" t="s">
        <v>1294</v>
      </c>
      <c r="T325" s="141" t="s">
        <v>3618</v>
      </c>
      <c r="U325" s="141" t="s">
        <v>3618</v>
      </c>
      <c r="V325" s="141"/>
      <c r="W325" s="141"/>
      <c r="X325" s="141"/>
      <c r="Y325" s="141"/>
      <c r="Z325" s="141"/>
      <c r="AA325" s="141"/>
      <c r="AB325" s="141"/>
      <c r="AC325" s="141"/>
      <c r="AD325" s="141"/>
      <c r="AE325" s="141"/>
      <c r="AF325" s="141"/>
      <c r="AG325" s="141"/>
      <c r="AH325" s="141"/>
      <c r="AI325" s="141"/>
      <c r="AJ325" s="141"/>
      <c r="AK325" s="141" t="s">
        <v>354</v>
      </c>
      <c r="AL325" s="141" t="s">
        <v>364</v>
      </c>
      <c r="AM325" s="141" t="s">
        <v>354</v>
      </c>
      <c r="AN325" s="141" t="s">
        <v>890</v>
      </c>
      <c r="AO325" s="141" t="s">
        <v>3618</v>
      </c>
      <c r="AP325" s="141" t="s">
        <v>3619</v>
      </c>
      <c r="AQ325" s="141" t="s">
        <v>3620</v>
      </c>
      <c r="AR325" s="141" t="s">
        <v>368</v>
      </c>
      <c r="AS325" s="141" t="s">
        <v>426</v>
      </c>
      <c r="AT325" s="141"/>
      <c r="AU325" s="141" t="s">
        <v>3645</v>
      </c>
      <c r="AV325" s="141" t="s">
        <v>906</v>
      </c>
      <c r="AW325" s="141" t="s">
        <v>3647</v>
      </c>
      <c r="AX325" s="141" t="s">
        <v>499</v>
      </c>
      <c r="AY325" s="141" t="s">
        <v>3283</v>
      </c>
      <c r="AZ325" s="141" t="s">
        <v>1577</v>
      </c>
      <c r="BA325" s="141" t="s">
        <v>3648</v>
      </c>
      <c r="BB325" s="141" t="s">
        <v>493</v>
      </c>
      <c r="BC325" s="141" t="s">
        <v>3649</v>
      </c>
      <c r="BD325" s="141" t="s">
        <v>1586</v>
      </c>
      <c r="BE325" s="141" t="s">
        <v>3145</v>
      </c>
      <c r="BF325" s="141" t="s">
        <v>912</v>
      </c>
      <c r="BG325" s="141" t="s">
        <v>3650</v>
      </c>
      <c r="BH325" s="141" t="s">
        <v>382</v>
      </c>
      <c r="BI325" s="141" t="s">
        <v>3651</v>
      </c>
      <c r="BJ325" s="141"/>
      <c r="BK325" s="141"/>
      <c r="BL325" s="141"/>
      <c r="BM325" s="141"/>
      <c r="BN325" s="141"/>
      <c r="BO325" s="141"/>
      <c r="BP325" s="141"/>
      <c r="BQ325" s="141"/>
      <c r="BR325" s="141"/>
      <c r="BS325" s="141"/>
      <c r="BT325" s="141"/>
      <c r="BU325" s="141"/>
      <c r="BV325" s="141"/>
      <c r="BW325" s="141"/>
      <c r="BX325" s="141"/>
      <c r="BY325" s="141"/>
      <c r="BZ325" s="141"/>
      <c r="CA325" s="141"/>
      <c r="CB325" s="141"/>
      <c r="CC325" s="141"/>
      <c r="CD325" s="141"/>
      <c r="CE325" s="141"/>
      <c r="CF325" s="141"/>
      <c r="CG325" s="141"/>
      <c r="CH325" s="141"/>
      <c r="CI325" s="141"/>
      <c r="CJ325" s="141"/>
      <c r="CK325" s="141"/>
      <c r="CL325" s="141"/>
      <c r="CM325" s="141"/>
      <c r="CN325" s="141"/>
      <c r="CO325" s="141"/>
      <c r="CP325" s="141"/>
      <c r="CQ325" s="141"/>
      <c r="CR325" s="141"/>
      <c r="CS325" s="141"/>
      <c r="CT325" s="141"/>
      <c r="CU325" s="141"/>
      <c r="CV325" s="141"/>
      <c r="CW325" s="141"/>
      <c r="CX325" s="141"/>
      <c r="CY325" s="141"/>
      <c r="CZ325" s="141"/>
      <c r="DA325" s="173"/>
    </row>
    <row r="326" spans="2:105" x14ac:dyDescent="0.25">
      <c r="B326" s="172"/>
      <c r="C326" s="141" t="s">
        <v>3652</v>
      </c>
      <c r="D326" s="141" t="s">
        <v>3653</v>
      </c>
      <c r="E326" s="141" t="s">
        <v>3654</v>
      </c>
      <c r="F326" s="141" t="s">
        <v>3655</v>
      </c>
      <c r="G326" s="141"/>
      <c r="H326" s="141" t="s">
        <v>353</v>
      </c>
      <c r="I326" s="141"/>
      <c r="J326" s="141" t="s">
        <v>354</v>
      </c>
      <c r="K326" s="141" t="s">
        <v>865</v>
      </c>
      <c r="L326" s="141" t="s">
        <v>3656</v>
      </c>
      <c r="M326" s="141" t="s">
        <v>3657</v>
      </c>
      <c r="N326" s="141" t="s">
        <v>354</v>
      </c>
      <c r="O326" s="141" t="s">
        <v>369</v>
      </c>
      <c r="P326" s="141" t="s">
        <v>528</v>
      </c>
      <c r="Q326" s="141" t="s">
        <v>529</v>
      </c>
      <c r="R326" s="141" t="s">
        <v>361</v>
      </c>
      <c r="S326" s="141" t="s">
        <v>1294</v>
      </c>
      <c r="T326" s="141" t="s">
        <v>3618</v>
      </c>
      <c r="U326" s="141" t="s">
        <v>3618</v>
      </c>
      <c r="V326" s="141"/>
      <c r="W326" s="141"/>
      <c r="X326" s="141"/>
      <c r="Y326" s="141"/>
      <c r="Z326" s="141"/>
      <c r="AA326" s="141"/>
      <c r="AB326" s="141"/>
      <c r="AC326" s="141"/>
      <c r="AD326" s="141"/>
      <c r="AE326" s="141"/>
      <c r="AF326" s="141"/>
      <c r="AG326" s="141"/>
      <c r="AH326" s="141"/>
      <c r="AI326" s="141"/>
      <c r="AJ326" s="141"/>
      <c r="AK326" s="141" t="s">
        <v>354</v>
      </c>
      <c r="AL326" s="141" t="s">
        <v>364</v>
      </c>
      <c r="AM326" s="141" t="s">
        <v>354</v>
      </c>
      <c r="AN326" s="141" t="s">
        <v>890</v>
      </c>
      <c r="AO326" s="141" t="s">
        <v>3618</v>
      </c>
      <c r="AP326" s="141" t="s">
        <v>3619</v>
      </c>
      <c r="AQ326" s="141" t="s">
        <v>3620</v>
      </c>
      <c r="AR326" s="141" t="s">
        <v>368</v>
      </c>
      <c r="AS326" s="141" t="s">
        <v>441</v>
      </c>
      <c r="AT326" s="141"/>
      <c r="AU326" s="141" t="s">
        <v>3656</v>
      </c>
      <c r="AV326" s="141" t="s">
        <v>906</v>
      </c>
      <c r="AW326" s="141" t="s">
        <v>2051</v>
      </c>
      <c r="AX326" s="141" t="s">
        <v>499</v>
      </c>
      <c r="AY326" s="141" t="s">
        <v>3658</v>
      </c>
      <c r="AZ326" s="141" t="s">
        <v>1577</v>
      </c>
      <c r="BA326" s="141" t="s">
        <v>1078</v>
      </c>
      <c r="BB326" s="141" t="s">
        <v>493</v>
      </c>
      <c r="BC326" s="141" t="s">
        <v>992</v>
      </c>
      <c r="BD326" s="141" t="s">
        <v>1586</v>
      </c>
      <c r="BE326" s="141" t="s">
        <v>909</v>
      </c>
      <c r="BF326" s="141" t="s">
        <v>912</v>
      </c>
      <c r="BG326" s="141" t="s">
        <v>3659</v>
      </c>
      <c r="BH326" s="141" t="s">
        <v>382</v>
      </c>
      <c r="BI326" s="141" t="s">
        <v>3660</v>
      </c>
      <c r="BJ326" s="141"/>
      <c r="BK326" s="141"/>
      <c r="BL326" s="141"/>
      <c r="BM326" s="141"/>
      <c r="BN326" s="141"/>
      <c r="BO326" s="141"/>
      <c r="BP326" s="141"/>
      <c r="BQ326" s="141"/>
      <c r="BR326" s="141"/>
      <c r="BS326" s="141"/>
      <c r="BT326" s="141"/>
      <c r="BU326" s="141"/>
      <c r="BV326" s="141"/>
      <c r="BW326" s="141"/>
      <c r="BX326" s="141"/>
      <c r="BY326" s="141"/>
      <c r="BZ326" s="141"/>
      <c r="CA326" s="141"/>
      <c r="CB326" s="141"/>
      <c r="CC326" s="141"/>
      <c r="CD326" s="141"/>
      <c r="CE326" s="141"/>
      <c r="CF326" s="141"/>
      <c r="CG326" s="141"/>
      <c r="CH326" s="141"/>
      <c r="CI326" s="141"/>
      <c r="CJ326" s="141"/>
      <c r="CK326" s="141"/>
      <c r="CL326" s="141"/>
      <c r="CM326" s="141"/>
      <c r="CN326" s="141"/>
      <c r="CO326" s="141"/>
      <c r="CP326" s="141"/>
      <c r="CQ326" s="141"/>
      <c r="CR326" s="141"/>
      <c r="CS326" s="141"/>
      <c r="CT326" s="141"/>
      <c r="CU326" s="141"/>
      <c r="CV326" s="141"/>
      <c r="CW326" s="141"/>
      <c r="CX326" s="141"/>
      <c r="CY326" s="141"/>
      <c r="CZ326" s="141"/>
      <c r="DA326" s="173"/>
    </row>
    <row r="327" spans="2:105" x14ac:dyDescent="0.25">
      <c r="B327" s="172"/>
      <c r="C327" s="141" t="s">
        <v>3661</v>
      </c>
      <c r="D327" s="141" t="s">
        <v>3662</v>
      </c>
      <c r="E327" s="141" t="s">
        <v>3663</v>
      </c>
      <c r="F327" s="141" t="s">
        <v>3664</v>
      </c>
      <c r="G327" s="141"/>
      <c r="H327" s="141" t="s">
        <v>353</v>
      </c>
      <c r="I327" s="141"/>
      <c r="J327" s="141" t="s">
        <v>354</v>
      </c>
      <c r="K327" s="141" t="s">
        <v>851</v>
      </c>
      <c r="L327" s="141" t="s">
        <v>3665</v>
      </c>
      <c r="M327" s="141" t="s">
        <v>3666</v>
      </c>
      <c r="N327" s="141" t="s">
        <v>354</v>
      </c>
      <c r="O327" s="141" t="s">
        <v>408</v>
      </c>
      <c r="P327" s="141" t="s">
        <v>409</v>
      </c>
      <c r="Q327" s="141" t="s">
        <v>409</v>
      </c>
      <c r="R327" s="141" t="s">
        <v>361</v>
      </c>
      <c r="S327" s="141" t="s">
        <v>1294</v>
      </c>
      <c r="T327" s="141" t="s">
        <v>3618</v>
      </c>
      <c r="U327" s="141" t="s">
        <v>3618</v>
      </c>
      <c r="V327" s="141"/>
      <c r="W327" s="141"/>
      <c r="X327" s="141"/>
      <c r="Y327" s="141"/>
      <c r="Z327" s="141"/>
      <c r="AA327" s="141"/>
      <c r="AB327" s="141"/>
      <c r="AC327" s="141"/>
      <c r="AD327" s="141"/>
      <c r="AE327" s="141"/>
      <c r="AF327" s="141"/>
      <c r="AG327" s="141"/>
      <c r="AH327" s="141"/>
      <c r="AI327" s="141"/>
      <c r="AJ327" s="141"/>
      <c r="AK327" s="141" t="s">
        <v>354</v>
      </c>
      <c r="AL327" s="141" t="s">
        <v>364</v>
      </c>
      <c r="AM327" s="141" t="s">
        <v>354</v>
      </c>
      <c r="AN327" s="141" t="s">
        <v>890</v>
      </c>
      <c r="AO327" s="141" t="s">
        <v>3618</v>
      </c>
      <c r="AP327" s="141" t="s">
        <v>3619</v>
      </c>
      <c r="AQ327" s="141" t="s">
        <v>3620</v>
      </c>
      <c r="AR327" s="141" t="s">
        <v>368</v>
      </c>
      <c r="AS327" s="141" t="s">
        <v>391</v>
      </c>
      <c r="AT327" s="141"/>
      <c r="AU327" s="141" t="s">
        <v>3665</v>
      </c>
      <c r="AV327" s="141" t="s">
        <v>906</v>
      </c>
      <c r="AW327" s="141" t="s">
        <v>442</v>
      </c>
      <c r="AX327" s="141" t="s">
        <v>499</v>
      </c>
      <c r="AY327" s="141" t="s">
        <v>2815</v>
      </c>
      <c r="AZ327" s="141" t="s">
        <v>1577</v>
      </c>
      <c r="BA327" s="141" t="s">
        <v>3667</v>
      </c>
      <c r="BB327" s="141" t="s">
        <v>493</v>
      </c>
      <c r="BC327" s="141" t="s">
        <v>3668</v>
      </c>
      <c r="BD327" s="141" t="s">
        <v>1586</v>
      </c>
      <c r="BE327" s="141" t="s">
        <v>3669</v>
      </c>
      <c r="BF327" s="141" t="s">
        <v>912</v>
      </c>
      <c r="BG327" s="141" t="s">
        <v>3670</v>
      </c>
      <c r="BH327" s="141" t="s">
        <v>382</v>
      </c>
      <c r="BI327" s="141" t="s">
        <v>3671</v>
      </c>
      <c r="BJ327" s="141"/>
      <c r="BK327" s="141"/>
      <c r="BL327" s="141"/>
      <c r="BM327" s="141"/>
      <c r="BN327" s="141"/>
      <c r="BO327" s="141"/>
      <c r="BP327" s="141"/>
      <c r="BQ327" s="141"/>
      <c r="BR327" s="141"/>
      <c r="BS327" s="141"/>
      <c r="BT327" s="141"/>
      <c r="BU327" s="141"/>
      <c r="BV327" s="141"/>
      <c r="BW327" s="141"/>
      <c r="BX327" s="141"/>
      <c r="BY327" s="141"/>
      <c r="BZ327" s="141"/>
      <c r="CA327" s="141"/>
      <c r="CB327" s="141"/>
      <c r="CC327" s="141"/>
      <c r="CD327" s="141"/>
      <c r="CE327" s="141"/>
      <c r="CF327" s="141"/>
      <c r="CG327" s="141"/>
      <c r="CH327" s="141"/>
      <c r="CI327" s="141"/>
      <c r="CJ327" s="141"/>
      <c r="CK327" s="141"/>
      <c r="CL327" s="141"/>
      <c r="CM327" s="141"/>
      <c r="CN327" s="141"/>
      <c r="CO327" s="141"/>
      <c r="CP327" s="141"/>
      <c r="CQ327" s="141"/>
      <c r="CR327" s="141"/>
      <c r="CS327" s="141"/>
      <c r="CT327" s="141"/>
      <c r="CU327" s="141"/>
      <c r="CV327" s="141"/>
      <c r="CW327" s="141"/>
      <c r="CX327" s="141"/>
      <c r="CY327" s="141"/>
      <c r="CZ327" s="141"/>
      <c r="DA327" s="173"/>
    </row>
    <row r="328" spans="2:105" x14ac:dyDescent="0.25">
      <c r="B328" s="172"/>
      <c r="C328" s="141"/>
      <c r="D328" s="141" t="s">
        <v>3672</v>
      </c>
      <c r="E328" s="141"/>
      <c r="F328" s="141" t="s">
        <v>466</v>
      </c>
      <c r="G328" s="141"/>
      <c r="H328" s="141" t="s">
        <v>353</v>
      </c>
      <c r="I328" s="141"/>
      <c r="J328" s="141" t="s">
        <v>354</v>
      </c>
      <c r="K328" s="141" t="s">
        <v>2692</v>
      </c>
      <c r="L328" s="141"/>
      <c r="M328" s="141"/>
      <c r="N328" s="141" t="s">
        <v>354</v>
      </c>
      <c r="O328" s="141"/>
      <c r="P328" s="141"/>
      <c r="Q328" s="141"/>
      <c r="R328" s="141"/>
      <c r="S328" s="141" t="s">
        <v>1294</v>
      </c>
      <c r="T328" s="141" t="s">
        <v>3618</v>
      </c>
      <c r="U328" s="141" t="s">
        <v>3618</v>
      </c>
      <c r="V328" s="141"/>
      <c r="W328" s="141"/>
      <c r="X328" s="141"/>
      <c r="Y328" s="141"/>
      <c r="Z328" s="141"/>
      <c r="AA328" s="141"/>
      <c r="AB328" s="141"/>
      <c r="AC328" s="141"/>
      <c r="AD328" s="141"/>
      <c r="AE328" s="141"/>
      <c r="AF328" s="141"/>
      <c r="AG328" s="141"/>
      <c r="AH328" s="141"/>
      <c r="AI328" s="141"/>
      <c r="AJ328" s="141"/>
      <c r="AK328" s="141" t="s">
        <v>354</v>
      </c>
      <c r="AL328" s="141" t="s">
        <v>364</v>
      </c>
      <c r="AM328" s="141" t="s">
        <v>354</v>
      </c>
      <c r="AN328" s="141" t="s">
        <v>890</v>
      </c>
      <c r="AO328" s="141" t="s">
        <v>3618</v>
      </c>
      <c r="AP328" s="141" t="s">
        <v>3619</v>
      </c>
      <c r="AQ328" s="141" t="s">
        <v>3620</v>
      </c>
      <c r="AR328" s="141" t="s">
        <v>368</v>
      </c>
      <c r="AS328" s="141"/>
      <c r="AT328" s="141"/>
      <c r="AU328" s="141"/>
      <c r="AV328" s="141"/>
      <c r="AW328" s="141"/>
      <c r="AX328" s="141"/>
      <c r="AY328" s="141"/>
      <c r="AZ328" s="141"/>
      <c r="BA328" s="141"/>
      <c r="BB328" s="141"/>
      <c r="BC328" s="141"/>
      <c r="BD328" s="141"/>
      <c r="BE328" s="141"/>
      <c r="BF328" s="141"/>
      <c r="BG328" s="141"/>
      <c r="BH328" s="141"/>
      <c r="BI328" s="141"/>
      <c r="BJ328" s="141"/>
      <c r="BK328" s="141"/>
      <c r="BL328" s="141"/>
      <c r="BM328" s="141"/>
      <c r="BN328" s="141"/>
      <c r="BO328" s="141"/>
      <c r="BP328" s="141"/>
      <c r="BQ328" s="141"/>
      <c r="BR328" s="141"/>
      <c r="BS328" s="141"/>
      <c r="BT328" s="141"/>
      <c r="BU328" s="141"/>
      <c r="BV328" s="141"/>
      <c r="BW328" s="141"/>
      <c r="BX328" s="141"/>
      <c r="BY328" s="141"/>
      <c r="BZ328" s="141"/>
      <c r="CA328" s="141"/>
      <c r="CB328" s="141"/>
      <c r="CC328" s="141"/>
      <c r="CD328" s="141"/>
      <c r="CE328" s="141"/>
      <c r="CF328" s="141"/>
      <c r="CG328" s="141"/>
      <c r="CH328" s="141"/>
      <c r="CI328" s="141"/>
      <c r="CJ328" s="141"/>
      <c r="CK328" s="141"/>
      <c r="CL328" s="141"/>
      <c r="CM328" s="141"/>
      <c r="CN328" s="141"/>
      <c r="CO328" s="141"/>
      <c r="CP328" s="141"/>
      <c r="CQ328" s="141"/>
      <c r="CR328" s="141"/>
      <c r="CS328" s="141"/>
      <c r="CT328" s="141"/>
      <c r="CU328" s="141"/>
      <c r="CV328" s="141"/>
      <c r="CW328" s="141"/>
      <c r="CX328" s="141"/>
      <c r="CY328" s="141"/>
      <c r="CZ328" s="141"/>
      <c r="DA328" s="173"/>
    </row>
    <row r="329" spans="2:105" x14ac:dyDescent="0.25">
      <c r="B329" s="172"/>
      <c r="C329" s="141"/>
      <c r="D329" s="141" t="s">
        <v>3673</v>
      </c>
      <c r="E329" s="141"/>
      <c r="F329" s="141" t="s">
        <v>466</v>
      </c>
      <c r="G329" s="141"/>
      <c r="H329" s="141" t="s">
        <v>353</v>
      </c>
      <c r="I329" s="141"/>
      <c r="J329" s="141" t="s">
        <v>354</v>
      </c>
      <c r="K329" s="141" t="s">
        <v>2363</v>
      </c>
      <c r="L329" s="141"/>
      <c r="M329" s="141"/>
      <c r="N329" s="141" t="s">
        <v>354</v>
      </c>
      <c r="O329" s="141"/>
      <c r="P329" s="141"/>
      <c r="Q329" s="141"/>
      <c r="R329" s="141"/>
      <c r="S329" s="141" t="s">
        <v>1294</v>
      </c>
      <c r="T329" s="141" t="s">
        <v>3618</v>
      </c>
      <c r="U329" s="141" t="s">
        <v>3618</v>
      </c>
      <c r="V329" s="141"/>
      <c r="W329" s="141"/>
      <c r="X329" s="141"/>
      <c r="Y329" s="141"/>
      <c r="Z329" s="141"/>
      <c r="AA329" s="141"/>
      <c r="AB329" s="141"/>
      <c r="AC329" s="141"/>
      <c r="AD329" s="141"/>
      <c r="AE329" s="141"/>
      <c r="AF329" s="141"/>
      <c r="AG329" s="141"/>
      <c r="AH329" s="141"/>
      <c r="AI329" s="141"/>
      <c r="AJ329" s="141"/>
      <c r="AK329" s="141" t="s">
        <v>354</v>
      </c>
      <c r="AL329" s="141" t="s">
        <v>364</v>
      </c>
      <c r="AM329" s="141" t="s">
        <v>354</v>
      </c>
      <c r="AN329" s="141" t="s">
        <v>890</v>
      </c>
      <c r="AO329" s="141" t="s">
        <v>3618</v>
      </c>
      <c r="AP329" s="141" t="s">
        <v>3619</v>
      </c>
      <c r="AQ329" s="141" t="s">
        <v>3620</v>
      </c>
      <c r="AR329" s="141" t="s">
        <v>368</v>
      </c>
      <c r="AS329" s="141"/>
      <c r="AT329" s="141"/>
      <c r="AU329" s="141"/>
      <c r="AV329" s="141"/>
      <c r="AW329" s="141"/>
      <c r="AX329" s="141"/>
      <c r="AY329" s="141"/>
      <c r="AZ329" s="141"/>
      <c r="BA329" s="141"/>
      <c r="BB329" s="141"/>
      <c r="BC329" s="141"/>
      <c r="BD329" s="141"/>
      <c r="BE329" s="141"/>
      <c r="BF329" s="141"/>
      <c r="BG329" s="141"/>
      <c r="BH329" s="141"/>
      <c r="BI329" s="141"/>
      <c r="BJ329" s="141"/>
      <c r="BK329" s="141"/>
      <c r="BL329" s="141"/>
      <c r="BM329" s="141"/>
      <c r="BN329" s="141"/>
      <c r="BO329" s="141"/>
      <c r="BP329" s="141"/>
      <c r="BQ329" s="141"/>
      <c r="BR329" s="141"/>
      <c r="BS329" s="141"/>
      <c r="BT329" s="141"/>
      <c r="BU329" s="141"/>
      <c r="BV329" s="141"/>
      <c r="BW329" s="141"/>
      <c r="BX329" s="141"/>
      <c r="BY329" s="141"/>
      <c r="BZ329" s="141"/>
      <c r="CA329" s="141"/>
      <c r="CB329" s="141"/>
      <c r="CC329" s="141"/>
      <c r="CD329" s="141"/>
      <c r="CE329" s="141"/>
      <c r="CF329" s="141"/>
      <c r="CG329" s="141"/>
      <c r="CH329" s="141"/>
      <c r="CI329" s="141"/>
      <c r="CJ329" s="141"/>
      <c r="CK329" s="141"/>
      <c r="CL329" s="141"/>
      <c r="CM329" s="141"/>
      <c r="CN329" s="141"/>
      <c r="CO329" s="141"/>
      <c r="CP329" s="141"/>
      <c r="CQ329" s="141"/>
      <c r="CR329" s="141"/>
      <c r="CS329" s="141"/>
      <c r="CT329" s="141"/>
      <c r="CU329" s="141"/>
      <c r="CV329" s="141"/>
      <c r="CW329" s="141"/>
      <c r="CX329" s="141"/>
      <c r="CY329" s="141"/>
      <c r="CZ329" s="141"/>
      <c r="DA329" s="173"/>
    </row>
    <row r="330" spans="2:105" x14ac:dyDescent="0.25">
      <c r="B330" s="172"/>
      <c r="C330" s="141" t="s">
        <v>3674</v>
      </c>
      <c r="D330" s="141" t="s">
        <v>3675</v>
      </c>
      <c r="E330" s="141" t="s">
        <v>3676</v>
      </c>
      <c r="F330" s="141" t="s">
        <v>3261</v>
      </c>
      <c r="G330" s="141"/>
      <c r="H330" s="141" t="s">
        <v>353</v>
      </c>
      <c r="I330" s="141"/>
      <c r="J330" s="141" t="s">
        <v>354</v>
      </c>
      <c r="K330" s="141" t="s">
        <v>2363</v>
      </c>
      <c r="L330" s="141" t="s">
        <v>3677</v>
      </c>
      <c r="M330" s="141" t="s">
        <v>3678</v>
      </c>
      <c r="N330" s="141" t="s">
        <v>354</v>
      </c>
      <c r="O330" s="141" t="s">
        <v>426</v>
      </c>
      <c r="P330" s="141" t="s">
        <v>454</v>
      </c>
      <c r="Q330" s="141" t="s">
        <v>455</v>
      </c>
      <c r="R330" s="141" t="s">
        <v>361</v>
      </c>
      <c r="S330" s="141" t="s">
        <v>1279</v>
      </c>
      <c r="T330" s="141" t="s">
        <v>3679</v>
      </c>
      <c r="U330" s="141" t="s">
        <v>3679</v>
      </c>
      <c r="V330" s="141"/>
      <c r="W330" s="141"/>
      <c r="X330" s="141"/>
      <c r="Y330" s="141"/>
      <c r="Z330" s="141"/>
      <c r="AA330" s="141"/>
      <c r="AB330" s="141"/>
      <c r="AC330" s="141"/>
      <c r="AD330" s="141"/>
      <c r="AE330" s="141"/>
      <c r="AF330" s="141"/>
      <c r="AG330" s="141"/>
      <c r="AH330" s="141"/>
      <c r="AI330" s="141"/>
      <c r="AJ330" s="141"/>
      <c r="AK330" s="141" t="s">
        <v>354</v>
      </c>
      <c r="AL330" s="141" t="s">
        <v>364</v>
      </c>
      <c r="AM330" s="141" t="s">
        <v>354</v>
      </c>
      <c r="AN330" s="141" t="s">
        <v>1881</v>
      </c>
      <c r="AO330" s="141" t="s">
        <v>3679</v>
      </c>
      <c r="AP330" s="141" t="s">
        <v>3680</v>
      </c>
      <c r="AQ330" s="141" t="s">
        <v>779</v>
      </c>
      <c r="AR330" s="141" t="s">
        <v>391</v>
      </c>
      <c r="AS330" s="141" t="s">
        <v>369</v>
      </c>
      <c r="AT330" s="141"/>
      <c r="AU330" s="141" t="s">
        <v>3677</v>
      </c>
      <c r="AV330" s="141" t="s">
        <v>1577</v>
      </c>
      <c r="AW330" s="141" t="s">
        <v>3681</v>
      </c>
      <c r="AX330" s="141" t="s">
        <v>655</v>
      </c>
      <c r="AY330" s="141" t="s">
        <v>3682</v>
      </c>
      <c r="AZ330" s="141" t="s">
        <v>1586</v>
      </c>
      <c r="BA330" s="141" t="s">
        <v>3683</v>
      </c>
      <c r="BB330" s="141" t="s">
        <v>785</v>
      </c>
      <c r="BC330" s="141" t="s">
        <v>1754</v>
      </c>
      <c r="BD330" s="141" t="s">
        <v>912</v>
      </c>
      <c r="BE330" s="141" t="s">
        <v>2179</v>
      </c>
      <c r="BF330" s="141" t="s">
        <v>382</v>
      </c>
      <c r="BG330" s="141" t="s">
        <v>3684</v>
      </c>
      <c r="BH330" s="141"/>
      <c r="BI330" s="141"/>
      <c r="BJ330" s="141"/>
      <c r="BK330" s="141"/>
      <c r="BL330" s="141"/>
      <c r="BM330" s="141"/>
      <c r="BN330" s="141"/>
      <c r="BO330" s="141"/>
      <c r="BP330" s="141"/>
      <c r="BQ330" s="141"/>
      <c r="BR330" s="141"/>
      <c r="BS330" s="141"/>
      <c r="BT330" s="141"/>
      <c r="BU330" s="141"/>
      <c r="BV330" s="141"/>
      <c r="BW330" s="141"/>
      <c r="BX330" s="141"/>
      <c r="BY330" s="141"/>
      <c r="BZ330" s="141"/>
      <c r="CA330" s="141"/>
      <c r="CB330" s="141"/>
      <c r="CC330" s="141"/>
      <c r="CD330" s="141"/>
      <c r="CE330" s="141"/>
      <c r="CF330" s="141"/>
      <c r="CG330" s="141"/>
      <c r="CH330" s="141"/>
      <c r="CI330" s="141"/>
      <c r="CJ330" s="141"/>
      <c r="CK330" s="141"/>
      <c r="CL330" s="141"/>
      <c r="CM330" s="141"/>
      <c r="CN330" s="141"/>
      <c r="CO330" s="141"/>
      <c r="CP330" s="141"/>
      <c r="CQ330" s="141"/>
      <c r="CR330" s="141"/>
      <c r="CS330" s="141"/>
      <c r="CT330" s="141"/>
      <c r="CU330" s="141"/>
      <c r="CV330" s="141"/>
      <c r="CW330" s="141"/>
      <c r="CX330" s="141"/>
      <c r="CY330" s="141"/>
      <c r="CZ330" s="141"/>
      <c r="DA330" s="173"/>
    </row>
    <row r="331" spans="2:105" x14ac:dyDescent="0.25">
      <c r="B331" s="172"/>
      <c r="C331" s="141" t="s">
        <v>3685</v>
      </c>
      <c r="D331" s="141" t="s">
        <v>776</v>
      </c>
      <c r="E331" s="141" t="s">
        <v>3686</v>
      </c>
      <c r="F331" s="141" t="s">
        <v>3687</v>
      </c>
      <c r="G331" s="141"/>
      <c r="H331" s="141" t="s">
        <v>353</v>
      </c>
      <c r="I331" s="141"/>
      <c r="J331" s="141" t="s">
        <v>354</v>
      </c>
      <c r="K331" s="141" t="s">
        <v>686</v>
      </c>
      <c r="L331" s="141" t="s">
        <v>3688</v>
      </c>
      <c r="M331" s="141" t="s">
        <v>3689</v>
      </c>
      <c r="N331" s="141" t="s">
        <v>354</v>
      </c>
      <c r="O331" s="141" t="s">
        <v>393</v>
      </c>
      <c r="P331" s="141" t="s">
        <v>424</v>
      </c>
      <c r="Q331" s="141" t="s">
        <v>425</v>
      </c>
      <c r="R331" s="141" t="s">
        <v>361</v>
      </c>
      <c r="S331" s="141" t="s">
        <v>1279</v>
      </c>
      <c r="T331" s="141" t="s">
        <v>3679</v>
      </c>
      <c r="U331" s="141" t="s">
        <v>3679</v>
      </c>
      <c r="V331" s="141"/>
      <c r="W331" s="141"/>
      <c r="X331" s="141"/>
      <c r="Y331" s="141"/>
      <c r="Z331" s="141"/>
      <c r="AA331" s="141"/>
      <c r="AB331" s="141"/>
      <c r="AC331" s="141"/>
      <c r="AD331" s="141"/>
      <c r="AE331" s="141"/>
      <c r="AF331" s="141"/>
      <c r="AG331" s="141"/>
      <c r="AH331" s="141"/>
      <c r="AI331" s="141"/>
      <c r="AJ331" s="141"/>
      <c r="AK331" s="141" t="s">
        <v>354</v>
      </c>
      <c r="AL331" s="141" t="s">
        <v>364</v>
      </c>
      <c r="AM331" s="141" t="s">
        <v>354</v>
      </c>
      <c r="AN331" s="141" t="s">
        <v>1881</v>
      </c>
      <c r="AO331" s="141" t="s">
        <v>3679</v>
      </c>
      <c r="AP331" s="141" t="s">
        <v>3680</v>
      </c>
      <c r="AQ331" s="141" t="s">
        <v>779</v>
      </c>
      <c r="AR331" s="141" t="s">
        <v>391</v>
      </c>
      <c r="AS331" s="141" t="s">
        <v>393</v>
      </c>
      <c r="AT331" s="141"/>
      <c r="AU331" s="141" t="s">
        <v>3688</v>
      </c>
      <c r="AV331" s="141" t="s">
        <v>1577</v>
      </c>
      <c r="AW331" s="141" t="s">
        <v>3690</v>
      </c>
      <c r="AX331" s="141" t="s">
        <v>655</v>
      </c>
      <c r="AY331" s="141" t="s">
        <v>415</v>
      </c>
      <c r="AZ331" s="141" t="s">
        <v>1586</v>
      </c>
      <c r="BA331" s="141" t="s">
        <v>1189</v>
      </c>
      <c r="BB331" s="141" t="s">
        <v>785</v>
      </c>
      <c r="BC331" s="141" t="s">
        <v>3632</v>
      </c>
      <c r="BD331" s="141" t="s">
        <v>912</v>
      </c>
      <c r="BE331" s="141" t="s">
        <v>3691</v>
      </c>
      <c r="BF331" s="141" t="s">
        <v>382</v>
      </c>
      <c r="BG331" s="141" t="s">
        <v>3660</v>
      </c>
      <c r="BH331" s="141"/>
      <c r="BI331" s="141"/>
      <c r="BJ331" s="141"/>
      <c r="BK331" s="141"/>
      <c r="BL331" s="141"/>
      <c r="BM331" s="141"/>
      <c r="BN331" s="141"/>
      <c r="BO331" s="141"/>
      <c r="BP331" s="141"/>
      <c r="BQ331" s="141"/>
      <c r="BR331" s="141"/>
      <c r="BS331" s="141"/>
      <c r="BT331" s="141"/>
      <c r="BU331" s="141"/>
      <c r="BV331" s="141"/>
      <c r="BW331" s="141"/>
      <c r="BX331" s="141"/>
      <c r="BY331" s="141"/>
      <c r="BZ331" s="141"/>
      <c r="CA331" s="141"/>
      <c r="CB331" s="141"/>
      <c r="CC331" s="141"/>
      <c r="CD331" s="141"/>
      <c r="CE331" s="141"/>
      <c r="CF331" s="141"/>
      <c r="CG331" s="141"/>
      <c r="CH331" s="141"/>
      <c r="CI331" s="141"/>
      <c r="CJ331" s="141"/>
      <c r="CK331" s="141"/>
      <c r="CL331" s="141"/>
      <c r="CM331" s="141"/>
      <c r="CN331" s="141"/>
      <c r="CO331" s="141"/>
      <c r="CP331" s="141"/>
      <c r="CQ331" s="141"/>
      <c r="CR331" s="141"/>
      <c r="CS331" s="141"/>
      <c r="CT331" s="141"/>
      <c r="CU331" s="141"/>
      <c r="CV331" s="141"/>
      <c r="CW331" s="141"/>
      <c r="CX331" s="141"/>
      <c r="CY331" s="141"/>
      <c r="CZ331" s="141"/>
      <c r="DA331" s="173"/>
    </row>
    <row r="332" spans="2:105" x14ac:dyDescent="0.25">
      <c r="B332" s="172"/>
      <c r="C332" s="141" t="s">
        <v>3692</v>
      </c>
      <c r="D332" s="141" t="s">
        <v>3693</v>
      </c>
      <c r="E332" s="141" t="s">
        <v>3694</v>
      </c>
      <c r="F332" s="141" t="s">
        <v>3695</v>
      </c>
      <c r="G332" s="141"/>
      <c r="H332" s="141" t="s">
        <v>353</v>
      </c>
      <c r="I332" s="141"/>
      <c r="J332" s="141" t="s">
        <v>354</v>
      </c>
      <c r="K332" s="141" t="s">
        <v>543</v>
      </c>
      <c r="L332" s="141" t="s">
        <v>3606</v>
      </c>
      <c r="M332" s="141" t="s">
        <v>3605</v>
      </c>
      <c r="N332" s="141" t="s">
        <v>354</v>
      </c>
      <c r="O332" s="141" t="s">
        <v>369</v>
      </c>
      <c r="P332" s="141" t="s">
        <v>528</v>
      </c>
      <c r="Q332" s="141" t="s">
        <v>529</v>
      </c>
      <c r="R332" s="141" t="s">
        <v>361</v>
      </c>
      <c r="S332" s="141" t="s">
        <v>1279</v>
      </c>
      <c r="T332" s="141" t="s">
        <v>3679</v>
      </c>
      <c r="U332" s="141" t="s">
        <v>3679</v>
      </c>
      <c r="V332" s="141"/>
      <c r="W332" s="141"/>
      <c r="X332" s="141"/>
      <c r="Y332" s="141"/>
      <c r="Z332" s="141"/>
      <c r="AA332" s="141"/>
      <c r="AB332" s="141"/>
      <c r="AC332" s="141"/>
      <c r="AD332" s="141"/>
      <c r="AE332" s="141"/>
      <c r="AF332" s="141"/>
      <c r="AG332" s="141"/>
      <c r="AH332" s="141"/>
      <c r="AI332" s="141"/>
      <c r="AJ332" s="141"/>
      <c r="AK332" s="141" t="s">
        <v>354</v>
      </c>
      <c r="AL332" s="141" t="s">
        <v>364</v>
      </c>
      <c r="AM332" s="141" t="s">
        <v>354</v>
      </c>
      <c r="AN332" s="141" t="s">
        <v>1881</v>
      </c>
      <c r="AO332" s="141" t="s">
        <v>3679</v>
      </c>
      <c r="AP332" s="141" t="s">
        <v>3680</v>
      </c>
      <c r="AQ332" s="141" t="s">
        <v>779</v>
      </c>
      <c r="AR332" s="141" t="s">
        <v>391</v>
      </c>
      <c r="AS332" s="141" t="s">
        <v>358</v>
      </c>
      <c r="AT332" s="141"/>
      <c r="AU332" s="141" t="s">
        <v>3606</v>
      </c>
      <c r="AV332" s="141" t="s">
        <v>1577</v>
      </c>
      <c r="AW332" s="141" t="s">
        <v>1282</v>
      </c>
      <c r="AX332" s="141" t="s">
        <v>655</v>
      </c>
      <c r="AY332" s="141" t="s">
        <v>3696</v>
      </c>
      <c r="AZ332" s="141" t="s">
        <v>1586</v>
      </c>
      <c r="BA332" s="141" t="s">
        <v>3697</v>
      </c>
      <c r="BB332" s="141" t="s">
        <v>785</v>
      </c>
      <c r="BC332" s="141" t="s">
        <v>3333</v>
      </c>
      <c r="BD332" s="141" t="s">
        <v>912</v>
      </c>
      <c r="BE332" s="141" t="s">
        <v>3698</v>
      </c>
      <c r="BF332" s="141" t="s">
        <v>382</v>
      </c>
      <c r="BG332" s="141" t="s">
        <v>3699</v>
      </c>
      <c r="BH332" s="141"/>
      <c r="BI332" s="141"/>
      <c r="BJ332" s="141"/>
      <c r="BK332" s="141"/>
      <c r="BL332" s="141"/>
      <c r="BM332" s="141"/>
      <c r="BN332" s="141"/>
      <c r="BO332" s="141"/>
      <c r="BP332" s="141"/>
      <c r="BQ332" s="141"/>
      <c r="BR332" s="141"/>
      <c r="BS332" s="141"/>
      <c r="BT332" s="141"/>
      <c r="BU332" s="141"/>
      <c r="BV332" s="141"/>
      <c r="BW332" s="141"/>
      <c r="BX332" s="141"/>
      <c r="BY332" s="141"/>
      <c r="BZ332" s="141"/>
      <c r="CA332" s="141"/>
      <c r="CB332" s="141"/>
      <c r="CC332" s="141"/>
      <c r="CD332" s="141"/>
      <c r="CE332" s="141"/>
      <c r="CF332" s="141"/>
      <c r="CG332" s="141"/>
      <c r="CH332" s="141"/>
      <c r="CI332" s="141"/>
      <c r="CJ332" s="141"/>
      <c r="CK332" s="141"/>
      <c r="CL332" s="141"/>
      <c r="CM332" s="141"/>
      <c r="CN332" s="141"/>
      <c r="CO332" s="141"/>
      <c r="CP332" s="141"/>
      <c r="CQ332" s="141"/>
      <c r="CR332" s="141"/>
      <c r="CS332" s="141"/>
      <c r="CT332" s="141"/>
      <c r="CU332" s="141"/>
      <c r="CV332" s="141"/>
      <c r="CW332" s="141"/>
      <c r="CX332" s="141"/>
      <c r="CY332" s="141"/>
      <c r="CZ332" s="141"/>
      <c r="DA332" s="173"/>
    </row>
    <row r="333" spans="2:105" x14ac:dyDescent="0.25">
      <c r="B333" s="172"/>
      <c r="C333" s="141"/>
      <c r="D333" s="141" t="s">
        <v>3700</v>
      </c>
      <c r="E333" s="141"/>
      <c r="F333" s="141" t="s">
        <v>466</v>
      </c>
      <c r="G333" s="141"/>
      <c r="H333" s="141" t="s">
        <v>353</v>
      </c>
      <c r="I333" s="141"/>
      <c r="J333" s="141" t="s">
        <v>354</v>
      </c>
      <c r="K333" s="141" t="s">
        <v>509</v>
      </c>
      <c r="L333" s="141"/>
      <c r="M333" s="141"/>
      <c r="N333" s="141" t="s">
        <v>354</v>
      </c>
      <c r="O333" s="141"/>
      <c r="P333" s="141"/>
      <c r="Q333" s="141"/>
      <c r="R333" s="141"/>
      <c r="S333" s="141" t="s">
        <v>1279</v>
      </c>
      <c r="T333" s="141" t="s">
        <v>3679</v>
      </c>
      <c r="U333" s="141" t="s">
        <v>3679</v>
      </c>
      <c r="V333" s="141"/>
      <c r="W333" s="141"/>
      <c r="X333" s="141"/>
      <c r="Y333" s="141"/>
      <c r="Z333" s="141"/>
      <c r="AA333" s="141"/>
      <c r="AB333" s="141"/>
      <c r="AC333" s="141"/>
      <c r="AD333" s="141"/>
      <c r="AE333" s="141"/>
      <c r="AF333" s="141"/>
      <c r="AG333" s="141"/>
      <c r="AH333" s="141"/>
      <c r="AI333" s="141"/>
      <c r="AJ333" s="141"/>
      <c r="AK333" s="141" t="s">
        <v>354</v>
      </c>
      <c r="AL333" s="141" t="s">
        <v>364</v>
      </c>
      <c r="AM333" s="141" t="s">
        <v>354</v>
      </c>
      <c r="AN333" s="141" t="s">
        <v>1881</v>
      </c>
      <c r="AO333" s="141" t="s">
        <v>3679</v>
      </c>
      <c r="AP333" s="141" t="s">
        <v>3680</v>
      </c>
      <c r="AQ333" s="141" t="s">
        <v>779</v>
      </c>
      <c r="AR333" s="141" t="s">
        <v>391</v>
      </c>
      <c r="AS333" s="141"/>
      <c r="AT333" s="141"/>
      <c r="AU333" s="141"/>
      <c r="AV333" s="141"/>
      <c r="AW333" s="141"/>
      <c r="AX333" s="141"/>
      <c r="AY333" s="141"/>
      <c r="AZ333" s="141"/>
      <c r="BA333" s="141"/>
      <c r="BB333" s="141"/>
      <c r="BC333" s="141"/>
      <c r="BD333" s="141"/>
      <c r="BE333" s="141"/>
      <c r="BF333" s="141"/>
      <c r="BG333" s="141"/>
      <c r="BH333" s="141"/>
      <c r="BI333" s="141"/>
      <c r="BJ333" s="141"/>
      <c r="BK333" s="141"/>
      <c r="BL333" s="141"/>
      <c r="BM333" s="141"/>
      <c r="BN333" s="141"/>
      <c r="BO333" s="141"/>
      <c r="BP333" s="141"/>
      <c r="BQ333" s="141"/>
      <c r="BR333" s="141"/>
      <c r="BS333" s="141"/>
      <c r="BT333" s="141"/>
      <c r="BU333" s="141"/>
      <c r="BV333" s="141"/>
      <c r="BW333" s="141"/>
      <c r="BX333" s="141"/>
      <c r="BY333" s="141"/>
      <c r="BZ333" s="141"/>
      <c r="CA333" s="141"/>
      <c r="CB333" s="141"/>
      <c r="CC333" s="141"/>
      <c r="CD333" s="141"/>
      <c r="CE333" s="141"/>
      <c r="CF333" s="141"/>
      <c r="CG333" s="141"/>
      <c r="CH333" s="141"/>
      <c r="CI333" s="141"/>
      <c r="CJ333" s="141"/>
      <c r="CK333" s="141"/>
      <c r="CL333" s="141"/>
      <c r="CM333" s="141"/>
      <c r="CN333" s="141"/>
      <c r="CO333" s="141"/>
      <c r="CP333" s="141"/>
      <c r="CQ333" s="141"/>
      <c r="CR333" s="141"/>
      <c r="CS333" s="141"/>
      <c r="CT333" s="141"/>
      <c r="CU333" s="141"/>
      <c r="CV333" s="141"/>
      <c r="CW333" s="141"/>
      <c r="CX333" s="141"/>
      <c r="CY333" s="141"/>
      <c r="CZ333" s="141"/>
      <c r="DA333" s="173"/>
    </row>
    <row r="334" spans="2:105" x14ac:dyDescent="0.25">
      <c r="B334" s="172"/>
      <c r="C334" s="141"/>
      <c r="D334" s="141" t="s">
        <v>3701</v>
      </c>
      <c r="E334" s="141"/>
      <c r="F334" s="141" t="s">
        <v>466</v>
      </c>
      <c r="G334" s="141"/>
      <c r="H334" s="141" t="s">
        <v>353</v>
      </c>
      <c r="I334" s="141"/>
      <c r="J334" s="141" t="s">
        <v>354</v>
      </c>
      <c r="K334" s="141" t="s">
        <v>2395</v>
      </c>
      <c r="L334" s="141"/>
      <c r="M334" s="141"/>
      <c r="N334" s="141" t="s">
        <v>354</v>
      </c>
      <c r="O334" s="141"/>
      <c r="P334" s="141"/>
      <c r="Q334" s="141"/>
      <c r="R334" s="141"/>
      <c r="S334" s="141" t="s">
        <v>1279</v>
      </c>
      <c r="T334" s="141" t="s">
        <v>3679</v>
      </c>
      <c r="U334" s="141" t="s">
        <v>3679</v>
      </c>
      <c r="V334" s="141"/>
      <c r="W334" s="141"/>
      <c r="X334" s="141"/>
      <c r="Y334" s="141"/>
      <c r="Z334" s="141"/>
      <c r="AA334" s="141"/>
      <c r="AB334" s="141"/>
      <c r="AC334" s="141"/>
      <c r="AD334" s="141"/>
      <c r="AE334" s="141"/>
      <c r="AF334" s="141"/>
      <c r="AG334" s="141"/>
      <c r="AH334" s="141"/>
      <c r="AI334" s="141"/>
      <c r="AJ334" s="141"/>
      <c r="AK334" s="141" t="s">
        <v>354</v>
      </c>
      <c r="AL334" s="141" t="s">
        <v>364</v>
      </c>
      <c r="AM334" s="141" t="s">
        <v>354</v>
      </c>
      <c r="AN334" s="141" t="s">
        <v>1881</v>
      </c>
      <c r="AO334" s="141" t="s">
        <v>3679</v>
      </c>
      <c r="AP334" s="141" t="s">
        <v>3680</v>
      </c>
      <c r="AQ334" s="141" t="s">
        <v>779</v>
      </c>
      <c r="AR334" s="141" t="s">
        <v>391</v>
      </c>
      <c r="AS334" s="141"/>
      <c r="AT334" s="141"/>
      <c r="AU334" s="141"/>
      <c r="AV334" s="141"/>
      <c r="AW334" s="141"/>
      <c r="AX334" s="141"/>
      <c r="AY334" s="141"/>
      <c r="AZ334" s="141"/>
      <c r="BA334" s="141"/>
      <c r="BB334" s="141"/>
      <c r="BC334" s="141"/>
      <c r="BD334" s="141"/>
      <c r="BE334" s="141"/>
      <c r="BF334" s="141"/>
      <c r="BG334" s="141"/>
      <c r="BH334" s="141"/>
      <c r="BI334" s="141"/>
      <c r="BJ334" s="141"/>
      <c r="BK334" s="141"/>
      <c r="BL334" s="141"/>
      <c r="BM334" s="141"/>
      <c r="BN334" s="141"/>
      <c r="BO334" s="141"/>
      <c r="BP334" s="141"/>
      <c r="BQ334" s="141"/>
      <c r="BR334" s="141"/>
      <c r="BS334" s="141"/>
      <c r="BT334" s="141"/>
      <c r="BU334" s="141"/>
      <c r="BV334" s="141"/>
      <c r="BW334" s="141"/>
      <c r="BX334" s="141"/>
      <c r="BY334" s="141"/>
      <c r="BZ334" s="141"/>
      <c r="CA334" s="141"/>
      <c r="CB334" s="141"/>
      <c r="CC334" s="141"/>
      <c r="CD334" s="141"/>
      <c r="CE334" s="141"/>
      <c r="CF334" s="141"/>
      <c r="CG334" s="141"/>
      <c r="CH334" s="141"/>
      <c r="CI334" s="141"/>
      <c r="CJ334" s="141"/>
      <c r="CK334" s="141"/>
      <c r="CL334" s="141"/>
      <c r="CM334" s="141"/>
      <c r="CN334" s="141"/>
      <c r="CO334" s="141"/>
      <c r="CP334" s="141"/>
      <c r="CQ334" s="141"/>
      <c r="CR334" s="141"/>
      <c r="CS334" s="141"/>
      <c r="CT334" s="141"/>
      <c r="CU334" s="141"/>
      <c r="CV334" s="141"/>
      <c r="CW334" s="141"/>
      <c r="CX334" s="141"/>
      <c r="CY334" s="141"/>
      <c r="CZ334" s="141"/>
      <c r="DA334" s="173"/>
    </row>
    <row r="335" spans="2:105" x14ac:dyDescent="0.25">
      <c r="B335" s="172"/>
      <c r="C335" s="141"/>
      <c r="D335" s="141" t="s">
        <v>3702</v>
      </c>
      <c r="E335" s="141"/>
      <c r="F335" s="141" t="s">
        <v>466</v>
      </c>
      <c r="G335" s="141"/>
      <c r="H335" s="141" t="s">
        <v>353</v>
      </c>
      <c r="I335" s="141"/>
      <c r="J335" s="141" t="s">
        <v>354</v>
      </c>
      <c r="K335" s="141"/>
      <c r="L335" s="141"/>
      <c r="M335" s="141"/>
      <c r="N335" s="141" t="s">
        <v>354</v>
      </c>
      <c r="O335" s="141"/>
      <c r="P335" s="141"/>
      <c r="Q335" s="141"/>
      <c r="R335" s="141"/>
      <c r="S335" s="141" t="s">
        <v>1426</v>
      </c>
      <c r="T335" s="141" t="s">
        <v>3703</v>
      </c>
      <c r="U335" s="141" t="s">
        <v>3703</v>
      </c>
      <c r="V335" s="141"/>
      <c r="W335" s="141"/>
      <c r="X335" s="141"/>
      <c r="Y335" s="141"/>
      <c r="Z335" s="141"/>
      <c r="AA335" s="141"/>
      <c r="AB335" s="141"/>
      <c r="AC335" s="141"/>
      <c r="AD335" s="141"/>
      <c r="AE335" s="141"/>
      <c r="AF335" s="141"/>
      <c r="AG335" s="141"/>
      <c r="AH335" s="141"/>
      <c r="AI335" s="141"/>
      <c r="AJ335" s="141"/>
      <c r="AK335" s="141" t="s">
        <v>354</v>
      </c>
      <c r="AL335" s="141" t="s">
        <v>364</v>
      </c>
      <c r="AM335" s="141" t="s">
        <v>354</v>
      </c>
      <c r="AN335" s="141" t="s">
        <v>778</v>
      </c>
      <c r="AO335" s="141" t="s">
        <v>3703</v>
      </c>
      <c r="AP335" s="141" t="s">
        <v>3680</v>
      </c>
      <c r="AQ335" s="141" t="s">
        <v>779</v>
      </c>
      <c r="AR335" s="141" t="s">
        <v>391</v>
      </c>
      <c r="AS335" s="141"/>
      <c r="AT335" s="141"/>
      <c r="AU335" s="141"/>
      <c r="AV335" s="141"/>
      <c r="AW335" s="141"/>
      <c r="AX335" s="141"/>
      <c r="AY335" s="141"/>
      <c r="AZ335" s="141"/>
      <c r="BA335" s="141"/>
      <c r="BB335" s="141"/>
      <c r="BC335" s="141"/>
      <c r="BD335" s="141"/>
      <c r="BE335" s="141"/>
      <c r="BF335" s="141"/>
      <c r="BG335" s="141"/>
      <c r="BH335" s="141"/>
      <c r="BI335" s="141"/>
      <c r="BJ335" s="141"/>
      <c r="BK335" s="141"/>
      <c r="BL335" s="141"/>
      <c r="BM335" s="141"/>
      <c r="BN335" s="141"/>
      <c r="BO335" s="141"/>
      <c r="BP335" s="141"/>
      <c r="BQ335" s="141"/>
      <c r="BR335" s="141"/>
      <c r="BS335" s="141"/>
      <c r="BT335" s="141"/>
      <c r="BU335" s="141"/>
      <c r="BV335" s="141"/>
      <c r="BW335" s="141"/>
      <c r="BX335" s="141"/>
      <c r="BY335" s="141"/>
      <c r="BZ335" s="141"/>
      <c r="CA335" s="141"/>
      <c r="CB335" s="141"/>
      <c r="CC335" s="141"/>
      <c r="CD335" s="141"/>
      <c r="CE335" s="141"/>
      <c r="CF335" s="141"/>
      <c r="CG335" s="141"/>
      <c r="CH335" s="141"/>
      <c r="CI335" s="141"/>
      <c r="CJ335" s="141"/>
      <c r="CK335" s="141"/>
      <c r="CL335" s="141"/>
      <c r="CM335" s="141"/>
      <c r="CN335" s="141"/>
      <c r="CO335" s="141"/>
      <c r="CP335" s="141"/>
      <c r="CQ335" s="141"/>
      <c r="CR335" s="141"/>
      <c r="CS335" s="141"/>
      <c r="CT335" s="141"/>
      <c r="CU335" s="141"/>
      <c r="CV335" s="141"/>
      <c r="CW335" s="141"/>
      <c r="CX335" s="141"/>
      <c r="CY335" s="141"/>
      <c r="CZ335" s="141"/>
      <c r="DA335" s="173"/>
    </row>
    <row r="336" spans="2:105" x14ac:dyDescent="0.25">
      <c r="B336" s="172"/>
      <c r="C336" s="141"/>
      <c r="D336" s="141" t="s">
        <v>3704</v>
      </c>
      <c r="E336" s="141"/>
      <c r="F336" s="141" t="s">
        <v>466</v>
      </c>
      <c r="G336" s="141"/>
      <c r="H336" s="141" t="s">
        <v>353</v>
      </c>
      <c r="I336" s="141"/>
      <c r="J336" s="141" t="s">
        <v>354</v>
      </c>
      <c r="K336" s="141"/>
      <c r="L336" s="141"/>
      <c r="M336" s="141"/>
      <c r="N336" s="141" t="s">
        <v>354</v>
      </c>
      <c r="O336" s="141"/>
      <c r="P336" s="141"/>
      <c r="Q336" s="141"/>
      <c r="R336" s="141"/>
      <c r="S336" s="141" t="s">
        <v>1426</v>
      </c>
      <c r="T336" s="141" t="s">
        <v>3703</v>
      </c>
      <c r="U336" s="141" t="s">
        <v>3703</v>
      </c>
      <c r="V336" s="141"/>
      <c r="W336" s="141"/>
      <c r="X336" s="141"/>
      <c r="Y336" s="141"/>
      <c r="Z336" s="141"/>
      <c r="AA336" s="141"/>
      <c r="AB336" s="141"/>
      <c r="AC336" s="141"/>
      <c r="AD336" s="141"/>
      <c r="AE336" s="141"/>
      <c r="AF336" s="141"/>
      <c r="AG336" s="141"/>
      <c r="AH336" s="141"/>
      <c r="AI336" s="141"/>
      <c r="AJ336" s="141"/>
      <c r="AK336" s="141" t="s">
        <v>354</v>
      </c>
      <c r="AL336" s="141" t="s">
        <v>364</v>
      </c>
      <c r="AM336" s="141" t="s">
        <v>354</v>
      </c>
      <c r="AN336" s="141" t="s">
        <v>778</v>
      </c>
      <c r="AO336" s="141" t="s">
        <v>3703</v>
      </c>
      <c r="AP336" s="141" t="s">
        <v>3680</v>
      </c>
      <c r="AQ336" s="141" t="s">
        <v>779</v>
      </c>
      <c r="AR336" s="141" t="s">
        <v>391</v>
      </c>
      <c r="AS336" s="141"/>
      <c r="AT336" s="141"/>
      <c r="AU336" s="141"/>
      <c r="AV336" s="141"/>
      <c r="AW336" s="141"/>
      <c r="AX336" s="141"/>
      <c r="AY336" s="141"/>
      <c r="AZ336" s="141"/>
      <c r="BA336" s="141"/>
      <c r="BB336" s="141"/>
      <c r="BC336" s="141"/>
      <c r="BD336" s="141"/>
      <c r="BE336" s="141"/>
      <c r="BF336" s="141"/>
      <c r="BG336" s="141"/>
      <c r="BH336" s="141"/>
      <c r="BI336" s="141"/>
      <c r="BJ336" s="141"/>
      <c r="BK336" s="141"/>
      <c r="BL336" s="141"/>
      <c r="BM336" s="141"/>
      <c r="BN336" s="141"/>
      <c r="BO336" s="141"/>
      <c r="BP336" s="141"/>
      <c r="BQ336" s="141"/>
      <c r="BR336" s="141"/>
      <c r="BS336" s="141"/>
      <c r="BT336" s="141"/>
      <c r="BU336" s="141"/>
      <c r="BV336" s="141"/>
      <c r="BW336" s="141"/>
      <c r="BX336" s="141"/>
      <c r="BY336" s="141"/>
      <c r="BZ336" s="141"/>
      <c r="CA336" s="141"/>
      <c r="CB336" s="141"/>
      <c r="CC336" s="141"/>
      <c r="CD336" s="141"/>
      <c r="CE336" s="141"/>
      <c r="CF336" s="141"/>
      <c r="CG336" s="141"/>
      <c r="CH336" s="141"/>
      <c r="CI336" s="141"/>
      <c r="CJ336" s="141"/>
      <c r="CK336" s="141"/>
      <c r="CL336" s="141"/>
      <c r="CM336" s="141"/>
      <c r="CN336" s="141"/>
      <c r="CO336" s="141"/>
      <c r="CP336" s="141"/>
      <c r="CQ336" s="141"/>
      <c r="CR336" s="141"/>
      <c r="CS336" s="141"/>
      <c r="CT336" s="141"/>
      <c r="CU336" s="141"/>
      <c r="CV336" s="141"/>
      <c r="CW336" s="141"/>
      <c r="CX336" s="141"/>
      <c r="CY336" s="141"/>
      <c r="CZ336" s="141"/>
      <c r="DA336" s="173"/>
    </row>
    <row r="337" spans="2:105" x14ac:dyDescent="0.25">
      <c r="B337" s="172"/>
      <c r="C337" s="141"/>
      <c r="D337" s="141"/>
      <c r="E337" s="141"/>
      <c r="F337" s="141"/>
      <c r="G337" s="141"/>
      <c r="H337" s="141"/>
      <c r="I337" s="141"/>
      <c r="J337" s="141"/>
      <c r="K337" s="141"/>
      <c r="L337" s="141"/>
      <c r="M337" s="141"/>
      <c r="N337" s="141"/>
      <c r="O337" s="141"/>
      <c r="P337" s="141"/>
      <c r="Q337" s="141"/>
      <c r="R337" s="141"/>
      <c r="S337" s="141"/>
      <c r="T337" s="141"/>
      <c r="U337" s="141"/>
      <c r="V337" s="141"/>
      <c r="W337" s="141"/>
      <c r="X337" s="141"/>
      <c r="Y337" s="141"/>
      <c r="Z337" s="141"/>
      <c r="AA337" s="141"/>
      <c r="AB337" s="141"/>
      <c r="AC337" s="141"/>
      <c r="AD337" s="141"/>
      <c r="AE337" s="141"/>
      <c r="AF337" s="141"/>
      <c r="AG337" s="141"/>
      <c r="AH337" s="141"/>
      <c r="AI337" s="141"/>
      <c r="AJ337" s="141"/>
      <c r="AK337" s="141"/>
      <c r="AL337" s="141"/>
      <c r="AM337" s="141"/>
      <c r="AN337" s="141"/>
      <c r="AO337" s="141"/>
      <c r="AP337" s="141"/>
      <c r="AQ337" s="141"/>
      <c r="AR337" s="141"/>
      <c r="AS337" s="141"/>
      <c r="AT337" s="141"/>
      <c r="AU337" s="141"/>
      <c r="AV337" s="141"/>
      <c r="AW337" s="141"/>
      <c r="AX337" s="141"/>
      <c r="AY337" s="141"/>
      <c r="AZ337" s="141"/>
      <c r="BA337" s="141"/>
      <c r="BB337" s="141"/>
      <c r="BC337" s="141"/>
      <c r="BD337" s="141"/>
      <c r="BE337" s="141"/>
      <c r="BF337" s="141"/>
      <c r="BG337" s="141"/>
      <c r="BH337" s="141"/>
      <c r="BI337" s="141"/>
      <c r="BJ337" s="141"/>
      <c r="BK337" s="141"/>
      <c r="BL337" s="141"/>
      <c r="BM337" s="141"/>
      <c r="BN337" s="141"/>
      <c r="BO337" s="141"/>
      <c r="BP337" s="141"/>
      <c r="BQ337" s="141"/>
      <c r="BR337" s="141"/>
      <c r="BS337" s="141"/>
      <c r="BT337" s="141"/>
      <c r="BU337" s="141"/>
      <c r="BV337" s="141"/>
      <c r="BW337" s="141"/>
      <c r="BX337" s="141"/>
      <c r="BY337" s="141"/>
      <c r="BZ337" s="141"/>
      <c r="CA337" s="141"/>
      <c r="CB337" s="141"/>
      <c r="CC337" s="141"/>
      <c r="CD337" s="141"/>
      <c r="CE337" s="141"/>
      <c r="CF337" s="141"/>
      <c r="CG337" s="141"/>
      <c r="CH337" s="141"/>
      <c r="CI337" s="141"/>
      <c r="CJ337" s="141"/>
      <c r="CK337" s="141"/>
      <c r="CL337" s="141"/>
      <c r="CM337" s="141"/>
      <c r="CN337" s="141"/>
      <c r="CO337" s="141"/>
      <c r="CP337" s="141"/>
      <c r="CQ337" s="141"/>
      <c r="CR337" s="141"/>
      <c r="CS337" s="141"/>
      <c r="CT337" s="141"/>
      <c r="CU337" s="141"/>
      <c r="CV337" s="141"/>
      <c r="CW337" s="141"/>
      <c r="CX337" s="141"/>
      <c r="CY337" s="141"/>
      <c r="CZ337" s="141"/>
      <c r="DA337" s="173"/>
    </row>
    <row r="338" spans="2:105" x14ac:dyDescent="0.25">
      <c r="B338" s="172"/>
      <c r="C338" s="141"/>
      <c r="D338" s="141"/>
      <c r="E338" s="141"/>
      <c r="F338" s="141"/>
      <c r="G338" s="141"/>
      <c r="H338" s="141"/>
      <c r="I338" s="141"/>
      <c r="J338" s="141"/>
      <c r="K338" s="141"/>
      <c r="L338" s="141"/>
      <c r="M338" s="141"/>
      <c r="N338" s="141"/>
      <c r="O338" s="141"/>
      <c r="P338" s="141"/>
      <c r="Q338" s="141"/>
      <c r="R338" s="141"/>
      <c r="S338" s="141"/>
      <c r="T338" s="141"/>
      <c r="U338" s="141"/>
      <c r="V338" s="141"/>
      <c r="W338" s="141"/>
      <c r="X338" s="141"/>
      <c r="Y338" s="141"/>
      <c r="Z338" s="141"/>
      <c r="AA338" s="141"/>
      <c r="AB338" s="141"/>
      <c r="AC338" s="141"/>
      <c r="AD338" s="141"/>
      <c r="AE338" s="141"/>
      <c r="AF338" s="141"/>
      <c r="AG338" s="141"/>
      <c r="AH338" s="141"/>
      <c r="AI338" s="141"/>
      <c r="AJ338" s="141"/>
      <c r="AK338" s="141"/>
      <c r="AL338" s="141"/>
      <c r="AM338" s="141"/>
      <c r="AN338" s="141"/>
      <c r="AO338" s="141"/>
      <c r="AP338" s="141"/>
      <c r="AQ338" s="141"/>
      <c r="AR338" s="141"/>
      <c r="AS338" s="141"/>
      <c r="AT338" s="141"/>
      <c r="AU338" s="141"/>
      <c r="AV338" s="141"/>
      <c r="AW338" s="141"/>
      <c r="AX338" s="141"/>
      <c r="AY338" s="141"/>
      <c r="AZ338" s="141"/>
      <c r="BA338" s="141"/>
      <c r="BB338" s="141"/>
      <c r="BC338" s="141"/>
      <c r="BD338" s="141"/>
      <c r="BE338" s="141"/>
      <c r="BF338" s="141"/>
      <c r="BG338" s="141"/>
      <c r="BH338" s="141"/>
      <c r="BI338" s="141"/>
      <c r="BJ338" s="141"/>
      <c r="BK338" s="141"/>
      <c r="BL338" s="141"/>
      <c r="BM338" s="141"/>
      <c r="BN338" s="141"/>
      <c r="BO338" s="141"/>
      <c r="BP338" s="141"/>
      <c r="BQ338" s="141"/>
      <c r="BR338" s="141"/>
      <c r="BS338" s="141"/>
      <c r="BT338" s="141"/>
      <c r="BU338" s="141"/>
      <c r="BV338" s="141"/>
      <c r="BW338" s="141"/>
      <c r="BX338" s="141"/>
      <c r="BY338" s="141"/>
      <c r="BZ338" s="141"/>
      <c r="CA338" s="141"/>
      <c r="CB338" s="141"/>
      <c r="CC338" s="141"/>
      <c r="CD338" s="141"/>
      <c r="CE338" s="141"/>
      <c r="CF338" s="141"/>
      <c r="CG338" s="141"/>
      <c r="CH338" s="141"/>
      <c r="CI338" s="141"/>
      <c r="CJ338" s="141"/>
      <c r="CK338" s="141"/>
      <c r="CL338" s="141"/>
      <c r="CM338" s="141"/>
      <c r="CN338" s="141"/>
      <c r="CO338" s="141"/>
      <c r="CP338" s="141"/>
      <c r="CQ338" s="141"/>
      <c r="CR338" s="141"/>
      <c r="CS338" s="141"/>
      <c r="CT338" s="141"/>
      <c r="CU338" s="141"/>
      <c r="CV338" s="141"/>
      <c r="CW338" s="141"/>
      <c r="CX338" s="141"/>
      <c r="CY338" s="141"/>
      <c r="CZ338" s="141"/>
      <c r="DA338" s="173"/>
    </row>
    <row r="339" spans="2:105" x14ac:dyDescent="0.25">
      <c r="B339" s="172"/>
      <c r="C339" s="141"/>
      <c r="D339" s="141"/>
      <c r="E339" s="141"/>
      <c r="F339" s="141"/>
      <c r="G339" s="141"/>
      <c r="H339" s="141"/>
      <c r="I339" s="141"/>
      <c r="J339" s="141"/>
      <c r="K339" s="141"/>
      <c r="L339" s="141"/>
      <c r="M339" s="141"/>
      <c r="N339" s="141"/>
      <c r="O339" s="141"/>
      <c r="P339" s="141"/>
      <c r="Q339" s="141"/>
      <c r="R339" s="141"/>
      <c r="S339" s="141"/>
      <c r="T339" s="141"/>
      <c r="U339" s="141"/>
      <c r="V339" s="141"/>
      <c r="W339" s="141"/>
      <c r="X339" s="141"/>
      <c r="Y339" s="141"/>
      <c r="Z339" s="141"/>
      <c r="AA339" s="141"/>
      <c r="AB339" s="141"/>
      <c r="AC339" s="141"/>
      <c r="AD339" s="141"/>
      <c r="AE339" s="141"/>
      <c r="AF339" s="141"/>
      <c r="AG339" s="141"/>
      <c r="AH339" s="141"/>
      <c r="AI339" s="141"/>
      <c r="AJ339" s="141"/>
      <c r="AK339" s="141"/>
      <c r="AL339" s="141"/>
      <c r="AM339" s="141"/>
      <c r="AN339" s="141"/>
      <c r="AO339" s="141"/>
      <c r="AP339" s="141"/>
      <c r="AQ339" s="141"/>
      <c r="AR339" s="141"/>
      <c r="AS339" s="141"/>
      <c r="AT339" s="141"/>
      <c r="AU339" s="141"/>
      <c r="AV339" s="141"/>
      <c r="AW339" s="141"/>
      <c r="AX339" s="141"/>
      <c r="AY339" s="141"/>
      <c r="AZ339" s="141"/>
      <c r="BA339" s="141"/>
      <c r="BB339" s="141"/>
      <c r="BC339" s="141"/>
      <c r="BD339" s="141"/>
      <c r="BE339" s="141"/>
      <c r="BF339" s="141"/>
      <c r="BG339" s="141"/>
      <c r="BH339" s="141"/>
      <c r="BI339" s="141"/>
      <c r="BJ339" s="141"/>
      <c r="BK339" s="141"/>
      <c r="BL339" s="141"/>
      <c r="BM339" s="141"/>
      <c r="BN339" s="141"/>
      <c r="BO339" s="141"/>
      <c r="BP339" s="141"/>
      <c r="BQ339" s="141"/>
      <c r="BR339" s="141"/>
      <c r="BS339" s="141"/>
      <c r="BT339" s="141"/>
      <c r="BU339" s="141"/>
      <c r="BV339" s="141"/>
      <c r="BW339" s="141"/>
      <c r="BX339" s="141"/>
      <c r="BY339" s="141"/>
      <c r="BZ339" s="141"/>
      <c r="CA339" s="141"/>
      <c r="CB339" s="141"/>
      <c r="CC339" s="141"/>
      <c r="CD339" s="141"/>
      <c r="CE339" s="141"/>
      <c r="CF339" s="141"/>
      <c r="CG339" s="141"/>
      <c r="CH339" s="141"/>
      <c r="CI339" s="141"/>
      <c r="CJ339" s="141"/>
      <c r="CK339" s="141"/>
      <c r="CL339" s="141"/>
      <c r="CM339" s="141"/>
      <c r="CN339" s="141"/>
      <c r="CO339" s="141"/>
      <c r="CP339" s="141"/>
      <c r="CQ339" s="141"/>
      <c r="CR339" s="141"/>
      <c r="CS339" s="141"/>
      <c r="CT339" s="141"/>
      <c r="CU339" s="141"/>
      <c r="CV339" s="141"/>
      <c r="CW339" s="141"/>
      <c r="CX339" s="141"/>
      <c r="CY339" s="141"/>
      <c r="CZ339" s="141"/>
      <c r="DA339" s="173"/>
    </row>
    <row r="340" spans="2:105" x14ac:dyDescent="0.25">
      <c r="B340" s="172"/>
      <c r="C340" s="141"/>
      <c r="D340" s="141"/>
      <c r="E340" s="141"/>
      <c r="F340" s="141"/>
      <c r="G340" s="141"/>
      <c r="H340" s="141"/>
      <c r="I340" s="141"/>
      <c r="J340" s="141"/>
      <c r="K340" s="141"/>
      <c r="L340" s="141"/>
      <c r="M340" s="141"/>
      <c r="N340" s="141"/>
      <c r="O340" s="141"/>
      <c r="P340" s="141"/>
      <c r="Q340" s="141"/>
      <c r="R340" s="141"/>
      <c r="S340" s="141"/>
      <c r="T340" s="141"/>
      <c r="U340" s="141"/>
      <c r="V340" s="141"/>
      <c r="W340" s="141"/>
      <c r="X340" s="141"/>
      <c r="Y340" s="141"/>
      <c r="Z340" s="141"/>
      <c r="AA340" s="141"/>
      <c r="AB340" s="141"/>
      <c r="AC340" s="141"/>
      <c r="AD340" s="141"/>
      <c r="AE340" s="141"/>
      <c r="AF340" s="141"/>
      <c r="AG340" s="141"/>
      <c r="AH340" s="141"/>
      <c r="AI340" s="141"/>
      <c r="AJ340" s="141"/>
      <c r="AK340" s="141"/>
      <c r="AL340" s="141"/>
      <c r="AM340" s="141"/>
      <c r="AN340" s="141"/>
      <c r="AO340" s="141"/>
      <c r="AP340" s="141"/>
      <c r="AQ340" s="141"/>
      <c r="AR340" s="141"/>
      <c r="AS340" s="141"/>
      <c r="AT340" s="141"/>
      <c r="AU340" s="141"/>
      <c r="AV340" s="141"/>
      <c r="AW340" s="141"/>
      <c r="AX340" s="141"/>
      <c r="AY340" s="141"/>
      <c r="AZ340" s="141"/>
      <c r="BA340" s="141"/>
      <c r="BB340" s="141"/>
      <c r="BC340" s="141"/>
      <c r="BD340" s="141"/>
      <c r="BE340" s="141"/>
      <c r="BF340" s="141"/>
      <c r="BG340" s="141"/>
      <c r="BH340" s="141"/>
      <c r="BI340" s="141"/>
      <c r="BJ340" s="141"/>
      <c r="BK340" s="141"/>
      <c r="BL340" s="141"/>
      <c r="BM340" s="141"/>
      <c r="BN340" s="141"/>
      <c r="BO340" s="141"/>
      <c r="BP340" s="141"/>
      <c r="BQ340" s="141"/>
      <c r="BR340" s="141"/>
      <c r="BS340" s="141"/>
      <c r="BT340" s="141"/>
      <c r="BU340" s="141"/>
      <c r="BV340" s="141"/>
      <c r="BW340" s="141"/>
      <c r="BX340" s="141"/>
      <c r="BY340" s="141"/>
      <c r="BZ340" s="141"/>
      <c r="CA340" s="141"/>
      <c r="CB340" s="141"/>
      <c r="CC340" s="141"/>
      <c r="CD340" s="141"/>
      <c r="CE340" s="141"/>
      <c r="CF340" s="141"/>
      <c r="CG340" s="141"/>
      <c r="CH340" s="141"/>
      <c r="CI340" s="141"/>
      <c r="CJ340" s="141"/>
      <c r="CK340" s="141"/>
      <c r="CL340" s="141"/>
      <c r="CM340" s="141"/>
      <c r="CN340" s="141"/>
      <c r="CO340" s="141"/>
      <c r="CP340" s="141"/>
      <c r="CQ340" s="141"/>
      <c r="CR340" s="141"/>
      <c r="CS340" s="141"/>
      <c r="CT340" s="141"/>
      <c r="CU340" s="141"/>
      <c r="CV340" s="141"/>
      <c r="CW340" s="141"/>
      <c r="CX340" s="141"/>
      <c r="CY340" s="141"/>
      <c r="CZ340" s="141"/>
      <c r="DA340" s="173"/>
    </row>
    <row r="341" spans="2:105" x14ac:dyDescent="0.25">
      <c r="B341" s="172"/>
      <c r="C341" s="141"/>
      <c r="D341" s="141"/>
      <c r="E341" s="141"/>
      <c r="F341" s="141"/>
      <c r="G341" s="141"/>
      <c r="H341" s="141"/>
      <c r="I341" s="141"/>
      <c r="J341" s="141"/>
      <c r="K341" s="141"/>
      <c r="L341" s="141"/>
      <c r="M341" s="141"/>
      <c r="N341" s="141"/>
      <c r="O341" s="141"/>
      <c r="P341" s="141"/>
      <c r="Q341" s="141"/>
      <c r="R341" s="141"/>
      <c r="S341" s="141"/>
      <c r="T341" s="141"/>
      <c r="U341" s="141"/>
      <c r="V341" s="141"/>
      <c r="W341" s="141"/>
      <c r="X341" s="141"/>
      <c r="Y341" s="141"/>
      <c r="Z341" s="141"/>
      <c r="AA341" s="141"/>
      <c r="AB341" s="141"/>
      <c r="AC341" s="141"/>
      <c r="AD341" s="141"/>
      <c r="AE341" s="141"/>
      <c r="AF341" s="141"/>
      <c r="AG341" s="141"/>
      <c r="AH341" s="141"/>
      <c r="AI341" s="141"/>
      <c r="AJ341" s="141"/>
      <c r="AK341" s="141"/>
      <c r="AL341" s="141"/>
      <c r="AM341" s="141"/>
      <c r="AN341" s="141"/>
      <c r="AO341" s="141"/>
      <c r="AP341" s="141"/>
      <c r="AQ341" s="141"/>
      <c r="AR341" s="141"/>
      <c r="AS341" s="141"/>
      <c r="AT341" s="141"/>
      <c r="AU341" s="141"/>
      <c r="AV341" s="141"/>
      <c r="AW341" s="141"/>
      <c r="AX341" s="141"/>
      <c r="AY341" s="141"/>
      <c r="AZ341" s="141"/>
      <c r="BA341" s="141"/>
      <c r="BB341" s="141"/>
      <c r="BC341" s="141"/>
      <c r="BD341" s="141"/>
      <c r="BE341" s="141"/>
      <c r="BF341" s="141"/>
      <c r="BG341" s="141"/>
      <c r="BH341" s="141"/>
      <c r="BI341" s="141"/>
      <c r="BJ341" s="141"/>
      <c r="BK341" s="141"/>
      <c r="BL341" s="141"/>
      <c r="BM341" s="141"/>
      <c r="BN341" s="141"/>
      <c r="BO341" s="141"/>
      <c r="BP341" s="141"/>
      <c r="BQ341" s="141"/>
      <c r="BR341" s="141"/>
      <c r="BS341" s="141"/>
      <c r="BT341" s="141"/>
      <c r="BU341" s="141"/>
      <c r="BV341" s="141"/>
      <c r="BW341" s="141"/>
      <c r="BX341" s="141"/>
      <c r="BY341" s="141"/>
      <c r="BZ341" s="141"/>
      <c r="CA341" s="141"/>
      <c r="CB341" s="141"/>
      <c r="CC341" s="141"/>
      <c r="CD341" s="141"/>
      <c r="CE341" s="141"/>
      <c r="CF341" s="141"/>
      <c r="CG341" s="141"/>
      <c r="CH341" s="141"/>
      <c r="CI341" s="141"/>
      <c r="CJ341" s="141"/>
      <c r="CK341" s="141"/>
      <c r="CL341" s="141"/>
      <c r="CM341" s="141"/>
      <c r="CN341" s="141"/>
      <c r="CO341" s="141"/>
      <c r="CP341" s="141"/>
      <c r="CQ341" s="141"/>
      <c r="CR341" s="141"/>
      <c r="CS341" s="141"/>
      <c r="CT341" s="141"/>
      <c r="CU341" s="141"/>
      <c r="CV341" s="141"/>
      <c r="CW341" s="141"/>
      <c r="CX341" s="141"/>
      <c r="CY341" s="141"/>
      <c r="CZ341" s="141"/>
      <c r="DA341" s="173"/>
    </row>
    <row r="342" spans="2:105" x14ac:dyDescent="0.25">
      <c r="B342" s="172"/>
      <c r="C342" s="141"/>
      <c r="D342" s="141"/>
      <c r="E342" s="141"/>
      <c r="F342" s="141"/>
      <c r="G342" s="141"/>
      <c r="H342" s="141"/>
      <c r="I342" s="141"/>
      <c r="J342" s="141"/>
      <c r="K342" s="141"/>
      <c r="L342" s="141"/>
      <c r="M342" s="141"/>
      <c r="N342" s="141"/>
      <c r="O342" s="141"/>
      <c r="P342" s="141"/>
      <c r="Q342" s="141"/>
      <c r="R342" s="141"/>
      <c r="S342" s="141"/>
      <c r="T342" s="141"/>
      <c r="U342" s="141"/>
      <c r="V342" s="141"/>
      <c r="W342" s="141"/>
      <c r="X342" s="141"/>
      <c r="Y342" s="141"/>
      <c r="Z342" s="141"/>
      <c r="AA342" s="141"/>
      <c r="AB342" s="141"/>
      <c r="AC342" s="141"/>
      <c r="AD342" s="141"/>
      <c r="AE342" s="141"/>
      <c r="AF342" s="141"/>
      <c r="AG342" s="141"/>
      <c r="AH342" s="141"/>
      <c r="AI342" s="141"/>
      <c r="AJ342" s="141"/>
      <c r="AK342" s="141"/>
      <c r="AL342" s="141"/>
      <c r="AM342" s="141"/>
      <c r="AN342" s="141"/>
      <c r="AO342" s="141"/>
      <c r="AP342" s="141"/>
      <c r="AQ342" s="141"/>
      <c r="AR342" s="141"/>
      <c r="AS342" s="141"/>
      <c r="AT342" s="141"/>
      <c r="AU342" s="141"/>
      <c r="AV342" s="141"/>
      <c r="AW342" s="141"/>
      <c r="AX342" s="141"/>
      <c r="AY342" s="141"/>
      <c r="AZ342" s="141"/>
      <c r="BA342" s="141"/>
      <c r="BB342" s="141"/>
      <c r="BC342" s="141"/>
      <c r="BD342" s="141"/>
      <c r="BE342" s="141"/>
      <c r="BF342" s="141"/>
      <c r="BG342" s="141"/>
      <c r="BH342" s="141"/>
      <c r="BI342" s="141"/>
      <c r="BJ342" s="141"/>
      <c r="BK342" s="141"/>
      <c r="BL342" s="141"/>
      <c r="BM342" s="141"/>
      <c r="BN342" s="141"/>
      <c r="BO342" s="141"/>
      <c r="BP342" s="141"/>
      <c r="BQ342" s="141"/>
      <c r="BR342" s="141"/>
      <c r="BS342" s="141"/>
      <c r="BT342" s="141"/>
      <c r="BU342" s="141"/>
      <c r="BV342" s="141"/>
      <c r="BW342" s="141"/>
      <c r="BX342" s="141"/>
      <c r="BY342" s="141"/>
      <c r="BZ342" s="141"/>
      <c r="CA342" s="141"/>
      <c r="CB342" s="141"/>
      <c r="CC342" s="141"/>
      <c r="CD342" s="141"/>
      <c r="CE342" s="141"/>
      <c r="CF342" s="141"/>
      <c r="CG342" s="141"/>
      <c r="CH342" s="141"/>
      <c r="CI342" s="141"/>
      <c r="CJ342" s="141"/>
      <c r="CK342" s="141"/>
      <c r="CL342" s="141"/>
      <c r="CM342" s="141"/>
      <c r="CN342" s="141"/>
      <c r="CO342" s="141"/>
      <c r="CP342" s="141"/>
      <c r="CQ342" s="141"/>
      <c r="CR342" s="141"/>
      <c r="CS342" s="141"/>
      <c r="CT342" s="141"/>
      <c r="CU342" s="141"/>
      <c r="CV342" s="141"/>
      <c r="CW342" s="141"/>
      <c r="CX342" s="141"/>
      <c r="CY342" s="141"/>
      <c r="CZ342" s="141"/>
      <c r="DA342" s="173"/>
    </row>
    <row r="343" spans="2:105" x14ac:dyDescent="0.25">
      <c r="B343" s="172"/>
      <c r="C343" s="141"/>
      <c r="D343" s="141"/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1"/>
      <c r="S343" s="141"/>
      <c r="T343" s="141"/>
      <c r="U343" s="141"/>
      <c r="V343" s="141"/>
      <c r="W343" s="141"/>
      <c r="X343" s="141"/>
      <c r="Y343" s="141"/>
      <c r="Z343" s="141"/>
      <c r="AA343" s="141"/>
      <c r="AB343" s="141"/>
      <c r="AC343" s="141"/>
      <c r="AD343" s="141"/>
      <c r="AE343" s="141"/>
      <c r="AF343" s="141"/>
      <c r="AG343" s="141"/>
      <c r="AH343" s="141"/>
      <c r="AI343" s="141"/>
      <c r="AJ343" s="141"/>
      <c r="AK343" s="141"/>
      <c r="AL343" s="141"/>
      <c r="AM343" s="141"/>
      <c r="AN343" s="141"/>
      <c r="AO343" s="141"/>
      <c r="AP343" s="141"/>
      <c r="AQ343" s="141"/>
      <c r="AR343" s="141"/>
      <c r="AS343" s="141"/>
      <c r="AT343" s="141"/>
      <c r="AU343" s="141"/>
      <c r="AV343" s="141"/>
      <c r="AW343" s="141"/>
      <c r="AX343" s="141"/>
      <c r="AY343" s="141"/>
      <c r="AZ343" s="141"/>
      <c r="BA343" s="141"/>
      <c r="BB343" s="141"/>
      <c r="BC343" s="141"/>
      <c r="BD343" s="141"/>
      <c r="BE343" s="141"/>
      <c r="BF343" s="141"/>
      <c r="BG343" s="141"/>
      <c r="BH343" s="141"/>
      <c r="BI343" s="141"/>
      <c r="BJ343" s="141"/>
      <c r="BK343" s="141"/>
      <c r="BL343" s="141"/>
      <c r="BM343" s="141"/>
      <c r="BN343" s="141"/>
      <c r="BO343" s="141"/>
      <c r="BP343" s="141"/>
      <c r="BQ343" s="141"/>
      <c r="BR343" s="141"/>
      <c r="BS343" s="141"/>
      <c r="BT343" s="141"/>
      <c r="BU343" s="141"/>
      <c r="BV343" s="141"/>
      <c r="BW343" s="141"/>
      <c r="BX343" s="141"/>
      <c r="BY343" s="141"/>
      <c r="BZ343" s="141"/>
      <c r="CA343" s="141"/>
      <c r="CB343" s="141"/>
      <c r="CC343" s="141"/>
      <c r="CD343" s="141"/>
      <c r="CE343" s="141"/>
      <c r="CF343" s="141"/>
      <c r="CG343" s="141"/>
      <c r="CH343" s="141"/>
      <c r="CI343" s="141"/>
      <c r="CJ343" s="141"/>
      <c r="CK343" s="141"/>
      <c r="CL343" s="141"/>
      <c r="CM343" s="141"/>
      <c r="CN343" s="141"/>
      <c r="CO343" s="141"/>
      <c r="CP343" s="141"/>
      <c r="CQ343" s="141"/>
      <c r="CR343" s="141"/>
      <c r="CS343" s="141"/>
      <c r="CT343" s="141"/>
      <c r="CU343" s="141"/>
      <c r="CV343" s="141"/>
      <c r="CW343" s="141"/>
      <c r="CX343" s="141"/>
      <c r="CY343" s="141"/>
      <c r="CZ343" s="141"/>
      <c r="DA343" s="173"/>
    </row>
    <row r="344" spans="2:105" x14ac:dyDescent="0.25">
      <c r="B344" s="172"/>
      <c r="C344" s="141"/>
      <c r="D344" s="141"/>
      <c r="E344" s="141"/>
      <c r="F344" s="141"/>
      <c r="G344" s="141"/>
      <c r="H344" s="141"/>
      <c r="I344" s="141"/>
      <c r="J344" s="141"/>
      <c r="K344" s="141"/>
      <c r="L344" s="141"/>
      <c r="M344" s="141"/>
      <c r="N344" s="141"/>
      <c r="O344" s="141"/>
      <c r="P344" s="141"/>
      <c r="Q344" s="141"/>
      <c r="R344" s="141"/>
      <c r="S344" s="141"/>
      <c r="T344" s="141"/>
      <c r="U344" s="141"/>
      <c r="V344" s="141"/>
      <c r="W344" s="141"/>
      <c r="X344" s="141"/>
      <c r="Y344" s="141"/>
      <c r="Z344" s="141"/>
      <c r="AA344" s="141"/>
      <c r="AB344" s="141"/>
      <c r="AC344" s="141"/>
      <c r="AD344" s="141"/>
      <c r="AE344" s="141"/>
      <c r="AF344" s="141"/>
      <c r="AG344" s="141"/>
      <c r="AH344" s="141"/>
      <c r="AI344" s="141"/>
      <c r="AJ344" s="141"/>
      <c r="AK344" s="141"/>
      <c r="AL344" s="141"/>
      <c r="AM344" s="141"/>
      <c r="AN344" s="141"/>
      <c r="AO344" s="141"/>
      <c r="AP344" s="141"/>
      <c r="AQ344" s="141"/>
      <c r="AR344" s="141"/>
      <c r="AS344" s="141"/>
      <c r="AT344" s="141"/>
      <c r="AU344" s="141"/>
      <c r="AV344" s="141"/>
      <c r="AW344" s="141"/>
      <c r="AX344" s="141"/>
      <c r="AY344" s="141"/>
      <c r="AZ344" s="141"/>
      <c r="BA344" s="141"/>
      <c r="BB344" s="141"/>
      <c r="BC344" s="141"/>
      <c r="BD344" s="141"/>
      <c r="BE344" s="141"/>
      <c r="BF344" s="141"/>
      <c r="BG344" s="141"/>
      <c r="BH344" s="141"/>
      <c r="BI344" s="141"/>
      <c r="BJ344" s="141"/>
      <c r="BK344" s="141"/>
      <c r="BL344" s="141"/>
      <c r="BM344" s="141"/>
      <c r="BN344" s="141"/>
      <c r="BO344" s="141"/>
      <c r="BP344" s="141"/>
      <c r="BQ344" s="141"/>
      <c r="BR344" s="141"/>
      <c r="BS344" s="141"/>
      <c r="BT344" s="141"/>
      <c r="BU344" s="141"/>
      <c r="BV344" s="141"/>
      <c r="BW344" s="141"/>
      <c r="BX344" s="141"/>
      <c r="BY344" s="141"/>
      <c r="BZ344" s="141"/>
      <c r="CA344" s="141"/>
      <c r="CB344" s="141"/>
      <c r="CC344" s="141"/>
      <c r="CD344" s="141"/>
      <c r="CE344" s="141"/>
      <c r="CF344" s="141"/>
      <c r="CG344" s="141"/>
      <c r="CH344" s="141"/>
      <c r="CI344" s="141"/>
      <c r="CJ344" s="141"/>
      <c r="CK344" s="141"/>
      <c r="CL344" s="141"/>
      <c r="CM344" s="141"/>
      <c r="CN344" s="141"/>
      <c r="CO344" s="141"/>
      <c r="CP344" s="141"/>
      <c r="CQ344" s="141"/>
      <c r="CR344" s="141"/>
      <c r="CS344" s="141"/>
      <c r="CT344" s="141"/>
      <c r="CU344" s="141"/>
      <c r="CV344" s="141"/>
      <c r="CW344" s="141"/>
      <c r="CX344" s="141"/>
      <c r="CY344" s="141"/>
      <c r="CZ344" s="141"/>
      <c r="DA344" s="173"/>
    </row>
    <row r="345" spans="2:105" x14ac:dyDescent="0.25">
      <c r="B345" s="172"/>
      <c r="C345" s="141"/>
      <c r="D345" s="141"/>
      <c r="E345" s="141"/>
      <c r="F345" s="141"/>
      <c r="G345" s="141"/>
      <c r="H345" s="141"/>
      <c r="I345" s="141"/>
      <c r="J345" s="141"/>
      <c r="K345" s="141"/>
      <c r="L345" s="141"/>
      <c r="M345" s="141"/>
      <c r="N345" s="141"/>
      <c r="O345" s="141"/>
      <c r="P345" s="141"/>
      <c r="Q345" s="141"/>
      <c r="R345" s="141"/>
      <c r="S345" s="141"/>
      <c r="T345" s="141"/>
      <c r="U345" s="141"/>
      <c r="V345" s="141"/>
      <c r="W345" s="141"/>
      <c r="X345" s="141"/>
      <c r="Y345" s="141"/>
      <c r="Z345" s="141"/>
      <c r="AA345" s="141"/>
      <c r="AB345" s="141"/>
      <c r="AC345" s="141"/>
      <c r="AD345" s="141"/>
      <c r="AE345" s="141"/>
      <c r="AF345" s="141"/>
      <c r="AG345" s="141"/>
      <c r="AH345" s="141"/>
      <c r="AI345" s="141"/>
      <c r="AJ345" s="141"/>
      <c r="AK345" s="141"/>
      <c r="AL345" s="141"/>
      <c r="AM345" s="141"/>
      <c r="AN345" s="141"/>
      <c r="AO345" s="141"/>
      <c r="AP345" s="141"/>
      <c r="AQ345" s="141"/>
      <c r="AR345" s="141"/>
      <c r="AS345" s="141"/>
      <c r="AT345" s="141"/>
      <c r="AU345" s="141"/>
      <c r="AV345" s="141"/>
      <c r="AW345" s="141"/>
      <c r="AX345" s="141"/>
      <c r="AY345" s="141"/>
      <c r="AZ345" s="141"/>
      <c r="BA345" s="141"/>
      <c r="BB345" s="141"/>
      <c r="BC345" s="141"/>
      <c r="BD345" s="141"/>
      <c r="BE345" s="141"/>
      <c r="BF345" s="141"/>
      <c r="BG345" s="141"/>
      <c r="BH345" s="141"/>
      <c r="BI345" s="141"/>
      <c r="BJ345" s="141"/>
      <c r="BK345" s="141"/>
      <c r="BL345" s="141"/>
      <c r="BM345" s="141"/>
      <c r="BN345" s="141"/>
      <c r="BO345" s="141"/>
      <c r="BP345" s="141"/>
      <c r="BQ345" s="141"/>
      <c r="BR345" s="141"/>
      <c r="BS345" s="141"/>
      <c r="BT345" s="141"/>
      <c r="BU345" s="141"/>
      <c r="BV345" s="141"/>
      <c r="BW345" s="141"/>
      <c r="BX345" s="141"/>
      <c r="BY345" s="141"/>
      <c r="BZ345" s="141"/>
      <c r="CA345" s="141"/>
      <c r="CB345" s="141"/>
      <c r="CC345" s="141"/>
      <c r="CD345" s="141"/>
      <c r="CE345" s="141"/>
      <c r="CF345" s="141"/>
      <c r="CG345" s="141"/>
      <c r="CH345" s="141"/>
      <c r="CI345" s="141"/>
      <c r="CJ345" s="141"/>
      <c r="CK345" s="141"/>
      <c r="CL345" s="141"/>
      <c r="CM345" s="141"/>
      <c r="CN345" s="141"/>
      <c r="CO345" s="141"/>
      <c r="CP345" s="141"/>
      <c r="CQ345" s="141"/>
      <c r="CR345" s="141"/>
      <c r="CS345" s="141"/>
      <c r="CT345" s="141"/>
      <c r="CU345" s="141"/>
      <c r="CV345" s="141"/>
      <c r="CW345" s="141"/>
      <c r="CX345" s="141"/>
      <c r="CY345" s="141"/>
      <c r="CZ345" s="141"/>
      <c r="DA345" s="173"/>
    </row>
    <row r="346" spans="2:105" x14ac:dyDescent="0.25">
      <c r="B346" s="172"/>
      <c r="C346" s="141"/>
      <c r="D346" s="141"/>
      <c r="E346" s="141"/>
      <c r="F346" s="141"/>
      <c r="G346" s="141"/>
      <c r="H346" s="141"/>
      <c r="I346" s="141"/>
      <c r="J346" s="141"/>
      <c r="K346" s="141"/>
      <c r="L346" s="141"/>
      <c r="M346" s="141"/>
      <c r="N346" s="141"/>
      <c r="O346" s="141"/>
      <c r="P346" s="141"/>
      <c r="Q346" s="141"/>
      <c r="R346" s="141"/>
      <c r="S346" s="141"/>
      <c r="T346" s="141"/>
      <c r="U346" s="141"/>
      <c r="V346" s="141"/>
      <c r="W346" s="141"/>
      <c r="X346" s="141"/>
      <c r="Y346" s="141"/>
      <c r="Z346" s="141"/>
      <c r="AA346" s="141"/>
      <c r="AB346" s="141"/>
      <c r="AC346" s="141"/>
      <c r="AD346" s="141"/>
      <c r="AE346" s="141"/>
      <c r="AF346" s="141"/>
      <c r="AG346" s="141"/>
      <c r="AH346" s="141"/>
      <c r="AI346" s="141"/>
      <c r="AJ346" s="141"/>
      <c r="AK346" s="141"/>
      <c r="AL346" s="141"/>
      <c r="AM346" s="141"/>
      <c r="AN346" s="141"/>
      <c r="AO346" s="141"/>
      <c r="AP346" s="141"/>
      <c r="AQ346" s="141"/>
      <c r="AR346" s="141"/>
      <c r="AS346" s="141"/>
      <c r="AT346" s="141"/>
      <c r="AU346" s="141"/>
      <c r="AV346" s="141"/>
      <c r="AW346" s="141"/>
      <c r="AX346" s="141"/>
      <c r="AY346" s="141"/>
      <c r="AZ346" s="141"/>
      <c r="BA346" s="141"/>
      <c r="BB346" s="141"/>
      <c r="BC346" s="141"/>
      <c r="BD346" s="141"/>
      <c r="BE346" s="141"/>
      <c r="BF346" s="141"/>
      <c r="BG346" s="141"/>
      <c r="BH346" s="141"/>
      <c r="BI346" s="141"/>
      <c r="BJ346" s="141"/>
      <c r="BK346" s="141"/>
      <c r="BL346" s="141"/>
      <c r="BM346" s="141"/>
      <c r="BN346" s="141"/>
      <c r="BO346" s="141"/>
      <c r="BP346" s="141"/>
      <c r="BQ346" s="141"/>
      <c r="BR346" s="141"/>
      <c r="BS346" s="141"/>
      <c r="BT346" s="141"/>
      <c r="BU346" s="141"/>
      <c r="BV346" s="141"/>
      <c r="BW346" s="141"/>
      <c r="BX346" s="141"/>
      <c r="BY346" s="141"/>
      <c r="BZ346" s="141"/>
      <c r="CA346" s="141"/>
      <c r="CB346" s="141"/>
      <c r="CC346" s="141"/>
      <c r="CD346" s="141"/>
      <c r="CE346" s="141"/>
      <c r="CF346" s="141"/>
      <c r="CG346" s="141"/>
      <c r="CH346" s="141"/>
      <c r="CI346" s="141"/>
      <c r="CJ346" s="141"/>
      <c r="CK346" s="141"/>
      <c r="CL346" s="141"/>
      <c r="CM346" s="141"/>
      <c r="CN346" s="141"/>
      <c r="CO346" s="141"/>
      <c r="CP346" s="141"/>
      <c r="CQ346" s="141"/>
      <c r="CR346" s="141"/>
      <c r="CS346" s="141"/>
      <c r="CT346" s="141"/>
      <c r="CU346" s="141"/>
      <c r="CV346" s="141"/>
      <c r="CW346" s="141"/>
      <c r="CX346" s="141"/>
      <c r="CY346" s="141"/>
      <c r="CZ346" s="141"/>
      <c r="DA346" s="173"/>
    </row>
    <row r="347" spans="2:105" x14ac:dyDescent="0.25">
      <c r="B347" s="172"/>
      <c r="C347" s="141"/>
      <c r="D347" s="141"/>
      <c r="E347" s="141"/>
      <c r="F347" s="141"/>
      <c r="G347" s="141"/>
      <c r="H347" s="141"/>
      <c r="I347" s="141"/>
      <c r="J347" s="141"/>
      <c r="K347" s="141"/>
      <c r="L347" s="141"/>
      <c r="M347" s="141"/>
      <c r="N347" s="141"/>
      <c r="O347" s="141"/>
      <c r="P347" s="141"/>
      <c r="Q347" s="141"/>
      <c r="R347" s="141"/>
      <c r="S347" s="141"/>
      <c r="T347" s="141"/>
      <c r="U347" s="141"/>
      <c r="V347" s="141"/>
      <c r="W347" s="141"/>
      <c r="X347" s="141"/>
      <c r="Y347" s="141"/>
      <c r="Z347" s="141"/>
      <c r="AA347" s="141"/>
      <c r="AB347" s="141"/>
      <c r="AC347" s="141"/>
      <c r="AD347" s="141"/>
      <c r="AE347" s="141"/>
      <c r="AF347" s="141"/>
      <c r="AG347" s="141"/>
      <c r="AH347" s="141"/>
      <c r="AI347" s="141"/>
      <c r="AJ347" s="141"/>
      <c r="AK347" s="141"/>
      <c r="AL347" s="141"/>
      <c r="AM347" s="141"/>
      <c r="AN347" s="141"/>
      <c r="AO347" s="141"/>
      <c r="AP347" s="141"/>
      <c r="AQ347" s="141"/>
      <c r="AR347" s="141"/>
      <c r="AS347" s="141"/>
      <c r="AT347" s="141"/>
      <c r="AU347" s="141"/>
      <c r="AV347" s="141"/>
      <c r="AW347" s="141"/>
      <c r="AX347" s="141"/>
      <c r="AY347" s="141"/>
      <c r="AZ347" s="141"/>
      <c r="BA347" s="141"/>
      <c r="BB347" s="141"/>
      <c r="BC347" s="141"/>
      <c r="BD347" s="141"/>
      <c r="BE347" s="141"/>
      <c r="BF347" s="141"/>
      <c r="BG347" s="141"/>
      <c r="BH347" s="141"/>
      <c r="BI347" s="141"/>
      <c r="BJ347" s="141"/>
      <c r="BK347" s="141"/>
      <c r="BL347" s="141"/>
      <c r="BM347" s="141"/>
      <c r="BN347" s="141"/>
      <c r="BO347" s="141"/>
      <c r="BP347" s="141"/>
      <c r="BQ347" s="141"/>
      <c r="BR347" s="141"/>
      <c r="BS347" s="141"/>
      <c r="BT347" s="141"/>
      <c r="BU347" s="141"/>
      <c r="BV347" s="141"/>
      <c r="BW347" s="141"/>
      <c r="BX347" s="141"/>
      <c r="BY347" s="141"/>
      <c r="BZ347" s="141"/>
      <c r="CA347" s="141"/>
      <c r="CB347" s="141"/>
      <c r="CC347" s="141"/>
      <c r="CD347" s="141"/>
      <c r="CE347" s="141"/>
      <c r="CF347" s="141"/>
      <c r="CG347" s="141"/>
      <c r="CH347" s="141"/>
      <c r="CI347" s="141"/>
      <c r="CJ347" s="141"/>
      <c r="CK347" s="141"/>
      <c r="CL347" s="141"/>
      <c r="CM347" s="141"/>
      <c r="CN347" s="141"/>
      <c r="CO347" s="141"/>
      <c r="CP347" s="141"/>
      <c r="CQ347" s="141"/>
      <c r="CR347" s="141"/>
      <c r="CS347" s="141"/>
      <c r="CT347" s="141"/>
      <c r="CU347" s="141"/>
      <c r="CV347" s="141"/>
      <c r="CW347" s="141"/>
      <c r="CX347" s="141"/>
      <c r="CY347" s="141"/>
      <c r="CZ347" s="141"/>
      <c r="DA347" s="173"/>
    </row>
    <row r="348" spans="2:105" x14ac:dyDescent="0.25">
      <c r="B348" s="172"/>
      <c r="C348" s="141"/>
      <c r="D348" s="141"/>
      <c r="E348" s="141"/>
      <c r="F348" s="141"/>
      <c r="G348" s="141"/>
      <c r="H348" s="141"/>
      <c r="I348" s="141"/>
      <c r="J348" s="141"/>
      <c r="K348" s="141"/>
      <c r="L348" s="141"/>
      <c r="M348" s="141"/>
      <c r="N348" s="141"/>
      <c r="O348" s="141"/>
      <c r="P348" s="141"/>
      <c r="Q348" s="141"/>
      <c r="R348" s="141"/>
      <c r="S348" s="141"/>
      <c r="T348" s="141"/>
      <c r="U348" s="141"/>
      <c r="V348" s="141"/>
      <c r="W348" s="141"/>
      <c r="X348" s="141"/>
      <c r="Y348" s="141"/>
      <c r="Z348" s="141"/>
      <c r="AA348" s="141"/>
      <c r="AB348" s="141"/>
      <c r="AC348" s="141"/>
      <c r="AD348" s="141"/>
      <c r="AE348" s="141"/>
      <c r="AF348" s="141"/>
      <c r="AG348" s="141"/>
      <c r="AH348" s="141"/>
      <c r="AI348" s="141"/>
      <c r="AJ348" s="141"/>
      <c r="AK348" s="141"/>
      <c r="AL348" s="141"/>
      <c r="AM348" s="141"/>
      <c r="AN348" s="141"/>
      <c r="AO348" s="141"/>
      <c r="AP348" s="141"/>
      <c r="AQ348" s="141"/>
      <c r="AR348" s="141"/>
      <c r="AS348" s="141"/>
      <c r="AT348" s="141"/>
      <c r="AU348" s="141"/>
      <c r="AV348" s="141"/>
      <c r="AW348" s="141"/>
      <c r="AX348" s="141"/>
      <c r="AY348" s="141"/>
      <c r="AZ348" s="141"/>
      <c r="BA348" s="141"/>
      <c r="BB348" s="141"/>
      <c r="BC348" s="141"/>
      <c r="BD348" s="141"/>
      <c r="BE348" s="141"/>
      <c r="BF348" s="141"/>
      <c r="BG348" s="141"/>
      <c r="BH348" s="141"/>
      <c r="BI348" s="141"/>
      <c r="BJ348" s="141"/>
      <c r="BK348" s="141"/>
      <c r="BL348" s="141"/>
      <c r="BM348" s="141"/>
      <c r="BN348" s="141"/>
      <c r="BO348" s="141"/>
      <c r="BP348" s="141"/>
      <c r="BQ348" s="141"/>
      <c r="BR348" s="141"/>
      <c r="BS348" s="141"/>
      <c r="BT348" s="141"/>
      <c r="BU348" s="141"/>
      <c r="BV348" s="141"/>
      <c r="BW348" s="141"/>
      <c r="BX348" s="141"/>
      <c r="BY348" s="141"/>
      <c r="BZ348" s="141"/>
      <c r="CA348" s="141"/>
      <c r="CB348" s="141"/>
      <c r="CC348" s="141"/>
      <c r="CD348" s="141"/>
      <c r="CE348" s="141"/>
      <c r="CF348" s="141"/>
      <c r="CG348" s="141"/>
      <c r="CH348" s="141"/>
      <c r="CI348" s="141"/>
      <c r="CJ348" s="141"/>
      <c r="CK348" s="141"/>
      <c r="CL348" s="141"/>
      <c r="CM348" s="141"/>
      <c r="CN348" s="141"/>
      <c r="CO348" s="141"/>
      <c r="CP348" s="141"/>
      <c r="CQ348" s="141"/>
      <c r="CR348" s="141"/>
      <c r="CS348" s="141"/>
      <c r="CT348" s="141"/>
      <c r="CU348" s="141"/>
      <c r="CV348" s="141"/>
      <c r="CW348" s="141"/>
      <c r="CX348" s="141"/>
      <c r="CY348" s="141"/>
      <c r="CZ348" s="141"/>
      <c r="DA348" s="173"/>
    </row>
    <row r="349" spans="2:105" x14ac:dyDescent="0.25">
      <c r="B349" s="172"/>
      <c r="C349" s="141"/>
      <c r="D349" s="141"/>
      <c r="E349" s="141"/>
      <c r="F349" s="141"/>
      <c r="G349" s="141"/>
      <c r="H349" s="141"/>
      <c r="I349" s="141"/>
      <c r="J349" s="141"/>
      <c r="K349" s="141"/>
      <c r="L349" s="141"/>
      <c r="M349" s="141"/>
      <c r="N349" s="141"/>
      <c r="O349" s="141"/>
      <c r="P349" s="141"/>
      <c r="Q349" s="141"/>
      <c r="R349" s="141"/>
      <c r="S349" s="141"/>
      <c r="T349" s="141"/>
      <c r="U349" s="141"/>
      <c r="V349" s="141"/>
      <c r="W349" s="141"/>
      <c r="X349" s="141"/>
      <c r="Y349" s="141"/>
      <c r="Z349" s="141"/>
      <c r="AA349" s="141"/>
      <c r="AB349" s="141"/>
      <c r="AC349" s="141"/>
      <c r="AD349" s="141"/>
      <c r="AE349" s="141"/>
      <c r="AF349" s="141"/>
      <c r="AG349" s="141"/>
      <c r="AH349" s="141"/>
      <c r="AI349" s="141"/>
      <c r="AJ349" s="141"/>
      <c r="AK349" s="141"/>
      <c r="AL349" s="141"/>
      <c r="AM349" s="141"/>
      <c r="AN349" s="141"/>
      <c r="AO349" s="141"/>
      <c r="AP349" s="141"/>
      <c r="AQ349" s="141"/>
      <c r="AR349" s="141"/>
      <c r="AS349" s="141"/>
      <c r="AT349" s="141"/>
      <c r="AU349" s="141"/>
      <c r="AV349" s="141"/>
      <c r="AW349" s="141"/>
      <c r="AX349" s="141"/>
      <c r="AY349" s="141"/>
      <c r="AZ349" s="141"/>
      <c r="BA349" s="141"/>
      <c r="BB349" s="141"/>
      <c r="BC349" s="141"/>
      <c r="BD349" s="141"/>
      <c r="BE349" s="141"/>
      <c r="BF349" s="141"/>
      <c r="BG349" s="141"/>
      <c r="BH349" s="141"/>
      <c r="BI349" s="141"/>
      <c r="BJ349" s="141"/>
      <c r="BK349" s="141"/>
      <c r="BL349" s="141"/>
      <c r="BM349" s="141"/>
      <c r="BN349" s="141"/>
      <c r="BO349" s="141"/>
      <c r="BP349" s="141"/>
      <c r="BQ349" s="141"/>
      <c r="BR349" s="141"/>
      <c r="BS349" s="141"/>
      <c r="BT349" s="141"/>
      <c r="BU349" s="141"/>
      <c r="BV349" s="141"/>
      <c r="BW349" s="141"/>
      <c r="BX349" s="141"/>
      <c r="BY349" s="141"/>
      <c r="BZ349" s="141"/>
      <c r="CA349" s="141"/>
      <c r="CB349" s="141"/>
      <c r="CC349" s="141"/>
      <c r="CD349" s="141"/>
      <c r="CE349" s="141"/>
      <c r="CF349" s="141"/>
      <c r="CG349" s="141"/>
      <c r="CH349" s="141"/>
      <c r="CI349" s="141"/>
      <c r="CJ349" s="141"/>
      <c r="CK349" s="141"/>
      <c r="CL349" s="141"/>
      <c r="CM349" s="141"/>
      <c r="CN349" s="141"/>
      <c r="CO349" s="141"/>
      <c r="CP349" s="141"/>
      <c r="CQ349" s="141"/>
      <c r="CR349" s="141"/>
      <c r="CS349" s="141"/>
      <c r="CT349" s="141"/>
      <c r="CU349" s="141"/>
      <c r="CV349" s="141"/>
      <c r="CW349" s="141"/>
      <c r="CX349" s="141"/>
      <c r="CY349" s="141"/>
      <c r="CZ349" s="141"/>
      <c r="DA349" s="173"/>
    </row>
    <row r="350" spans="2:105" x14ac:dyDescent="0.25">
      <c r="B350" s="172"/>
      <c r="C350" s="141"/>
      <c r="D350" s="141"/>
      <c r="E350" s="141"/>
      <c r="F350" s="141"/>
      <c r="G350" s="141"/>
      <c r="H350" s="141"/>
      <c r="I350" s="141"/>
      <c r="J350" s="141"/>
      <c r="K350" s="141"/>
      <c r="L350" s="141"/>
      <c r="M350" s="141"/>
      <c r="N350" s="141"/>
      <c r="O350" s="141"/>
      <c r="P350" s="141"/>
      <c r="Q350" s="141"/>
      <c r="R350" s="141"/>
      <c r="S350" s="141"/>
      <c r="T350" s="141"/>
      <c r="U350" s="141"/>
      <c r="V350" s="141"/>
      <c r="W350" s="141"/>
      <c r="X350" s="141"/>
      <c r="Y350" s="141"/>
      <c r="Z350" s="141"/>
      <c r="AA350" s="141"/>
      <c r="AB350" s="141"/>
      <c r="AC350" s="141"/>
      <c r="AD350" s="141"/>
      <c r="AE350" s="141"/>
      <c r="AF350" s="141"/>
      <c r="AG350" s="141"/>
      <c r="AH350" s="141"/>
      <c r="AI350" s="141"/>
      <c r="AJ350" s="141"/>
      <c r="AK350" s="141"/>
      <c r="AL350" s="141"/>
      <c r="AM350" s="141"/>
      <c r="AN350" s="141"/>
      <c r="AO350" s="141"/>
      <c r="AP350" s="141"/>
      <c r="AQ350" s="141"/>
      <c r="AR350" s="141"/>
      <c r="AS350" s="141"/>
      <c r="AT350" s="141"/>
      <c r="AU350" s="141"/>
      <c r="AV350" s="141"/>
      <c r="AW350" s="141"/>
      <c r="AX350" s="141"/>
      <c r="AY350" s="141"/>
      <c r="AZ350" s="141"/>
      <c r="BA350" s="141"/>
      <c r="BB350" s="141"/>
      <c r="BC350" s="141"/>
      <c r="BD350" s="141"/>
      <c r="BE350" s="141"/>
      <c r="BF350" s="141"/>
      <c r="BG350" s="141"/>
      <c r="BH350" s="141"/>
      <c r="BI350" s="141"/>
      <c r="BJ350" s="141"/>
      <c r="BK350" s="141"/>
      <c r="BL350" s="141"/>
      <c r="BM350" s="141"/>
      <c r="BN350" s="141"/>
      <c r="BO350" s="141"/>
      <c r="BP350" s="141"/>
      <c r="BQ350" s="141"/>
      <c r="BR350" s="141"/>
      <c r="BS350" s="141"/>
      <c r="BT350" s="141"/>
      <c r="BU350" s="141"/>
      <c r="BV350" s="141"/>
      <c r="BW350" s="141"/>
      <c r="BX350" s="141"/>
      <c r="BY350" s="141"/>
      <c r="BZ350" s="141"/>
      <c r="CA350" s="141"/>
      <c r="CB350" s="141"/>
      <c r="CC350" s="141"/>
      <c r="CD350" s="141"/>
      <c r="CE350" s="141"/>
      <c r="CF350" s="141"/>
      <c r="CG350" s="141"/>
      <c r="CH350" s="141"/>
      <c r="CI350" s="141"/>
      <c r="CJ350" s="141"/>
      <c r="CK350" s="141"/>
      <c r="CL350" s="141"/>
      <c r="CM350" s="141"/>
      <c r="CN350" s="141"/>
      <c r="CO350" s="141"/>
      <c r="CP350" s="141"/>
      <c r="CQ350" s="141"/>
      <c r="CR350" s="141"/>
      <c r="CS350" s="141"/>
      <c r="CT350" s="141"/>
      <c r="CU350" s="141"/>
      <c r="CV350" s="141"/>
      <c r="CW350" s="141"/>
      <c r="CX350" s="141"/>
      <c r="CY350" s="141"/>
      <c r="CZ350" s="141"/>
      <c r="DA350" s="173"/>
    </row>
    <row r="351" spans="2:105" x14ac:dyDescent="0.25">
      <c r="B351" s="172"/>
      <c r="C351" s="141"/>
      <c r="D351" s="141"/>
      <c r="E351" s="141"/>
      <c r="F351" s="141"/>
      <c r="G351" s="141"/>
      <c r="H351" s="141"/>
      <c r="I351" s="141"/>
      <c r="J351" s="141"/>
      <c r="K351" s="141"/>
      <c r="L351" s="141"/>
      <c r="M351" s="141"/>
      <c r="N351" s="141"/>
      <c r="O351" s="141"/>
      <c r="P351" s="141"/>
      <c r="Q351" s="141"/>
      <c r="R351" s="141"/>
      <c r="S351" s="141"/>
      <c r="T351" s="141"/>
      <c r="U351" s="141"/>
      <c r="V351" s="141"/>
      <c r="W351" s="141"/>
      <c r="X351" s="141"/>
      <c r="Y351" s="141"/>
      <c r="Z351" s="141"/>
      <c r="AA351" s="141"/>
      <c r="AB351" s="141"/>
      <c r="AC351" s="141"/>
      <c r="AD351" s="141"/>
      <c r="AE351" s="141"/>
      <c r="AF351" s="141"/>
      <c r="AG351" s="141"/>
      <c r="AH351" s="141"/>
      <c r="AI351" s="141"/>
      <c r="AJ351" s="141"/>
      <c r="AK351" s="141"/>
      <c r="AL351" s="141"/>
      <c r="AM351" s="141"/>
      <c r="AN351" s="141"/>
      <c r="AO351" s="141"/>
      <c r="AP351" s="141"/>
      <c r="AQ351" s="141"/>
      <c r="AR351" s="141"/>
      <c r="AS351" s="141"/>
      <c r="AT351" s="141"/>
      <c r="AU351" s="141"/>
      <c r="AV351" s="141"/>
      <c r="AW351" s="141"/>
      <c r="AX351" s="141"/>
      <c r="AY351" s="141"/>
      <c r="AZ351" s="141"/>
      <c r="BA351" s="141"/>
      <c r="BB351" s="141"/>
      <c r="BC351" s="141"/>
      <c r="BD351" s="141"/>
      <c r="BE351" s="141"/>
      <c r="BF351" s="141"/>
      <c r="BG351" s="141"/>
      <c r="BH351" s="141"/>
      <c r="BI351" s="141"/>
      <c r="BJ351" s="141"/>
      <c r="BK351" s="141"/>
      <c r="BL351" s="141"/>
      <c r="BM351" s="141"/>
      <c r="BN351" s="141"/>
      <c r="BO351" s="141"/>
      <c r="BP351" s="141"/>
      <c r="BQ351" s="141"/>
      <c r="BR351" s="141"/>
      <c r="BS351" s="141"/>
      <c r="BT351" s="141"/>
      <c r="BU351" s="141"/>
      <c r="BV351" s="141"/>
      <c r="BW351" s="141"/>
      <c r="BX351" s="141"/>
      <c r="BY351" s="141"/>
      <c r="BZ351" s="141"/>
      <c r="CA351" s="141"/>
      <c r="CB351" s="141"/>
      <c r="CC351" s="141"/>
      <c r="CD351" s="141"/>
      <c r="CE351" s="141"/>
      <c r="CF351" s="141"/>
      <c r="CG351" s="141"/>
      <c r="CH351" s="141"/>
      <c r="CI351" s="141"/>
      <c r="CJ351" s="141"/>
      <c r="CK351" s="141"/>
      <c r="CL351" s="141"/>
      <c r="CM351" s="141"/>
      <c r="CN351" s="141"/>
      <c r="CO351" s="141"/>
      <c r="CP351" s="141"/>
      <c r="CQ351" s="141"/>
      <c r="CR351" s="141"/>
      <c r="CS351" s="141"/>
      <c r="CT351" s="141"/>
      <c r="CU351" s="141"/>
      <c r="CV351" s="141"/>
      <c r="CW351" s="141"/>
      <c r="CX351" s="141"/>
      <c r="CY351" s="141"/>
      <c r="CZ351" s="141"/>
      <c r="DA351" s="173"/>
    </row>
    <row r="352" spans="2:105" x14ac:dyDescent="0.25">
      <c r="B352" s="172"/>
      <c r="C352" s="141"/>
      <c r="D352" s="141"/>
      <c r="E352" s="141"/>
      <c r="F352" s="141"/>
      <c r="G352" s="141"/>
      <c r="H352" s="141"/>
      <c r="I352" s="141"/>
      <c r="J352" s="141"/>
      <c r="K352" s="141"/>
      <c r="L352" s="141"/>
      <c r="M352" s="141"/>
      <c r="N352" s="141"/>
      <c r="O352" s="141"/>
      <c r="P352" s="141"/>
      <c r="Q352" s="141"/>
      <c r="R352" s="141"/>
      <c r="S352" s="141"/>
      <c r="T352" s="141"/>
      <c r="U352" s="141"/>
      <c r="V352" s="141"/>
      <c r="W352" s="141"/>
      <c r="X352" s="141"/>
      <c r="Y352" s="141"/>
      <c r="Z352" s="141"/>
      <c r="AA352" s="141"/>
      <c r="AB352" s="141"/>
      <c r="AC352" s="141"/>
      <c r="AD352" s="141"/>
      <c r="AE352" s="141"/>
      <c r="AF352" s="141"/>
      <c r="AG352" s="141"/>
      <c r="AH352" s="141"/>
      <c r="AI352" s="141"/>
      <c r="AJ352" s="141"/>
      <c r="AK352" s="141"/>
      <c r="AL352" s="141"/>
      <c r="AM352" s="141"/>
      <c r="AN352" s="141"/>
      <c r="AO352" s="141"/>
      <c r="AP352" s="141"/>
      <c r="AQ352" s="141"/>
      <c r="AR352" s="141"/>
      <c r="AS352" s="141"/>
      <c r="AT352" s="141"/>
      <c r="AU352" s="141"/>
      <c r="AV352" s="141"/>
      <c r="AW352" s="141"/>
      <c r="AX352" s="141"/>
      <c r="AY352" s="141"/>
      <c r="AZ352" s="141"/>
      <c r="BA352" s="141"/>
      <c r="BB352" s="141"/>
      <c r="BC352" s="141"/>
      <c r="BD352" s="141"/>
      <c r="BE352" s="141"/>
      <c r="BF352" s="141"/>
      <c r="BG352" s="141"/>
      <c r="BH352" s="141"/>
      <c r="BI352" s="141"/>
      <c r="BJ352" s="141"/>
      <c r="BK352" s="141"/>
      <c r="BL352" s="141"/>
      <c r="BM352" s="141"/>
      <c r="BN352" s="141"/>
      <c r="BO352" s="141"/>
      <c r="BP352" s="141"/>
      <c r="BQ352" s="141"/>
      <c r="BR352" s="141"/>
      <c r="BS352" s="141"/>
      <c r="BT352" s="141"/>
      <c r="BU352" s="141"/>
      <c r="BV352" s="141"/>
      <c r="BW352" s="141"/>
      <c r="BX352" s="141"/>
      <c r="BY352" s="141"/>
      <c r="BZ352" s="141"/>
      <c r="CA352" s="141"/>
      <c r="CB352" s="141"/>
      <c r="CC352" s="141"/>
      <c r="CD352" s="141"/>
      <c r="CE352" s="141"/>
      <c r="CF352" s="141"/>
      <c r="CG352" s="141"/>
      <c r="CH352" s="141"/>
      <c r="CI352" s="141"/>
      <c r="CJ352" s="141"/>
      <c r="CK352" s="141"/>
      <c r="CL352" s="141"/>
      <c r="CM352" s="141"/>
      <c r="CN352" s="141"/>
      <c r="CO352" s="141"/>
      <c r="CP352" s="141"/>
      <c r="CQ352" s="141"/>
      <c r="CR352" s="141"/>
      <c r="CS352" s="141"/>
      <c r="CT352" s="141"/>
      <c r="CU352" s="141"/>
      <c r="CV352" s="141"/>
      <c r="CW352" s="141"/>
      <c r="CX352" s="141"/>
      <c r="CY352" s="141"/>
      <c r="CZ352" s="141"/>
      <c r="DA352" s="173"/>
    </row>
    <row r="353" spans="2:105" x14ac:dyDescent="0.25">
      <c r="B353" s="172"/>
      <c r="C353" s="141"/>
      <c r="D353" s="141"/>
      <c r="E353" s="141"/>
      <c r="F353" s="141"/>
      <c r="G353" s="141"/>
      <c r="H353" s="141"/>
      <c r="I353" s="141"/>
      <c r="J353" s="141"/>
      <c r="K353" s="141"/>
      <c r="L353" s="141"/>
      <c r="M353" s="141"/>
      <c r="N353" s="141"/>
      <c r="O353" s="141"/>
      <c r="P353" s="141"/>
      <c r="Q353" s="141"/>
      <c r="R353" s="141"/>
      <c r="S353" s="141"/>
      <c r="T353" s="141"/>
      <c r="U353" s="141"/>
      <c r="V353" s="141"/>
      <c r="W353" s="141"/>
      <c r="X353" s="141"/>
      <c r="Y353" s="141"/>
      <c r="Z353" s="141"/>
      <c r="AA353" s="141"/>
      <c r="AB353" s="141"/>
      <c r="AC353" s="141"/>
      <c r="AD353" s="141"/>
      <c r="AE353" s="141"/>
      <c r="AF353" s="141"/>
      <c r="AG353" s="141"/>
      <c r="AH353" s="141"/>
      <c r="AI353" s="141"/>
      <c r="AJ353" s="141"/>
      <c r="AK353" s="141"/>
      <c r="AL353" s="141"/>
      <c r="AM353" s="141"/>
      <c r="AN353" s="141"/>
      <c r="AO353" s="141"/>
      <c r="AP353" s="141"/>
      <c r="AQ353" s="141"/>
      <c r="AR353" s="141"/>
      <c r="AS353" s="141"/>
      <c r="AT353" s="141"/>
      <c r="AU353" s="141"/>
      <c r="AV353" s="141"/>
      <c r="AW353" s="141"/>
      <c r="AX353" s="141"/>
      <c r="AY353" s="141"/>
      <c r="AZ353" s="141"/>
      <c r="BA353" s="141"/>
      <c r="BB353" s="141"/>
      <c r="BC353" s="141"/>
      <c r="BD353" s="141"/>
      <c r="BE353" s="141"/>
      <c r="BF353" s="141"/>
      <c r="BG353" s="141"/>
      <c r="BH353" s="141"/>
      <c r="BI353" s="141"/>
      <c r="BJ353" s="141"/>
      <c r="BK353" s="141"/>
      <c r="BL353" s="141"/>
      <c r="BM353" s="141"/>
      <c r="BN353" s="141"/>
      <c r="BO353" s="141"/>
      <c r="BP353" s="141"/>
      <c r="BQ353" s="141"/>
      <c r="BR353" s="141"/>
      <c r="BS353" s="141"/>
      <c r="BT353" s="141"/>
      <c r="BU353" s="141"/>
      <c r="BV353" s="141"/>
      <c r="BW353" s="141"/>
      <c r="BX353" s="141"/>
      <c r="BY353" s="141"/>
      <c r="BZ353" s="141"/>
      <c r="CA353" s="141"/>
      <c r="CB353" s="141"/>
      <c r="CC353" s="141"/>
      <c r="CD353" s="141"/>
      <c r="CE353" s="141"/>
      <c r="CF353" s="141"/>
      <c r="CG353" s="141"/>
      <c r="CH353" s="141"/>
      <c r="CI353" s="141"/>
      <c r="CJ353" s="141"/>
      <c r="CK353" s="141"/>
      <c r="CL353" s="141"/>
      <c r="CM353" s="141"/>
      <c r="CN353" s="141"/>
      <c r="CO353" s="141"/>
      <c r="CP353" s="141"/>
      <c r="CQ353" s="141"/>
      <c r="CR353" s="141"/>
      <c r="CS353" s="141"/>
      <c r="CT353" s="141"/>
      <c r="CU353" s="141"/>
      <c r="CV353" s="141"/>
      <c r="CW353" s="141"/>
      <c r="CX353" s="141"/>
      <c r="CY353" s="141"/>
      <c r="CZ353" s="141"/>
      <c r="DA353" s="173"/>
    </row>
    <row r="354" spans="2:105" x14ac:dyDescent="0.25">
      <c r="B354" s="172"/>
      <c r="C354" s="141"/>
      <c r="D354" s="141"/>
      <c r="E354" s="141"/>
      <c r="F354" s="141"/>
      <c r="G354" s="141"/>
      <c r="H354" s="141"/>
      <c r="I354" s="141"/>
      <c r="J354" s="141"/>
      <c r="K354" s="141"/>
      <c r="L354" s="141"/>
      <c r="M354" s="141"/>
      <c r="N354" s="141"/>
      <c r="O354" s="141"/>
      <c r="P354" s="141"/>
      <c r="Q354" s="141"/>
      <c r="R354" s="141"/>
      <c r="S354" s="141"/>
      <c r="T354" s="141"/>
      <c r="U354" s="141"/>
      <c r="V354" s="141"/>
      <c r="W354" s="141"/>
      <c r="X354" s="141"/>
      <c r="Y354" s="141"/>
      <c r="Z354" s="141"/>
      <c r="AA354" s="141"/>
      <c r="AB354" s="141"/>
      <c r="AC354" s="141"/>
      <c r="AD354" s="141"/>
      <c r="AE354" s="141"/>
      <c r="AF354" s="141"/>
      <c r="AG354" s="141"/>
      <c r="AH354" s="141"/>
      <c r="AI354" s="141"/>
      <c r="AJ354" s="141"/>
      <c r="AK354" s="141"/>
      <c r="AL354" s="141"/>
      <c r="AM354" s="141"/>
      <c r="AN354" s="141"/>
      <c r="AO354" s="141"/>
      <c r="AP354" s="141"/>
      <c r="AQ354" s="141"/>
      <c r="AR354" s="141"/>
      <c r="AS354" s="141"/>
      <c r="AT354" s="141"/>
      <c r="AU354" s="141"/>
      <c r="AV354" s="141"/>
      <c r="AW354" s="141"/>
      <c r="AX354" s="141"/>
      <c r="AY354" s="141"/>
      <c r="AZ354" s="141"/>
      <c r="BA354" s="141"/>
      <c r="BB354" s="141"/>
      <c r="BC354" s="141"/>
      <c r="BD354" s="141"/>
      <c r="BE354" s="141"/>
      <c r="BF354" s="141"/>
      <c r="BG354" s="141"/>
      <c r="BH354" s="141"/>
      <c r="BI354" s="141"/>
      <c r="BJ354" s="141"/>
      <c r="BK354" s="141"/>
      <c r="BL354" s="141"/>
      <c r="BM354" s="141"/>
      <c r="BN354" s="141"/>
      <c r="BO354" s="141"/>
      <c r="BP354" s="141"/>
      <c r="BQ354" s="141"/>
      <c r="BR354" s="141"/>
      <c r="BS354" s="141"/>
      <c r="BT354" s="141"/>
      <c r="BU354" s="141"/>
      <c r="BV354" s="141"/>
      <c r="BW354" s="141"/>
      <c r="BX354" s="141"/>
      <c r="BY354" s="141"/>
      <c r="BZ354" s="141"/>
      <c r="CA354" s="141"/>
      <c r="CB354" s="141"/>
      <c r="CC354" s="141"/>
      <c r="CD354" s="141"/>
      <c r="CE354" s="141"/>
      <c r="CF354" s="141"/>
      <c r="CG354" s="141"/>
      <c r="CH354" s="141"/>
      <c r="CI354" s="141"/>
      <c r="CJ354" s="141"/>
      <c r="CK354" s="141"/>
      <c r="CL354" s="141"/>
      <c r="CM354" s="141"/>
      <c r="CN354" s="141"/>
      <c r="CO354" s="141"/>
      <c r="CP354" s="141"/>
      <c r="CQ354" s="141"/>
      <c r="CR354" s="141"/>
      <c r="CS354" s="141"/>
      <c r="CT354" s="141"/>
      <c r="CU354" s="141"/>
      <c r="CV354" s="141"/>
      <c r="CW354" s="141"/>
      <c r="CX354" s="141"/>
      <c r="CY354" s="141"/>
      <c r="CZ354" s="141"/>
      <c r="DA354" s="173"/>
    </row>
    <row r="355" spans="2:105" x14ac:dyDescent="0.25">
      <c r="B355" s="172"/>
      <c r="C355" s="141"/>
      <c r="D355" s="141"/>
      <c r="E355" s="141"/>
      <c r="F355" s="141"/>
      <c r="G355" s="141"/>
      <c r="H355" s="141"/>
      <c r="I355" s="141"/>
      <c r="J355" s="141"/>
      <c r="K355" s="141"/>
      <c r="L355" s="141"/>
      <c r="M355" s="141"/>
      <c r="N355" s="141"/>
      <c r="O355" s="141"/>
      <c r="P355" s="141"/>
      <c r="Q355" s="141"/>
      <c r="R355" s="141"/>
      <c r="S355" s="141"/>
      <c r="T355" s="141"/>
      <c r="U355" s="141"/>
      <c r="V355" s="141"/>
      <c r="W355" s="141"/>
      <c r="X355" s="141"/>
      <c r="Y355" s="141"/>
      <c r="Z355" s="141"/>
      <c r="AA355" s="141"/>
      <c r="AB355" s="141"/>
      <c r="AC355" s="141"/>
      <c r="AD355" s="141"/>
      <c r="AE355" s="141"/>
      <c r="AF355" s="141"/>
      <c r="AG355" s="141"/>
      <c r="AH355" s="141"/>
      <c r="AI355" s="141"/>
      <c r="AJ355" s="141"/>
      <c r="AK355" s="141"/>
      <c r="AL355" s="141"/>
      <c r="AM355" s="141"/>
      <c r="AN355" s="141"/>
      <c r="AO355" s="141"/>
      <c r="AP355" s="141"/>
      <c r="AQ355" s="141"/>
      <c r="AR355" s="141"/>
      <c r="AS355" s="141"/>
      <c r="AT355" s="141"/>
      <c r="AU355" s="141"/>
      <c r="AV355" s="141"/>
      <c r="AW355" s="141"/>
      <c r="AX355" s="141"/>
      <c r="AY355" s="141"/>
      <c r="AZ355" s="141"/>
      <c r="BA355" s="141"/>
      <c r="BB355" s="141"/>
      <c r="BC355" s="141"/>
      <c r="BD355" s="141"/>
      <c r="BE355" s="141"/>
      <c r="BF355" s="141"/>
      <c r="BG355" s="141"/>
      <c r="BH355" s="141"/>
      <c r="BI355" s="141"/>
      <c r="BJ355" s="141"/>
      <c r="BK355" s="141"/>
      <c r="BL355" s="141"/>
      <c r="BM355" s="141"/>
      <c r="BN355" s="141"/>
      <c r="BO355" s="141"/>
      <c r="BP355" s="141"/>
      <c r="BQ355" s="141"/>
      <c r="BR355" s="141"/>
      <c r="BS355" s="141"/>
      <c r="BT355" s="141"/>
      <c r="BU355" s="141"/>
      <c r="BV355" s="141"/>
      <c r="BW355" s="141"/>
      <c r="BX355" s="141"/>
      <c r="BY355" s="141"/>
      <c r="BZ355" s="141"/>
      <c r="CA355" s="141"/>
      <c r="CB355" s="141"/>
      <c r="CC355" s="141"/>
      <c r="CD355" s="141"/>
      <c r="CE355" s="141"/>
      <c r="CF355" s="141"/>
      <c r="CG355" s="141"/>
      <c r="CH355" s="141"/>
      <c r="CI355" s="141"/>
      <c r="CJ355" s="141"/>
      <c r="CK355" s="141"/>
      <c r="CL355" s="141"/>
      <c r="CM355" s="141"/>
      <c r="CN355" s="141"/>
      <c r="CO355" s="141"/>
      <c r="CP355" s="141"/>
      <c r="CQ355" s="141"/>
      <c r="CR355" s="141"/>
      <c r="CS355" s="141"/>
      <c r="CT355" s="141"/>
      <c r="CU355" s="141"/>
      <c r="CV355" s="141"/>
      <c r="CW355" s="141"/>
      <c r="CX355" s="141"/>
      <c r="CY355" s="141"/>
      <c r="CZ355" s="141"/>
      <c r="DA355" s="173"/>
    </row>
    <row r="356" spans="2:105" x14ac:dyDescent="0.25">
      <c r="B356" s="172"/>
      <c r="C356" s="141"/>
      <c r="D356" s="141"/>
      <c r="E356" s="141"/>
      <c r="F356" s="141"/>
      <c r="G356" s="141"/>
      <c r="H356" s="141"/>
      <c r="I356" s="141"/>
      <c r="J356" s="141"/>
      <c r="K356" s="141"/>
      <c r="L356" s="141"/>
      <c r="M356" s="141"/>
      <c r="N356" s="141"/>
      <c r="O356" s="141"/>
      <c r="P356" s="141"/>
      <c r="Q356" s="141"/>
      <c r="R356" s="141"/>
      <c r="S356" s="141"/>
      <c r="T356" s="141"/>
      <c r="U356" s="141"/>
      <c r="V356" s="141"/>
      <c r="W356" s="141"/>
      <c r="X356" s="141"/>
      <c r="Y356" s="141"/>
      <c r="Z356" s="141"/>
      <c r="AA356" s="141"/>
      <c r="AB356" s="141"/>
      <c r="AC356" s="141"/>
      <c r="AD356" s="141"/>
      <c r="AE356" s="141"/>
      <c r="AF356" s="141"/>
      <c r="AG356" s="141"/>
      <c r="AH356" s="141"/>
      <c r="AI356" s="141"/>
      <c r="AJ356" s="141"/>
      <c r="AK356" s="141"/>
      <c r="AL356" s="141"/>
      <c r="AM356" s="141"/>
      <c r="AN356" s="141"/>
      <c r="AO356" s="141"/>
      <c r="AP356" s="141"/>
      <c r="AQ356" s="141"/>
      <c r="AR356" s="141"/>
      <c r="AS356" s="141"/>
      <c r="AT356" s="141"/>
      <c r="AU356" s="141"/>
      <c r="AV356" s="141"/>
      <c r="AW356" s="141"/>
      <c r="AX356" s="141"/>
      <c r="AY356" s="141"/>
      <c r="AZ356" s="141"/>
      <c r="BA356" s="141"/>
      <c r="BB356" s="141"/>
      <c r="BC356" s="141"/>
      <c r="BD356" s="141"/>
      <c r="BE356" s="141"/>
      <c r="BF356" s="141"/>
      <c r="BG356" s="141"/>
      <c r="BH356" s="141"/>
      <c r="BI356" s="141"/>
      <c r="BJ356" s="141"/>
      <c r="BK356" s="141"/>
      <c r="BL356" s="141"/>
      <c r="BM356" s="141"/>
      <c r="BN356" s="141"/>
      <c r="BO356" s="141"/>
      <c r="BP356" s="141"/>
      <c r="BQ356" s="141"/>
      <c r="BR356" s="141"/>
      <c r="BS356" s="141"/>
      <c r="BT356" s="141"/>
      <c r="BU356" s="141"/>
      <c r="BV356" s="141"/>
      <c r="BW356" s="141"/>
      <c r="BX356" s="141"/>
      <c r="BY356" s="141"/>
      <c r="BZ356" s="141"/>
      <c r="CA356" s="141"/>
      <c r="CB356" s="141"/>
      <c r="CC356" s="141"/>
      <c r="CD356" s="141"/>
      <c r="CE356" s="141"/>
      <c r="CF356" s="141"/>
      <c r="CG356" s="141"/>
      <c r="CH356" s="141"/>
      <c r="CI356" s="141"/>
      <c r="CJ356" s="141"/>
      <c r="CK356" s="141"/>
      <c r="CL356" s="141"/>
      <c r="CM356" s="141"/>
      <c r="CN356" s="141"/>
      <c r="CO356" s="141"/>
      <c r="CP356" s="141"/>
      <c r="CQ356" s="141"/>
      <c r="CR356" s="141"/>
      <c r="CS356" s="141"/>
      <c r="CT356" s="141"/>
      <c r="CU356" s="141"/>
      <c r="CV356" s="141"/>
      <c r="CW356" s="141"/>
      <c r="CX356" s="141"/>
      <c r="CY356" s="141"/>
      <c r="CZ356" s="141"/>
      <c r="DA356" s="173"/>
    </row>
    <row r="357" spans="2:105" x14ac:dyDescent="0.25">
      <c r="B357" s="172"/>
      <c r="C357" s="141"/>
      <c r="D357" s="141"/>
      <c r="E357" s="141"/>
      <c r="F357" s="141"/>
      <c r="G357" s="141"/>
      <c r="H357" s="141"/>
      <c r="I357" s="141"/>
      <c r="J357" s="141"/>
      <c r="K357" s="141"/>
      <c r="L357" s="141"/>
      <c r="M357" s="141"/>
      <c r="N357" s="141"/>
      <c r="O357" s="141"/>
      <c r="P357" s="141"/>
      <c r="Q357" s="141"/>
      <c r="R357" s="141"/>
      <c r="S357" s="141"/>
      <c r="T357" s="141"/>
      <c r="U357" s="141"/>
      <c r="V357" s="141"/>
      <c r="W357" s="141"/>
      <c r="X357" s="141"/>
      <c r="Y357" s="141"/>
      <c r="Z357" s="141"/>
      <c r="AA357" s="141"/>
      <c r="AB357" s="141"/>
      <c r="AC357" s="141"/>
      <c r="AD357" s="141"/>
      <c r="AE357" s="141"/>
      <c r="AF357" s="141"/>
      <c r="AG357" s="141"/>
      <c r="AH357" s="141"/>
      <c r="AI357" s="141"/>
      <c r="AJ357" s="141"/>
      <c r="AK357" s="141"/>
      <c r="AL357" s="141"/>
      <c r="AM357" s="141"/>
      <c r="AN357" s="141"/>
      <c r="AO357" s="141"/>
      <c r="AP357" s="141"/>
      <c r="AQ357" s="141"/>
      <c r="AR357" s="141"/>
      <c r="AS357" s="141"/>
      <c r="AT357" s="141"/>
      <c r="AU357" s="141"/>
      <c r="AV357" s="141"/>
      <c r="AW357" s="141"/>
      <c r="AX357" s="141"/>
      <c r="AY357" s="141"/>
      <c r="AZ357" s="141"/>
      <c r="BA357" s="141"/>
      <c r="BB357" s="141"/>
      <c r="BC357" s="141"/>
      <c r="BD357" s="141"/>
      <c r="BE357" s="141"/>
      <c r="BF357" s="141"/>
      <c r="BG357" s="141"/>
      <c r="BH357" s="141"/>
      <c r="BI357" s="141"/>
      <c r="BJ357" s="141"/>
      <c r="BK357" s="141"/>
      <c r="BL357" s="141"/>
      <c r="BM357" s="141"/>
      <c r="BN357" s="141"/>
      <c r="BO357" s="141"/>
      <c r="BP357" s="141"/>
      <c r="BQ357" s="141"/>
      <c r="BR357" s="141"/>
      <c r="BS357" s="141"/>
      <c r="BT357" s="141"/>
      <c r="BU357" s="141"/>
      <c r="BV357" s="141"/>
      <c r="BW357" s="141"/>
      <c r="BX357" s="141"/>
      <c r="BY357" s="141"/>
      <c r="BZ357" s="141"/>
      <c r="CA357" s="141"/>
      <c r="CB357" s="141"/>
      <c r="CC357" s="141"/>
      <c r="CD357" s="141"/>
      <c r="CE357" s="141"/>
      <c r="CF357" s="141"/>
      <c r="CG357" s="141"/>
      <c r="CH357" s="141"/>
      <c r="CI357" s="141"/>
      <c r="CJ357" s="141"/>
      <c r="CK357" s="141"/>
      <c r="CL357" s="141"/>
      <c r="CM357" s="141"/>
      <c r="CN357" s="141"/>
      <c r="CO357" s="141"/>
      <c r="CP357" s="141"/>
      <c r="CQ357" s="141"/>
      <c r="CR357" s="141"/>
      <c r="CS357" s="141"/>
      <c r="CT357" s="141"/>
      <c r="CU357" s="141"/>
      <c r="CV357" s="141"/>
      <c r="CW357" s="141"/>
      <c r="CX357" s="141"/>
      <c r="CY357" s="141"/>
      <c r="CZ357" s="141"/>
      <c r="DA357" s="173"/>
    </row>
    <row r="358" spans="2:105" x14ac:dyDescent="0.25">
      <c r="B358" s="172"/>
      <c r="C358" s="141"/>
      <c r="D358" s="141"/>
      <c r="E358" s="141"/>
      <c r="F358" s="141"/>
      <c r="G358" s="141"/>
      <c r="H358" s="141"/>
      <c r="I358" s="141"/>
      <c r="J358" s="141"/>
      <c r="K358" s="141"/>
      <c r="L358" s="141"/>
      <c r="M358" s="141"/>
      <c r="N358" s="141"/>
      <c r="O358" s="141"/>
      <c r="P358" s="141"/>
      <c r="Q358" s="141"/>
      <c r="R358" s="141"/>
      <c r="S358" s="141"/>
      <c r="T358" s="141"/>
      <c r="U358" s="141"/>
      <c r="V358" s="141"/>
      <c r="W358" s="141"/>
      <c r="X358" s="141"/>
      <c r="Y358" s="141"/>
      <c r="Z358" s="141"/>
      <c r="AA358" s="141"/>
      <c r="AB358" s="141"/>
      <c r="AC358" s="141"/>
      <c r="AD358" s="141"/>
      <c r="AE358" s="141"/>
      <c r="AF358" s="141"/>
      <c r="AG358" s="141"/>
      <c r="AH358" s="141"/>
      <c r="AI358" s="141"/>
      <c r="AJ358" s="141"/>
      <c r="AK358" s="141"/>
      <c r="AL358" s="141"/>
      <c r="AM358" s="141"/>
      <c r="AN358" s="141"/>
      <c r="AO358" s="141"/>
      <c r="AP358" s="141"/>
      <c r="AQ358" s="141"/>
      <c r="AR358" s="141"/>
      <c r="AS358" s="141"/>
      <c r="AT358" s="141"/>
      <c r="AU358" s="141"/>
      <c r="AV358" s="141"/>
      <c r="AW358" s="141"/>
      <c r="AX358" s="141"/>
      <c r="AY358" s="141"/>
      <c r="AZ358" s="141"/>
      <c r="BA358" s="141"/>
      <c r="BB358" s="141"/>
      <c r="BC358" s="141"/>
      <c r="BD358" s="141"/>
      <c r="BE358" s="141"/>
      <c r="BF358" s="141"/>
      <c r="BG358" s="141"/>
      <c r="BH358" s="141"/>
      <c r="BI358" s="141"/>
      <c r="BJ358" s="141"/>
      <c r="BK358" s="141"/>
      <c r="BL358" s="141"/>
      <c r="BM358" s="141"/>
      <c r="BN358" s="141"/>
      <c r="BO358" s="141"/>
      <c r="BP358" s="141"/>
      <c r="BQ358" s="141"/>
      <c r="BR358" s="141"/>
      <c r="BS358" s="141"/>
      <c r="BT358" s="141"/>
      <c r="BU358" s="141"/>
      <c r="BV358" s="141"/>
      <c r="BW358" s="141"/>
      <c r="BX358" s="141"/>
      <c r="BY358" s="141"/>
      <c r="BZ358" s="141"/>
      <c r="CA358" s="141"/>
      <c r="CB358" s="141"/>
      <c r="CC358" s="141"/>
      <c r="CD358" s="141"/>
      <c r="CE358" s="141"/>
      <c r="CF358" s="141"/>
      <c r="CG358" s="141"/>
      <c r="CH358" s="141"/>
      <c r="CI358" s="141"/>
      <c r="CJ358" s="141"/>
      <c r="CK358" s="141"/>
      <c r="CL358" s="141"/>
      <c r="CM358" s="141"/>
      <c r="CN358" s="141"/>
      <c r="CO358" s="141"/>
      <c r="CP358" s="141"/>
      <c r="CQ358" s="141"/>
      <c r="CR358" s="141"/>
      <c r="CS358" s="141"/>
      <c r="CT358" s="141"/>
      <c r="CU358" s="141"/>
      <c r="CV358" s="141"/>
      <c r="CW358" s="141"/>
      <c r="CX358" s="141"/>
      <c r="CY358" s="141"/>
      <c r="CZ358" s="141"/>
      <c r="DA358" s="173"/>
    </row>
    <row r="359" spans="2:105" x14ac:dyDescent="0.25">
      <c r="B359" s="172"/>
      <c r="C359" s="141"/>
      <c r="D359" s="141"/>
      <c r="E359" s="141"/>
      <c r="F359" s="141"/>
      <c r="G359" s="141"/>
      <c r="H359" s="141"/>
      <c r="I359" s="141"/>
      <c r="J359" s="141"/>
      <c r="K359" s="141"/>
      <c r="L359" s="141"/>
      <c r="M359" s="141"/>
      <c r="N359" s="141"/>
      <c r="O359" s="141"/>
      <c r="P359" s="141"/>
      <c r="Q359" s="141"/>
      <c r="R359" s="141"/>
      <c r="S359" s="141"/>
      <c r="T359" s="141"/>
      <c r="U359" s="141"/>
      <c r="V359" s="141"/>
      <c r="W359" s="141"/>
      <c r="X359" s="141"/>
      <c r="Y359" s="141"/>
      <c r="Z359" s="141"/>
      <c r="AA359" s="141"/>
      <c r="AB359" s="141"/>
      <c r="AC359" s="141"/>
      <c r="AD359" s="141"/>
      <c r="AE359" s="141"/>
      <c r="AF359" s="141"/>
      <c r="AG359" s="141"/>
      <c r="AH359" s="141"/>
      <c r="AI359" s="141"/>
      <c r="AJ359" s="141"/>
      <c r="AK359" s="141"/>
      <c r="AL359" s="141"/>
      <c r="AM359" s="141"/>
      <c r="AN359" s="141"/>
      <c r="AO359" s="141"/>
      <c r="AP359" s="141"/>
      <c r="AQ359" s="141"/>
      <c r="AR359" s="141"/>
      <c r="AS359" s="141"/>
      <c r="AT359" s="141"/>
      <c r="AU359" s="141"/>
      <c r="AV359" s="141"/>
      <c r="AW359" s="141"/>
      <c r="AX359" s="141"/>
      <c r="AY359" s="141"/>
      <c r="AZ359" s="141"/>
      <c r="BA359" s="141"/>
      <c r="BB359" s="141"/>
      <c r="BC359" s="141"/>
      <c r="BD359" s="141"/>
      <c r="BE359" s="141"/>
      <c r="BF359" s="141"/>
      <c r="BG359" s="141"/>
      <c r="BH359" s="141"/>
      <c r="BI359" s="141"/>
      <c r="BJ359" s="141"/>
      <c r="BK359" s="141"/>
      <c r="BL359" s="141"/>
      <c r="BM359" s="141"/>
      <c r="BN359" s="141"/>
      <c r="BO359" s="141"/>
      <c r="BP359" s="141"/>
      <c r="BQ359" s="141"/>
      <c r="BR359" s="141"/>
      <c r="BS359" s="141"/>
      <c r="BT359" s="141"/>
      <c r="BU359" s="141"/>
      <c r="BV359" s="141"/>
      <c r="BW359" s="141"/>
      <c r="BX359" s="141"/>
      <c r="BY359" s="141"/>
      <c r="BZ359" s="141"/>
      <c r="CA359" s="141"/>
      <c r="CB359" s="141"/>
      <c r="CC359" s="141"/>
      <c r="CD359" s="141"/>
      <c r="CE359" s="141"/>
      <c r="CF359" s="141"/>
      <c r="CG359" s="141"/>
      <c r="CH359" s="141"/>
      <c r="CI359" s="141"/>
      <c r="CJ359" s="141"/>
      <c r="CK359" s="141"/>
      <c r="CL359" s="141"/>
      <c r="CM359" s="141"/>
      <c r="CN359" s="141"/>
      <c r="CO359" s="141"/>
      <c r="CP359" s="141"/>
      <c r="CQ359" s="141"/>
      <c r="CR359" s="141"/>
      <c r="CS359" s="141"/>
      <c r="CT359" s="141"/>
      <c r="CU359" s="141"/>
      <c r="CV359" s="141"/>
      <c r="CW359" s="141"/>
      <c r="CX359" s="141"/>
      <c r="CY359" s="141"/>
      <c r="CZ359" s="141"/>
      <c r="DA359" s="173"/>
    </row>
    <row r="360" spans="2:105" x14ac:dyDescent="0.25">
      <c r="B360" s="172"/>
      <c r="C360" s="141"/>
      <c r="D360" s="141"/>
      <c r="E360" s="141"/>
      <c r="F360" s="141"/>
      <c r="G360" s="141"/>
      <c r="H360" s="141"/>
      <c r="I360" s="141"/>
      <c r="J360" s="141"/>
      <c r="K360" s="141"/>
      <c r="L360" s="141"/>
      <c r="M360" s="141"/>
      <c r="N360" s="141"/>
      <c r="O360" s="141"/>
      <c r="P360" s="141"/>
      <c r="Q360" s="141"/>
      <c r="R360" s="141"/>
      <c r="S360" s="141"/>
      <c r="T360" s="141"/>
      <c r="U360" s="141"/>
      <c r="V360" s="141"/>
      <c r="W360" s="141"/>
      <c r="X360" s="141"/>
      <c r="Y360" s="141"/>
      <c r="Z360" s="141"/>
      <c r="AA360" s="141"/>
      <c r="AB360" s="141"/>
      <c r="AC360" s="141"/>
      <c r="AD360" s="141"/>
      <c r="AE360" s="141"/>
      <c r="AF360" s="141"/>
      <c r="AG360" s="141"/>
      <c r="AH360" s="141"/>
      <c r="AI360" s="141"/>
      <c r="AJ360" s="141"/>
      <c r="AK360" s="141"/>
      <c r="AL360" s="141"/>
      <c r="AM360" s="141"/>
      <c r="AN360" s="141"/>
      <c r="AO360" s="141"/>
      <c r="AP360" s="141"/>
      <c r="AQ360" s="141"/>
      <c r="AR360" s="141"/>
      <c r="AS360" s="141"/>
      <c r="AT360" s="141"/>
      <c r="AU360" s="141"/>
      <c r="AV360" s="141"/>
      <c r="AW360" s="141"/>
      <c r="AX360" s="141"/>
      <c r="AY360" s="141"/>
      <c r="AZ360" s="141"/>
      <c r="BA360" s="141"/>
      <c r="BB360" s="141"/>
      <c r="BC360" s="141"/>
      <c r="BD360" s="141"/>
      <c r="BE360" s="141"/>
      <c r="BF360" s="141"/>
      <c r="BG360" s="141"/>
      <c r="BH360" s="141"/>
      <c r="BI360" s="141"/>
      <c r="BJ360" s="141"/>
      <c r="BK360" s="141"/>
      <c r="BL360" s="141"/>
      <c r="BM360" s="141"/>
      <c r="BN360" s="141"/>
      <c r="BO360" s="141"/>
      <c r="BP360" s="141"/>
      <c r="BQ360" s="141"/>
      <c r="BR360" s="141"/>
      <c r="BS360" s="141"/>
      <c r="BT360" s="141"/>
      <c r="BU360" s="141"/>
      <c r="BV360" s="141"/>
      <c r="BW360" s="141"/>
      <c r="BX360" s="141"/>
      <c r="BY360" s="141"/>
      <c r="BZ360" s="141"/>
      <c r="CA360" s="141"/>
      <c r="CB360" s="141"/>
      <c r="CC360" s="141"/>
      <c r="CD360" s="141"/>
      <c r="CE360" s="141"/>
      <c r="CF360" s="141"/>
      <c r="CG360" s="141"/>
      <c r="CH360" s="141"/>
      <c r="CI360" s="141"/>
      <c r="CJ360" s="141"/>
      <c r="CK360" s="141"/>
      <c r="CL360" s="141"/>
      <c r="CM360" s="141"/>
      <c r="CN360" s="141"/>
      <c r="CO360" s="141"/>
      <c r="CP360" s="141"/>
      <c r="CQ360" s="141"/>
      <c r="CR360" s="141"/>
      <c r="CS360" s="141"/>
      <c r="CT360" s="141"/>
      <c r="CU360" s="141"/>
      <c r="CV360" s="141"/>
      <c r="CW360" s="141"/>
      <c r="CX360" s="141"/>
      <c r="CY360" s="141"/>
      <c r="CZ360" s="141"/>
      <c r="DA360" s="173"/>
    </row>
    <row r="361" spans="2:105" x14ac:dyDescent="0.25">
      <c r="B361" s="172"/>
      <c r="C361" s="141"/>
      <c r="D361" s="141"/>
      <c r="E361" s="141"/>
      <c r="F361" s="141"/>
      <c r="G361" s="141"/>
      <c r="H361" s="141"/>
      <c r="I361" s="141"/>
      <c r="J361" s="141"/>
      <c r="K361" s="141"/>
      <c r="L361" s="141"/>
      <c r="M361" s="141"/>
      <c r="N361" s="141"/>
      <c r="O361" s="141"/>
      <c r="P361" s="141"/>
      <c r="Q361" s="141"/>
      <c r="R361" s="141"/>
      <c r="S361" s="141"/>
      <c r="T361" s="141"/>
      <c r="U361" s="141"/>
      <c r="V361" s="141"/>
      <c r="W361" s="141"/>
      <c r="X361" s="141"/>
      <c r="Y361" s="141"/>
      <c r="Z361" s="141"/>
      <c r="AA361" s="141"/>
      <c r="AB361" s="141"/>
      <c r="AC361" s="141"/>
      <c r="AD361" s="141"/>
      <c r="AE361" s="141"/>
      <c r="AF361" s="141"/>
      <c r="AG361" s="141"/>
      <c r="AH361" s="141"/>
      <c r="AI361" s="141"/>
      <c r="AJ361" s="141"/>
      <c r="AK361" s="141"/>
      <c r="AL361" s="141"/>
      <c r="AM361" s="141"/>
      <c r="AN361" s="141"/>
      <c r="AO361" s="141"/>
      <c r="AP361" s="141"/>
      <c r="AQ361" s="141"/>
      <c r="AR361" s="141"/>
      <c r="AS361" s="141"/>
      <c r="AT361" s="141"/>
      <c r="AU361" s="141"/>
      <c r="AV361" s="141"/>
      <c r="AW361" s="141"/>
      <c r="AX361" s="141"/>
      <c r="AY361" s="141"/>
      <c r="AZ361" s="141"/>
      <c r="BA361" s="141"/>
      <c r="BB361" s="141"/>
      <c r="BC361" s="141"/>
      <c r="BD361" s="141"/>
      <c r="BE361" s="141"/>
      <c r="BF361" s="141"/>
      <c r="BG361" s="141"/>
      <c r="BH361" s="141"/>
      <c r="BI361" s="141"/>
      <c r="BJ361" s="141"/>
      <c r="BK361" s="141"/>
      <c r="BL361" s="141"/>
      <c r="BM361" s="141"/>
      <c r="BN361" s="141"/>
      <c r="BO361" s="141"/>
      <c r="BP361" s="141"/>
      <c r="BQ361" s="141"/>
      <c r="BR361" s="141"/>
      <c r="BS361" s="141"/>
      <c r="BT361" s="141"/>
      <c r="BU361" s="141"/>
      <c r="BV361" s="141"/>
      <c r="BW361" s="141"/>
      <c r="BX361" s="141"/>
      <c r="BY361" s="141"/>
      <c r="BZ361" s="141"/>
      <c r="CA361" s="141"/>
      <c r="CB361" s="141"/>
      <c r="CC361" s="141"/>
      <c r="CD361" s="141"/>
      <c r="CE361" s="141"/>
      <c r="CF361" s="141"/>
      <c r="CG361" s="141"/>
      <c r="CH361" s="141"/>
      <c r="CI361" s="141"/>
      <c r="CJ361" s="141"/>
      <c r="CK361" s="141"/>
      <c r="CL361" s="141"/>
      <c r="CM361" s="141"/>
      <c r="CN361" s="141"/>
      <c r="CO361" s="141"/>
      <c r="CP361" s="141"/>
      <c r="CQ361" s="141"/>
      <c r="CR361" s="141"/>
      <c r="CS361" s="141"/>
      <c r="CT361" s="141"/>
      <c r="CU361" s="141"/>
      <c r="CV361" s="141"/>
      <c r="CW361" s="141"/>
      <c r="CX361" s="141"/>
      <c r="CY361" s="141"/>
      <c r="CZ361" s="141"/>
      <c r="DA361" s="173"/>
    </row>
    <row r="362" spans="2:105" x14ac:dyDescent="0.25">
      <c r="B362" s="172"/>
      <c r="C362" s="141"/>
      <c r="D362" s="141"/>
      <c r="E362" s="141"/>
      <c r="F362" s="141"/>
      <c r="G362" s="141"/>
      <c r="H362" s="141"/>
      <c r="I362" s="141"/>
      <c r="J362" s="141"/>
      <c r="K362" s="141"/>
      <c r="L362" s="141"/>
      <c r="M362" s="141"/>
      <c r="N362" s="141"/>
      <c r="O362" s="141"/>
      <c r="P362" s="141"/>
      <c r="Q362" s="141"/>
      <c r="R362" s="141"/>
      <c r="S362" s="141"/>
      <c r="T362" s="141"/>
      <c r="U362" s="141"/>
      <c r="V362" s="141"/>
      <c r="W362" s="141"/>
      <c r="X362" s="141"/>
      <c r="Y362" s="141"/>
      <c r="Z362" s="141"/>
      <c r="AA362" s="141"/>
      <c r="AB362" s="141"/>
      <c r="AC362" s="141"/>
      <c r="AD362" s="141"/>
      <c r="AE362" s="141"/>
      <c r="AF362" s="141"/>
      <c r="AG362" s="141"/>
      <c r="AH362" s="141"/>
      <c r="AI362" s="141"/>
      <c r="AJ362" s="141"/>
      <c r="AK362" s="141"/>
      <c r="AL362" s="141"/>
      <c r="AM362" s="141"/>
      <c r="AN362" s="141"/>
      <c r="AO362" s="141"/>
      <c r="AP362" s="141"/>
      <c r="AQ362" s="141"/>
      <c r="AR362" s="141"/>
      <c r="AS362" s="141"/>
      <c r="AT362" s="141"/>
      <c r="AU362" s="141"/>
      <c r="AV362" s="141"/>
      <c r="AW362" s="141"/>
      <c r="AX362" s="141"/>
      <c r="AY362" s="141"/>
      <c r="AZ362" s="141"/>
      <c r="BA362" s="141"/>
      <c r="BB362" s="141"/>
      <c r="BC362" s="141"/>
      <c r="BD362" s="141"/>
      <c r="BE362" s="141"/>
      <c r="BF362" s="141"/>
      <c r="BG362" s="141"/>
      <c r="BH362" s="141"/>
      <c r="BI362" s="141"/>
      <c r="BJ362" s="141"/>
      <c r="BK362" s="141"/>
      <c r="BL362" s="141"/>
      <c r="BM362" s="141"/>
      <c r="BN362" s="141"/>
      <c r="BO362" s="141"/>
      <c r="BP362" s="141"/>
      <c r="BQ362" s="141"/>
      <c r="BR362" s="141"/>
      <c r="BS362" s="141"/>
      <c r="BT362" s="141"/>
      <c r="BU362" s="141"/>
      <c r="BV362" s="141"/>
      <c r="BW362" s="141"/>
      <c r="BX362" s="141"/>
      <c r="BY362" s="141"/>
      <c r="BZ362" s="141"/>
      <c r="CA362" s="141"/>
      <c r="CB362" s="141"/>
      <c r="CC362" s="141"/>
      <c r="CD362" s="141"/>
      <c r="CE362" s="141"/>
      <c r="CF362" s="141"/>
      <c r="CG362" s="141"/>
      <c r="CH362" s="141"/>
      <c r="CI362" s="141"/>
      <c r="CJ362" s="141"/>
      <c r="CK362" s="141"/>
      <c r="CL362" s="141"/>
      <c r="CM362" s="141"/>
      <c r="CN362" s="141"/>
      <c r="CO362" s="141"/>
      <c r="CP362" s="141"/>
      <c r="CQ362" s="141"/>
      <c r="CR362" s="141"/>
      <c r="CS362" s="141"/>
      <c r="CT362" s="141"/>
      <c r="CU362" s="141"/>
      <c r="CV362" s="141"/>
      <c r="CW362" s="141"/>
      <c r="CX362" s="141"/>
      <c r="CY362" s="141"/>
      <c r="CZ362" s="141"/>
      <c r="DA362" s="173"/>
    </row>
    <row r="363" spans="2:105" x14ac:dyDescent="0.25">
      <c r="B363" s="172"/>
      <c r="C363" s="141"/>
      <c r="D363" s="141"/>
      <c r="E363" s="141"/>
      <c r="F363" s="141"/>
      <c r="G363" s="141"/>
      <c r="H363" s="141"/>
      <c r="I363" s="141"/>
      <c r="J363" s="141"/>
      <c r="K363" s="141"/>
      <c r="L363" s="141"/>
      <c r="M363" s="141"/>
      <c r="N363" s="141"/>
      <c r="O363" s="141"/>
      <c r="P363" s="141"/>
      <c r="Q363" s="141"/>
      <c r="R363" s="141"/>
      <c r="S363" s="141"/>
      <c r="T363" s="141"/>
      <c r="U363" s="141"/>
      <c r="V363" s="141"/>
      <c r="W363" s="141"/>
      <c r="X363" s="141"/>
      <c r="Y363" s="141"/>
      <c r="Z363" s="141"/>
      <c r="AA363" s="141"/>
      <c r="AB363" s="141"/>
      <c r="AC363" s="141"/>
      <c r="AD363" s="141"/>
      <c r="AE363" s="141"/>
      <c r="AF363" s="141"/>
      <c r="AG363" s="141"/>
      <c r="AH363" s="141"/>
      <c r="AI363" s="141"/>
      <c r="AJ363" s="141"/>
      <c r="AK363" s="141"/>
      <c r="AL363" s="141"/>
      <c r="AM363" s="141"/>
      <c r="AN363" s="141"/>
      <c r="AO363" s="141"/>
      <c r="AP363" s="141"/>
      <c r="AQ363" s="141"/>
      <c r="AR363" s="141"/>
      <c r="AS363" s="141"/>
      <c r="AT363" s="141"/>
      <c r="AU363" s="141"/>
      <c r="AV363" s="141"/>
      <c r="AW363" s="141"/>
      <c r="AX363" s="141"/>
      <c r="AY363" s="141"/>
      <c r="AZ363" s="141"/>
      <c r="BA363" s="141"/>
      <c r="BB363" s="141"/>
      <c r="BC363" s="141"/>
      <c r="BD363" s="141"/>
      <c r="BE363" s="141"/>
      <c r="BF363" s="141"/>
      <c r="BG363" s="141"/>
      <c r="BH363" s="141"/>
      <c r="BI363" s="141"/>
      <c r="BJ363" s="141"/>
      <c r="BK363" s="141"/>
      <c r="BL363" s="141"/>
      <c r="BM363" s="141"/>
      <c r="BN363" s="141"/>
      <c r="BO363" s="141"/>
      <c r="BP363" s="141"/>
      <c r="BQ363" s="141"/>
      <c r="BR363" s="141"/>
      <c r="BS363" s="141"/>
      <c r="BT363" s="141"/>
      <c r="BU363" s="141"/>
      <c r="BV363" s="141"/>
      <c r="BW363" s="141"/>
      <c r="BX363" s="141"/>
      <c r="BY363" s="141"/>
      <c r="BZ363" s="141"/>
      <c r="CA363" s="141"/>
      <c r="CB363" s="141"/>
      <c r="CC363" s="141"/>
      <c r="CD363" s="141"/>
      <c r="CE363" s="141"/>
      <c r="CF363" s="141"/>
      <c r="CG363" s="141"/>
      <c r="CH363" s="141"/>
      <c r="CI363" s="141"/>
      <c r="CJ363" s="141"/>
      <c r="CK363" s="141"/>
      <c r="CL363" s="141"/>
      <c r="CM363" s="141"/>
      <c r="CN363" s="141"/>
      <c r="CO363" s="141"/>
      <c r="CP363" s="141"/>
      <c r="CQ363" s="141"/>
      <c r="CR363" s="141"/>
      <c r="CS363" s="141"/>
      <c r="CT363" s="141"/>
      <c r="CU363" s="141"/>
      <c r="CV363" s="141"/>
      <c r="CW363" s="141"/>
      <c r="CX363" s="141"/>
      <c r="CY363" s="141"/>
      <c r="CZ363" s="141"/>
      <c r="DA363" s="173"/>
    </row>
    <row r="364" spans="2:105" x14ac:dyDescent="0.25">
      <c r="B364" s="172"/>
      <c r="C364" s="141"/>
      <c r="D364" s="141"/>
      <c r="E364" s="141"/>
      <c r="F364" s="141"/>
      <c r="G364" s="141"/>
      <c r="H364" s="141"/>
      <c r="I364" s="141"/>
      <c r="J364" s="141"/>
      <c r="K364" s="141"/>
      <c r="L364" s="141"/>
      <c r="M364" s="141"/>
      <c r="N364" s="141"/>
      <c r="O364" s="141"/>
      <c r="P364" s="141"/>
      <c r="Q364" s="141"/>
      <c r="R364" s="141"/>
      <c r="S364" s="141"/>
      <c r="T364" s="141"/>
      <c r="U364" s="141"/>
      <c r="V364" s="141"/>
      <c r="W364" s="141"/>
      <c r="X364" s="141"/>
      <c r="Y364" s="141"/>
      <c r="Z364" s="141"/>
      <c r="AA364" s="141"/>
      <c r="AB364" s="141"/>
      <c r="AC364" s="141"/>
      <c r="AD364" s="141"/>
      <c r="AE364" s="141"/>
      <c r="AF364" s="141"/>
      <c r="AG364" s="141"/>
      <c r="AH364" s="141"/>
      <c r="AI364" s="141"/>
      <c r="AJ364" s="141"/>
      <c r="AK364" s="141"/>
      <c r="AL364" s="141"/>
      <c r="AM364" s="141"/>
      <c r="AN364" s="141"/>
      <c r="AO364" s="141"/>
      <c r="AP364" s="141"/>
      <c r="AQ364" s="141"/>
      <c r="AR364" s="141"/>
      <c r="AS364" s="141"/>
      <c r="AT364" s="141"/>
      <c r="AU364" s="141"/>
      <c r="AV364" s="141"/>
      <c r="AW364" s="141"/>
      <c r="AX364" s="141"/>
      <c r="AY364" s="141"/>
      <c r="AZ364" s="141"/>
      <c r="BA364" s="141"/>
      <c r="BB364" s="141"/>
      <c r="BC364" s="141"/>
      <c r="BD364" s="141"/>
      <c r="BE364" s="141"/>
      <c r="BF364" s="141"/>
      <c r="BG364" s="141"/>
      <c r="BH364" s="141"/>
      <c r="BI364" s="141"/>
      <c r="BJ364" s="141"/>
      <c r="BK364" s="141"/>
      <c r="BL364" s="141"/>
      <c r="BM364" s="141"/>
      <c r="BN364" s="141"/>
      <c r="BO364" s="141"/>
      <c r="BP364" s="141"/>
      <c r="BQ364" s="141"/>
      <c r="BR364" s="141"/>
      <c r="BS364" s="141"/>
      <c r="BT364" s="141"/>
      <c r="BU364" s="141"/>
      <c r="BV364" s="141"/>
      <c r="BW364" s="141"/>
      <c r="BX364" s="141"/>
      <c r="BY364" s="141"/>
      <c r="BZ364" s="141"/>
      <c r="CA364" s="141"/>
      <c r="CB364" s="141"/>
      <c r="CC364" s="141"/>
      <c r="CD364" s="141"/>
      <c r="CE364" s="141"/>
      <c r="CF364" s="141"/>
      <c r="CG364" s="141"/>
      <c r="CH364" s="141"/>
      <c r="CI364" s="141"/>
      <c r="CJ364" s="141"/>
      <c r="CK364" s="141"/>
      <c r="CL364" s="141"/>
      <c r="CM364" s="141"/>
      <c r="CN364" s="141"/>
      <c r="CO364" s="141"/>
      <c r="CP364" s="141"/>
      <c r="CQ364" s="141"/>
      <c r="CR364" s="141"/>
      <c r="CS364" s="141"/>
      <c r="CT364" s="141"/>
      <c r="CU364" s="141"/>
      <c r="CV364" s="141"/>
      <c r="CW364" s="141"/>
      <c r="CX364" s="141"/>
      <c r="CY364" s="141"/>
      <c r="CZ364" s="141"/>
      <c r="DA364" s="173"/>
    </row>
    <row r="365" spans="2:105" x14ac:dyDescent="0.25">
      <c r="B365" s="172"/>
      <c r="C365" s="141"/>
      <c r="D365" s="141"/>
      <c r="E365" s="141"/>
      <c r="F365" s="141"/>
      <c r="G365" s="141"/>
      <c r="H365" s="141"/>
      <c r="I365" s="141"/>
      <c r="J365" s="141"/>
      <c r="K365" s="141"/>
      <c r="L365" s="141"/>
      <c r="M365" s="141"/>
      <c r="N365" s="141"/>
      <c r="O365" s="141"/>
      <c r="P365" s="141"/>
      <c r="Q365" s="141"/>
      <c r="R365" s="141"/>
      <c r="S365" s="141"/>
      <c r="T365" s="141"/>
      <c r="U365" s="141"/>
      <c r="V365" s="141"/>
      <c r="W365" s="141"/>
      <c r="X365" s="141"/>
      <c r="Y365" s="141"/>
      <c r="Z365" s="141"/>
      <c r="AA365" s="141"/>
      <c r="AB365" s="141"/>
      <c r="AC365" s="141"/>
      <c r="AD365" s="141"/>
      <c r="AE365" s="141"/>
      <c r="AF365" s="141"/>
      <c r="AG365" s="141"/>
      <c r="AH365" s="141"/>
      <c r="AI365" s="141"/>
      <c r="AJ365" s="141"/>
      <c r="AK365" s="141"/>
      <c r="AL365" s="141"/>
      <c r="AM365" s="141"/>
      <c r="AN365" s="141"/>
      <c r="AO365" s="141"/>
      <c r="AP365" s="141"/>
      <c r="AQ365" s="141"/>
      <c r="AR365" s="141"/>
      <c r="AS365" s="141"/>
      <c r="AT365" s="141"/>
      <c r="AU365" s="141"/>
      <c r="AV365" s="141"/>
      <c r="AW365" s="141"/>
      <c r="AX365" s="141"/>
      <c r="AY365" s="141"/>
      <c r="AZ365" s="141"/>
      <c r="BA365" s="141"/>
      <c r="BB365" s="141"/>
      <c r="BC365" s="141"/>
      <c r="BD365" s="141"/>
      <c r="BE365" s="141"/>
      <c r="BF365" s="141"/>
      <c r="BG365" s="141"/>
      <c r="BH365" s="141"/>
      <c r="BI365" s="141"/>
      <c r="BJ365" s="141"/>
      <c r="BK365" s="141"/>
      <c r="BL365" s="141"/>
      <c r="BM365" s="141"/>
      <c r="BN365" s="141"/>
      <c r="BO365" s="141"/>
      <c r="BP365" s="141"/>
      <c r="BQ365" s="141"/>
      <c r="BR365" s="141"/>
      <c r="BS365" s="141"/>
      <c r="BT365" s="141"/>
      <c r="BU365" s="141"/>
      <c r="BV365" s="141"/>
      <c r="BW365" s="141"/>
      <c r="BX365" s="141"/>
      <c r="BY365" s="141"/>
      <c r="BZ365" s="141"/>
      <c r="CA365" s="141"/>
      <c r="CB365" s="141"/>
      <c r="CC365" s="141"/>
      <c r="CD365" s="141"/>
      <c r="CE365" s="141"/>
      <c r="CF365" s="141"/>
      <c r="CG365" s="141"/>
      <c r="CH365" s="141"/>
      <c r="CI365" s="141"/>
      <c r="CJ365" s="141"/>
      <c r="CK365" s="141"/>
      <c r="CL365" s="141"/>
      <c r="CM365" s="141"/>
      <c r="CN365" s="141"/>
      <c r="CO365" s="141"/>
      <c r="CP365" s="141"/>
      <c r="CQ365" s="141"/>
      <c r="CR365" s="141"/>
      <c r="CS365" s="141"/>
      <c r="CT365" s="141"/>
      <c r="CU365" s="141"/>
      <c r="CV365" s="141"/>
      <c r="CW365" s="141"/>
      <c r="CX365" s="141"/>
      <c r="CY365" s="141"/>
      <c r="CZ365" s="141"/>
      <c r="DA365" s="173"/>
    </row>
    <row r="366" spans="2:105" x14ac:dyDescent="0.25">
      <c r="B366" s="172"/>
      <c r="C366" s="141"/>
      <c r="D366" s="141"/>
      <c r="E366" s="141"/>
      <c r="F366" s="141"/>
      <c r="G366" s="141"/>
      <c r="H366" s="141"/>
      <c r="I366" s="141"/>
      <c r="J366" s="141"/>
      <c r="K366" s="141"/>
      <c r="L366" s="141"/>
      <c r="M366" s="141"/>
      <c r="N366" s="141"/>
      <c r="O366" s="141"/>
      <c r="P366" s="141"/>
      <c r="Q366" s="141"/>
      <c r="R366" s="141"/>
      <c r="S366" s="141"/>
      <c r="T366" s="141"/>
      <c r="U366" s="141"/>
      <c r="V366" s="141"/>
      <c r="W366" s="141"/>
      <c r="X366" s="141"/>
      <c r="Y366" s="141"/>
      <c r="Z366" s="141"/>
      <c r="AA366" s="141"/>
      <c r="AB366" s="141"/>
      <c r="AC366" s="141"/>
      <c r="AD366" s="141"/>
      <c r="AE366" s="141"/>
      <c r="AF366" s="141"/>
      <c r="AG366" s="141"/>
      <c r="AH366" s="141"/>
      <c r="AI366" s="141"/>
      <c r="AJ366" s="141"/>
      <c r="AK366" s="141"/>
      <c r="AL366" s="141"/>
      <c r="AM366" s="141"/>
      <c r="AN366" s="141"/>
      <c r="AO366" s="141"/>
      <c r="AP366" s="141"/>
      <c r="AQ366" s="141"/>
      <c r="AR366" s="141"/>
      <c r="AS366" s="141"/>
      <c r="AT366" s="141"/>
      <c r="AU366" s="141"/>
      <c r="AV366" s="141"/>
      <c r="AW366" s="141"/>
      <c r="AX366" s="141"/>
      <c r="AY366" s="141"/>
      <c r="AZ366" s="141"/>
      <c r="BA366" s="141"/>
      <c r="BB366" s="141"/>
      <c r="BC366" s="141"/>
      <c r="BD366" s="141"/>
      <c r="BE366" s="141"/>
      <c r="BF366" s="141"/>
      <c r="BG366" s="141"/>
      <c r="BH366" s="141"/>
      <c r="BI366" s="141"/>
      <c r="BJ366" s="141"/>
      <c r="BK366" s="141"/>
      <c r="BL366" s="141"/>
      <c r="BM366" s="141"/>
      <c r="BN366" s="141"/>
      <c r="BO366" s="141"/>
      <c r="BP366" s="141"/>
      <c r="BQ366" s="141"/>
      <c r="BR366" s="141"/>
      <c r="BS366" s="141"/>
      <c r="BT366" s="141"/>
      <c r="BU366" s="141"/>
      <c r="BV366" s="141"/>
      <c r="BW366" s="141"/>
      <c r="BX366" s="141"/>
      <c r="BY366" s="141"/>
      <c r="BZ366" s="141"/>
      <c r="CA366" s="141"/>
      <c r="CB366" s="141"/>
      <c r="CC366" s="141"/>
      <c r="CD366" s="141"/>
      <c r="CE366" s="141"/>
      <c r="CF366" s="141"/>
      <c r="CG366" s="141"/>
      <c r="CH366" s="141"/>
      <c r="CI366" s="141"/>
      <c r="CJ366" s="141"/>
      <c r="CK366" s="141"/>
      <c r="CL366" s="141"/>
      <c r="CM366" s="141"/>
      <c r="CN366" s="141"/>
      <c r="CO366" s="141"/>
      <c r="CP366" s="141"/>
      <c r="CQ366" s="141"/>
      <c r="CR366" s="141"/>
      <c r="CS366" s="141"/>
      <c r="CT366" s="141"/>
      <c r="CU366" s="141"/>
      <c r="CV366" s="141"/>
      <c r="CW366" s="141"/>
      <c r="CX366" s="141"/>
      <c r="CY366" s="141"/>
      <c r="CZ366" s="141"/>
      <c r="DA366" s="173"/>
    </row>
    <row r="367" spans="2:105" x14ac:dyDescent="0.25">
      <c r="B367" s="172"/>
      <c r="C367" s="141"/>
      <c r="D367" s="141"/>
      <c r="E367" s="141"/>
      <c r="F367" s="141"/>
      <c r="G367" s="141"/>
      <c r="H367" s="141"/>
      <c r="I367" s="141"/>
      <c r="J367" s="141"/>
      <c r="K367" s="141"/>
      <c r="L367" s="141"/>
      <c r="M367" s="141"/>
      <c r="N367" s="141"/>
      <c r="O367" s="141"/>
      <c r="P367" s="141"/>
      <c r="Q367" s="141"/>
      <c r="R367" s="141"/>
      <c r="S367" s="141"/>
      <c r="T367" s="141"/>
      <c r="U367" s="141"/>
      <c r="V367" s="141"/>
      <c r="W367" s="141"/>
      <c r="X367" s="141"/>
      <c r="Y367" s="141"/>
      <c r="Z367" s="141"/>
      <c r="AA367" s="141"/>
      <c r="AB367" s="141"/>
      <c r="AC367" s="141"/>
      <c r="AD367" s="141"/>
      <c r="AE367" s="141"/>
      <c r="AF367" s="141"/>
      <c r="AG367" s="141"/>
      <c r="AH367" s="141"/>
      <c r="AI367" s="141"/>
      <c r="AJ367" s="141"/>
      <c r="AK367" s="141"/>
      <c r="AL367" s="141"/>
      <c r="AM367" s="141"/>
      <c r="AN367" s="141"/>
      <c r="AO367" s="141"/>
      <c r="AP367" s="141"/>
      <c r="AQ367" s="141"/>
      <c r="AR367" s="141"/>
      <c r="AS367" s="141"/>
      <c r="AT367" s="141"/>
      <c r="AU367" s="141"/>
      <c r="AV367" s="141"/>
      <c r="AW367" s="141"/>
      <c r="AX367" s="141"/>
      <c r="AY367" s="141"/>
      <c r="AZ367" s="141"/>
      <c r="BA367" s="141"/>
      <c r="BB367" s="141"/>
      <c r="BC367" s="141"/>
      <c r="BD367" s="141"/>
      <c r="BE367" s="141"/>
      <c r="BF367" s="141"/>
      <c r="BG367" s="141"/>
      <c r="BH367" s="141"/>
      <c r="BI367" s="141"/>
      <c r="BJ367" s="141"/>
      <c r="BK367" s="141"/>
      <c r="BL367" s="141"/>
      <c r="BM367" s="141"/>
      <c r="BN367" s="141"/>
      <c r="BO367" s="141"/>
      <c r="BP367" s="141"/>
      <c r="BQ367" s="141"/>
      <c r="BR367" s="141"/>
      <c r="BS367" s="141"/>
      <c r="BT367" s="141"/>
      <c r="BU367" s="141"/>
      <c r="BV367" s="141"/>
      <c r="BW367" s="141"/>
      <c r="BX367" s="141"/>
      <c r="BY367" s="141"/>
      <c r="BZ367" s="141"/>
      <c r="CA367" s="141"/>
      <c r="CB367" s="141"/>
      <c r="CC367" s="141"/>
      <c r="CD367" s="141"/>
      <c r="CE367" s="141"/>
      <c r="CF367" s="141"/>
      <c r="CG367" s="141"/>
      <c r="CH367" s="141"/>
      <c r="CI367" s="141"/>
      <c r="CJ367" s="141"/>
      <c r="CK367" s="141"/>
      <c r="CL367" s="141"/>
      <c r="CM367" s="141"/>
      <c r="CN367" s="141"/>
      <c r="CO367" s="141"/>
      <c r="CP367" s="141"/>
      <c r="CQ367" s="141"/>
      <c r="CR367" s="141"/>
      <c r="CS367" s="141"/>
      <c r="CT367" s="141"/>
      <c r="CU367" s="141"/>
      <c r="CV367" s="141"/>
      <c r="CW367" s="141"/>
      <c r="CX367" s="141"/>
      <c r="CY367" s="141"/>
      <c r="CZ367" s="141"/>
      <c r="DA367" s="173"/>
    </row>
    <row r="368" spans="2:105" x14ac:dyDescent="0.25">
      <c r="B368" s="172"/>
      <c r="C368" s="141"/>
      <c r="D368" s="141"/>
      <c r="E368" s="141"/>
      <c r="F368" s="141"/>
      <c r="G368" s="141"/>
      <c r="H368" s="141"/>
      <c r="I368" s="141"/>
      <c r="J368" s="141"/>
      <c r="K368" s="141"/>
      <c r="L368" s="141"/>
      <c r="M368" s="141"/>
      <c r="N368" s="141"/>
      <c r="O368" s="141"/>
      <c r="P368" s="141"/>
      <c r="Q368" s="141"/>
      <c r="R368" s="141"/>
      <c r="S368" s="141"/>
      <c r="T368" s="141"/>
      <c r="U368" s="141"/>
      <c r="V368" s="141"/>
      <c r="W368" s="141"/>
      <c r="X368" s="141"/>
      <c r="Y368" s="141"/>
      <c r="Z368" s="141"/>
      <c r="AA368" s="141"/>
      <c r="AB368" s="141"/>
      <c r="AC368" s="141"/>
      <c r="AD368" s="141"/>
      <c r="AE368" s="141"/>
      <c r="AF368" s="141"/>
      <c r="AG368" s="141"/>
      <c r="AH368" s="141"/>
      <c r="AI368" s="141"/>
      <c r="AJ368" s="141"/>
      <c r="AK368" s="141"/>
      <c r="AL368" s="141"/>
      <c r="AM368" s="141"/>
      <c r="AN368" s="141"/>
      <c r="AO368" s="141"/>
      <c r="AP368" s="141"/>
      <c r="AQ368" s="141"/>
      <c r="AR368" s="141"/>
      <c r="AS368" s="141"/>
      <c r="AT368" s="141"/>
      <c r="AU368" s="141"/>
      <c r="AV368" s="141"/>
      <c r="AW368" s="141"/>
      <c r="AX368" s="141"/>
      <c r="AY368" s="141"/>
      <c r="AZ368" s="141"/>
      <c r="BA368" s="141"/>
      <c r="BB368" s="141"/>
      <c r="BC368" s="141"/>
      <c r="BD368" s="141"/>
      <c r="BE368" s="141"/>
      <c r="BF368" s="141"/>
      <c r="BG368" s="141"/>
      <c r="BH368" s="141"/>
      <c r="BI368" s="141"/>
      <c r="BJ368" s="141"/>
      <c r="BK368" s="141"/>
      <c r="BL368" s="141"/>
      <c r="BM368" s="141"/>
      <c r="BN368" s="141"/>
      <c r="BO368" s="141"/>
      <c r="BP368" s="141"/>
      <c r="BQ368" s="141"/>
      <c r="BR368" s="141"/>
      <c r="BS368" s="141"/>
      <c r="BT368" s="141"/>
      <c r="BU368" s="141"/>
      <c r="BV368" s="141"/>
      <c r="BW368" s="141"/>
      <c r="BX368" s="141"/>
      <c r="BY368" s="141"/>
      <c r="BZ368" s="141"/>
      <c r="CA368" s="141"/>
      <c r="CB368" s="141"/>
      <c r="CC368" s="141"/>
      <c r="CD368" s="141"/>
      <c r="CE368" s="141"/>
      <c r="CF368" s="141"/>
      <c r="CG368" s="141"/>
      <c r="CH368" s="141"/>
      <c r="CI368" s="141"/>
      <c r="CJ368" s="141"/>
      <c r="CK368" s="141"/>
      <c r="CL368" s="141"/>
      <c r="CM368" s="141"/>
      <c r="CN368" s="141"/>
      <c r="CO368" s="141"/>
      <c r="CP368" s="141"/>
      <c r="CQ368" s="141"/>
      <c r="CR368" s="141"/>
      <c r="CS368" s="141"/>
      <c r="CT368" s="141"/>
      <c r="CU368" s="141"/>
      <c r="CV368" s="141"/>
      <c r="CW368" s="141"/>
      <c r="CX368" s="141"/>
      <c r="CY368" s="141"/>
      <c r="CZ368" s="141"/>
      <c r="DA368" s="173"/>
    </row>
    <row r="369" spans="2:105" x14ac:dyDescent="0.25">
      <c r="B369" s="172"/>
      <c r="C369" s="141"/>
      <c r="D369" s="141"/>
      <c r="E369" s="141"/>
      <c r="F369" s="141"/>
      <c r="G369" s="141"/>
      <c r="H369" s="141"/>
      <c r="I369" s="141"/>
      <c r="J369" s="141"/>
      <c r="K369" s="141"/>
      <c r="L369" s="141"/>
      <c r="M369" s="141"/>
      <c r="N369" s="141"/>
      <c r="O369" s="141"/>
      <c r="P369" s="141"/>
      <c r="Q369" s="141"/>
      <c r="R369" s="141"/>
      <c r="S369" s="141"/>
      <c r="T369" s="141"/>
      <c r="U369" s="141"/>
      <c r="V369" s="141"/>
      <c r="W369" s="141"/>
      <c r="X369" s="141"/>
      <c r="Y369" s="141"/>
      <c r="Z369" s="141"/>
      <c r="AA369" s="141"/>
      <c r="AB369" s="141"/>
      <c r="AC369" s="141"/>
      <c r="AD369" s="141"/>
      <c r="AE369" s="141"/>
      <c r="AF369" s="141"/>
      <c r="AG369" s="141"/>
      <c r="AH369" s="141"/>
      <c r="AI369" s="141"/>
      <c r="AJ369" s="141"/>
      <c r="AK369" s="141"/>
      <c r="AL369" s="141"/>
      <c r="AM369" s="141"/>
      <c r="AN369" s="141"/>
      <c r="AO369" s="141"/>
      <c r="AP369" s="141"/>
      <c r="AQ369" s="141"/>
      <c r="AR369" s="141"/>
      <c r="AS369" s="141"/>
      <c r="AT369" s="141"/>
      <c r="AU369" s="141"/>
      <c r="AV369" s="141"/>
      <c r="AW369" s="141"/>
      <c r="AX369" s="141"/>
      <c r="AY369" s="141"/>
      <c r="AZ369" s="141"/>
      <c r="BA369" s="141"/>
      <c r="BB369" s="141"/>
      <c r="BC369" s="141"/>
      <c r="BD369" s="141"/>
      <c r="BE369" s="141"/>
      <c r="BF369" s="141"/>
      <c r="BG369" s="141"/>
      <c r="BH369" s="141"/>
      <c r="BI369" s="141"/>
      <c r="BJ369" s="141"/>
      <c r="BK369" s="141"/>
      <c r="BL369" s="141"/>
      <c r="BM369" s="141"/>
      <c r="BN369" s="141"/>
      <c r="BO369" s="141"/>
      <c r="BP369" s="141"/>
      <c r="BQ369" s="141"/>
      <c r="BR369" s="141"/>
      <c r="BS369" s="141"/>
      <c r="BT369" s="141"/>
      <c r="BU369" s="141"/>
      <c r="BV369" s="141"/>
      <c r="BW369" s="141"/>
      <c r="BX369" s="141"/>
      <c r="BY369" s="141"/>
      <c r="BZ369" s="141"/>
      <c r="CA369" s="141"/>
      <c r="CB369" s="141"/>
      <c r="CC369" s="141"/>
      <c r="CD369" s="141"/>
      <c r="CE369" s="141"/>
      <c r="CF369" s="141"/>
      <c r="CG369" s="141"/>
      <c r="CH369" s="141"/>
      <c r="CI369" s="141"/>
      <c r="CJ369" s="141"/>
      <c r="CK369" s="141"/>
      <c r="CL369" s="141"/>
      <c r="CM369" s="141"/>
      <c r="CN369" s="141"/>
      <c r="CO369" s="141"/>
      <c r="CP369" s="141"/>
      <c r="CQ369" s="141"/>
      <c r="CR369" s="141"/>
      <c r="CS369" s="141"/>
      <c r="CT369" s="141"/>
      <c r="CU369" s="141"/>
      <c r="CV369" s="141"/>
      <c r="CW369" s="141"/>
      <c r="CX369" s="141"/>
      <c r="CY369" s="141"/>
      <c r="CZ369" s="141"/>
      <c r="DA369" s="173"/>
    </row>
    <row r="370" spans="2:105" x14ac:dyDescent="0.25">
      <c r="B370" s="172"/>
      <c r="C370" s="141"/>
      <c r="D370" s="141"/>
      <c r="E370" s="141"/>
      <c r="F370" s="141"/>
      <c r="G370" s="141"/>
      <c r="H370" s="141"/>
      <c r="I370" s="141"/>
      <c r="J370" s="141"/>
      <c r="K370" s="141"/>
      <c r="L370" s="141"/>
      <c r="M370" s="141"/>
      <c r="N370" s="141"/>
      <c r="O370" s="141"/>
      <c r="P370" s="141"/>
      <c r="Q370" s="141"/>
      <c r="R370" s="141"/>
      <c r="S370" s="141"/>
      <c r="T370" s="141"/>
      <c r="U370" s="141"/>
      <c r="V370" s="141"/>
      <c r="W370" s="141"/>
      <c r="X370" s="141"/>
      <c r="Y370" s="141"/>
      <c r="Z370" s="141"/>
      <c r="AA370" s="141"/>
      <c r="AB370" s="141"/>
      <c r="AC370" s="141"/>
      <c r="AD370" s="141"/>
      <c r="AE370" s="141"/>
      <c r="AF370" s="141"/>
      <c r="AG370" s="141"/>
      <c r="AH370" s="141"/>
      <c r="AI370" s="141"/>
      <c r="AJ370" s="141"/>
      <c r="AK370" s="141"/>
      <c r="AL370" s="141"/>
      <c r="AM370" s="141"/>
      <c r="AN370" s="141"/>
      <c r="AO370" s="141"/>
      <c r="AP370" s="141"/>
      <c r="AQ370" s="141"/>
      <c r="AR370" s="141"/>
      <c r="AS370" s="141"/>
      <c r="AT370" s="141"/>
      <c r="AU370" s="141"/>
      <c r="AV370" s="141"/>
      <c r="AW370" s="141"/>
      <c r="AX370" s="141"/>
      <c r="AY370" s="141"/>
      <c r="AZ370" s="141"/>
      <c r="BA370" s="141"/>
      <c r="BB370" s="141"/>
      <c r="BC370" s="141"/>
      <c r="BD370" s="141"/>
      <c r="BE370" s="141"/>
      <c r="BF370" s="141"/>
      <c r="BG370" s="141"/>
      <c r="BH370" s="141"/>
      <c r="BI370" s="141"/>
      <c r="BJ370" s="141"/>
      <c r="BK370" s="141"/>
      <c r="BL370" s="141"/>
      <c r="BM370" s="141"/>
      <c r="BN370" s="141"/>
      <c r="BO370" s="141"/>
      <c r="BP370" s="141"/>
      <c r="BQ370" s="141"/>
      <c r="BR370" s="141"/>
      <c r="BS370" s="141"/>
      <c r="BT370" s="141"/>
      <c r="BU370" s="141"/>
      <c r="BV370" s="141"/>
      <c r="BW370" s="141"/>
      <c r="BX370" s="141"/>
      <c r="BY370" s="141"/>
      <c r="BZ370" s="141"/>
      <c r="CA370" s="141"/>
      <c r="CB370" s="141"/>
      <c r="CC370" s="141"/>
      <c r="CD370" s="141"/>
      <c r="CE370" s="141"/>
      <c r="CF370" s="141"/>
      <c r="CG370" s="141"/>
      <c r="CH370" s="141"/>
      <c r="CI370" s="141"/>
      <c r="CJ370" s="141"/>
      <c r="CK370" s="141"/>
      <c r="CL370" s="141"/>
      <c r="CM370" s="141"/>
      <c r="CN370" s="141"/>
      <c r="CO370" s="141"/>
      <c r="CP370" s="141"/>
      <c r="CQ370" s="141"/>
      <c r="CR370" s="141"/>
      <c r="CS370" s="141"/>
      <c r="CT370" s="141"/>
      <c r="CU370" s="141"/>
      <c r="CV370" s="141"/>
      <c r="CW370" s="141"/>
      <c r="CX370" s="141"/>
      <c r="CY370" s="141"/>
      <c r="CZ370" s="141"/>
      <c r="DA370" s="173"/>
    </row>
    <row r="371" spans="2:105" x14ac:dyDescent="0.25">
      <c r="B371" s="172"/>
      <c r="C371" s="141"/>
      <c r="D371" s="141"/>
      <c r="E371" s="141"/>
      <c r="F371" s="141"/>
      <c r="G371" s="141"/>
      <c r="H371" s="141"/>
      <c r="I371" s="141"/>
      <c r="J371" s="141"/>
      <c r="K371" s="141"/>
      <c r="L371" s="141"/>
      <c r="M371" s="141"/>
      <c r="N371" s="141"/>
      <c r="O371" s="141"/>
      <c r="P371" s="141"/>
      <c r="Q371" s="141"/>
      <c r="R371" s="141"/>
      <c r="S371" s="141"/>
      <c r="T371" s="141"/>
      <c r="U371" s="141"/>
      <c r="V371" s="141"/>
      <c r="W371" s="141"/>
      <c r="X371" s="141"/>
      <c r="Y371" s="141"/>
      <c r="Z371" s="141"/>
      <c r="AA371" s="141"/>
      <c r="AB371" s="141"/>
      <c r="AC371" s="141"/>
      <c r="AD371" s="141"/>
      <c r="AE371" s="141"/>
      <c r="AF371" s="141"/>
      <c r="AG371" s="141"/>
      <c r="AH371" s="141"/>
      <c r="AI371" s="141"/>
      <c r="AJ371" s="141"/>
      <c r="AK371" s="141"/>
      <c r="AL371" s="141"/>
      <c r="AM371" s="141"/>
      <c r="AN371" s="141"/>
      <c r="AO371" s="141"/>
      <c r="AP371" s="141"/>
      <c r="AQ371" s="141"/>
      <c r="AR371" s="141"/>
      <c r="AS371" s="141"/>
      <c r="AT371" s="141"/>
      <c r="AU371" s="141"/>
      <c r="AV371" s="141"/>
      <c r="AW371" s="141"/>
      <c r="AX371" s="141"/>
      <c r="AY371" s="141"/>
      <c r="AZ371" s="141"/>
      <c r="BA371" s="141"/>
      <c r="BB371" s="141"/>
      <c r="BC371" s="141"/>
      <c r="BD371" s="141"/>
      <c r="BE371" s="141"/>
      <c r="BF371" s="141"/>
      <c r="BG371" s="141"/>
      <c r="BH371" s="141"/>
      <c r="BI371" s="141"/>
      <c r="BJ371" s="141"/>
      <c r="BK371" s="141"/>
      <c r="BL371" s="141"/>
      <c r="BM371" s="141"/>
      <c r="BN371" s="141"/>
      <c r="BO371" s="141"/>
      <c r="BP371" s="141"/>
      <c r="BQ371" s="141"/>
      <c r="BR371" s="141"/>
      <c r="BS371" s="141"/>
      <c r="BT371" s="141"/>
      <c r="BU371" s="141"/>
      <c r="BV371" s="141"/>
      <c r="BW371" s="141"/>
      <c r="BX371" s="141"/>
      <c r="BY371" s="141"/>
      <c r="BZ371" s="141"/>
      <c r="CA371" s="141"/>
      <c r="CB371" s="141"/>
      <c r="CC371" s="141"/>
      <c r="CD371" s="141"/>
      <c r="CE371" s="141"/>
      <c r="CF371" s="141"/>
      <c r="CG371" s="141"/>
      <c r="CH371" s="141"/>
      <c r="CI371" s="141"/>
      <c r="CJ371" s="141"/>
      <c r="CK371" s="141"/>
      <c r="CL371" s="141"/>
      <c r="CM371" s="141"/>
      <c r="CN371" s="141"/>
      <c r="CO371" s="141"/>
      <c r="CP371" s="141"/>
      <c r="CQ371" s="141"/>
      <c r="CR371" s="141"/>
      <c r="CS371" s="141"/>
      <c r="CT371" s="141"/>
      <c r="CU371" s="141"/>
      <c r="CV371" s="141"/>
      <c r="CW371" s="141"/>
      <c r="CX371" s="141"/>
      <c r="CY371" s="141"/>
      <c r="CZ371" s="141"/>
      <c r="DA371" s="173"/>
    </row>
    <row r="372" spans="2:105" x14ac:dyDescent="0.25">
      <c r="B372" s="172"/>
      <c r="C372" s="141"/>
      <c r="D372" s="141"/>
      <c r="E372" s="141"/>
      <c r="F372" s="141"/>
      <c r="G372" s="141"/>
      <c r="H372" s="141"/>
      <c r="I372" s="141"/>
      <c r="J372" s="141"/>
      <c r="K372" s="141"/>
      <c r="L372" s="141"/>
      <c r="M372" s="141"/>
      <c r="N372" s="141"/>
      <c r="O372" s="141"/>
      <c r="P372" s="141"/>
      <c r="Q372" s="141"/>
      <c r="R372" s="141"/>
      <c r="S372" s="141"/>
      <c r="T372" s="141"/>
      <c r="U372" s="141"/>
      <c r="V372" s="141"/>
      <c r="W372" s="141"/>
      <c r="X372" s="141"/>
      <c r="Y372" s="141"/>
      <c r="Z372" s="141"/>
      <c r="AA372" s="141"/>
      <c r="AB372" s="141"/>
      <c r="AC372" s="141"/>
      <c r="AD372" s="141"/>
      <c r="AE372" s="141"/>
      <c r="AF372" s="141"/>
      <c r="AG372" s="141"/>
      <c r="AH372" s="141"/>
      <c r="AI372" s="141"/>
      <c r="AJ372" s="141"/>
      <c r="AK372" s="141"/>
      <c r="AL372" s="141"/>
      <c r="AM372" s="141"/>
      <c r="AN372" s="141"/>
      <c r="AO372" s="141"/>
      <c r="AP372" s="141"/>
      <c r="AQ372" s="141"/>
      <c r="AR372" s="141"/>
      <c r="AS372" s="141"/>
      <c r="AT372" s="141"/>
      <c r="AU372" s="141"/>
      <c r="AV372" s="141"/>
      <c r="AW372" s="141"/>
      <c r="AX372" s="141"/>
      <c r="AY372" s="141"/>
      <c r="AZ372" s="141"/>
      <c r="BA372" s="141"/>
      <c r="BB372" s="141"/>
      <c r="BC372" s="141"/>
      <c r="BD372" s="141"/>
      <c r="BE372" s="141"/>
      <c r="BF372" s="141"/>
      <c r="BG372" s="141"/>
      <c r="BH372" s="141"/>
      <c r="BI372" s="141"/>
      <c r="BJ372" s="141"/>
      <c r="BK372" s="141"/>
      <c r="BL372" s="141"/>
      <c r="BM372" s="141"/>
      <c r="BN372" s="141"/>
      <c r="BO372" s="141"/>
      <c r="BP372" s="141"/>
      <c r="BQ372" s="141"/>
      <c r="BR372" s="141"/>
      <c r="BS372" s="141"/>
      <c r="BT372" s="141"/>
      <c r="BU372" s="141"/>
      <c r="BV372" s="141"/>
      <c r="BW372" s="141"/>
      <c r="BX372" s="141"/>
      <c r="BY372" s="141"/>
      <c r="BZ372" s="141"/>
      <c r="CA372" s="141"/>
      <c r="CB372" s="141"/>
      <c r="CC372" s="141"/>
      <c r="CD372" s="141"/>
      <c r="CE372" s="141"/>
      <c r="CF372" s="141"/>
      <c r="CG372" s="141"/>
      <c r="CH372" s="141"/>
      <c r="CI372" s="141"/>
      <c r="CJ372" s="141"/>
      <c r="CK372" s="141"/>
      <c r="CL372" s="141"/>
      <c r="CM372" s="141"/>
      <c r="CN372" s="141"/>
      <c r="CO372" s="141"/>
      <c r="CP372" s="141"/>
      <c r="CQ372" s="141"/>
      <c r="CR372" s="141"/>
      <c r="CS372" s="141"/>
      <c r="CT372" s="141"/>
      <c r="CU372" s="141"/>
      <c r="CV372" s="141"/>
      <c r="CW372" s="141"/>
      <c r="CX372" s="141"/>
      <c r="CY372" s="141"/>
      <c r="CZ372" s="141"/>
      <c r="DA372" s="173"/>
    </row>
    <row r="373" spans="2:105" x14ac:dyDescent="0.25">
      <c r="B373" s="172"/>
      <c r="C373" s="141"/>
      <c r="D373" s="141"/>
      <c r="E373" s="141"/>
      <c r="F373" s="141"/>
      <c r="G373" s="141"/>
      <c r="H373" s="141"/>
      <c r="I373" s="141"/>
      <c r="J373" s="141"/>
      <c r="K373" s="141"/>
      <c r="L373" s="141"/>
      <c r="M373" s="141"/>
      <c r="N373" s="141"/>
      <c r="O373" s="141"/>
      <c r="P373" s="141"/>
      <c r="Q373" s="141"/>
      <c r="R373" s="141"/>
      <c r="S373" s="141"/>
      <c r="T373" s="141"/>
      <c r="U373" s="141"/>
      <c r="V373" s="141"/>
      <c r="W373" s="141"/>
      <c r="X373" s="141"/>
      <c r="Y373" s="141"/>
      <c r="Z373" s="141"/>
      <c r="AA373" s="141"/>
      <c r="AB373" s="141"/>
      <c r="AC373" s="141"/>
      <c r="AD373" s="141"/>
      <c r="AE373" s="141"/>
      <c r="AF373" s="141"/>
      <c r="AG373" s="141"/>
      <c r="AH373" s="141"/>
      <c r="AI373" s="141"/>
      <c r="AJ373" s="141"/>
      <c r="AK373" s="141"/>
      <c r="AL373" s="141"/>
      <c r="AM373" s="141"/>
      <c r="AN373" s="141"/>
      <c r="AO373" s="141"/>
      <c r="AP373" s="141"/>
      <c r="AQ373" s="141"/>
      <c r="AR373" s="141"/>
      <c r="AS373" s="141"/>
      <c r="AT373" s="141"/>
      <c r="AU373" s="141"/>
      <c r="AV373" s="141"/>
      <c r="AW373" s="141"/>
      <c r="AX373" s="141"/>
      <c r="AY373" s="141"/>
      <c r="AZ373" s="141"/>
      <c r="BA373" s="141"/>
      <c r="BB373" s="141"/>
      <c r="BC373" s="141"/>
      <c r="BD373" s="141"/>
      <c r="BE373" s="141"/>
      <c r="BF373" s="141"/>
      <c r="BG373" s="141"/>
      <c r="BH373" s="141"/>
      <c r="BI373" s="141"/>
      <c r="BJ373" s="141"/>
      <c r="BK373" s="141"/>
      <c r="BL373" s="141"/>
      <c r="BM373" s="141"/>
      <c r="BN373" s="141"/>
      <c r="BO373" s="141"/>
      <c r="BP373" s="141"/>
      <c r="BQ373" s="141"/>
      <c r="BR373" s="141"/>
      <c r="BS373" s="141"/>
      <c r="BT373" s="141"/>
      <c r="BU373" s="141"/>
      <c r="BV373" s="141"/>
      <c r="BW373" s="141"/>
      <c r="BX373" s="141"/>
      <c r="BY373" s="141"/>
      <c r="BZ373" s="141"/>
      <c r="CA373" s="141"/>
      <c r="CB373" s="141"/>
      <c r="CC373" s="141"/>
      <c r="CD373" s="141"/>
      <c r="CE373" s="141"/>
      <c r="CF373" s="141"/>
      <c r="CG373" s="141"/>
      <c r="CH373" s="141"/>
      <c r="CI373" s="141"/>
      <c r="CJ373" s="141"/>
      <c r="CK373" s="141"/>
      <c r="CL373" s="141"/>
      <c r="CM373" s="141"/>
      <c r="CN373" s="141"/>
      <c r="CO373" s="141"/>
      <c r="CP373" s="141"/>
      <c r="CQ373" s="141"/>
      <c r="CR373" s="141"/>
      <c r="CS373" s="141"/>
      <c r="CT373" s="141"/>
      <c r="CU373" s="141"/>
      <c r="CV373" s="141"/>
      <c r="CW373" s="141"/>
      <c r="CX373" s="141"/>
      <c r="CY373" s="141"/>
      <c r="CZ373" s="141"/>
      <c r="DA373" s="173"/>
    </row>
    <row r="374" spans="2:105" x14ac:dyDescent="0.25">
      <c r="B374" s="172"/>
      <c r="C374" s="141"/>
      <c r="D374" s="141"/>
      <c r="E374" s="141"/>
      <c r="F374" s="141"/>
      <c r="G374" s="141"/>
      <c r="H374" s="141"/>
      <c r="I374" s="141"/>
      <c r="J374" s="141"/>
      <c r="K374" s="141"/>
      <c r="L374" s="141"/>
      <c r="M374" s="141"/>
      <c r="N374" s="141"/>
      <c r="O374" s="141"/>
      <c r="P374" s="141"/>
      <c r="Q374" s="141"/>
      <c r="R374" s="141"/>
      <c r="S374" s="141"/>
      <c r="T374" s="141"/>
      <c r="U374" s="141"/>
      <c r="V374" s="141"/>
      <c r="W374" s="141"/>
      <c r="X374" s="141"/>
      <c r="Y374" s="141"/>
      <c r="Z374" s="141"/>
      <c r="AA374" s="141"/>
      <c r="AB374" s="141"/>
      <c r="AC374" s="141"/>
      <c r="AD374" s="141"/>
      <c r="AE374" s="141"/>
      <c r="AF374" s="141"/>
      <c r="AG374" s="141"/>
      <c r="AH374" s="141"/>
      <c r="AI374" s="141"/>
      <c r="AJ374" s="141"/>
      <c r="AK374" s="141"/>
      <c r="AL374" s="141"/>
      <c r="AM374" s="141"/>
      <c r="AN374" s="141"/>
      <c r="AO374" s="141"/>
      <c r="AP374" s="141"/>
      <c r="AQ374" s="141"/>
      <c r="AR374" s="141"/>
      <c r="AS374" s="141"/>
      <c r="AT374" s="141"/>
      <c r="AU374" s="141"/>
      <c r="AV374" s="141"/>
      <c r="AW374" s="141"/>
      <c r="AX374" s="141"/>
      <c r="AY374" s="141"/>
      <c r="AZ374" s="141"/>
      <c r="BA374" s="141"/>
      <c r="BB374" s="141"/>
      <c r="BC374" s="141"/>
      <c r="BD374" s="141"/>
      <c r="BE374" s="141"/>
      <c r="BF374" s="141"/>
      <c r="BG374" s="141"/>
      <c r="BH374" s="141"/>
      <c r="BI374" s="141"/>
      <c r="BJ374" s="141"/>
      <c r="BK374" s="141"/>
      <c r="BL374" s="141"/>
      <c r="BM374" s="141"/>
      <c r="BN374" s="141"/>
      <c r="BO374" s="141"/>
      <c r="BP374" s="141"/>
      <c r="BQ374" s="141"/>
      <c r="BR374" s="141"/>
      <c r="BS374" s="141"/>
      <c r="BT374" s="141"/>
      <c r="BU374" s="141"/>
      <c r="BV374" s="141"/>
      <c r="BW374" s="141"/>
      <c r="BX374" s="141"/>
      <c r="BY374" s="141"/>
      <c r="BZ374" s="141"/>
      <c r="CA374" s="141"/>
      <c r="CB374" s="141"/>
      <c r="CC374" s="141"/>
      <c r="CD374" s="141"/>
      <c r="CE374" s="141"/>
      <c r="CF374" s="141"/>
      <c r="CG374" s="141"/>
      <c r="CH374" s="141"/>
      <c r="CI374" s="141"/>
      <c r="CJ374" s="141"/>
      <c r="CK374" s="141"/>
      <c r="CL374" s="141"/>
      <c r="CM374" s="141"/>
      <c r="CN374" s="141"/>
      <c r="CO374" s="141"/>
      <c r="CP374" s="141"/>
      <c r="CQ374" s="141"/>
      <c r="CR374" s="141"/>
      <c r="CS374" s="141"/>
      <c r="CT374" s="141"/>
      <c r="CU374" s="141"/>
      <c r="CV374" s="141"/>
      <c r="CW374" s="141"/>
      <c r="CX374" s="141"/>
      <c r="CY374" s="141"/>
      <c r="CZ374" s="141"/>
      <c r="DA374" s="173"/>
    </row>
    <row r="375" spans="2:105" x14ac:dyDescent="0.25">
      <c r="B375" s="172"/>
      <c r="C375" s="141"/>
      <c r="D375" s="141"/>
      <c r="E375" s="141"/>
      <c r="F375" s="141"/>
      <c r="G375" s="141"/>
      <c r="H375" s="141"/>
      <c r="I375" s="141"/>
      <c r="J375" s="141"/>
      <c r="K375" s="141"/>
      <c r="L375" s="141"/>
      <c r="M375" s="141"/>
      <c r="N375" s="141"/>
      <c r="O375" s="141"/>
      <c r="P375" s="141"/>
      <c r="Q375" s="141"/>
      <c r="R375" s="141"/>
      <c r="S375" s="141"/>
      <c r="T375" s="141"/>
      <c r="U375" s="141"/>
      <c r="V375" s="141"/>
      <c r="W375" s="141"/>
      <c r="X375" s="141"/>
      <c r="Y375" s="141"/>
      <c r="Z375" s="141"/>
      <c r="AA375" s="141"/>
      <c r="AB375" s="141"/>
      <c r="AC375" s="141"/>
      <c r="AD375" s="141"/>
      <c r="AE375" s="141"/>
      <c r="AF375" s="141"/>
      <c r="AG375" s="141"/>
      <c r="AH375" s="141"/>
      <c r="AI375" s="141"/>
      <c r="AJ375" s="141"/>
      <c r="AK375" s="141"/>
      <c r="AL375" s="141"/>
      <c r="AM375" s="141"/>
      <c r="AN375" s="141"/>
      <c r="AO375" s="141"/>
      <c r="AP375" s="141"/>
      <c r="AQ375" s="141"/>
      <c r="AR375" s="141"/>
      <c r="AS375" s="141"/>
      <c r="AT375" s="141"/>
      <c r="AU375" s="141"/>
      <c r="AV375" s="141"/>
      <c r="AW375" s="141"/>
      <c r="AX375" s="141"/>
      <c r="AY375" s="141"/>
      <c r="AZ375" s="141"/>
      <c r="BA375" s="141"/>
      <c r="BB375" s="141"/>
      <c r="BC375" s="141"/>
      <c r="BD375" s="141"/>
      <c r="BE375" s="141"/>
      <c r="BF375" s="141"/>
      <c r="BG375" s="141"/>
      <c r="BH375" s="141"/>
      <c r="BI375" s="141"/>
      <c r="BJ375" s="141"/>
      <c r="BK375" s="141"/>
      <c r="BL375" s="141"/>
      <c r="BM375" s="141"/>
      <c r="BN375" s="141"/>
      <c r="BO375" s="141"/>
      <c r="BP375" s="141"/>
      <c r="BQ375" s="141"/>
      <c r="BR375" s="141"/>
      <c r="BS375" s="141"/>
      <c r="BT375" s="141"/>
      <c r="BU375" s="141"/>
      <c r="BV375" s="141"/>
      <c r="BW375" s="141"/>
      <c r="BX375" s="141"/>
      <c r="BY375" s="141"/>
      <c r="BZ375" s="141"/>
      <c r="CA375" s="141"/>
      <c r="CB375" s="141"/>
      <c r="CC375" s="141"/>
      <c r="CD375" s="141"/>
      <c r="CE375" s="141"/>
      <c r="CF375" s="141"/>
      <c r="CG375" s="141"/>
      <c r="CH375" s="141"/>
      <c r="CI375" s="141"/>
      <c r="CJ375" s="141"/>
      <c r="CK375" s="141"/>
      <c r="CL375" s="141"/>
      <c r="CM375" s="141"/>
      <c r="CN375" s="141"/>
      <c r="CO375" s="141"/>
      <c r="CP375" s="141"/>
      <c r="CQ375" s="141"/>
      <c r="CR375" s="141"/>
      <c r="CS375" s="141"/>
      <c r="CT375" s="141"/>
      <c r="CU375" s="141"/>
      <c r="CV375" s="141"/>
      <c r="CW375" s="141"/>
      <c r="CX375" s="141"/>
      <c r="CY375" s="141"/>
      <c r="CZ375" s="141"/>
      <c r="DA375" s="173"/>
    </row>
    <row r="376" spans="2:105" x14ac:dyDescent="0.25">
      <c r="B376" s="172"/>
      <c r="C376" s="141"/>
      <c r="D376" s="141"/>
      <c r="E376" s="141"/>
      <c r="F376" s="141"/>
      <c r="G376" s="141"/>
      <c r="H376" s="141"/>
      <c r="I376" s="141"/>
      <c r="J376" s="141"/>
      <c r="K376" s="141"/>
      <c r="L376" s="141"/>
      <c r="M376" s="141"/>
      <c r="N376" s="141"/>
      <c r="O376" s="141"/>
      <c r="P376" s="141"/>
      <c r="Q376" s="141"/>
      <c r="R376" s="141"/>
      <c r="S376" s="141"/>
      <c r="T376" s="141"/>
      <c r="U376" s="141"/>
      <c r="V376" s="141"/>
      <c r="W376" s="141"/>
      <c r="X376" s="141"/>
      <c r="Y376" s="141"/>
      <c r="Z376" s="141"/>
      <c r="AA376" s="141"/>
      <c r="AB376" s="141"/>
      <c r="AC376" s="141"/>
      <c r="AD376" s="141"/>
      <c r="AE376" s="141"/>
      <c r="AF376" s="141"/>
      <c r="AG376" s="141"/>
      <c r="AH376" s="141"/>
      <c r="AI376" s="141"/>
      <c r="AJ376" s="141"/>
      <c r="AK376" s="141"/>
      <c r="AL376" s="141"/>
      <c r="AM376" s="141"/>
      <c r="AN376" s="141"/>
      <c r="AO376" s="141"/>
      <c r="AP376" s="141"/>
      <c r="AQ376" s="141"/>
      <c r="AR376" s="141"/>
      <c r="AS376" s="141"/>
      <c r="AT376" s="141"/>
      <c r="AU376" s="141"/>
      <c r="AV376" s="141"/>
      <c r="AW376" s="141"/>
      <c r="AX376" s="141"/>
      <c r="AY376" s="141"/>
      <c r="AZ376" s="141"/>
      <c r="BA376" s="141"/>
      <c r="BB376" s="141"/>
      <c r="BC376" s="141"/>
      <c r="BD376" s="141"/>
      <c r="BE376" s="141"/>
      <c r="BF376" s="141"/>
      <c r="BG376" s="141"/>
      <c r="BH376" s="141"/>
      <c r="BI376" s="141"/>
      <c r="BJ376" s="141"/>
      <c r="BK376" s="141"/>
      <c r="BL376" s="141"/>
      <c r="BM376" s="141"/>
      <c r="BN376" s="141"/>
      <c r="BO376" s="141"/>
      <c r="BP376" s="141"/>
      <c r="BQ376" s="141"/>
      <c r="BR376" s="141"/>
      <c r="BS376" s="141"/>
      <c r="BT376" s="141"/>
      <c r="BU376" s="141"/>
      <c r="BV376" s="141"/>
      <c r="BW376" s="141"/>
      <c r="BX376" s="141"/>
      <c r="BY376" s="141"/>
      <c r="BZ376" s="141"/>
      <c r="CA376" s="141"/>
      <c r="CB376" s="141"/>
      <c r="CC376" s="141"/>
      <c r="CD376" s="141"/>
      <c r="CE376" s="141"/>
      <c r="CF376" s="141"/>
      <c r="CG376" s="141"/>
      <c r="CH376" s="141"/>
      <c r="CI376" s="141"/>
      <c r="CJ376" s="141"/>
      <c r="CK376" s="141"/>
      <c r="CL376" s="141"/>
      <c r="CM376" s="141"/>
      <c r="CN376" s="141"/>
      <c r="CO376" s="141"/>
      <c r="CP376" s="141"/>
      <c r="CQ376" s="141"/>
      <c r="CR376" s="141"/>
      <c r="CS376" s="141"/>
      <c r="CT376" s="141"/>
      <c r="CU376" s="141"/>
      <c r="CV376" s="141"/>
      <c r="CW376" s="141"/>
      <c r="CX376" s="141"/>
      <c r="CY376" s="141"/>
      <c r="CZ376" s="141"/>
      <c r="DA376" s="173"/>
    </row>
    <row r="377" spans="2:105" x14ac:dyDescent="0.25">
      <c r="B377" s="172"/>
      <c r="C377" s="141"/>
      <c r="D377" s="141"/>
      <c r="E377" s="141"/>
      <c r="F377" s="141"/>
      <c r="G377" s="141"/>
      <c r="H377" s="141"/>
      <c r="I377" s="141"/>
      <c r="J377" s="141"/>
      <c r="K377" s="141"/>
      <c r="L377" s="141"/>
      <c r="M377" s="141"/>
      <c r="N377" s="141"/>
      <c r="O377" s="141"/>
      <c r="P377" s="141"/>
      <c r="Q377" s="141"/>
      <c r="R377" s="141"/>
      <c r="S377" s="141"/>
      <c r="T377" s="141"/>
      <c r="U377" s="141"/>
      <c r="V377" s="141"/>
      <c r="W377" s="141"/>
      <c r="X377" s="141"/>
      <c r="Y377" s="141"/>
      <c r="Z377" s="141"/>
      <c r="AA377" s="141"/>
      <c r="AB377" s="141"/>
      <c r="AC377" s="141"/>
      <c r="AD377" s="141"/>
      <c r="AE377" s="141"/>
      <c r="AF377" s="141"/>
      <c r="AG377" s="141"/>
      <c r="AH377" s="141"/>
      <c r="AI377" s="141"/>
      <c r="AJ377" s="141"/>
      <c r="AK377" s="141"/>
      <c r="AL377" s="141"/>
      <c r="AM377" s="141"/>
      <c r="AN377" s="141"/>
      <c r="AO377" s="141"/>
      <c r="AP377" s="141"/>
      <c r="AQ377" s="141"/>
      <c r="AR377" s="141"/>
      <c r="AS377" s="141"/>
      <c r="AT377" s="141"/>
      <c r="AU377" s="141"/>
      <c r="AV377" s="141"/>
      <c r="AW377" s="141"/>
      <c r="AX377" s="141"/>
      <c r="AY377" s="141"/>
      <c r="AZ377" s="141"/>
      <c r="BA377" s="141"/>
      <c r="BB377" s="141"/>
      <c r="BC377" s="141"/>
      <c r="BD377" s="141"/>
      <c r="BE377" s="141"/>
      <c r="BF377" s="141"/>
      <c r="BG377" s="141"/>
      <c r="BH377" s="141"/>
      <c r="BI377" s="141"/>
      <c r="BJ377" s="141"/>
      <c r="BK377" s="141"/>
      <c r="BL377" s="141"/>
      <c r="BM377" s="141"/>
      <c r="BN377" s="141"/>
      <c r="BO377" s="141"/>
      <c r="BP377" s="141"/>
      <c r="BQ377" s="141"/>
      <c r="BR377" s="141"/>
      <c r="BS377" s="141"/>
      <c r="BT377" s="141"/>
      <c r="BU377" s="141"/>
      <c r="BV377" s="141"/>
      <c r="BW377" s="141"/>
      <c r="BX377" s="141"/>
      <c r="BY377" s="141"/>
      <c r="BZ377" s="141"/>
      <c r="CA377" s="141"/>
      <c r="CB377" s="141"/>
      <c r="CC377" s="141"/>
      <c r="CD377" s="141"/>
      <c r="CE377" s="141"/>
      <c r="CF377" s="141"/>
      <c r="CG377" s="141"/>
      <c r="CH377" s="141"/>
      <c r="CI377" s="141"/>
      <c r="CJ377" s="141"/>
      <c r="CK377" s="141"/>
      <c r="CL377" s="141"/>
      <c r="CM377" s="141"/>
      <c r="CN377" s="141"/>
      <c r="CO377" s="141"/>
      <c r="CP377" s="141"/>
      <c r="CQ377" s="141"/>
      <c r="CR377" s="141"/>
      <c r="CS377" s="141"/>
      <c r="CT377" s="141"/>
      <c r="CU377" s="141"/>
      <c r="CV377" s="141"/>
      <c r="CW377" s="141"/>
      <c r="CX377" s="141"/>
      <c r="CY377" s="141"/>
      <c r="CZ377" s="141"/>
      <c r="DA377" s="173"/>
    </row>
    <row r="378" spans="2:105" x14ac:dyDescent="0.25">
      <c r="B378" s="172"/>
      <c r="C378" s="141"/>
      <c r="D378" s="141"/>
      <c r="E378" s="141"/>
      <c r="F378" s="141"/>
      <c r="G378" s="141"/>
      <c r="H378" s="141"/>
      <c r="I378" s="141"/>
      <c r="J378" s="141"/>
      <c r="K378" s="141"/>
      <c r="L378" s="141"/>
      <c r="M378" s="141"/>
      <c r="N378" s="141"/>
      <c r="O378" s="141"/>
      <c r="P378" s="141"/>
      <c r="Q378" s="141"/>
      <c r="R378" s="141"/>
      <c r="S378" s="141"/>
      <c r="T378" s="141"/>
      <c r="U378" s="141"/>
      <c r="V378" s="141"/>
      <c r="W378" s="141"/>
      <c r="X378" s="141"/>
      <c r="Y378" s="141"/>
      <c r="Z378" s="141"/>
      <c r="AA378" s="141"/>
      <c r="AB378" s="141"/>
      <c r="AC378" s="141"/>
      <c r="AD378" s="141"/>
      <c r="AE378" s="141"/>
      <c r="AF378" s="141"/>
      <c r="AG378" s="141"/>
      <c r="AH378" s="141"/>
      <c r="AI378" s="141"/>
      <c r="AJ378" s="141"/>
      <c r="AK378" s="141"/>
      <c r="AL378" s="141"/>
      <c r="AM378" s="141"/>
      <c r="AN378" s="141"/>
      <c r="AO378" s="141"/>
      <c r="AP378" s="141"/>
      <c r="AQ378" s="141"/>
      <c r="AR378" s="141"/>
      <c r="AS378" s="141"/>
      <c r="AT378" s="141"/>
      <c r="AU378" s="141"/>
      <c r="AV378" s="141"/>
      <c r="AW378" s="141"/>
      <c r="AX378" s="141"/>
      <c r="AY378" s="141"/>
      <c r="AZ378" s="141"/>
      <c r="BA378" s="141"/>
      <c r="BB378" s="141"/>
      <c r="BC378" s="141"/>
      <c r="BD378" s="141"/>
      <c r="BE378" s="141"/>
      <c r="BF378" s="141"/>
      <c r="BG378" s="141"/>
      <c r="BH378" s="141"/>
      <c r="BI378" s="141"/>
      <c r="BJ378" s="141"/>
      <c r="BK378" s="141"/>
      <c r="BL378" s="141"/>
      <c r="BM378" s="141"/>
      <c r="BN378" s="141"/>
      <c r="BO378" s="141"/>
      <c r="BP378" s="141"/>
      <c r="BQ378" s="141"/>
      <c r="BR378" s="141"/>
      <c r="BS378" s="141"/>
      <c r="BT378" s="141"/>
      <c r="BU378" s="141"/>
      <c r="BV378" s="141"/>
      <c r="BW378" s="141"/>
      <c r="BX378" s="141"/>
      <c r="BY378" s="141"/>
      <c r="BZ378" s="141"/>
      <c r="CA378" s="141"/>
      <c r="CB378" s="141"/>
      <c r="CC378" s="141"/>
      <c r="CD378" s="141"/>
      <c r="CE378" s="141"/>
      <c r="CF378" s="141"/>
      <c r="CG378" s="141"/>
      <c r="CH378" s="141"/>
      <c r="CI378" s="141"/>
      <c r="CJ378" s="141"/>
      <c r="CK378" s="141"/>
      <c r="CL378" s="141"/>
      <c r="CM378" s="141"/>
      <c r="CN378" s="141"/>
      <c r="CO378" s="141"/>
      <c r="CP378" s="141"/>
      <c r="CQ378" s="141"/>
      <c r="CR378" s="141"/>
      <c r="CS378" s="141"/>
      <c r="CT378" s="141"/>
      <c r="CU378" s="141"/>
      <c r="CV378" s="141"/>
      <c r="CW378" s="141"/>
      <c r="CX378" s="141"/>
      <c r="CY378" s="141"/>
      <c r="CZ378" s="141"/>
      <c r="DA378" s="173"/>
    </row>
    <row r="379" spans="2:105" x14ac:dyDescent="0.25">
      <c r="B379" s="172"/>
      <c r="C379" s="141"/>
      <c r="D379" s="141"/>
      <c r="E379" s="141"/>
      <c r="F379" s="141"/>
      <c r="G379" s="141"/>
      <c r="H379" s="141"/>
      <c r="I379" s="141"/>
      <c r="J379" s="141"/>
      <c r="K379" s="141"/>
      <c r="L379" s="141"/>
      <c r="M379" s="141"/>
      <c r="N379" s="141"/>
      <c r="O379" s="141"/>
      <c r="P379" s="141"/>
      <c r="Q379" s="141"/>
      <c r="R379" s="141"/>
      <c r="S379" s="141"/>
      <c r="T379" s="141"/>
      <c r="U379" s="141"/>
      <c r="V379" s="141"/>
      <c r="W379" s="141"/>
      <c r="X379" s="141"/>
      <c r="Y379" s="141"/>
      <c r="Z379" s="141"/>
      <c r="AA379" s="141"/>
      <c r="AB379" s="141"/>
      <c r="AC379" s="141"/>
      <c r="AD379" s="141"/>
      <c r="AE379" s="141"/>
      <c r="AF379" s="141"/>
      <c r="AG379" s="141"/>
      <c r="AH379" s="141"/>
      <c r="AI379" s="141"/>
      <c r="AJ379" s="141"/>
      <c r="AK379" s="141"/>
      <c r="AL379" s="141"/>
      <c r="AM379" s="141"/>
      <c r="AN379" s="141"/>
      <c r="AO379" s="141"/>
      <c r="AP379" s="141"/>
      <c r="AQ379" s="141"/>
      <c r="AR379" s="141"/>
      <c r="AS379" s="141"/>
      <c r="AT379" s="141"/>
      <c r="AU379" s="141"/>
      <c r="AV379" s="141"/>
      <c r="AW379" s="141"/>
      <c r="AX379" s="141"/>
      <c r="AY379" s="141"/>
      <c r="AZ379" s="141"/>
      <c r="BA379" s="141"/>
      <c r="BB379" s="141"/>
      <c r="BC379" s="141"/>
      <c r="BD379" s="141"/>
      <c r="BE379" s="141"/>
      <c r="BF379" s="141"/>
      <c r="BG379" s="141"/>
      <c r="BH379" s="141"/>
      <c r="BI379" s="141"/>
      <c r="BJ379" s="141"/>
      <c r="BK379" s="141"/>
      <c r="BL379" s="141"/>
      <c r="BM379" s="141"/>
      <c r="BN379" s="141"/>
      <c r="BO379" s="141"/>
      <c r="BP379" s="141"/>
      <c r="BQ379" s="141"/>
      <c r="BR379" s="141"/>
      <c r="BS379" s="141"/>
      <c r="BT379" s="141"/>
      <c r="BU379" s="141"/>
      <c r="BV379" s="141"/>
      <c r="BW379" s="141"/>
      <c r="BX379" s="141"/>
      <c r="BY379" s="141"/>
      <c r="BZ379" s="141"/>
      <c r="CA379" s="141"/>
      <c r="CB379" s="141"/>
      <c r="CC379" s="141"/>
      <c r="CD379" s="141"/>
      <c r="CE379" s="141"/>
      <c r="CF379" s="141"/>
      <c r="CG379" s="141"/>
      <c r="CH379" s="141"/>
      <c r="CI379" s="141"/>
      <c r="CJ379" s="141"/>
      <c r="CK379" s="141"/>
      <c r="CL379" s="141"/>
      <c r="CM379" s="141"/>
      <c r="CN379" s="141"/>
      <c r="CO379" s="141"/>
      <c r="CP379" s="141"/>
      <c r="CQ379" s="141"/>
      <c r="CR379" s="141"/>
      <c r="CS379" s="141"/>
      <c r="CT379" s="141"/>
      <c r="CU379" s="141"/>
      <c r="CV379" s="141"/>
      <c r="CW379" s="141"/>
      <c r="CX379" s="141"/>
      <c r="CY379" s="141"/>
      <c r="CZ379" s="141"/>
      <c r="DA379" s="173"/>
    </row>
    <row r="380" spans="2:105" x14ac:dyDescent="0.25">
      <c r="B380" s="172"/>
      <c r="C380" s="141"/>
      <c r="D380" s="141"/>
      <c r="E380" s="141"/>
      <c r="F380" s="141"/>
      <c r="G380" s="141"/>
      <c r="H380" s="141"/>
      <c r="I380" s="141"/>
      <c r="J380" s="141"/>
      <c r="K380" s="141"/>
      <c r="L380" s="141"/>
      <c r="M380" s="141"/>
      <c r="N380" s="141"/>
      <c r="O380" s="141"/>
      <c r="P380" s="141"/>
      <c r="Q380" s="141"/>
      <c r="R380" s="141"/>
      <c r="S380" s="141"/>
      <c r="T380" s="141"/>
      <c r="U380" s="141"/>
      <c r="V380" s="141"/>
      <c r="W380" s="141"/>
      <c r="X380" s="141"/>
      <c r="Y380" s="141"/>
      <c r="Z380" s="141"/>
      <c r="AA380" s="141"/>
      <c r="AB380" s="141"/>
      <c r="AC380" s="141"/>
      <c r="AD380" s="141"/>
      <c r="AE380" s="141"/>
      <c r="AF380" s="141"/>
      <c r="AG380" s="141"/>
      <c r="AH380" s="141"/>
      <c r="AI380" s="141"/>
      <c r="AJ380" s="141"/>
      <c r="AK380" s="141"/>
      <c r="AL380" s="141"/>
      <c r="AM380" s="141"/>
      <c r="AN380" s="141"/>
      <c r="AO380" s="141"/>
      <c r="AP380" s="141"/>
      <c r="AQ380" s="141"/>
      <c r="AR380" s="141"/>
      <c r="AS380" s="141"/>
      <c r="AT380" s="141"/>
      <c r="AU380" s="141"/>
      <c r="AV380" s="141"/>
      <c r="AW380" s="141"/>
      <c r="AX380" s="141"/>
      <c r="AY380" s="141"/>
      <c r="AZ380" s="141"/>
      <c r="BA380" s="141"/>
      <c r="BB380" s="141"/>
      <c r="BC380" s="141"/>
      <c r="BD380" s="141"/>
      <c r="BE380" s="141"/>
      <c r="BF380" s="141"/>
      <c r="BG380" s="141"/>
      <c r="BH380" s="141"/>
      <c r="BI380" s="141"/>
      <c r="BJ380" s="141"/>
      <c r="BK380" s="141"/>
      <c r="BL380" s="141"/>
      <c r="BM380" s="141"/>
      <c r="BN380" s="141"/>
      <c r="BO380" s="141"/>
      <c r="BP380" s="141"/>
      <c r="BQ380" s="141"/>
      <c r="BR380" s="141"/>
      <c r="BS380" s="141"/>
      <c r="BT380" s="141"/>
      <c r="BU380" s="141"/>
      <c r="BV380" s="141"/>
      <c r="BW380" s="141"/>
      <c r="BX380" s="141"/>
      <c r="BY380" s="141"/>
      <c r="BZ380" s="141"/>
      <c r="CA380" s="141"/>
      <c r="CB380" s="141"/>
      <c r="CC380" s="141"/>
      <c r="CD380" s="141"/>
      <c r="CE380" s="141"/>
      <c r="CF380" s="141"/>
      <c r="CG380" s="141"/>
      <c r="CH380" s="141"/>
      <c r="CI380" s="141"/>
      <c r="CJ380" s="141"/>
      <c r="CK380" s="141"/>
      <c r="CL380" s="141"/>
      <c r="CM380" s="141"/>
      <c r="CN380" s="141"/>
      <c r="CO380" s="141"/>
      <c r="CP380" s="141"/>
      <c r="CQ380" s="141"/>
      <c r="CR380" s="141"/>
      <c r="CS380" s="141"/>
      <c r="CT380" s="141"/>
      <c r="CU380" s="141"/>
      <c r="CV380" s="141"/>
      <c r="CW380" s="141"/>
      <c r="CX380" s="141"/>
      <c r="CY380" s="141"/>
      <c r="CZ380" s="141"/>
      <c r="DA380" s="173"/>
    </row>
    <row r="381" spans="2:105" x14ac:dyDescent="0.25">
      <c r="B381" s="172"/>
      <c r="C381" s="141"/>
      <c r="D381" s="141"/>
      <c r="E381" s="141"/>
      <c r="F381" s="141"/>
      <c r="G381" s="141"/>
      <c r="H381" s="141"/>
      <c r="I381" s="141"/>
      <c r="J381" s="141"/>
      <c r="K381" s="141"/>
      <c r="L381" s="141"/>
      <c r="M381" s="141"/>
      <c r="N381" s="141"/>
      <c r="O381" s="141"/>
      <c r="P381" s="141"/>
      <c r="Q381" s="141"/>
      <c r="R381" s="141"/>
      <c r="S381" s="141"/>
      <c r="T381" s="141"/>
      <c r="U381" s="141"/>
      <c r="V381" s="141"/>
      <c r="W381" s="141"/>
      <c r="X381" s="141"/>
      <c r="Y381" s="141"/>
      <c r="Z381" s="141"/>
      <c r="AA381" s="141"/>
      <c r="AB381" s="141"/>
      <c r="AC381" s="141"/>
      <c r="AD381" s="141"/>
      <c r="AE381" s="141"/>
      <c r="AF381" s="141"/>
      <c r="AG381" s="141"/>
      <c r="AH381" s="141"/>
      <c r="AI381" s="141"/>
      <c r="AJ381" s="141"/>
      <c r="AK381" s="141"/>
      <c r="AL381" s="141"/>
      <c r="AM381" s="141"/>
      <c r="AN381" s="141"/>
      <c r="AO381" s="141"/>
      <c r="AP381" s="141"/>
      <c r="AQ381" s="141"/>
      <c r="AR381" s="141"/>
      <c r="AS381" s="141"/>
      <c r="AT381" s="141"/>
      <c r="AU381" s="141"/>
      <c r="AV381" s="141"/>
      <c r="AW381" s="141"/>
      <c r="AX381" s="141"/>
      <c r="AY381" s="141"/>
      <c r="AZ381" s="141"/>
      <c r="BA381" s="141"/>
      <c r="BB381" s="141"/>
      <c r="BC381" s="141"/>
      <c r="BD381" s="141"/>
      <c r="BE381" s="141"/>
      <c r="BF381" s="141"/>
      <c r="BG381" s="141"/>
      <c r="BH381" s="141"/>
      <c r="BI381" s="141"/>
      <c r="BJ381" s="141"/>
      <c r="BK381" s="141"/>
      <c r="BL381" s="141"/>
      <c r="BM381" s="141"/>
      <c r="BN381" s="141"/>
      <c r="BO381" s="141"/>
      <c r="BP381" s="141"/>
      <c r="BQ381" s="141"/>
      <c r="BR381" s="141"/>
      <c r="BS381" s="141"/>
      <c r="BT381" s="141"/>
      <c r="BU381" s="141"/>
      <c r="BV381" s="141"/>
      <c r="BW381" s="141"/>
      <c r="BX381" s="141"/>
      <c r="BY381" s="141"/>
      <c r="BZ381" s="141"/>
      <c r="CA381" s="141"/>
      <c r="CB381" s="141"/>
      <c r="CC381" s="141"/>
      <c r="CD381" s="141"/>
      <c r="CE381" s="141"/>
      <c r="CF381" s="141"/>
      <c r="CG381" s="141"/>
      <c r="CH381" s="141"/>
      <c r="CI381" s="141"/>
      <c r="CJ381" s="141"/>
      <c r="CK381" s="141"/>
      <c r="CL381" s="141"/>
      <c r="CM381" s="141"/>
      <c r="CN381" s="141"/>
      <c r="CO381" s="141"/>
      <c r="CP381" s="141"/>
      <c r="CQ381" s="141"/>
      <c r="CR381" s="141"/>
      <c r="CS381" s="141"/>
      <c r="CT381" s="141"/>
      <c r="CU381" s="141"/>
      <c r="CV381" s="141"/>
      <c r="CW381" s="141"/>
      <c r="CX381" s="141"/>
      <c r="CY381" s="141"/>
      <c r="CZ381" s="141"/>
      <c r="DA381" s="173"/>
    </row>
    <row r="382" spans="2:105" x14ac:dyDescent="0.25">
      <c r="B382" s="172"/>
      <c r="C382" s="141"/>
      <c r="D382" s="141"/>
      <c r="E382" s="141"/>
      <c r="F382" s="141"/>
      <c r="G382" s="141"/>
      <c r="H382" s="141"/>
      <c r="I382" s="141"/>
      <c r="J382" s="141"/>
      <c r="K382" s="141"/>
      <c r="L382" s="141"/>
      <c r="M382" s="141"/>
      <c r="N382" s="141"/>
      <c r="O382" s="141"/>
      <c r="P382" s="141"/>
      <c r="Q382" s="141"/>
      <c r="R382" s="141"/>
      <c r="S382" s="141"/>
      <c r="T382" s="141"/>
      <c r="U382" s="141"/>
      <c r="V382" s="141"/>
      <c r="W382" s="141"/>
      <c r="X382" s="141"/>
      <c r="Y382" s="141"/>
      <c r="Z382" s="141"/>
      <c r="AA382" s="141"/>
      <c r="AB382" s="141"/>
      <c r="AC382" s="141"/>
      <c r="AD382" s="141"/>
      <c r="AE382" s="141"/>
      <c r="AF382" s="141"/>
      <c r="AG382" s="141"/>
      <c r="AH382" s="141"/>
      <c r="AI382" s="141"/>
      <c r="AJ382" s="141"/>
      <c r="AK382" s="141"/>
      <c r="AL382" s="141"/>
      <c r="AM382" s="141"/>
      <c r="AN382" s="141"/>
      <c r="AO382" s="141"/>
      <c r="AP382" s="141"/>
      <c r="AQ382" s="141"/>
      <c r="AR382" s="141"/>
      <c r="AS382" s="141"/>
      <c r="AT382" s="141"/>
      <c r="AU382" s="141"/>
      <c r="AV382" s="141"/>
      <c r="AW382" s="141"/>
      <c r="AX382" s="141"/>
      <c r="AY382" s="141"/>
      <c r="AZ382" s="141"/>
      <c r="BA382" s="141"/>
      <c r="BB382" s="141"/>
      <c r="BC382" s="141"/>
      <c r="BD382" s="141"/>
      <c r="BE382" s="141"/>
      <c r="BF382" s="141"/>
      <c r="BG382" s="141"/>
      <c r="BH382" s="141"/>
      <c r="BI382" s="141"/>
      <c r="BJ382" s="141"/>
      <c r="BK382" s="141"/>
      <c r="BL382" s="141"/>
      <c r="BM382" s="141"/>
      <c r="BN382" s="141"/>
      <c r="BO382" s="141"/>
      <c r="BP382" s="141"/>
      <c r="BQ382" s="141"/>
      <c r="BR382" s="141"/>
      <c r="BS382" s="141"/>
      <c r="BT382" s="141"/>
      <c r="BU382" s="141"/>
      <c r="BV382" s="141"/>
      <c r="BW382" s="141"/>
      <c r="BX382" s="141"/>
      <c r="BY382" s="141"/>
      <c r="BZ382" s="141"/>
      <c r="CA382" s="141"/>
      <c r="CB382" s="141"/>
      <c r="CC382" s="141"/>
      <c r="CD382" s="141"/>
      <c r="CE382" s="141"/>
      <c r="CF382" s="141"/>
      <c r="CG382" s="141"/>
      <c r="CH382" s="141"/>
      <c r="CI382" s="141"/>
      <c r="CJ382" s="141"/>
      <c r="CK382" s="141"/>
      <c r="CL382" s="141"/>
      <c r="CM382" s="141"/>
      <c r="CN382" s="141"/>
      <c r="CO382" s="141"/>
      <c r="CP382" s="141"/>
      <c r="CQ382" s="141"/>
      <c r="CR382" s="141"/>
      <c r="CS382" s="141"/>
      <c r="CT382" s="141"/>
      <c r="CU382" s="141"/>
      <c r="CV382" s="141"/>
      <c r="CW382" s="141"/>
      <c r="CX382" s="141"/>
      <c r="CY382" s="141"/>
      <c r="CZ382" s="141"/>
      <c r="DA382" s="173"/>
    </row>
    <row r="383" spans="2:105" x14ac:dyDescent="0.25">
      <c r="B383" s="172"/>
      <c r="C383" s="141"/>
      <c r="D383" s="141"/>
      <c r="E383" s="141"/>
      <c r="F383" s="141"/>
      <c r="G383" s="141"/>
      <c r="H383" s="141"/>
      <c r="I383" s="141"/>
      <c r="J383" s="141"/>
      <c r="K383" s="141"/>
      <c r="L383" s="141"/>
      <c r="M383" s="141"/>
      <c r="N383" s="141"/>
      <c r="O383" s="141"/>
      <c r="P383" s="141"/>
      <c r="Q383" s="141"/>
      <c r="R383" s="141"/>
      <c r="S383" s="141"/>
      <c r="T383" s="141"/>
      <c r="U383" s="141"/>
      <c r="V383" s="141"/>
      <c r="W383" s="141"/>
      <c r="X383" s="141"/>
      <c r="Y383" s="141"/>
      <c r="Z383" s="141"/>
      <c r="AA383" s="141"/>
      <c r="AB383" s="141"/>
      <c r="AC383" s="141"/>
      <c r="AD383" s="141"/>
      <c r="AE383" s="141"/>
      <c r="AF383" s="141"/>
      <c r="AG383" s="141"/>
      <c r="AH383" s="141"/>
      <c r="AI383" s="141"/>
      <c r="AJ383" s="141"/>
      <c r="AK383" s="141"/>
      <c r="AL383" s="141"/>
      <c r="AM383" s="141"/>
      <c r="AN383" s="141"/>
      <c r="AO383" s="141"/>
      <c r="AP383" s="141"/>
      <c r="AQ383" s="141"/>
      <c r="AR383" s="141"/>
      <c r="AS383" s="141"/>
      <c r="AT383" s="141"/>
      <c r="AU383" s="141"/>
      <c r="AV383" s="141"/>
      <c r="AW383" s="141"/>
      <c r="AX383" s="141"/>
      <c r="AY383" s="141"/>
      <c r="AZ383" s="141"/>
      <c r="BA383" s="141"/>
      <c r="BB383" s="141"/>
      <c r="BC383" s="141"/>
      <c r="BD383" s="141"/>
      <c r="BE383" s="141"/>
      <c r="BF383" s="141"/>
      <c r="BG383" s="141"/>
      <c r="BH383" s="141"/>
      <c r="BI383" s="141"/>
      <c r="BJ383" s="141"/>
      <c r="BK383" s="141"/>
      <c r="BL383" s="141"/>
      <c r="BM383" s="141"/>
      <c r="BN383" s="141"/>
      <c r="BO383" s="141"/>
      <c r="BP383" s="141"/>
      <c r="BQ383" s="141"/>
      <c r="BR383" s="141"/>
      <c r="BS383" s="141"/>
      <c r="BT383" s="141"/>
      <c r="BU383" s="141"/>
      <c r="BV383" s="141"/>
      <c r="BW383" s="141"/>
      <c r="BX383" s="141"/>
      <c r="BY383" s="141"/>
      <c r="BZ383" s="141"/>
      <c r="CA383" s="141"/>
      <c r="CB383" s="141"/>
      <c r="CC383" s="141"/>
      <c r="CD383" s="141"/>
      <c r="CE383" s="141"/>
      <c r="CF383" s="141"/>
      <c r="CG383" s="141"/>
      <c r="CH383" s="141"/>
      <c r="CI383" s="141"/>
      <c r="CJ383" s="141"/>
      <c r="CK383" s="141"/>
      <c r="CL383" s="141"/>
      <c r="CM383" s="141"/>
      <c r="CN383" s="141"/>
      <c r="CO383" s="141"/>
      <c r="CP383" s="141"/>
      <c r="CQ383" s="141"/>
      <c r="CR383" s="141"/>
      <c r="CS383" s="141"/>
      <c r="CT383" s="141"/>
      <c r="CU383" s="141"/>
      <c r="CV383" s="141"/>
      <c r="CW383" s="141"/>
      <c r="CX383" s="141"/>
      <c r="CY383" s="141"/>
      <c r="CZ383" s="141"/>
      <c r="DA383" s="173"/>
    </row>
    <row r="384" spans="2:105" x14ac:dyDescent="0.25">
      <c r="B384" s="172"/>
      <c r="C384" s="141"/>
      <c r="D384" s="141"/>
      <c r="E384" s="141"/>
      <c r="F384" s="141"/>
      <c r="G384" s="141"/>
      <c r="H384" s="141"/>
      <c r="I384" s="141"/>
      <c r="J384" s="141"/>
      <c r="K384" s="141"/>
      <c r="L384" s="141"/>
      <c r="M384" s="141"/>
      <c r="N384" s="141"/>
      <c r="O384" s="141"/>
      <c r="P384" s="141"/>
      <c r="Q384" s="141"/>
      <c r="R384" s="141"/>
      <c r="S384" s="141"/>
      <c r="T384" s="141"/>
      <c r="U384" s="141"/>
      <c r="V384" s="141"/>
      <c r="W384" s="141"/>
      <c r="X384" s="141"/>
      <c r="Y384" s="141"/>
      <c r="Z384" s="141"/>
      <c r="AA384" s="141"/>
      <c r="AB384" s="141"/>
      <c r="AC384" s="141"/>
      <c r="AD384" s="141"/>
      <c r="AE384" s="141"/>
      <c r="AF384" s="141"/>
      <c r="AG384" s="141"/>
      <c r="AH384" s="141"/>
      <c r="AI384" s="141"/>
      <c r="AJ384" s="141"/>
      <c r="AK384" s="141"/>
      <c r="AL384" s="141"/>
      <c r="AM384" s="141"/>
      <c r="AN384" s="141"/>
      <c r="AO384" s="141"/>
      <c r="AP384" s="141"/>
      <c r="AQ384" s="141"/>
      <c r="AR384" s="141"/>
      <c r="AS384" s="141"/>
      <c r="AT384" s="141"/>
      <c r="AU384" s="141"/>
      <c r="AV384" s="141"/>
      <c r="AW384" s="141"/>
      <c r="AX384" s="141"/>
      <c r="AY384" s="141"/>
      <c r="AZ384" s="141"/>
      <c r="BA384" s="141"/>
      <c r="BB384" s="141"/>
      <c r="BC384" s="141"/>
      <c r="BD384" s="141"/>
      <c r="BE384" s="141"/>
      <c r="BF384" s="141"/>
      <c r="BG384" s="141"/>
      <c r="BH384" s="141"/>
      <c r="BI384" s="141"/>
      <c r="BJ384" s="141"/>
      <c r="BK384" s="141"/>
      <c r="BL384" s="141"/>
      <c r="BM384" s="141"/>
      <c r="BN384" s="141"/>
      <c r="BO384" s="141"/>
      <c r="BP384" s="141"/>
      <c r="BQ384" s="141"/>
      <c r="BR384" s="141"/>
      <c r="BS384" s="141"/>
      <c r="BT384" s="141"/>
      <c r="BU384" s="141"/>
      <c r="BV384" s="141"/>
      <c r="BW384" s="141"/>
      <c r="BX384" s="141"/>
      <c r="BY384" s="141"/>
      <c r="BZ384" s="141"/>
      <c r="CA384" s="141"/>
      <c r="CB384" s="141"/>
      <c r="CC384" s="141"/>
      <c r="CD384" s="141"/>
      <c r="CE384" s="141"/>
      <c r="CF384" s="141"/>
      <c r="CG384" s="141"/>
      <c r="CH384" s="141"/>
      <c r="CI384" s="141"/>
      <c r="CJ384" s="141"/>
      <c r="CK384" s="141"/>
      <c r="CL384" s="141"/>
      <c r="CM384" s="141"/>
      <c r="CN384" s="141"/>
      <c r="CO384" s="141"/>
      <c r="CP384" s="141"/>
      <c r="CQ384" s="141"/>
      <c r="CR384" s="141"/>
      <c r="CS384" s="141"/>
      <c r="CT384" s="141"/>
      <c r="CU384" s="141"/>
      <c r="CV384" s="141"/>
      <c r="CW384" s="141"/>
      <c r="CX384" s="141"/>
      <c r="CY384" s="141"/>
      <c r="CZ384" s="141"/>
      <c r="DA384" s="173"/>
    </row>
    <row r="385" spans="2:105" x14ac:dyDescent="0.25">
      <c r="B385" s="172"/>
      <c r="C385" s="141"/>
      <c r="D385" s="141"/>
      <c r="E385" s="141"/>
      <c r="F385" s="141"/>
      <c r="G385" s="141"/>
      <c r="H385" s="141"/>
      <c r="I385" s="141"/>
      <c r="J385" s="141"/>
      <c r="K385" s="141"/>
      <c r="L385" s="141"/>
      <c r="M385" s="141"/>
      <c r="N385" s="141"/>
      <c r="O385" s="141"/>
      <c r="P385" s="141"/>
      <c r="Q385" s="141"/>
      <c r="R385" s="141"/>
      <c r="S385" s="141"/>
      <c r="T385" s="141"/>
      <c r="U385" s="141"/>
      <c r="V385" s="141"/>
      <c r="W385" s="141"/>
      <c r="X385" s="141"/>
      <c r="Y385" s="141"/>
      <c r="Z385" s="141"/>
      <c r="AA385" s="141"/>
      <c r="AB385" s="141"/>
      <c r="AC385" s="141"/>
      <c r="AD385" s="141"/>
      <c r="AE385" s="141"/>
      <c r="AF385" s="141"/>
      <c r="AG385" s="141"/>
      <c r="AH385" s="141"/>
      <c r="AI385" s="141"/>
      <c r="AJ385" s="141"/>
      <c r="AK385" s="141"/>
      <c r="AL385" s="141"/>
      <c r="AM385" s="141"/>
      <c r="AN385" s="141"/>
      <c r="AO385" s="141"/>
      <c r="AP385" s="141"/>
      <c r="AQ385" s="141"/>
      <c r="AR385" s="141"/>
      <c r="AS385" s="141"/>
      <c r="AT385" s="141"/>
      <c r="AU385" s="141"/>
      <c r="AV385" s="141"/>
      <c r="AW385" s="141"/>
      <c r="AX385" s="141"/>
      <c r="AY385" s="141"/>
      <c r="AZ385" s="141"/>
      <c r="BA385" s="141"/>
      <c r="BB385" s="141"/>
      <c r="BC385" s="141"/>
      <c r="BD385" s="141"/>
      <c r="BE385" s="141"/>
      <c r="BF385" s="141"/>
      <c r="BG385" s="141"/>
      <c r="BH385" s="141"/>
      <c r="BI385" s="141"/>
      <c r="BJ385" s="141"/>
      <c r="BK385" s="141"/>
      <c r="BL385" s="141"/>
      <c r="BM385" s="141"/>
      <c r="BN385" s="141"/>
      <c r="BO385" s="141"/>
      <c r="BP385" s="141"/>
      <c r="BQ385" s="141"/>
      <c r="BR385" s="141"/>
      <c r="BS385" s="141"/>
      <c r="BT385" s="141"/>
      <c r="BU385" s="141"/>
      <c r="BV385" s="141"/>
      <c r="BW385" s="141"/>
      <c r="BX385" s="141"/>
      <c r="BY385" s="141"/>
      <c r="BZ385" s="141"/>
      <c r="CA385" s="141"/>
      <c r="CB385" s="141"/>
      <c r="CC385" s="141"/>
      <c r="CD385" s="141"/>
      <c r="CE385" s="141"/>
      <c r="CF385" s="141"/>
      <c r="CG385" s="141"/>
      <c r="CH385" s="141"/>
      <c r="CI385" s="141"/>
      <c r="CJ385" s="141"/>
      <c r="CK385" s="141"/>
      <c r="CL385" s="141"/>
      <c r="CM385" s="141"/>
      <c r="CN385" s="141"/>
      <c r="CO385" s="141"/>
      <c r="CP385" s="141"/>
      <c r="CQ385" s="141"/>
      <c r="CR385" s="141"/>
      <c r="CS385" s="141"/>
      <c r="CT385" s="141"/>
      <c r="CU385" s="141"/>
      <c r="CV385" s="141"/>
      <c r="CW385" s="141"/>
      <c r="CX385" s="141"/>
      <c r="CY385" s="141"/>
      <c r="CZ385" s="141"/>
      <c r="DA385" s="173"/>
    </row>
    <row r="386" spans="2:105" x14ac:dyDescent="0.25">
      <c r="B386" s="172"/>
      <c r="C386" s="141"/>
      <c r="D386" s="141"/>
      <c r="E386" s="141"/>
      <c r="F386" s="141"/>
      <c r="G386" s="141"/>
      <c r="H386" s="141"/>
      <c r="I386" s="141"/>
      <c r="J386" s="141"/>
      <c r="K386" s="141"/>
      <c r="L386" s="141"/>
      <c r="M386" s="141"/>
      <c r="N386" s="141"/>
      <c r="O386" s="141"/>
      <c r="P386" s="141"/>
      <c r="Q386" s="141"/>
      <c r="R386" s="141"/>
      <c r="S386" s="141"/>
      <c r="T386" s="141"/>
      <c r="U386" s="141"/>
      <c r="V386" s="141"/>
      <c r="W386" s="141"/>
      <c r="X386" s="141"/>
      <c r="Y386" s="141"/>
      <c r="Z386" s="141"/>
      <c r="AA386" s="141"/>
      <c r="AB386" s="141"/>
      <c r="AC386" s="141"/>
      <c r="AD386" s="141"/>
      <c r="AE386" s="141"/>
      <c r="AF386" s="141"/>
      <c r="AG386" s="141"/>
      <c r="AH386" s="141"/>
      <c r="AI386" s="141"/>
      <c r="AJ386" s="141"/>
      <c r="AK386" s="141"/>
      <c r="AL386" s="141"/>
      <c r="AM386" s="141"/>
      <c r="AN386" s="141"/>
      <c r="AO386" s="141"/>
      <c r="AP386" s="141"/>
      <c r="AQ386" s="141"/>
      <c r="AR386" s="141"/>
      <c r="AS386" s="141"/>
      <c r="AT386" s="141"/>
      <c r="AU386" s="141"/>
      <c r="AV386" s="141"/>
      <c r="AW386" s="141"/>
      <c r="AX386" s="141"/>
      <c r="AY386" s="141"/>
      <c r="AZ386" s="141"/>
      <c r="BA386" s="141"/>
      <c r="BB386" s="141"/>
      <c r="BC386" s="141"/>
      <c r="BD386" s="141"/>
      <c r="BE386" s="141"/>
      <c r="BF386" s="141"/>
      <c r="BG386" s="141"/>
      <c r="BH386" s="141"/>
      <c r="BI386" s="141"/>
      <c r="BJ386" s="141"/>
      <c r="BK386" s="141"/>
      <c r="BL386" s="141"/>
      <c r="BM386" s="141"/>
      <c r="BN386" s="141"/>
      <c r="BO386" s="141"/>
      <c r="BP386" s="141"/>
      <c r="BQ386" s="141"/>
      <c r="BR386" s="141"/>
      <c r="BS386" s="141"/>
      <c r="BT386" s="141"/>
      <c r="BU386" s="141"/>
      <c r="BV386" s="141"/>
      <c r="BW386" s="141"/>
      <c r="BX386" s="141"/>
      <c r="BY386" s="141"/>
      <c r="BZ386" s="141"/>
      <c r="CA386" s="141"/>
      <c r="CB386" s="141"/>
      <c r="CC386" s="141"/>
      <c r="CD386" s="141"/>
      <c r="CE386" s="141"/>
      <c r="CF386" s="141"/>
      <c r="CG386" s="141"/>
      <c r="CH386" s="141"/>
      <c r="CI386" s="141"/>
      <c r="CJ386" s="141"/>
      <c r="CK386" s="141"/>
      <c r="CL386" s="141"/>
      <c r="CM386" s="141"/>
      <c r="CN386" s="141"/>
      <c r="CO386" s="141"/>
      <c r="CP386" s="141"/>
      <c r="CQ386" s="141"/>
      <c r="CR386" s="141"/>
      <c r="CS386" s="141"/>
      <c r="CT386" s="141"/>
      <c r="CU386" s="141"/>
      <c r="CV386" s="141"/>
      <c r="CW386" s="141"/>
      <c r="CX386" s="141"/>
      <c r="CY386" s="141"/>
      <c r="CZ386" s="141"/>
      <c r="DA386" s="173"/>
    </row>
    <row r="387" spans="2:105" x14ac:dyDescent="0.25">
      <c r="B387" s="172"/>
      <c r="C387" s="141"/>
      <c r="D387" s="141"/>
      <c r="E387" s="141"/>
      <c r="F387" s="141"/>
      <c r="G387" s="141"/>
      <c r="H387" s="141"/>
      <c r="I387" s="141"/>
      <c r="J387" s="141"/>
      <c r="K387" s="141"/>
      <c r="L387" s="141"/>
      <c r="M387" s="141"/>
      <c r="N387" s="141"/>
      <c r="O387" s="141"/>
      <c r="P387" s="141"/>
      <c r="Q387" s="141"/>
      <c r="R387" s="141"/>
      <c r="S387" s="141"/>
      <c r="T387" s="141"/>
      <c r="U387" s="141"/>
      <c r="V387" s="141"/>
      <c r="W387" s="141"/>
      <c r="X387" s="141"/>
      <c r="Y387" s="141"/>
      <c r="Z387" s="141"/>
      <c r="AA387" s="141"/>
      <c r="AB387" s="141"/>
      <c r="AC387" s="141"/>
      <c r="AD387" s="141"/>
      <c r="AE387" s="141"/>
      <c r="AF387" s="141"/>
      <c r="AG387" s="141"/>
      <c r="AH387" s="141"/>
      <c r="AI387" s="141"/>
      <c r="AJ387" s="141"/>
      <c r="AK387" s="141"/>
      <c r="AL387" s="141"/>
      <c r="AM387" s="141"/>
      <c r="AN387" s="141"/>
      <c r="AO387" s="141"/>
      <c r="AP387" s="141"/>
      <c r="AQ387" s="141"/>
      <c r="AR387" s="141"/>
      <c r="AS387" s="141"/>
      <c r="AT387" s="141"/>
      <c r="AU387" s="141"/>
      <c r="AV387" s="141"/>
      <c r="AW387" s="141"/>
      <c r="AX387" s="141"/>
      <c r="AY387" s="141"/>
      <c r="AZ387" s="141"/>
      <c r="BA387" s="141"/>
      <c r="BB387" s="141"/>
      <c r="BC387" s="141"/>
      <c r="BD387" s="141"/>
      <c r="BE387" s="141"/>
      <c r="BF387" s="141"/>
      <c r="BG387" s="141"/>
      <c r="BH387" s="141"/>
      <c r="BI387" s="141"/>
      <c r="BJ387" s="141"/>
      <c r="BK387" s="141"/>
      <c r="BL387" s="141"/>
      <c r="BM387" s="141"/>
      <c r="BN387" s="141"/>
      <c r="BO387" s="141"/>
      <c r="BP387" s="141"/>
      <c r="BQ387" s="141"/>
      <c r="BR387" s="141"/>
      <c r="BS387" s="141"/>
      <c r="BT387" s="141"/>
      <c r="BU387" s="141"/>
      <c r="BV387" s="141"/>
      <c r="BW387" s="141"/>
      <c r="BX387" s="141"/>
      <c r="BY387" s="141"/>
      <c r="BZ387" s="141"/>
      <c r="CA387" s="141"/>
      <c r="CB387" s="141"/>
      <c r="CC387" s="141"/>
      <c r="CD387" s="141"/>
      <c r="CE387" s="141"/>
      <c r="CF387" s="141"/>
      <c r="CG387" s="141"/>
      <c r="CH387" s="141"/>
      <c r="CI387" s="141"/>
      <c r="CJ387" s="141"/>
      <c r="CK387" s="141"/>
      <c r="CL387" s="141"/>
      <c r="CM387" s="141"/>
      <c r="CN387" s="141"/>
      <c r="CO387" s="141"/>
      <c r="CP387" s="141"/>
      <c r="CQ387" s="141"/>
      <c r="CR387" s="141"/>
      <c r="CS387" s="141"/>
      <c r="CT387" s="141"/>
      <c r="CU387" s="141"/>
      <c r="CV387" s="141"/>
      <c r="CW387" s="141"/>
      <c r="CX387" s="141"/>
      <c r="CY387" s="141"/>
      <c r="CZ387" s="141"/>
      <c r="DA387" s="173"/>
    </row>
    <row r="388" spans="2:105" x14ac:dyDescent="0.25">
      <c r="B388" s="172"/>
      <c r="C388" s="141"/>
      <c r="D388" s="141"/>
      <c r="E388" s="141"/>
      <c r="F388" s="141"/>
      <c r="G388" s="141"/>
      <c r="H388" s="141"/>
      <c r="I388" s="141"/>
      <c r="J388" s="141"/>
      <c r="K388" s="141"/>
      <c r="L388" s="141"/>
      <c r="M388" s="141"/>
      <c r="N388" s="141"/>
      <c r="O388" s="141"/>
      <c r="P388" s="141"/>
      <c r="Q388" s="141"/>
      <c r="R388" s="141"/>
      <c r="S388" s="141"/>
      <c r="T388" s="141"/>
      <c r="U388" s="141"/>
      <c r="V388" s="141"/>
      <c r="W388" s="141"/>
      <c r="X388" s="141"/>
      <c r="Y388" s="141"/>
      <c r="Z388" s="141"/>
      <c r="AA388" s="141"/>
      <c r="AB388" s="141"/>
      <c r="AC388" s="141"/>
      <c r="AD388" s="141"/>
      <c r="AE388" s="141"/>
      <c r="AF388" s="141"/>
      <c r="AG388" s="141"/>
      <c r="AH388" s="141"/>
      <c r="AI388" s="141"/>
      <c r="AJ388" s="141"/>
      <c r="AK388" s="141"/>
      <c r="AL388" s="141"/>
      <c r="AM388" s="141"/>
      <c r="AN388" s="141"/>
      <c r="AO388" s="141"/>
      <c r="AP388" s="141"/>
      <c r="AQ388" s="141"/>
      <c r="AR388" s="141"/>
      <c r="AS388" s="141"/>
      <c r="AT388" s="141"/>
      <c r="AU388" s="141"/>
      <c r="AV388" s="141"/>
      <c r="AW388" s="141"/>
      <c r="AX388" s="141"/>
      <c r="AY388" s="141"/>
      <c r="AZ388" s="141"/>
      <c r="BA388" s="141"/>
      <c r="BB388" s="141"/>
      <c r="BC388" s="141"/>
      <c r="BD388" s="141"/>
      <c r="BE388" s="141"/>
      <c r="BF388" s="141"/>
      <c r="BG388" s="141"/>
      <c r="BH388" s="141"/>
      <c r="BI388" s="141"/>
      <c r="BJ388" s="141"/>
      <c r="BK388" s="141"/>
      <c r="BL388" s="141"/>
      <c r="BM388" s="141"/>
      <c r="BN388" s="141"/>
      <c r="BO388" s="141"/>
      <c r="BP388" s="141"/>
      <c r="BQ388" s="141"/>
      <c r="BR388" s="141"/>
      <c r="BS388" s="141"/>
      <c r="BT388" s="141"/>
      <c r="BU388" s="141"/>
      <c r="BV388" s="141"/>
      <c r="BW388" s="141"/>
      <c r="BX388" s="141"/>
      <c r="BY388" s="141"/>
      <c r="BZ388" s="141"/>
      <c r="CA388" s="141"/>
      <c r="CB388" s="141"/>
      <c r="CC388" s="141"/>
      <c r="CD388" s="141"/>
      <c r="CE388" s="141"/>
      <c r="CF388" s="141"/>
      <c r="CG388" s="141"/>
      <c r="CH388" s="141"/>
      <c r="CI388" s="141"/>
      <c r="CJ388" s="141"/>
      <c r="CK388" s="141"/>
      <c r="CL388" s="141"/>
      <c r="CM388" s="141"/>
      <c r="CN388" s="141"/>
      <c r="CO388" s="141"/>
      <c r="CP388" s="141"/>
      <c r="CQ388" s="141"/>
      <c r="CR388" s="141"/>
      <c r="CS388" s="141"/>
      <c r="CT388" s="141"/>
      <c r="CU388" s="141"/>
      <c r="CV388" s="141"/>
      <c r="CW388" s="141"/>
      <c r="CX388" s="141"/>
      <c r="CY388" s="141"/>
      <c r="CZ388" s="141"/>
      <c r="DA388" s="173"/>
    </row>
    <row r="389" spans="2:105" x14ac:dyDescent="0.25">
      <c r="B389" s="172"/>
      <c r="C389" s="141"/>
      <c r="D389" s="141"/>
      <c r="E389" s="141"/>
      <c r="F389" s="141"/>
      <c r="G389" s="141"/>
      <c r="H389" s="141"/>
      <c r="I389" s="141"/>
      <c r="J389" s="141"/>
      <c r="K389" s="141"/>
      <c r="L389" s="141"/>
      <c r="M389" s="141"/>
      <c r="N389" s="141"/>
      <c r="O389" s="141"/>
      <c r="P389" s="141"/>
      <c r="Q389" s="141"/>
      <c r="R389" s="141"/>
      <c r="S389" s="141"/>
      <c r="T389" s="141"/>
      <c r="U389" s="141"/>
      <c r="V389" s="141"/>
      <c r="W389" s="141"/>
      <c r="X389" s="141"/>
      <c r="Y389" s="141"/>
      <c r="Z389" s="141"/>
      <c r="AA389" s="141"/>
      <c r="AB389" s="141"/>
      <c r="AC389" s="141"/>
      <c r="AD389" s="141"/>
      <c r="AE389" s="141"/>
      <c r="AF389" s="141"/>
      <c r="AG389" s="141"/>
      <c r="AH389" s="141"/>
      <c r="AI389" s="141"/>
      <c r="AJ389" s="141"/>
      <c r="AK389" s="141"/>
      <c r="AL389" s="141"/>
      <c r="AM389" s="141"/>
      <c r="AN389" s="141"/>
      <c r="AO389" s="141"/>
      <c r="AP389" s="141"/>
      <c r="AQ389" s="141"/>
      <c r="AR389" s="141"/>
      <c r="AS389" s="141"/>
      <c r="AT389" s="141"/>
      <c r="AU389" s="141"/>
      <c r="AV389" s="141"/>
      <c r="AW389" s="141"/>
      <c r="AX389" s="141"/>
      <c r="AY389" s="141"/>
      <c r="AZ389" s="141"/>
      <c r="BA389" s="141"/>
      <c r="BB389" s="141"/>
      <c r="BC389" s="141"/>
      <c r="BD389" s="141"/>
      <c r="BE389" s="141"/>
      <c r="BF389" s="141"/>
      <c r="BG389" s="141"/>
      <c r="BH389" s="141"/>
      <c r="BI389" s="141"/>
      <c r="BJ389" s="141"/>
      <c r="BK389" s="141"/>
      <c r="BL389" s="141"/>
      <c r="BM389" s="141"/>
      <c r="BN389" s="141"/>
      <c r="BO389" s="141"/>
      <c r="BP389" s="141"/>
      <c r="BQ389" s="141"/>
      <c r="BR389" s="141"/>
      <c r="BS389" s="141"/>
      <c r="BT389" s="141"/>
      <c r="BU389" s="141"/>
      <c r="BV389" s="141"/>
      <c r="BW389" s="141"/>
      <c r="BX389" s="141"/>
      <c r="BY389" s="141"/>
      <c r="BZ389" s="141"/>
      <c r="CA389" s="141"/>
      <c r="CB389" s="141"/>
      <c r="CC389" s="141"/>
      <c r="CD389" s="141"/>
      <c r="CE389" s="141"/>
      <c r="CF389" s="141"/>
      <c r="CG389" s="141"/>
      <c r="CH389" s="141"/>
      <c r="CI389" s="141"/>
      <c r="CJ389" s="141"/>
      <c r="CK389" s="141"/>
      <c r="CL389" s="141"/>
      <c r="CM389" s="141"/>
      <c r="CN389" s="141"/>
      <c r="CO389" s="141"/>
      <c r="CP389" s="141"/>
      <c r="CQ389" s="141"/>
      <c r="CR389" s="141"/>
      <c r="CS389" s="141"/>
      <c r="CT389" s="141"/>
      <c r="CU389" s="141"/>
      <c r="CV389" s="141"/>
      <c r="CW389" s="141"/>
      <c r="CX389" s="141"/>
      <c r="CY389" s="141"/>
      <c r="CZ389" s="141"/>
      <c r="DA389" s="173"/>
    </row>
    <row r="390" spans="2:105" x14ac:dyDescent="0.25">
      <c r="B390" s="172"/>
      <c r="C390" s="141"/>
      <c r="D390" s="141"/>
      <c r="E390" s="141"/>
      <c r="F390" s="141"/>
      <c r="G390" s="141"/>
      <c r="H390" s="141"/>
      <c r="I390" s="141"/>
      <c r="J390" s="141"/>
      <c r="K390" s="141"/>
      <c r="L390" s="141"/>
      <c r="M390" s="141"/>
      <c r="N390" s="141"/>
      <c r="O390" s="141"/>
      <c r="P390" s="141"/>
      <c r="Q390" s="141"/>
      <c r="R390" s="141"/>
      <c r="S390" s="141"/>
      <c r="T390" s="141"/>
      <c r="U390" s="141"/>
      <c r="V390" s="141"/>
      <c r="W390" s="141"/>
      <c r="X390" s="141"/>
      <c r="Y390" s="141"/>
      <c r="Z390" s="141"/>
      <c r="AA390" s="141"/>
      <c r="AB390" s="141"/>
      <c r="AC390" s="141"/>
      <c r="AD390" s="141"/>
      <c r="AE390" s="141"/>
      <c r="AF390" s="141"/>
      <c r="AG390" s="141"/>
      <c r="AH390" s="141"/>
      <c r="AI390" s="141"/>
      <c r="AJ390" s="141"/>
      <c r="AK390" s="141"/>
      <c r="AL390" s="141"/>
      <c r="AM390" s="141"/>
      <c r="AN390" s="141"/>
      <c r="AO390" s="141"/>
      <c r="AP390" s="141"/>
      <c r="AQ390" s="141"/>
      <c r="AR390" s="141"/>
      <c r="AS390" s="141"/>
      <c r="AT390" s="141"/>
      <c r="AU390" s="141"/>
      <c r="AV390" s="141"/>
      <c r="AW390" s="141"/>
      <c r="AX390" s="141"/>
      <c r="AY390" s="141"/>
      <c r="AZ390" s="141"/>
      <c r="BA390" s="141"/>
      <c r="BB390" s="141"/>
      <c r="BC390" s="141"/>
      <c r="BD390" s="141"/>
      <c r="BE390" s="141"/>
      <c r="BF390" s="141"/>
      <c r="BG390" s="141"/>
      <c r="BH390" s="141"/>
      <c r="BI390" s="141"/>
      <c r="BJ390" s="141"/>
      <c r="BK390" s="141"/>
      <c r="BL390" s="141"/>
      <c r="BM390" s="141"/>
      <c r="BN390" s="141"/>
      <c r="BO390" s="141"/>
      <c r="BP390" s="141"/>
      <c r="BQ390" s="141"/>
      <c r="BR390" s="141"/>
      <c r="BS390" s="141"/>
      <c r="BT390" s="141"/>
      <c r="BU390" s="141"/>
      <c r="BV390" s="141"/>
      <c r="BW390" s="141"/>
      <c r="BX390" s="141"/>
      <c r="BY390" s="141"/>
      <c r="BZ390" s="141"/>
      <c r="CA390" s="141"/>
      <c r="CB390" s="141"/>
      <c r="CC390" s="141"/>
      <c r="CD390" s="141"/>
      <c r="CE390" s="141"/>
      <c r="CF390" s="141"/>
      <c r="CG390" s="141"/>
      <c r="CH390" s="141"/>
      <c r="CI390" s="141"/>
      <c r="CJ390" s="141"/>
      <c r="CK390" s="141"/>
      <c r="CL390" s="141"/>
      <c r="CM390" s="141"/>
      <c r="CN390" s="141"/>
      <c r="CO390" s="141"/>
      <c r="CP390" s="141"/>
      <c r="CQ390" s="141"/>
      <c r="CR390" s="141"/>
      <c r="CS390" s="141"/>
      <c r="CT390" s="141"/>
      <c r="CU390" s="141"/>
      <c r="CV390" s="141"/>
      <c r="CW390" s="141"/>
      <c r="CX390" s="141"/>
      <c r="CY390" s="141"/>
      <c r="CZ390" s="141"/>
      <c r="DA390" s="173"/>
    </row>
    <row r="391" spans="2:105" x14ac:dyDescent="0.25">
      <c r="B391" s="172"/>
      <c r="C391" s="141"/>
      <c r="D391" s="141"/>
      <c r="E391" s="141"/>
      <c r="F391" s="141"/>
      <c r="G391" s="141"/>
      <c r="H391" s="141"/>
      <c r="I391" s="141"/>
      <c r="J391" s="141"/>
      <c r="K391" s="141"/>
      <c r="L391" s="141"/>
      <c r="M391" s="141"/>
      <c r="N391" s="141"/>
      <c r="O391" s="141"/>
      <c r="P391" s="141"/>
      <c r="Q391" s="141"/>
      <c r="R391" s="141"/>
      <c r="S391" s="141"/>
      <c r="T391" s="141"/>
      <c r="U391" s="141"/>
      <c r="V391" s="141"/>
      <c r="W391" s="141"/>
      <c r="X391" s="141"/>
      <c r="Y391" s="141"/>
      <c r="Z391" s="141"/>
      <c r="AA391" s="141"/>
      <c r="AB391" s="141"/>
      <c r="AC391" s="141"/>
      <c r="AD391" s="141"/>
      <c r="AE391" s="141"/>
      <c r="AF391" s="141"/>
      <c r="AG391" s="141"/>
      <c r="AH391" s="141"/>
      <c r="AI391" s="141"/>
      <c r="AJ391" s="141"/>
      <c r="AK391" s="141"/>
      <c r="AL391" s="141"/>
      <c r="AM391" s="141"/>
      <c r="AN391" s="141"/>
      <c r="AO391" s="141"/>
      <c r="AP391" s="141"/>
      <c r="AQ391" s="141"/>
      <c r="AR391" s="141"/>
      <c r="AS391" s="141"/>
      <c r="AT391" s="141"/>
      <c r="AU391" s="141"/>
      <c r="AV391" s="141"/>
      <c r="AW391" s="141"/>
      <c r="AX391" s="141"/>
      <c r="AY391" s="141"/>
      <c r="AZ391" s="141"/>
      <c r="BA391" s="141"/>
      <c r="BB391" s="141"/>
      <c r="BC391" s="141"/>
      <c r="BD391" s="141"/>
      <c r="BE391" s="141"/>
      <c r="BF391" s="141"/>
      <c r="BG391" s="141"/>
      <c r="BH391" s="141"/>
      <c r="BI391" s="141"/>
      <c r="BJ391" s="141"/>
      <c r="BK391" s="141"/>
      <c r="BL391" s="141"/>
      <c r="BM391" s="141"/>
      <c r="BN391" s="141"/>
      <c r="BO391" s="141"/>
      <c r="BP391" s="141"/>
      <c r="BQ391" s="141"/>
      <c r="BR391" s="141"/>
      <c r="BS391" s="141"/>
      <c r="BT391" s="141"/>
      <c r="BU391" s="141"/>
      <c r="BV391" s="141"/>
      <c r="BW391" s="141"/>
      <c r="BX391" s="141"/>
      <c r="BY391" s="141"/>
      <c r="BZ391" s="141"/>
      <c r="CA391" s="141"/>
      <c r="CB391" s="141"/>
      <c r="CC391" s="141"/>
      <c r="CD391" s="141"/>
      <c r="CE391" s="141"/>
      <c r="CF391" s="141"/>
      <c r="CG391" s="141"/>
      <c r="CH391" s="141"/>
      <c r="CI391" s="141"/>
      <c r="CJ391" s="141"/>
      <c r="CK391" s="141"/>
      <c r="CL391" s="141"/>
      <c r="CM391" s="141"/>
      <c r="CN391" s="141"/>
      <c r="CO391" s="141"/>
      <c r="CP391" s="141"/>
      <c r="CQ391" s="141"/>
      <c r="CR391" s="141"/>
      <c r="CS391" s="141"/>
      <c r="CT391" s="141"/>
      <c r="CU391" s="141"/>
      <c r="CV391" s="141"/>
      <c r="CW391" s="141"/>
      <c r="CX391" s="141"/>
      <c r="CY391" s="141"/>
      <c r="CZ391" s="141"/>
      <c r="DA391" s="173"/>
    </row>
    <row r="392" spans="2:105" x14ac:dyDescent="0.25">
      <c r="B392" s="172"/>
      <c r="C392" s="141"/>
      <c r="D392" s="141"/>
      <c r="E392" s="141"/>
      <c r="F392" s="141"/>
      <c r="G392" s="141"/>
      <c r="H392" s="141"/>
      <c r="I392" s="141"/>
      <c r="J392" s="141"/>
      <c r="K392" s="141"/>
      <c r="L392" s="141"/>
      <c r="M392" s="141"/>
      <c r="N392" s="141"/>
      <c r="O392" s="141"/>
      <c r="P392" s="141"/>
      <c r="Q392" s="141"/>
      <c r="R392" s="141"/>
      <c r="S392" s="141"/>
      <c r="T392" s="141"/>
      <c r="U392" s="141"/>
      <c r="V392" s="141"/>
      <c r="W392" s="141"/>
      <c r="X392" s="141"/>
      <c r="Y392" s="141"/>
      <c r="Z392" s="141"/>
      <c r="AA392" s="141"/>
      <c r="AB392" s="141"/>
      <c r="AC392" s="141"/>
      <c r="AD392" s="141"/>
      <c r="AE392" s="141"/>
      <c r="AF392" s="141"/>
      <c r="AG392" s="141"/>
      <c r="AH392" s="141"/>
      <c r="AI392" s="141"/>
      <c r="AJ392" s="141"/>
      <c r="AK392" s="141"/>
      <c r="AL392" s="141"/>
      <c r="AM392" s="141"/>
      <c r="AN392" s="141"/>
      <c r="AO392" s="141"/>
      <c r="AP392" s="141"/>
      <c r="AQ392" s="141"/>
      <c r="AR392" s="141"/>
      <c r="AS392" s="141"/>
      <c r="AT392" s="141"/>
      <c r="AU392" s="141"/>
      <c r="AV392" s="141"/>
      <c r="AW392" s="141"/>
      <c r="AX392" s="141"/>
      <c r="AY392" s="141"/>
      <c r="AZ392" s="141"/>
      <c r="BA392" s="141"/>
      <c r="BB392" s="141"/>
      <c r="BC392" s="141"/>
      <c r="BD392" s="141"/>
      <c r="BE392" s="141"/>
      <c r="BF392" s="141"/>
      <c r="BG392" s="141"/>
      <c r="BH392" s="141"/>
      <c r="BI392" s="141"/>
      <c r="BJ392" s="141"/>
      <c r="BK392" s="141"/>
      <c r="BL392" s="141"/>
      <c r="BM392" s="141"/>
      <c r="BN392" s="141"/>
      <c r="BO392" s="141"/>
      <c r="BP392" s="141"/>
      <c r="BQ392" s="141"/>
      <c r="BR392" s="141"/>
      <c r="BS392" s="141"/>
      <c r="BT392" s="141"/>
      <c r="BU392" s="141"/>
      <c r="BV392" s="141"/>
      <c r="BW392" s="141"/>
      <c r="BX392" s="141"/>
      <c r="BY392" s="141"/>
      <c r="BZ392" s="141"/>
      <c r="CA392" s="141"/>
      <c r="CB392" s="141"/>
      <c r="CC392" s="141"/>
      <c r="CD392" s="141"/>
      <c r="CE392" s="141"/>
      <c r="CF392" s="141"/>
      <c r="CG392" s="141"/>
      <c r="CH392" s="141"/>
      <c r="CI392" s="141"/>
      <c r="CJ392" s="141"/>
      <c r="CK392" s="141"/>
      <c r="CL392" s="141"/>
      <c r="CM392" s="141"/>
      <c r="CN392" s="141"/>
      <c r="CO392" s="141"/>
      <c r="CP392" s="141"/>
      <c r="CQ392" s="141"/>
      <c r="CR392" s="141"/>
      <c r="CS392" s="141"/>
      <c r="CT392" s="141"/>
      <c r="CU392" s="141"/>
      <c r="CV392" s="141"/>
      <c r="CW392" s="141"/>
      <c r="CX392" s="141"/>
      <c r="CY392" s="141"/>
      <c r="CZ392" s="141"/>
      <c r="DA392" s="173"/>
    </row>
    <row r="393" spans="2:105" x14ac:dyDescent="0.25">
      <c r="B393" s="172"/>
      <c r="C393" s="141"/>
      <c r="D393" s="141"/>
      <c r="E393" s="141"/>
      <c r="F393" s="141"/>
      <c r="G393" s="141"/>
      <c r="H393" s="141"/>
      <c r="I393" s="141"/>
      <c r="J393" s="141"/>
      <c r="K393" s="141"/>
      <c r="L393" s="141"/>
      <c r="M393" s="141"/>
      <c r="N393" s="141"/>
      <c r="O393" s="141"/>
      <c r="P393" s="141"/>
      <c r="Q393" s="141"/>
      <c r="R393" s="141"/>
      <c r="S393" s="141"/>
      <c r="T393" s="141"/>
      <c r="U393" s="141"/>
      <c r="V393" s="141"/>
      <c r="W393" s="141"/>
      <c r="X393" s="141"/>
      <c r="Y393" s="141"/>
      <c r="Z393" s="141"/>
      <c r="AA393" s="141"/>
      <c r="AB393" s="141"/>
      <c r="AC393" s="141"/>
      <c r="AD393" s="141"/>
      <c r="AE393" s="141"/>
      <c r="AF393" s="141"/>
      <c r="AG393" s="141"/>
      <c r="AH393" s="141"/>
      <c r="AI393" s="141"/>
      <c r="AJ393" s="141"/>
      <c r="AK393" s="141"/>
      <c r="AL393" s="141"/>
      <c r="AM393" s="141"/>
      <c r="AN393" s="141"/>
      <c r="AO393" s="141"/>
      <c r="AP393" s="141"/>
      <c r="AQ393" s="141"/>
      <c r="AR393" s="141"/>
      <c r="AS393" s="141"/>
      <c r="AT393" s="141"/>
      <c r="AU393" s="141"/>
      <c r="AV393" s="141"/>
      <c r="AW393" s="141"/>
      <c r="AX393" s="141"/>
      <c r="AY393" s="141"/>
      <c r="AZ393" s="141"/>
      <c r="BA393" s="141"/>
      <c r="BB393" s="141"/>
      <c r="BC393" s="141"/>
      <c r="BD393" s="141"/>
      <c r="BE393" s="141"/>
      <c r="BF393" s="141"/>
      <c r="BG393" s="141"/>
      <c r="BH393" s="141"/>
      <c r="BI393" s="141"/>
      <c r="BJ393" s="141"/>
      <c r="BK393" s="141"/>
      <c r="BL393" s="141"/>
      <c r="BM393" s="141"/>
      <c r="BN393" s="141"/>
      <c r="BO393" s="141"/>
      <c r="BP393" s="141"/>
      <c r="BQ393" s="141"/>
      <c r="BR393" s="141"/>
      <c r="BS393" s="141"/>
      <c r="BT393" s="141"/>
      <c r="BU393" s="141"/>
      <c r="BV393" s="141"/>
      <c r="BW393" s="141"/>
      <c r="BX393" s="141"/>
      <c r="BY393" s="141"/>
      <c r="BZ393" s="141"/>
      <c r="CA393" s="141"/>
      <c r="CB393" s="141"/>
      <c r="CC393" s="141"/>
      <c r="CD393" s="141"/>
      <c r="CE393" s="141"/>
      <c r="CF393" s="141"/>
      <c r="CG393" s="141"/>
      <c r="CH393" s="141"/>
      <c r="CI393" s="141"/>
      <c r="CJ393" s="141"/>
      <c r="CK393" s="141"/>
      <c r="CL393" s="141"/>
      <c r="CM393" s="141"/>
      <c r="CN393" s="141"/>
      <c r="CO393" s="141"/>
      <c r="CP393" s="141"/>
      <c r="CQ393" s="141"/>
      <c r="CR393" s="141"/>
      <c r="CS393" s="141"/>
      <c r="CT393" s="141"/>
      <c r="CU393" s="141"/>
      <c r="CV393" s="141"/>
      <c r="CW393" s="141"/>
      <c r="CX393" s="141"/>
      <c r="CY393" s="141"/>
      <c r="CZ393" s="141"/>
      <c r="DA393" s="173"/>
    </row>
    <row r="394" spans="2:105" x14ac:dyDescent="0.25">
      <c r="B394" s="172"/>
      <c r="C394" s="141"/>
      <c r="D394" s="141"/>
      <c r="E394" s="141"/>
      <c r="F394" s="141"/>
      <c r="G394" s="141"/>
      <c r="H394" s="141"/>
      <c r="I394" s="141"/>
      <c r="J394" s="141"/>
      <c r="K394" s="141"/>
      <c r="L394" s="141"/>
      <c r="M394" s="141"/>
      <c r="N394" s="141"/>
      <c r="O394" s="141"/>
      <c r="P394" s="141"/>
      <c r="Q394" s="141"/>
      <c r="R394" s="141"/>
      <c r="S394" s="141"/>
      <c r="T394" s="141"/>
      <c r="U394" s="141"/>
      <c r="V394" s="141"/>
      <c r="W394" s="141"/>
      <c r="X394" s="141"/>
      <c r="Y394" s="141"/>
      <c r="Z394" s="141"/>
      <c r="AA394" s="141"/>
      <c r="AB394" s="141"/>
      <c r="AC394" s="141"/>
      <c r="AD394" s="141"/>
      <c r="AE394" s="141"/>
      <c r="AF394" s="141"/>
      <c r="AG394" s="141"/>
      <c r="AH394" s="141"/>
      <c r="AI394" s="141"/>
      <c r="AJ394" s="141"/>
      <c r="AK394" s="141"/>
      <c r="AL394" s="141"/>
      <c r="AM394" s="141"/>
      <c r="AN394" s="141"/>
      <c r="AO394" s="141"/>
      <c r="AP394" s="141"/>
      <c r="AQ394" s="141"/>
      <c r="AR394" s="141"/>
      <c r="AS394" s="141"/>
      <c r="AT394" s="141"/>
      <c r="AU394" s="141"/>
      <c r="AV394" s="141"/>
      <c r="AW394" s="141"/>
      <c r="AX394" s="141"/>
      <c r="AY394" s="141"/>
      <c r="AZ394" s="141"/>
      <c r="BA394" s="141"/>
      <c r="BB394" s="141"/>
      <c r="BC394" s="141"/>
      <c r="BD394" s="141"/>
      <c r="BE394" s="141"/>
      <c r="BF394" s="141"/>
      <c r="BG394" s="141"/>
      <c r="BH394" s="141"/>
      <c r="BI394" s="141"/>
      <c r="BJ394" s="141"/>
      <c r="BK394" s="141"/>
      <c r="BL394" s="141"/>
      <c r="BM394" s="141"/>
      <c r="BN394" s="141"/>
      <c r="BO394" s="141"/>
      <c r="BP394" s="141"/>
      <c r="BQ394" s="141"/>
      <c r="BR394" s="141"/>
      <c r="BS394" s="141"/>
      <c r="BT394" s="141"/>
      <c r="BU394" s="141"/>
      <c r="BV394" s="141"/>
      <c r="BW394" s="141"/>
      <c r="BX394" s="141"/>
      <c r="BY394" s="141"/>
      <c r="BZ394" s="141"/>
      <c r="CA394" s="141"/>
      <c r="CB394" s="141"/>
      <c r="CC394" s="141"/>
      <c r="CD394" s="141"/>
      <c r="CE394" s="141"/>
      <c r="CF394" s="141"/>
      <c r="CG394" s="141"/>
      <c r="CH394" s="141"/>
      <c r="CI394" s="141"/>
      <c r="CJ394" s="141"/>
      <c r="CK394" s="141"/>
      <c r="CL394" s="141"/>
      <c r="CM394" s="141"/>
      <c r="CN394" s="141"/>
      <c r="CO394" s="141"/>
      <c r="CP394" s="141"/>
      <c r="CQ394" s="141"/>
      <c r="CR394" s="141"/>
      <c r="CS394" s="141"/>
      <c r="CT394" s="141"/>
      <c r="CU394" s="141"/>
      <c r="CV394" s="141"/>
      <c r="CW394" s="141"/>
      <c r="CX394" s="141"/>
      <c r="CY394" s="141"/>
      <c r="CZ394" s="141"/>
      <c r="DA394" s="173"/>
    </row>
    <row r="395" spans="2:105" x14ac:dyDescent="0.25">
      <c r="B395" s="172"/>
      <c r="C395" s="141"/>
      <c r="D395" s="141"/>
      <c r="E395" s="141"/>
      <c r="F395" s="141"/>
      <c r="G395" s="141"/>
      <c r="H395" s="141"/>
      <c r="I395" s="141"/>
      <c r="J395" s="141"/>
      <c r="K395" s="141"/>
      <c r="L395" s="141"/>
      <c r="M395" s="141"/>
      <c r="N395" s="141"/>
      <c r="O395" s="141"/>
      <c r="P395" s="141"/>
      <c r="Q395" s="141"/>
      <c r="R395" s="141"/>
      <c r="S395" s="141"/>
      <c r="T395" s="141"/>
      <c r="U395" s="141"/>
      <c r="V395" s="141"/>
      <c r="W395" s="141"/>
      <c r="X395" s="141"/>
      <c r="Y395" s="141"/>
      <c r="Z395" s="141"/>
      <c r="AA395" s="141"/>
      <c r="AB395" s="141"/>
      <c r="AC395" s="141"/>
      <c r="AD395" s="141"/>
      <c r="AE395" s="141"/>
      <c r="AF395" s="141"/>
      <c r="AG395" s="141"/>
      <c r="AH395" s="141"/>
      <c r="AI395" s="141"/>
      <c r="AJ395" s="141"/>
      <c r="AK395" s="141"/>
      <c r="AL395" s="141"/>
      <c r="AM395" s="141"/>
      <c r="AN395" s="141"/>
      <c r="AO395" s="141"/>
      <c r="AP395" s="141"/>
      <c r="AQ395" s="141"/>
      <c r="AR395" s="141"/>
      <c r="AS395" s="141"/>
      <c r="AT395" s="141"/>
      <c r="AU395" s="141"/>
      <c r="AV395" s="141"/>
      <c r="AW395" s="141"/>
      <c r="AX395" s="141"/>
      <c r="AY395" s="141"/>
      <c r="AZ395" s="141"/>
      <c r="BA395" s="141"/>
      <c r="BB395" s="141"/>
      <c r="BC395" s="141"/>
      <c r="BD395" s="141"/>
      <c r="BE395" s="141"/>
      <c r="BF395" s="141"/>
      <c r="BG395" s="141"/>
      <c r="BH395" s="141"/>
      <c r="BI395" s="141"/>
      <c r="BJ395" s="141"/>
      <c r="BK395" s="141"/>
      <c r="BL395" s="141"/>
      <c r="BM395" s="141"/>
      <c r="BN395" s="141"/>
      <c r="BO395" s="141"/>
      <c r="BP395" s="141"/>
      <c r="BQ395" s="141"/>
      <c r="BR395" s="141"/>
      <c r="BS395" s="141"/>
      <c r="BT395" s="141"/>
      <c r="BU395" s="141"/>
      <c r="BV395" s="141"/>
      <c r="BW395" s="141"/>
      <c r="BX395" s="141"/>
      <c r="BY395" s="141"/>
      <c r="BZ395" s="141"/>
      <c r="CA395" s="141"/>
      <c r="CB395" s="141"/>
      <c r="CC395" s="141"/>
      <c r="CD395" s="141"/>
      <c r="CE395" s="141"/>
      <c r="CF395" s="141"/>
      <c r="CG395" s="141"/>
      <c r="CH395" s="141"/>
      <c r="CI395" s="141"/>
      <c r="CJ395" s="141"/>
      <c r="CK395" s="141"/>
      <c r="CL395" s="141"/>
      <c r="CM395" s="141"/>
      <c r="CN395" s="141"/>
      <c r="CO395" s="141"/>
      <c r="CP395" s="141"/>
      <c r="CQ395" s="141"/>
      <c r="CR395" s="141"/>
      <c r="CS395" s="141"/>
      <c r="CT395" s="141"/>
      <c r="CU395" s="141"/>
      <c r="CV395" s="141"/>
      <c r="CW395" s="141"/>
      <c r="CX395" s="141"/>
      <c r="CY395" s="141"/>
      <c r="CZ395" s="141"/>
      <c r="DA395" s="173"/>
    </row>
    <row r="396" spans="2:105" x14ac:dyDescent="0.25">
      <c r="B396" s="172"/>
      <c r="C396" s="141"/>
      <c r="D396" s="141"/>
      <c r="E396" s="141"/>
      <c r="F396" s="141"/>
      <c r="G396" s="141"/>
      <c r="H396" s="141"/>
      <c r="I396" s="141"/>
      <c r="J396" s="141"/>
      <c r="K396" s="141"/>
      <c r="L396" s="141"/>
      <c r="M396" s="141"/>
      <c r="N396" s="141"/>
      <c r="O396" s="141"/>
      <c r="P396" s="141"/>
      <c r="Q396" s="141"/>
      <c r="R396" s="141"/>
      <c r="S396" s="141"/>
      <c r="T396" s="141"/>
      <c r="U396" s="141"/>
      <c r="V396" s="141"/>
      <c r="W396" s="141"/>
      <c r="X396" s="141"/>
      <c r="Y396" s="141"/>
      <c r="Z396" s="141"/>
      <c r="AA396" s="141"/>
      <c r="AB396" s="141"/>
      <c r="AC396" s="141"/>
      <c r="AD396" s="141"/>
      <c r="AE396" s="141"/>
      <c r="AF396" s="141"/>
      <c r="AG396" s="141"/>
      <c r="AH396" s="141"/>
      <c r="AI396" s="141"/>
      <c r="AJ396" s="141"/>
      <c r="AK396" s="141"/>
      <c r="AL396" s="141"/>
      <c r="AM396" s="141"/>
      <c r="AN396" s="141"/>
      <c r="AO396" s="141"/>
      <c r="AP396" s="141"/>
      <c r="AQ396" s="141"/>
      <c r="AR396" s="141"/>
      <c r="AS396" s="141"/>
      <c r="AT396" s="141"/>
      <c r="AU396" s="141"/>
      <c r="AV396" s="141"/>
      <c r="AW396" s="141"/>
      <c r="AX396" s="141"/>
      <c r="AY396" s="141"/>
      <c r="AZ396" s="141"/>
      <c r="BA396" s="141"/>
      <c r="BB396" s="141"/>
      <c r="BC396" s="141"/>
      <c r="BD396" s="141"/>
      <c r="BE396" s="141"/>
      <c r="BF396" s="141"/>
      <c r="BG396" s="141"/>
      <c r="BH396" s="141"/>
      <c r="BI396" s="141"/>
      <c r="BJ396" s="141"/>
      <c r="BK396" s="141"/>
      <c r="BL396" s="141"/>
      <c r="BM396" s="141"/>
      <c r="BN396" s="141"/>
      <c r="BO396" s="141"/>
      <c r="BP396" s="141"/>
      <c r="BQ396" s="141"/>
      <c r="BR396" s="141"/>
      <c r="BS396" s="141"/>
      <c r="BT396" s="141"/>
      <c r="BU396" s="141"/>
      <c r="BV396" s="141"/>
      <c r="BW396" s="141"/>
      <c r="BX396" s="141"/>
      <c r="BY396" s="141"/>
      <c r="BZ396" s="141"/>
      <c r="CA396" s="141"/>
      <c r="CB396" s="141"/>
      <c r="CC396" s="141"/>
      <c r="CD396" s="141"/>
      <c r="CE396" s="141"/>
      <c r="CF396" s="141"/>
      <c r="CG396" s="141"/>
      <c r="CH396" s="141"/>
      <c r="CI396" s="141"/>
      <c r="CJ396" s="141"/>
      <c r="CK396" s="141"/>
      <c r="CL396" s="141"/>
      <c r="CM396" s="141"/>
      <c r="CN396" s="141"/>
      <c r="CO396" s="141"/>
      <c r="CP396" s="141"/>
      <c r="CQ396" s="141"/>
      <c r="CR396" s="141"/>
      <c r="CS396" s="141"/>
      <c r="CT396" s="141"/>
      <c r="CU396" s="141"/>
      <c r="CV396" s="141"/>
      <c r="CW396" s="141"/>
      <c r="CX396" s="141"/>
      <c r="CY396" s="141"/>
      <c r="CZ396" s="141"/>
      <c r="DA396" s="173"/>
    </row>
    <row r="397" spans="2:105" x14ac:dyDescent="0.25">
      <c r="B397" s="172"/>
      <c r="C397" s="141"/>
      <c r="D397" s="141"/>
      <c r="E397" s="141"/>
      <c r="F397" s="141"/>
      <c r="G397" s="141"/>
      <c r="H397" s="141"/>
      <c r="I397" s="141"/>
      <c r="J397" s="141"/>
      <c r="K397" s="141"/>
      <c r="L397" s="141"/>
      <c r="M397" s="141"/>
      <c r="N397" s="141"/>
      <c r="O397" s="141"/>
      <c r="P397" s="141"/>
      <c r="Q397" s="141"/>
      <c r="R397" s="141"/>
      <c r="S397" s="141"/>
      <c r="T397" s="141"/>
      <c r="U397" s="141"/>
      <c r="V397" s="141"/>
      <c r="W397" s="141"/>
      <c r="X397" s="141"/>
      <c r="Y397" s="141"/>
      <c r="Z397" s="141"/>
      <c r="AA397" s="141"/>
      <c r="AB397" s="141"/>
      <c r="AC397" s="141"/>
      <c r="AD397" s="141"/>
      <c r="AE397" s="141"/>
      <c r="AF397" s="141"/>
      <c r="AG397" s="141"/>
      <c r="AH397" s="141"/>
      <c r="AI397" s="141"/>
      <c r="AJ397" s="141"/>
      <c r="AK397" s="141"/>
      <c r="AL397" s="141"/>
      <c r="AM397" s="141"/>
      <c r="AN397" s="141"/>
      <c r="AO397" s="141"/>
      <c r="AP397" s="141"/>
      <c r="AQ397" s="141"/>
      <c r="AR397" s="141"/>
      <c r="AS397" s="141"/>
      <c r="AT397" s="141"/>
      <c r="AU397" s="141"/>
      <c r="AV397" s="141"/>
      <c r="AW397" s="141"/>
      <c r="AX397" s="141"/>
      <c r="AY397" s="141"/>
      <c r="AZ397" s="141"/>
      <c r="BA397" s="141"/>
      <c r="BB397" s="141"/>
      <c r="BC397" s="141"/>
      <c r="BD397" s="141"/>
      <c r="BE397" s="141"/>
      <c r="BF397" s="141"/>
      <c r="BG397" s="141"/>
      <c r="BH397" s="141"/>
      <c r="BI397" s="141"/>
      <c r="BJ397" s="141"/>
      <c r="BK397" s="141"/>
      <c r="BL397" s="141"/>
      <c r="BM397" s="141"/>
      <c r="BN397" s="141"/>
      <c r="BO397" s="141"/>
      <c r="BP397" s="141"/>
      <c r="BQ397" s="141"/>
      <c r="BR397" s="141"/>
      <c r="BS397" s="141"/>
      <c r="BT397" s="141"/>
      <c r="BU397" s="141"/>
      <c r="BV397" s="141"/>
      <c r="BW397" s="141"/>
      <c r="BX397" s="141"/>
      <c r="BY397" s="141"/>
      <c r="BZ397" s="141"/>
      <c r="CA397" s="141"/>
      <c r="CB397" s="141"/>
      <c r="CC397" s="141"/>
      <c r="CD397" s="141"/>
      <c r="CE397" s="141"/>
      <c r="CF397" s="141"/>
      <c r="CG397" s="141"/>
      <c r="CH397" s="141"/>
      <c r="CI397" s="141"/>
      <c r="CJ397" s="141"/>
      <c r="CK397" s="141"/>
      <c r="CL397" s="141"/>
      <c r="CM397" s="141"/>
      <c r="CN397" s="141"/>
      <c r="CO397" s="141"/>
      <c r="CP397" s="141"/>
      <c r="CQ397" s="141"/>
      <c r="CR397" s="141"/>
      <c r="CS397" s="141"/>
      <c r="CT397" s="141"/>
      <c r="CU397" s="141"/>
      <c r="CV397" s="141"/>
      <c r="CW397" s="141"/>
      <c r="CX397" s="141"/>
      <c r="CY397" s="141"/>
      <c r="CZ397" s="141"/>
      <c r="DA397" s="173"/>
    </row>
    <row r="398" spans="2:105" x14ac:dyDescent="0.25">
      <c r="B398" s="172"/>
      <c r="C398" s="141"/>
      <c r="D398" s="141"/>
      <c r="E398" s="141"/>
      <c r="F398" s="141"/>
      <c r="G398" s="141"/>
      <c r="H398" s="141"/>
      <c r="I398" s="141"/>
      <c r="J398" s="141"/>
      <c r="K398" s="141"/>
      <c r="L398" s="141"/>
      <c r="M398" s="141"/>
      <c r="N398" s="141"/>
      <c r="O398" s="141"/>
      <c r="P398" s="141"/>
      <c r="Q398" s="141"/>
      <c r="R398" s="141"/>
      <c r="S398" s="141"/>
      <c r="T398" s="141"/>
      <c r="U398" s="141"/>
      <c r="V398" s="141"/>
      <c r="W398" s="141"/>
      <c r="X398" s="141"/>
      <c r="Y398" s="141"/>
      <c r="Z398" s="141"/>
      <c r="AA398" s="141"/>
      <c r="AB398" s="141"/>
      <c r="AC398" s="141"/>
      <c r="AD398" s="141"/>
      <c r="AE398" s="141"/>
      <c r="AF398" s="141"/>
      <c r="AG398" s="141"/>
      <c r="AH398" s="141"/>
      <c r="AI398" s="141"/>
      <c r="AJ398" s="141"/>
      <c r="AK398" s="141"/>
      <c r="AL398" s="141"/>
      <c r="AM398" s="141"/>
      <c r="AN398" s="141"/>
      <c r="AO398" s="141"/>
      <c r="AP398" s="141"/>
      <c r="AQ398" s="141"/>
      <c r="AR398" s="141"/>
      <c r="AS398" s="141"/>
      <c r="AT398" s="141"/>
      <c r="AU398" s="141"/>
      <c r="AV398" s="141"/>
      <c r="AW398" s="141"/>
      <c r="AX398" s="141"/>
      <c r="AY398" s="141"/>
      <c r="AZ398" s="141"/>
      <c r="BA398" s="141"/>
      <c r="BB398" s="141"/>
      <c r="BC398" s="141"/>
      <c r="BD398" s="141"/>
      <c r="BE398" s="141"/>
      <c r="BF398" s="141"/>
      <c r="BG398" s="141"/>
      <c r="BH398" s="141"/>
      <c r="BI398" s="141"/>
      <c r="BJ398" s="141"/>
      <c r="BK398" s="141"/>
      <c r="BL398" s="141"/>
      <c r="BM398" s="141"/>
      <c r="BN398" s="141"/>
      <c r="BO398" s="141"/>
      <c r="BP398" s="141"/>
      <c r="BQ398" s="141"/>
      <c r="BR398" s="141"/>
      <c r="BS398" s="141"/>
      <c r="BT398" s="141"/>
      <c r="BU398" s="141"/>
      <c r="BV398" s="141"/>
      <c r="BW398" s="141"/>
      <c r="BX398" s="141"/>
      <c r="BY398" s="141"/>
      <c r="BZ398" s="141"/>
      <c r="CA398" s="141"/>
      <c r="CB398" s="141"/>
      <c r="CC398" s="141"/>
      <c r="CD398" s="141"/>
      <c r="CE398" s="141"/>
      <c r="CF398" s="141"/>
      <c r="CG398" s="141"/>
      <c r="CH398" s="141"/>
      <c r="CI398" s="141"/>
      <c r="CJ398" s="141"/>
      <c r="CK398" s="141"/>
      <c r="CL398" s="141"/>
      <c r="CM398" s="141"/>
      <c r="CN398" s="141"/>
      <c r="CO398" s="141"/>
      <c r="CP398" s="141"/>
      <c r="CQ398" s="141"/>
      <c r="CR398" s="141"/>
      <c r="CS398" s="141"/>
      <c r="CT398" s="141"/>
      <c r="CU398" s="141"/>
      <c r="CV398" s="141"/>
      <c r="CW398" s="141"/>
      <c r="CX398" s="141"/>
      <c r="CY398" s="141"/>
      <c r="CZ398" s="141"/>
      <c r="DA398" s="173"/>
    </row>
    <row r="399" spans="2:105" x14ac:dyDescent="0.25">
      <c r="B399" s="172"/>
      <c r="C399" s="141"/>
      <c r="D399" s="141"/>
      <c r="E399" s="141"/>
      <c r="F399" s="141"/>
      <c r="G399" s="141"/>
      <c r="H399" s="141"/>
      <c r="I399" s="141"/>
      <c r="J399" s="141"/>
      <c r="K399" s="141"/>
      <c r="L399" s="141"/>
      <c r="M399" s="141"/>
      <c r="N399" s="141"/>
      <c r="O399" s="141"/>
      <c r="P399" s="141"/>
      <c r="Q399" s="141"/>
      <c r="R399" s="141"/>
      <c r="S399" s="141"/>
      <c r="T399" s="141"/>
      <c r="U399" s="141"/>
      <c r="V399" s="141"/>
      <c r="W399" s="141"/>
      <c r="X399" s="141"/>
      <c r="Y399" s="141"/>
      <c r="Z399" s="141"/>
      <c r="AA399" s="141"/>
      <c r="AB399" s="141"/>
      <c r="AC399" s="141"/>
      <c r="AD399" s="141"/>
      <c r="AE399" s="141"/>
      <c r="AF399" s="141"/>
      <c r="AG399" s="141"/>
      <c r="AH399" s="141"/>
      <c r="AI399" s="141"/>
      <c r="AJ399" s="141"/>
      <c r="AK399" s="141"/>
      <c r="AL399" s="141"/>
      <c r="AM399" s="141"/>
      <c r="AN399" s="141"/>
      <c r="AO399" s="141"/>
      <c r="AP399" s="141"/>
      <c r="AQ399" s="141"/>
      <c r="AR399" s="141"/>
      <c r="AS399" s="141"/>
      <c r="AT399" s="141"/>
      <c r="AU399" s="141"/>
      <c r="AV399" s="141"/>
      <c r="AW399" s="141"/>
      <c r="AX399" s="141"/>
      <c r="AY399" s="141"/>
      <c r="AZ399" s="141"/>
      <c r="BA399" s="141"/>
      <c r="BB399" s="141"/>
      <c r="BC399" s="141"/>
      <c r="BD399" s="141"/>
      <c r="BE399" s="141"/>
      <c r="BF399" s="141"/>
      <c r="BG399" s="141"/>
      <c r="BH399" s="141"/>
      <c r="BI399" s="141"/>
      <c r="BJ399" s="141"/>
      <c r="BK399" s="141"/>
      <c r="BL399" s="141"/>
      <c r="BM399" s="141"/>
      <c r="BN399" s="141"/>
      <c r="BO399" s="141"/>
      <c r="BP399" s="141"/>
      <c r="BQ399" s="141"/>
      <c r="BR399" s="141"/>
      <c r="BS399" s="141"/>
      <c r="BT399" s="141"/>
      <c r="BU399" s="141"/>
      <c r="BV399" s="141"/>
      <c r="BW399" s="141"/>
      <c r="BX399" s="141"/>
      <c r="BY399" s="141"/>
      <c r="BZ399" s="141"/>
      <c r="CA399" s="141"/>
      <c r="CB399" s="141"/>
      <c r="CC399" s="141"/>
      <c r="CD399" s="141"/>
      <c r="CE399" s="141"/>
      <c r="CF399" s="141"/>
      <c r="CG399" s="141"/>
      <c r="CH399" s="141"/>
      <c r="CI399" s="141"/>
      <c r="CJ399" s="141"/>
      <c r="CK399" s="141"/>
      <c r="CL399" s="141"/>
      <c r="CM399" s="141"/>
      <c r="CN399" s="141"/>
      <c r="CO399" s="141"/>
      <c r="CP399" s="141"/>
      <c r="CQ399" s="141"/>
      <c r="CR399" s="141"/>
      <c r="CS399" s="141"/>
      <c r="CT399" s="141"/>
      <c r="CU399" s="141"/>
      <c r="CV399" s="141"/>
      <c r="CW399" s="141"/>
      <c r="CX399" s="141"/>
      <c r="CY399" s="141"/>
      <c r="CZ399" s="141"/>
      <c r="DA399" s="173"/>
    </row>
    <row r="400" spans="2:105" x14ac:dyDescent="0.25">
      <c r="B400" s="172"/>
      <c r="C400" s="141"/>
      <c r="D400" s="141"/>
      <c r="E400" s="141"/>
      <c r="F400" s="141"/>
      <c r="G400" s="141"/>
      <c r="H400" s="141"/>
      <c r="I400" s="141"/>
      <c r="J400" s="141"/>
      <c r="K400" s="141"/>
      <c r="L400" s="141"/>
      <c r="M400" s="141"/>
      <c r="N400" s="141"/>
      <c r="O400" s="141"/>
      <c r="P400" s="141"/>
      <c r="Q400" s="141"/>
      <c r="R400" s="141"/>
      <c r="S400" s="141"/>
      <c r="T400" s="141"/>
      <c r="U400" s="141"/>
      <c r="V400" s="141"/>
      <c r="W400" s="141"/>
      <c r="X400" s="141"/>
      <c r="Y400" s="141"/>
      <c r="Z400" s="141"/>
      <c r="AA400" s="141"/>
      <c r="AB400" s="141"/>
      <c r="AC400" s="141"/>
      <c r="AD400" s="141"/>
      <c r="AE400" s="141"/>
      <c r="AF400" s="141"/>
      <c r="AG400" s="141"/>
      <c r="AH400" s="141"/>
      <c r="AI400" s="141"/>
      <c r="AJ400" s="141"/>
      <c r="AK400" s="141"/>
      <c r="AL400" s="141"/>
      <c r="AM400" s="141"/>
      <c r="AN400" s="141"/>
      <c r="AO400" s="141"/>
      <c r="AP400" s="141"/>
      <c r="AQ400" s="141"/>
      <c r="AR400" s="141"/>
      <c r="AS400" s="141"/>
      <c r="AT400" s="141"/>
      <c r="AU400" s="141"/>
      <c r="AV400" s="141"/>
      <c r="AW400" s="141"/>
      <c r="AX400" s="141"/>
      <c r="AY400" s="141"/>
      <c r="AZ400" s="141"/>
      <c r="BA400" s="141"/>
      <c r="BB400" s="141"/>
      <c r="BC400" s="141"/>
      <c r="BD400" s="141"/>
      <c r="BE400" s="141"/>
      <c r="BF400" s="141"/>
      <c r="BG400" s="141"/>
      <c r="BH400" s="141"/>
      <c r="BI400" s="141"/>
      <c r="BJ400" s="141"/>
      <c r="BK400" s="141"/>
      <c r="BL400" s="141"/>
      <c r="BM400" s="141"/>
      <c r="BN400" s="141"/>
      <c r="BO400" s="141"/>
      <c r="BP400" s="141"/>
      <c r="BQ400" s="141"/>
      <c r="BR400" s="141"/>
      <c r="BS400" s="141"/>
      <c r="BT400" s="141"/>
      <c r="BU400" s="141"/>
      <c r="BV400" s="141"/>
      <c r="BW400" s="141"/>
      <c r="BX400" s="141"/>
      <c r="BY400" s="141"/>
      <c r="BZ400" s="141"/>
      <c r="CA400" s="141"/>
      <c r="CB400" s="141"/>
      <c r="CC400" s="141"/>
      <c r="CD400" s="141"/>
      <c r="CE400" s="141"/>
      <c r="CF400" s="141"/>
      <c r="CG400" s="141"/>
      <c r="CH400" s="141"/>
      <c r="CI400" s="141"/>
      <c r="CJ400" s="141"/>
      <c r="CK400" s="141"/>
      <c r="CL400" s="141"/>
      <c r="CM400" s="141"/>
      <c r="CN400" s="141"/>
      <c r="CO400" s="141"/>
      <c r="CP400" s="141"/>
      <c r="CQ400" s="141"/>
      <c r="CR400" s="141"/>
      <c r="CS400" s="141"/>
      <c r="CT400" s="141"/>
      <c r="CU400" s="141"/>
      <c r="CV400" s="141"/>
      <c r="CW400" s="141"/>
      <c r="CX400" s="141"/>
      <c r="CY400" s="141"/>
      <c r="CZ400" s="141"/>
      <c r="DA400" s="173"/>
    </row>
    <row r="401" spans="2:105" x14ac:dyDescent="0.25">
      <c r="B401" s="172"/>
      <c r="C401" s="141"/>
      <c r="D401" s="141"/>
      <c r="E401" s="141"/>
      <c r="F401" s="141"/>
      <c r="G401" s="141"/>
      <c r="H401" s="141"/>
      <c r="I401" s="141"/>
      <c r="J401" s="141"/>
      <c r="K401" s="141"/>
      <c r="L401" s="141"/>
      <c r="M401" s="141"/>
      <c r="N401" s="141"/>
      <c r="O401" s="141"/>
      <c r="P401" s="141"/>
      <c r="Q401" s="141"/>
      <c r="R401" s="141"/>
      <c r="S401" s="141"/>
      <c r="T401" s="141"/>
      <c r="U401" s="141"/>
      <c r="V401" s="141"/>
      <c r="W401" s="141"/>
      <c r="X401" s="141"/>
      <c r="Y401" s="141"/>
      <c r="Z401" s="141"/>
      <c r="AA401" s="141"/>
      <c r="AB401" s="141"/>
      <c r="AC401" s="141"/>
      <c r="AD401" s="141"/>
      <c r="AE401" s="141"/>
      <c r="AF401" s="141"/>
      <c r="AG401" s="141"/>
      <c r="AH401" s="141"/>
      <c r="AI401" s="141"/>
      <c r="AJ401" s="141"/>
      <c r="AK401" s="141"/>
      <c r="AL401" s="141"/>
      <c r="AM401" s="141"/>
      <c r="AN401" s="141"/>
      <c r="AO401" s="141"/>
      <c r="AP401" s="141"/>
      <c r="AQ401" s="141"/>
      <c r="AR401" s="141"/>
      <c r="AS401" s="141"/>
      <c r="AT401" s="141"/>
      <c r="AU401" s="141"/>
      <c r="AV401" s="141"/>
      <c r="AW401" s="141"/>
      <c r="AX401" s="141"/>
      <c r="AY401" s="141"/>
      <c r="AZ401" s="141"/>
      <c r="BA401" s="141"/>
      <c r="BB401" s="141"/>
      <c r="BC401" s="141"/>
      <c r="BD401" s="141"/>
      <c r="BE401" s="141"/>
      <c r="BF401" s="141"/>
      <c r="BG401" s="141"/>
      <c r="BH401" s="141"/>
      <c r="BI401" s="141"/>
      <c r="BJ401" s="141"/>
      <c r="BK401" s="141"/>
      <c r="BL401" s="141"/>
      <c r="BM401" s="141"/>
      <c r="BN401" s="141"/>
      <c r="BO401" s="141"/>
      <c r="BP401" s="141"/>
      <c r="BQ401" s="141"/>
      <c r="BR401" s="141"/>
      <c r="BS401" s="141"/>
      <c r="BT401" s="141"/>
      <c r="BU401" s="141"/>
      <c r="BV401" s="141"/>
      <c r="BW401" s="141"/>
      <c r="BX401" s="141"/>
      <c r="BY401" s="141"/>
      <c r="BZ401" s="141"/>
      <c r="CA401" s="141"/>
      <c r="CB401" s="141"/>
      <c r="CC401" s="141"/>
      <c r="CD401" s="141"/>
      <c r="CE401" s="141"/>
      <c r="CF401" s="141"/>
      <c r="CG401" s="141"/>
      <c r="CH401" s="141"/>
      <c r="CI401" s="141"/>
      <c r="CJ401" s="141"/>
      <c r="CK401" s="141"/>
      <c r="CL401" s="141"/>
      <c r="CM401" s="141"/>
      <c r="CN401" s="141"/>
      <c r="CO401" s="141"/>
      <c r="CP401" s="141"/>
      <c r="CQ401" s="141"/>
      <c r="CR401" s="141"/>
      <c r="CS401" s="141"/>
      <c r="CT401" s="141"/>
      <c r="CU401" s="141"/>
      <c r="CV401" s="141"/>
      <c r="CW401" s="141"/>
      <c r="CX401" s="141"/>
      <c r="CY401" s="141"/>
      <c r="CZ401" s="141"/>
      <c r="DA401" s="173"/>
    </row>
    <row r="402" spans="2:105" ht="15.75" thickBot="1" x14ac:dyDescent="0.3">
      <c r="B402" s="174"/>
      <c r="C402" s="175"/>
      <c r="D402" s="175"/>
      <c r="E402" s="175"/>
      <c r="F402" s="175"/>
      <c r="G402" s="175"/>
      <c r="H402" s="175"/>
      <c r="I402" s="175"/>
      <c r="J402" s="175"/>
      <c r="K402" s="175"/>
      <c r="L402" s="175"/>
      <c r="M402" s="175"/>
      <c r="N402" s="175"/>
      <c r="O402" s="175"/>
      <c r="P402" s="175"/>
      <c r="Q402" s="175"/>
      <c r="R402" s="175"/>
      <c r="S402" s="175"/>
      <c r="T402" s="175"/>
      <c r="U402" s="175"/>
      <c r="V402" s="175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  <c r="AI402" s="175"/>
      <c r="AJ402" s="175"/>
      <c r="AK402" s="175"/>
      <c r="AL402" s="175"/>
      <c r="AM402" s="175"/>
      <c r="AN402" s="175"/>
      <c r="AO402" s="175"/>
      <c r="AP402" s="175"/>
      <c r="AQ402" s="175"/>
      <c r="AR402" s="175"/>
      <c r="AS402" s="175"/>
      <c r="AT402" s="175"/>
      <c r="AU402" s="175"/>
      <c r="AV402" s="175"/>
      <c r="AW402" s="175"/>
      <c r="AX402" s="175"/>
      <c r="AY402" s="175"/>
      <c r="AZ402" s="175"/>
      <c r="BA402" s="175"/>
      <c r="BB402" s="175"/>
      <c r="BC402" s="175"/>
      <c r="BD402" s="175"/>
      <c r="BE402" s="175"/>
      <c r="BF402" s="175"/>
      <c r="BG402" s="175"/>
      <c r="BH402" s="175"/>
      <c r="BI402" s="175"/>
      <c r="BJ402" s="175"/>
      <c r="BK402" s="175"/>
      <c r="BL402" s="175"/>
      <c r="BM402" s="175"/>
      <c r="BN402" s="175"/>
      <c r="BO402" s="175"/>
      <c r="BP402" s="175"/>
      <c r="BQ402" s="175"/>
      <c r="BR402" s="175"/>
      <c r="BS402" s="175"/>
      <c r="BT402" s="175"/>
      <c r="BU402" s="175"/>
      <c r="BV402" s="175"/>
      <c r="BW402" s="175"/>
      <c r="BX402" s="175"/>
      <c r="BY402" s="175"/>
      <c r="BZ402" s="175"/>
      <c r="CA402" s="175"/>
      <c r="CB402" s="175"/>
      <c r="CC402" s="175"/>
      <c r="CD402" s="175"/>
      <c r="CE402" s="175"/>
      <c r="CF402" s="175"/>
      <c r="CG402" s="175"/>
      <c r="CH402" s="175"/>
      <c r="CI402" s="175"/>
      <c r="CJ402" s="175"/>
      <c r="CK402" s="175"/>
      <c r="CL402" s="175"/>
      <c r="CM402" s="175"/>
      <c r="CN402" s="175"/>
      <c r="CO402" s="175"/>
      <c r="CP402" s="175"/>
      <c r="CQ402" s="175"/>
      <c r="CR402" s="175"/>
      <c r="CS402" s="175"/>
      <c r="CT402" s="175"/>
      <c r="CU402" s="175"/>
      <c r="CV402" s="175"/>
      <c r="CW402" s="175"/>
      <c r="CX402" s="175"/>
      <c r="CY402" s="175"/>
      <c r="CZ402" s="175"/>
      <c r="DA402" s="176"/>
    </row>
  </sheetData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Radni listovi</vt:lpstr>
      </vt:variant>
      <vt:variant>
        <vt:i4>11</vt:i4>
      </vt:variant>
      <vt:variant>
        <vt:lpstr>Imenovani rasponi</vt:lpstr>
      </vt:variant>
      <vt:variant>
        <vt:i4>57</vt:i4>
      </vt:variant>
    </vt:vector>
  </HeadingPairs>
  <TitlesOfParts>
    <vt:vector size="68" baseType="lpstr">
      <vt:lpstr>data</vt:lpstr>
      <vt:lpstr>natjecanje</vt:lpstr>
      <vt:lpstr>natjecanje-staze</vt:lpstr>
      <vt:lpstr>natjecanje-kategorije</vt:lpstr>
      <vt:lpstr>registar-natjecatelji</vt:lpstr>
      <vt:lpstr>registar-klubovi</vt:lpstr>
      <vt:lpstr>registar-države</vt:lpstr>
      <vt:lpstr>registar-kategorije</vt:lpstr>
      <vt:lpstr>registar-uparivanje</vt:lpstr>
      <vt:lpstr>registar-status-rezultat</vt:lpstr>
      <vt:lpstr>csv</vt:lpstr>
      <vt:lpstr>csv</vt:lpstr>
      <vt:lpstr>data_datum_natjecanja</vt:lpstr>
      <vt:lpstr>data_dnevnik_id</vt:lpstr>
      <vt:lpstr>data_grana_id</vt:lpstr>
      <vt:lpstr>data_liga_id</vt:lpstr>
      <vt:lpstr>data_max_imePrezime_id</vt:lpstr>
      <vt:lpstr>data_max_kategorijaAlias_id</vt:lpstr>
      <vt:lpstr>data_max_minuta</vt:lpstr>
      <vt:lpstr>data_max_natjecatelj_id</vt:lpstr>
      <vt:lpstr>data_max_osoba_id</vt:lpstr>
      <vt:lpstr>data_max_rezultat_id</vt:lpstr>
      <vt:lpstr>data_max_staza_id</vt:lpstr>
      <vt:lpstr>data_max_stazaKategorija_id</vt:lpstr>
      <vt:lpstr>data_trka_id</vt:lpstr>
      <vt:lpstr>data_trka_je_rangirana</vt:lpstr>
      <vt:lpstr>nat_aliasZaKlub</vt:lpstr>
      <vt:lpstr>nat_kategorija</vt:lpstr>
      <vt:lpstr>nat_katnatid</vt:lpstr>
      <vt:lpstr>nat_klubAliasId</vt:lpstr>
      <vt:lpstr>nat_kluboviAliasi</vt:lpstr>
      <vt:lpstr>nat_noviKluboviAliasi</vt:lpstr>
      <vt:lpstr>natKategorija_alias_Id</vt:lpstr>
      <vt:lpstr>natKategorija_kategorija</vt:lpstr>
      <vt:lpstr>natKategorija_katRegId</vt:lpstr>
      <vt:lpstr>natKategorija_stazaKatId</vt:lpstr>
      <vt:lpstr>natStaza_alias</vt:lpstr>
      <vt:lpstr>natStaza_id</vt:lpstr>
      <vt:lpstr>natStaza_kategorija</vt:lpstr>
      <vt:lpstr>natStaza_naziv</vt:lpstr>
      <vt:lpstr>natStaza_trka</vt:lpstr>
      <vt:lpstr>regDrzava_id</vt:lpstr>
      <vt:lpstr>regDrzava_oznaka</vt:lpstr>
      <vt:lpstr>regKategorija_alias_id</vt:lpstr>
      <vt:lpstr>regKategorija_alias_oznaka</vt:lpstr>
      <vt:lpstr>regKategorija_id</vt:lpstr>
      <vt:lpstr>regKategorija_oznaka</vt:lpstr>
      <vt:lpstr>regKategorija_rbr</vt:lpstr>
      <vt:lpstr>regKlub_alias_alias</vt:lpstr>
      <vt:lpstr>regKlub_alias_id</vt:lpstr>
      <vt:lpstr>regKlub_alias_klubId</vt:lpstr>
      <vt:lpstr>regKlub_id</vt:lpstr>
      <vt:lpstr>regKlub_naziv</vt:lpstr>
      <vt:lpstr>regNatjecatelj_alias_alias</vt:lpstr>
      <vt:lpstr>regNatjecatelj_alias_id</vt:lpstr>
      <vt:lpstr>regNatjecatelj_alias_natjecateljId</vt:lpstr>
      <vt:lpstr>regNatjecatelj_id</vt:lpstr>
      <vt:lpstr>regNatjecatelj_ime</vt:lpstr>
      <vt:lpstr>regNatjecatelj_imePrezime</vt:lpstr>
      <vt:lpstr>regNatjecatelj_imePrezimeKlub</vt:lpstr>
      <vt:lpstr>regNatjecatelj_imePrezimeKlubKategorija</vt:lpstr>
      <vt:lpstr>regNatjecatelj_klub</vt:lpstr>
      <vt:lpstr>regNatjecatelj_prezime</vt:lpstr>
      <vt:lpstr>regStatusRezultat_id</vt:lpstr>
      <vt:lpstr>regStatusRezultat_oEvent</vt:lpstr>
      <vt:lpstr>regUparivanje_id</vt:lpstr>
      <vt:lpstr>regUparivanje_oznaka</vt:lpstr>
      <vt:lpstr>trka_id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Tisljar</dc:creator>
  <cp:lastModifiedBy>Ivo Tisljar</cp:lastModifiedBy>
  <dcterms:created xsi:type="dcterms:W3CDTF">2021-04-12T17:25:19Z</dcterms:created>
  <dcterms:modified xsi:type="dcterms:W3CDTF">2021-05-09T09:46:46Z</dcterms:modified>
</cp:coreProperties>
</file>